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metadata.xml" ContentType="application/vnd.openxmlformats-officedocument.spreadsheetml.sheetMetadata+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defaultThemeVersion="166925"/>
  <mc:AlternateContent xmlns:mc="http://schemas.openxmlformats.org/markup-compatibility/2006">
    <mc:Choice Requires="x15">
      <x15ac:absPath xmlns:x15ac="http://schemas.microsoft.com/office/spreadsheetml/2010/11/ac" url="/Users/jbrowning/Bridgewater Group Dropbox/John Browning/EcoLube/CAO_Level_3_WIP/EI_DEQ_Response_4_Revised_EI/"/>
    </mc:Choice>
  </mc:AlternateContent>
  <xr:revisionPtr revIDLastSave="0" documentId="13_ncr:1_{DA6EC1C3-3074-2D4B-B1C8-1AC87AC2078A}" xr6:coauthVersionLast="47" xr6:coauthVersionMax="47" xr10:uidLastSave="{00000000-0000-0000-0000-000000000000}"/>
  <bookViews>
    <workbookView xWindow="-20" yWindow="460" windowWidth="38400" windowHeight="19740" activeTab="4" xr2:uid="{7C2B9992-B885-D646-B094-96752C539EA7}"/>
  </bookViews>
  <sheets>
    <sheet name="Source_List" sheetId="1" state="hidden" r:id="rId1"/>
    <sheet name="X_EMIS" sheetId="17" state="hidden" r:id="rId2"/>
    <sheet name="errata" sheetId="18" state="hidden" r:id="rId3"/>
    <sheet name="Tabl_B1_RTO" sheetId="2" r:id="rId4"/>
    <sheet name="Tabl_B1a_SO3" sheetId="19" r:id="rId5"/>
    <sheet name="Tabl_B2_Fug" sheetId="5" r:id="rId6"/>
    <sheet name="Tabl_B3_Comp" sheetId="11" r:id="rId7"/>
    <sheet name="Tabl_B4_Tanks" sheetId="6" r:id="rId8"/>
    <sheet name="Tabl_B5_TLoad" sheetId="8" r:id="rId9"/>
    <sheet name="Tabl_B6_Carbon_BU" sheetId="12" r:id="rId10"/>
    <sheet name="Site Summary" sheetId="14" state="hidden" r:id="rId11"/>
    <sheet name="CAO_Pollutant_List" sheetId="3" state="hidden" r:id="rId12"/>
    <sheet name="NG_Factor_Sort" sheetId="4" state="hidden" r:id="rId13"/>
    <sheet name="RBC" sheetId="15" state="hidden" r:id="rId14"/>
    <sheet name="RBC_old" sheetId="9" state="hidden" r:id="rId15"/>
    <sheet name="Sheet2" sheetId="13" state="hidden" r:id="rId16"/>
  </sheets>
  <externalReferences>
    <externalReference r:id="rId17"/>
    <externalReference r:id="rId18"/>
    <externalReference r:id="rId19"/>
    <externalReference r:id="rId20"/>
  </externalReferences>
  <definedNames>
    <definedName name="_xlnm._FilterDatabase" localSheetId="11" hidden="1">CAO_Pollutant_List!$A$3:$I$611</definedName>
    <definedName name="_xlnm._FilterDatabase" localSheetId="13" hidden="1">RBC!$A$7:$K$268</definedName>
    <definedName name="_xlnm._FilterDatabase" localSheetId="15" hidden="1">Sheet2!$A$1:$A$103</definedName>
    <definedName name="_xlnm._FilterDatabase" localSheetId="3" hidden="1">Tabl_B1_RTO!$B$36:$I$126</definedName>
    <definedName name="_xlnm._FilterDatabase" localSheetId="4" hidden="1">Tabl_B1a_SO3!#REF!</definedName>
    <definedName name="_xlnm._FilterDatabase" localSheetId="5" hidden="1">Tabl_B2_Fug!$A$11:$Y$43</definedName>
    <definedName name="_xlnm._FilterDatabase" localSheetId="6" hidden="1">Tabl_B3_Comp!$A$5:$N$47</definedName>
    <definedName name="_xlnm._FilterDatabase" localSheetId="8" hidden="1">Tabl_B5_TLoad!$A$21:$W$26</definedName>
    <definedName name="_xlnm._FilterDatabase" localSheetId="9" hidden="1">Tabl_B6_Carbon_BU!$A$20:$H$29</definedName>
    <definedName name="_xlnm._FilterDatabase" localSheetId="1" hidden="1">X_EMIS!$M$15:$Q$563</definedName>
    <definedName name="_Order1" hidden="1">255</definedName>
    <definedName name="_Order2" hidden="1">255</definedName>
    <definedName name="Billable_Service_Item">[1]Timesheet!$S$12:$S$24</definedName>
    <definedName name="CARBO134">'[2]HAP Content'!$J$31:$T$44</definedName>
    <definedName name="CARBO890">'[2]HAP Content'!$J$22:$T$27</definedName>
    <definedName name="COMP" localSheetId="2">#REF!</definedName>
    <definedName name="COMP" localSheetId="1">#REF!</definedName>
    <definedName name="COMP">#REF!</definedName>
    <definedName name="Detail_Reference">[1]Timesheet!$U$12:$V$27</definedName>
    <definedName name="DistrictName">#REF!</definedName>
    <definedName name="ElementMolecule">[1]Molecular_Weights!$A$4:$A$28</definedName>
    <definedName name="EPA_HAPs">'[2]HAP Content'!$A$4:$B$176</definedName>
    <definedName name="_xlnm.Extract" localSheetId="15">Sheet2!$A$106</definedName>
    <definedName name="_xlnm.Extract" localSheetId="3">Tabl_B1_RTO!#REF!</definedName>
    <definedName name="_xlnm.Extract" localSheetId="4">Tabl_B1a_SO3!#REF!</definedName>
    <definedName name="FIX_Emiss">'[3]CALC-Tanks Fixed Roof Monthly'!$C$16:$HN$74</definedName>
    <definedName name="FLT_Emiss">'[3]CALC-Floating Roof Monthly'!$D$13:$GJ$22</definedName>
    <definedName name="FLT_Inputs">'[3]Floating Roof Inputs'!$C$8:$DK$27</definedName>
    <definedName name="GaseousEfficiency">[1]Calculations!$I$158:$I$175</definedName>
    <definedName name="GaseousIndex">[1]Molecular_Weights!$A$4:$B$28</definedName>
    <definedName name="GramConversion">[1]Calculations!$I$140:$I$143</definedName>
    <definedName name="HAP_Col">'[2]HAP Content'!$F$3:$P$3</definedName>
    <definedName name="HAP_Row">'[2]HAP Content'!$F$3:$F$17</definedName>
    <definedName name="HAPs">'[2]HAP Content'!$F$3:$Q$17</definedName>
    <definedName name="HTML_CodePage" hidden="1">1252</definedName>
    <definedName name="HTML_Control" hidden="1">{"'RT614_Data'!$A$1:$Z$13","'RT614_Data'!$A$1:$AA$13"}</definedName>
    <definedName name="HTML_Description" hidden="1">""</definedName>
    <definedName name="HTML_Email" hidden="1">""</definedName>
    <definedName name="HTML_Header" hidden="1">"Data"</definedName>
    <definedName name="HTML_LastUpdate" hidden="1">"6/22/00"</definedName>
    <definedName name="HTML_LineAfter" hidden="1">FALSE</definedName>
    <definedName name="HTML_LineBefore" hidden="1">FALSE</definedName>
    <definedName name="HTML_Name" hidden="1">"ROMELIA"</definedName>
    <definedName name="HTML_OBDlg2" hidden="1">TRUE</definedName>
    <definedName name="HTML_OBDlg4" hidden="1">TRUE</definedName>
    <definedName name="HTML_OS" hidden="1">0</definedName>
    <definedName name="HTML_PathFile" hidden="1">"C:\Flow Rata\RT614_HTML.htm"</definedName>
    <definedName name="HTML_Title" hidden="1">"RT614_Export"</definedName>
    <definedName name="IMPACTOUT">[4]ISOSET!#REF!</definedName>
    <definedName name="INLETPART">[4]ISOSET!#REF!</definedName>
    <definedName name="MMPaint">'[2]HAP Content'!$J$49:$T$57</definedName>
    <definedName name="NOUTPART">[4]ISOSET!#REF!</definedName>
    <definedName name="Office">[1]Timesheet!$R$12:$R$15</definedName>
    <definedName name="Overhead_Service_Items">[1]Timesheet!$U$12:$U$27</definedName>
    <definedName name="_xlnm.Print_Area">[1]Calculations!#REF!</definedName>
    <definedName name="Solvent33">'[2]HAP Content'!$J$61:$T$64</definedName>
    <definedName name="Title">[1]Timesheet!$T$12:$T$21</definedName>
    <definedName name="valuevx">42.314159</definedName>
    <definedName name="Week_Ending_All_Quarters">[1]Timesheet!$W$12:$W$64</definedName>
    <definedName name="wrn.Confidential." localSheetId="2"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1"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2"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1"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W_FUG_HAP">'[2]HAP Content'!$U$4:$W$18</definedName>
    <definedName name="year" localSheetId="4">YEAR(theDate)</definedName>
    <definedName name="year">YEAR(theDate)</definedName>
    <definedName name="YES_NO">[1]Timesheet!$AA$12:$AA$13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7" i="8" l="1"/>
  <c r="I56" i="8"/>
  <c r="I55" i="8"/>
  <c r="I54" i="8"/>
  <c r="I53" i="8"/>
  <c r="I52" i="8"/>
  <c r="I51" i="8"/>
  <c r="I50" i="8"/>
  <c r="I49" i="8"/>
  <c r="I48" i="8"/>
  <c r="I47" i="8"/>
  <c r="H57" i="8"/>
  <c r="H56" i="8"/>
  <c r="H55" i="8"/>
  <c r="H54" i="8"/>
  <c r="H53" i="8"/>
  <c r="H52" i="8"/>
  <c r="H51" i="8"/>
  <c r="H50" i="8"/>
  <c r="H49" i="8"/>
  <c r="H48" i="8"/>
  <c r="H47" i="8"/>
  <c r="H58" i="8" s="1"/>
  <c r="G57" i="8"/>
  <c r="G56" i="8"/>
  <c r="G55" i="8"/>
  <c r="G54" i="8"/>
  <c r="G53" i="8"/>
  <c r="G52" i="8"/>
  <c r="G51" i="8"/>
  <c r="G50" i="8"/>
  <c r="G49" i="8"/>
  <c r="G48" i="8"/>
  <c r="G47" i="8"/>
  <c r="G58" i="8" s="1"/>
  <c r="L26" i="8"/>
  <c r="K26" i="8"/>
  <c r="F57" i="8"/>
  <c r="F56" i="8"/>
  <c r="F55" i="8"/>
  <c r="F54" i="8"/>
  <c r="F53" i="8"/>
  <c r="F52" i="8"/>
  <c r="F51" i="8"/>
  <c r="F50" i="8"/>
  <c r="F49" i="8"/>
  <c r="F48" i="8"/>
  <c r="F47" i="8"/>
  <c r="D205" i="2" l="1"/>
  <c r="E205" i="2"/>
  <c r="B16" i="19"/>
  <c r="B15" i="19"/>
  <c r="B14" i="19"/>
  <c r="B12" i="19"/>
  <c r="B11" i="19"/>
  <c r="D70" i="2" l="1"/>
  <c r="C21" i="12"/>
  <c r="E21" i="12"/>
  <c r="O39" i="17"/>
  <c r="N39" i="17"/>
  <c r="O114" i="17"/>
  <c r="N114" i="17"/>
  <c r="Q115" i="17" l="1"/>
  <c r="P115" i="17"/>
  <c r="O115" i="17"/>
  <c r="N115" i="17"/>
  <c r="A69" i="17" l="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B7" i="17"/>
  <c r="O563" i="17" l="1"/>
  <c r="N563" i="17"/>
  <c r="O562" i="17"/>
  <c r="N562" i="17"/>
  <c r="O561" i="17"/>
  <c r="N561" i="17"/>
  <c r="O560" i="17"/>
  <c r="N560" i="17"/>
  <c r="O559" i="17"/>
  <c r="N559" i="17"/>
  <c r="O558" i="17"/>
  <c r="N558" i="17"/>
  <c r="O557" i="17"/>
  <c r="N557" i="17"/>
  <c r="O556" i="17"/>
  <c r="N556" i="17"/>
  <c r="O555" i="17"/>
  <c r="N555" i="17"/>
  <c r="O554" i="17"/>
  <c r="N554" i="17"/>
  <c r="O553" i="17"/>
  <c r="N553" i="17"/>
  <c r="M432" i="17" a="1"/>
  <c r="M432" i="17" s="1"/>
  <c r="O134" i="17"/>
  <c r="N134" i="17"/>
  <c r="O133" i="17"/>
  <c r="N133" i="17"/>
  <c r="O132" i="17"/>
  <c r="N132" i="17"/>
  <c r="O131" i="17"/>
  <c r="N131" i="17"/>
  <c r="O130" i="17"/>
  <c r="N130" i="17"/>
  <c r="O129" i="17"/>
  <c r="N129" i="17"/>
  <c r="O128" i="17"/>
  <c r="N128" i="17"/>
  <c r="O127" i="17"/>
  <c r="N127" i="17"/>
  <c r="Q116" i="17" a="1"/>
  <c r="Q116" i="17" s="1"/>
  <c r="P116" i="17" a="1"/>
  <c r="P116" i="17" s="1"/>
  <c r="O116" i="17" a="1"/>
  <c r="O116" i="17" s="1"/>
  <c r="O135" i="17" s="1"/>
  <c r="O146" i="17" s="1"/>
  <c r="O157" i="17" s="1"/>
  <c r="O168" i="17" s="1"/>
  <c r="O179" i="17" s="1"/>
  <c r="O190" i="17" s="1"/>
  <c r="O201" i="17" s="1"/>
  <c r="O212" i="17" s="1"/>
  <c r="O223" i="17" s="1"/>
  <c r="O234" i="17" s="1"/>
  <c r="O245" i="17" s="1"/>
  <c r="O256" i="17" s="1"/>
  <c r="O267" i="17" s="1"/>
  <c r="O278" i="17" s="1"/>
  <c r="O289" i="17" s="1"/>
  <c r="O300" i="17" s="1"/>
  <c r="O311" i="17" s="1"/>
  <c r="O322" i="17" s="1"/>
  <c r="O333" i="17" s="1"/>
  <c r="O344" i="17" s="1"/>
  <c r="O355" i="17" s="1"/>
  <c r="O366" i="17" s="1"/>
  <c r="O377" i="17" s="1"/>
  <c r="O388" i="17" s="1"/>
  <c r="O399" i="17" s="1"/>
  <c r="O410" i="17" s="1"/>
  <c r="O421" i="17" s="1"/>
  <c r="N116" i="17" a="1"/>
  <c r="N116" i="17" s="1"/>
  <c r="N135" i="17" s="1"/>
  <c r="N146" i="17" s="1"/>
  <c r="N157" i="17" s="1"/>
  <c r="N168" i="17" s="1"/>
  <c r="N179" i="17" s="1"/>
  <c r="N190" i="17" s="1"/>
  <c r="N201" i="17" s="1"/>
  <c r="N212" i="17" s="1"/>
  <c r="N223" i="17" s="1"/>
  <c r="N234" i="17" s="1"/>
  <c r="N245" i="17" s="1"/>
  <c r="N256" i="17" s="1"/>
  <c r="N267" i="17" s="1"/>
  <c r="N278" i="17" s="1"/>
  <c r="N289" i="17" s="1"/>
  <c r="N300" i="17" s="1"/>
  <c r="N311" i="17" s="1"/>
  <c r="N322" i="17" s="1"/>
  <c r="N333" i="17" s="1"/>
  <c r="N344" i="17" s="1"/>
  <c r="N355" i="17" s="1"/>
  <c r="N366" i="17" s="1"/>
  <c r="N377" i="17" s="1"/>
  <c r="N388" i="17" s="1"/>
  <c r="N399" i="17" s="1"/>
  <c r="N410" i="17" s="1"/>
  <c r="N421" i="17" s="1"/>
  <c r="O113" i="17"/>
  <c r="N113" i="17"/>
  <c r="O112" i="17"/>
  <c r="N112" i="17"/>
  <c r="O111" i="17"/>
  <c r="N111" i="17"/>
  <c r="O110" i="17"/>
  <c r="N110" i="17"/>
  <c r="O109" i="17"/>
  <c r="N109" i="17"/>
  <c r="O108" i="17"/>
  <c r="N108" i="17"/>
  <c r="O107" i="17"/>
  <c r="N107" i="17"/>
  <c r="O106" i="17"/>
  <c r="N106" i="17"/>
  <c r="O105" i="17"/>
  <c r="N105" i="17"/>
  <c r="O104" i="17"/>
  <c r="N104" i="17"/>
  <c r="O103" i="17"/>
  <c r="N103" i="17"/>
  <c r="O102" i="17"/>
  <c r="N102" i="17"/>
  <c r="O101" i="17"/>
  <c r="N101" i="17"/>
  <c r="O100" i="17"/>
  <c r="N100" i="17"/>
  <c r="O99" i="17"/>
  <c r="N99" i="17"/>
  <c r="O98" i="17"/>
  <c r="N98" i="17"/>
  <c r="O97" i="17"/>
  <c r="N97" i="17"/>
  <c r="O96" i="17"/>
  <c r="N96" i="17"/>
  <c r="O95" i="17"/>
  <c r="N95" i="17"/>
  <c r="O94" i="17"/>
  <c r="N94" i="17"/>
  <c r="O93" i="17"/>
  <c r="N93" i="17"/>
  <c r="O92" i="17"/>
  <c r="N92" i="17"/>
  <c r="O91" i="17"/>
  <c r="N91" i="17"/>
  <c r="O90" i="17"/>
  <c r="N90" i="17"/>
  <c r="O89" i="17"/>
  <c r="N89" i="17"/>
  <c r="O88" i="17"/>
  <c r="N88" i="17"/>
  <c r="O87" i="17"/>
  <c r="N87" i="17"/>
  <c r="O86" i="17"/>
  <c r="N86" i="17"/>
  <c r="O85" i="17"/>
  <c r="N85" i="17"/>
  <c r="O84" i="17"/>
  <c r="N84" i="17"/>
  <c r="O83" i="17"/>
  <c r="N83" i="17"/>
  <c r="O82" i="17"/>
  <c r="N82" i="17"/>
  <c r="O81" i="17"/>
  <c r="N81" i="17"/>
  <c r="O80" i="17"/>
  <c r="N80" i="17"/>
  <c r="O79" i="17"/>
  <c r="N79" i="17"/>
  <c r="O78" i="17"/>
  <c r="N78" i="17"/>
  <c r="O77" i="17"/>
  <c r="N77" i="17"/>
  <c r="O76" i="17"/>
  <c r="N76" i="17"/>
  <c r="O75" i="17"/>
  <c r="N75" i="17"/>
  <c r="O74" i="17"/>
  <c r="N74" i="17"/>
  <c r="O73" i="17"/>
  <c r="N73" i="17"/>
  <c r="O72" i="17"/>
  <c r="N72" i="17"/>
  <c r="O71" i="17"/>
  <c r="N71" i="17"/>
  <c r="O70" i="17"/>
  <c r="N70" i="17"/>
  <c r="O69" i="17"/>
  <c r="N69" i="17"/>
  <c r="O68" i="17"/>
  <c r="N68" i="17"/>
  <c r="O67" i="17"/>
  <c r="N67" i="17"/>
  <c r="O66" i="17"/>
  <c r="N66" i="17"/>
  <c r="O65" i="17"/>
  <c r="N65" i="17"/>
  <c r="O64" i="17"/>
  <c r="N64" i="17"/>
  <c r="O63" i="17"/>
  <c r="N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H45" i="17"/>
  <c r="O44" i="17"/>
  <c r="N44" i="17"/>
  <c r="H44" i="17"/>
  <c r="O43" i="17"/>
  <c r="N43" i="17"/>
  <c r="H43" i="17"/>
  <c r="O42" i="17"/>
  <c r="N42" i="17"/>
  <c r="H42" i="17"/>
  <c r="O41" i="17"/>
  <c r="N41" i="17"/>
  <c r="H41" i="17"/>
  <c r="O40" i="17"/>
  <c r="N40" i="17"/>
  <c r="H40" i="17"/>
  <c r="H39" i="17"/>
  <c r="O38" i="17"/>
  <c r="N38" i="17"/>
  <c r="H38" i="17"/>
  <c r="O37" i="17"/>
  <c r="N37" i="17"/>
  <c r="H37" i="17"/>
  <c r="O36" i="17"/>
  <c r="N36" i="17"/>
  <c r="H36" i="17"/>
  <c r="O35" i="17"/>
  <c r="N35" i="17"/>
  <c r="H35" i="17"/>
  <c r="O34" i="17"/>
  <c r="N34" i="17"/>
  <c r="H34" i="17"/>
  <c r="O33" i="17"/>
  <c r="N33" i="17"/>
  <c r="H33" i="17"/>
  <c r="O32" i="17"/>
  <c r="N32" i="17"/>
  <c r="H32" i="17"/>
  <c r="O31" i="17"/>
  <c r="N31" i="17"/>
  <c r="H31" i="17"/>
  <c r="O30" i="17"/>
  <c r="N30" i="17"/>
  <c r="H30" i="17"/>
  <c r="O29" i="17"/>
  <c r="N29" i="17"/>
  <c r="H29" i="17"/>
  <c r="O28" i="17"/>
  <c r="N28" i="17"/>
  <c r="H28" i="17"/>
  <c r="O27" i="17"/>
  <c r="N27" i="17"/>
  <c r="H27" i="17"/>
  <c r="O26" i="17"/>
  <c r="N26" i="17"/>
  <c r="H26" i="17"/>
  <c r="O25" i="17"/>
  <c r="N25" i="17"/>
  <c r="H25" i="17"/>
  <c r="O24" i="17"/>
  <c r="N24" i="17"/>
  <c r="H24" i="17"/>
  <c r="O23" i="17"/>
  <c r="N23" i="17"/>
  <c r="H23" i="17"/>
  <c r="O22" i="17"/>
  <c r="N22" i="17"/>
  <c r="H22" i="17"/>
  <c r="O21" i="17"/>
  <c r="N21" i="17"/>
  <c r="H21" i="17"/>
  <c r="O20" i="17"/>
  <c r="N20" i="17"/>
  <c r="H20" i="17"/>
  <c r="O19" i="17"/>
  <c r="N19" i="17"/>
  <c r="H19" i="17"/>
  <c r="K135" i="17" s="1" a="1"/>
  <c r="K135" i="17" s="1"/>
  <c r="O18" i="17"/>
  <c r="N18" i="17"/>
  <c r="O17" i="17"/>
  <c r="N17" i="17"/>
  <c r="O16" i="17"/>
  <c r="N16" i="17"/>
  <c r="L135" i="17"/>
  <c r="M117" i="17"/>
  <c r="M118" i="17" s="1"/>
  <c r="M119" i="17" s="1"/>
  <c r="M120" i="17" s="1"/>
  <c r="M121" i="17" s="1"/>
  <c r="M122" i="17" s="1"/>
  <c r="M123" i="17" s="1"/>
  <c r="M124" i="17" s="1"/>
  <c r="M125" i="17" s="1"/>
  <c r="M126" i="17" s="1"/>
  <c r="L117" i="17"/>
  <c r="L136" i="17" s="1"/>
  <c r="L147" i="17" s="1"/>
  <c r="L158" i="17" s="1"/>
  <c r="L169" i="17" s="1"/>
  <c r="L180" i="17" s="1"/>
  <c r="L191" i="17" s="1"/>
  <c r="L202" i="17" s="1"/>
  <c r="L213" i="17" s="1"/>
  <c r="E57" i="17"/>
  <c r="C56" i="17"/>
  <c r="E56" i="17" s="1"/>
  <c r="C55" i="17"/>
  <c r="E55" i="17" s="1"/>
  <c r="C53" i="17"/>
  <c r="C54" i="17" s="1"/>
  <c r="E54" i="17" s="1"/>
  <c r="E52" i="17"/>
  <c r="C51" i="17"/>
  <c r="E51" i="17" s="1"/>
  <c r="C50" i="17"/>
  <c r="E50" i="17" s="1"/>
  <c r="C49" i="17"/>
  <c r="E49" i="17" s="1"/>
  <c r="C48" i="17"/>
  <c r="E48" i="17" s="1"/>
  <c r="C47" i="17"/>
  <c r="E47" i="17" s="1"/>
  <c r="C46" i="17"/>
  <c r="E46" i="17" s="1"/>
  <c r="C45" i="17"/>
  <c r="E45" i="17" s="1"/>
  <c r="C44" i="17"/>
  <c r="E44" i="17" s="1"/>
  <c r="C43" i="17"/>
  <c r="E43" i="17" s="1"/>
  <c r="C42" i="17"/>
  <c r="E42" i="17" s="1"/>
  <c r="C41" i="17"/>
  <c r="E41" i="17" s="1"/>
  <c r="C40" i="17"/>
  <c r="E40" i="17" s="1"/>
  <c r="C39" i="17"/>
  <c r="E39" i="17" s="1"/>
  <c r="E38" i="17"/>
  <c r="E37" i="17"/>
  <c r="E36" i="17"/>
  <c r="E35" i="17"/>
  <c r="E34" i="17"/>
  <c r="E33" i="17"/>
  <c r="E32" i="17"/>
  <c r="E31" i="17"/>
  <c r="C30" i="17"/>
  <c r="E30" i="17" s="1"/>
  <c r="C29" i="17"/>
  <c r="E29" i="17" s="1"/>
  <c r="C28" i="17"/>
  <c r="E28" i="17" s="1"/>
  <c r="C27" i="17"/>
  <c r="E27" i="17" s="1"/>
  <c r="C26" i="17"/>
  <c r="E26" i="17" s="1"/>
  <c r="C25" i="17"/>
  <c r="E25" i="17" s="1"/>
  <c r="C24" i="17"/>
  <c r="E24" i="17" s="1"/>
  <c r="C23" i="17"/>
  <c r="E23" i="17" s="1"/>
  <c r="C22" i="17"/>
  <c r="E22" i="17" s="1"/>
  <c r="C21" i="17"/>
  <c r="E21" i="17" s="1"/>
  <c r="C20" i="17"/>
  <c r="E20" i="17" s="1"/>
  <c r="C19" i="17"/>
  <c r="E19" i="17" s="1"/>
  <c r="A19" i="17"/>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C9" i="17"/>
  <c r="B9" i="17"/>
  <c r="C8" i="17"/>
  <c r="B8" i="17"/>
  <c r="B162" i="17" l="1"/>
  <c r="E53" i="17"/>
  <c r="O117" i="17" a="1"/>
  <c r="O117" i="17" s="1"/>
  <c r="O136" i="17" s="1"/>
  <c r="O147" i="17" s="1"/>
  <c r="O158" i="17" s="1"/>
  <c r="O169" i="17" s="1"/>
  <c r="O180" i="17" s="1"/>
  <c r="O191" i="17" s="1"/>
  <c r="O202" i="17" s="1"/>
  <c r="O213" i="17" s="1"/>
  <c r="O224" i="17" s="1"/>
  <c r="O235" i="17" s="1"/>
  <c r="O246" i="17" s="1"/>
  <c r="O257" i="17" s="1"/>
  <c r="O268" i="17" s="1"/>
  <c r="O279" i="17" s="1"/>
  <c r="O290" i="17" s="1"/>
  <c r="O301" i="17" s="1"/>
  <c r="O312" i="17" s="1"/>
  <c r="O323" i="17" s="1"/>
  <c r="O334" i="17" s="1"/>
  <c r="O345" i="17" s="1"/>
  <c r="O356" i="17" s="1"/>
  <c r="O367" i="17" s="1"/>
  <c r="O378" i="17" s="1"/>
  <c r="O389" i="17" s="1"/>
  <c r="O400" i="17" s="1"/>
  <c r="O411" i="17" s="1"/>
  <c r="O422" i="17" s="1"/>
  <c r="L118" i="17"/>
  <c r="J136" i="17"/>
  <c r="Q136" i="17" s="1" a="1"/>
  <c r="Q136" i="17" s="1"/>
  <c r="B155" i="17"/>
  <c r="B148" i="17"/>
  <c r="B157" i="17"/>
  <c r="B169" i="17"/>
  <c r="B71" i="17"/>
  <c r="B72" i="17"/>
  <c r="B100" i="17"/>
  <c r="B166" i="17"/>
  <c r="B95" i="17"/>
  <c r="B97" i="17"/>
  <c r="B154" i="17"/>
  <c r="B138" i="17"/>
  <c r="B143" i="17"/>
  <c r="B168" i="17"/>
  <c r="B73" i="17"/>
  <c r="B78" i="17"/>
  <c r="B131" i="17"/>
  <c r="B170" i="17"/>
  <c r="B144" i="17"/>
  <c r="B137" i="17"/>
  <c r="B161" i="17"/>
  <c r="B164" i="17"/>
  <c r="B81" i="17"/>
  <c r="B83" i="17"/>
  <c r="B98" i="17"/>
  <c r="B129" i="17"/>
  <c r="B88" i="17"/>
  <c r="B171" i="17"/>
  <c r="B153" i="17"/>
  <c r="B135" i="17"/>
  <c r="B122" i="17"/>
  <c r="B163" i="17"/>
  <c r="B77" i="17"/>
  <c r="B116" i="17"/>
  <c r="B94" i="17"/>
  <c r="B128" i="17"/>
  <c r="B111" i="17"/>
  <c r="B101" i="17"/>
  <c r="B152" i="17"/>
  <c r="B136" i="17"/>
  <c r="B118" i="17"/>
  <c r="B130" i="17"/>
  <c r="B82" i="17"/>
  <c r="B112" i="17"/>
  <c r="B92" i="17"/>
  <c r="B127" i="17"/>
  <c r="B172" i="17"/>
  <c r="B96" i="17"/>
  <c r="B151" i="17"/>
  <c r="B134" i="17"/>
  <c r="B93" i="17"/>
  <c r="B87" i="17"/>
  <c r="B121" i="17"/>
  <c r="B85" i="17"/>
  <c r="B90" i="17"/>
  <c r="B114" i="17"/>
  <c r="B76" i="17"/>
  <c r="B142" i="17"/>
  <c r="B147" i="17"/>
  <c r="B167" i="17"/>
  <c r="B125" i="17"/>
  <c r="B120" i="17"/>
  <c r="B110" i="17"/>
  <c r="B89" i="17"/>
  <c r="B113" i="17"/>
  <c r="B80" i="17"/>
  <c r="B141" i="17"/>
  <c r="B146" i="17"/>
  <c r="B165" i="17"/>
  <c r="B132" i="17"/>
  <c r="B119" i="17"/>
  <c r="B79" i="17"/>
  <c r="B105" i="17"/>
  <c r="B140" i="17"/>
  <c r="B145" i="17"/>
  <c r="B124" i="17"/>
  <c r="B70" i="17"/>
  <c r="B133" i="17"/>
  <c r="B104" i="17"/>
  <c r="B175" i="17"/>
  <c r="B106" i="17"/>
  <c r="B103" i="17"/>
  <c r="B139" i="17"/>
  <c r="B160" i="17"/>
  <c r="B123" i="17"/>
  <c r="B68" i="17"/>
  <c r="B69" i="17"/>
  <c r="B74" i="17"/>
  <c r="B86" i="17"/>
  <c r="B150" i="17"/>
  <c r="B159" i="17"/>
  <c r="B174" i="17"/>
  <c r="B102" i="17"/>
  <c r="B156" i="17"/>
  <c r="B149" i="17"/>
  <c r="B158" i="17"/>
  <c r="B173" i="17"/>
  <c r="B75" i="17"/>
  <c r="L146" i="17"/>
  <c r="L157" i="17" s="1"/>
  <c r="L168" i="17" s="1"/>
  <c r="Q135" i="17" a="1"/>
  <c r="Q135" i="17" s="1"/>
  <c r="P117" i="17" a="1"/>
  <c r="P117" i="17" s="1"/>
  <c r="Q117" i="17" a="1"/>
  <c r="Q117" i="17" s="1"/>
  <c r="O118" i="17" a="1"/>
  <c r="O118" i="17" s="1"/>
  <c r="O137" i="17" s="1"/>
  <c r="O148" i="17" s="1"/>
  <c r="O159" i="17" s="1"/>
  <c r="O170" i="17" s="1"/>
  <c r="O181" i="17" s="1"/>
  <c r="O192" i="17" s="1"/>
  <c r="O203" i="17" s="1"/>
  <c r="O214" i="17" s="1"/>
  <c r="O225" i="17" s="1"/>
  <c r="O236" i="17" s="1"/>
  <c r="O247" i="17" s="1"/>
  <c r="O258" i="17" s="1"/>
  <c r="O269" i="17" s="1"/>
  <c r="O280" i="17" s="1"/>
  <c r="O291" i="17" s="1"/>
  <c r="O302" i="17" s="1"/>
  <c r="O313" i="17" s="1"/>
  <c r="O324" i="17" s="1"/>
  <c r="O335" i="17" s="1"/>
  <c r="O346" i="17" s="1"/>
  <c r="O357" i="17" s="1"/>
  <c r="O368" i="17" s="1"/>
  <c r="O379" i="17" s="1"/>
  <c r="O390" i="17" s="1"/>
  <c r="O401" i="17" s="1"/>
  <c r="O412" i="17" s="1"/>
  <c r="O423" i="17" s="1"/>
  <c r="P118" i="17" a="1"/>
  <c r="P118" i="17" s="1"/>
  <c r="N117" i="17" a="1"/>
  <c r="N117" i="17" s="1"/>
  <c r="N136" i="17" s="1"/>
  <c r="N147" i="17" s="1"/>
  <c r="N158" i="17" s="1"/>
  <c r="N169" i="17" s="1"/>
  <c r="N180" i="17" s="1"/>
  <c r="N191" i="17" s="1"/>
  <c r="N202" i="17" s="1"/>
  <c r="N213" i="17" s="1"/>
  <c r="N224" i="17" s="1"/>
  <c r="N235" i="17" s="1"/>
  <c r="N246" i="17" s="1"/>
  <c r="N257" i="17" s="1"/>
  <c r="N268" i="17" s="1"/>
  <c r="N279" i="17" s="1"/>
  <c r="N290" i="17" s="1"/>
  <c r="N301" i="17" s="1"/>
  <c r="N312" i="17" s="1"/>
  <c r="N323" i="17" s="1"/>
  <c r="N334" i="17" s="1"/>
  <c r="N345" i="17" s="1"/>
  <c r="N356" i="17" s="1"/>
  <c r="N367" i="17" s="1"/>
  <c r="N378" i="17" s="1"/>
  <c r="N389" i="17" s="1"/>
  <c r="N400" i="17" s="1"/>
  <c r="N411" i="17" s="1"/>
  <c r="N422" i="17" s="1"/>
  <c r="M135" i="17" a="1"/>
  <c r="M135" i="17" s="1"/>
  <c r="P135" i="17" a="1"/>
  <c r="P135" i="17" s="1"/>
  <c r="L224" i="17"/>
  <c r="L137" i="17"/>
  <c r="K136" i="17" l="1" a="1"/>
  <c r="K136" i="17" s="1"/>
  <c r="P136" i="17" s="1" a="1"/>
  <c r="P136" i="17" s="1"/>
  <c r="Q118" i="17" a="1"/>
  <c r="Q118" i="17" s="1"/>
  <c r="L119" i="17"/>
  <c r="N118" i="17" a="1"/>
  <c r="N118" i="17" s="1"/>
  <c r="N137" i="17" s="1"/>
  <c r="N148" i="17" s="1"/>
  <c r="N159" i="17" s="1"/>
  <c r="N170" i="17" s="1"/>
  <c r="N181" i="17" s="1"/>
  <c r="N192" i="17" s="1"/>
  <c r="N203" i="17" s="1"/>
  <c r="N214" i="17" s="1"/>
  <c r="N225" i="17" s="1"/>
  <c r="N236" i="17" s="1"/>
  <c r="N247" i="17" s="1"/>
  <c r="N258" i="17" s="1"/>
  <c r="N269" i="17" s="1"/>
  <c r="N280" i="17" s="1"/>
  <c r="N291" i="17" s="1"/>
  <c r="N302" i="17" s="1"/>
  <c r="N313" i="17" s="1"/>
  <c r="N324" i="17" s="1"/>
  <c r="N335" i="17" s="1"/>
  <c r="N346" i="17" s="1"/>
  <c r="N357" i="17" s="1"/>
  <c r="N368" i="17" s="1"/>
  <c r="N379" i="17" s="1"/>
  <c r="N390" i="17" s="1"/>
  <c r="N401" i="17" s="1"/>
  <c r="N412" i="17" s="1"/>
  <c r="N423" i="17" s="1"/>
  <c r="L148" i="17"/>
  <c r="J137" i="17"/>
  <c r="Q137" i="17" s="1" a="1"/>
  <c r="Q137" i="17" s="1"/>
  <c r="L235" i="17"/>
  <c r="L179" i="17"/>
  <c r="M136" i="17" l="1" a="1"/>
  <c r="M136" i="17" s="1"/>
  <c r="P119" i="17" a="1"/>
  <c r="P119" i="17" s="1"/>
  <c r="O119" i="17" a="1"/>
  <c r="O119" i="17" s="1"/>
  <c r="Q119" i="17" a="1"/>
  <c r="Q119" i="17" s="1"/>
  <c r="N119" i="17" a="1"/>
  <c r="N119" i="17" s="1"/>
  <c r="N138" i="17" s="1"/>
  <c r="N149" i="17" s="1"/>
  <c r="N160" i="17" s="1"/>
  <c r="N171" i="17" s="1"/>
  <c r="N182" i="17" s="1"/>
  <c r="N193" i="17" s="1"/>
  <c r="N204" i="17" s="1"/>
  <c r="N215" i="17" s="1"/>
  <c r="N226" i="17" s="1"/>
  <c r="N237" i="17" s="1"/>
  <c r="N248" i="17" s="1"/>
  <c r="N259" i="17" s="1"/>
  <c r="N270" i="17" s="1"/>
  <c r="N281" i="17" s="1"/>
  <c r="N292" i="17" s="1"/>
  <c r="N303" i="17" s="1"/>
  <c r="N314" i="17" s="1"/>
  <c r="N325" i="17" s="1"/>
  <c r="N336" i="17" s="1"/>
  <c r="N347" i="17" s="1"/>
  <c r="N358" i="17" s="1"/>
  <c r="N369" i="17" s="1"/>
  <c r="N380" i="17" s="1"/>
  <c r="N391" i="17" s="1"/>
  <c r="N402" i="17" s="1"/>
  <c r="N413" i="17" s="1"/>
  <c r="N424" i="17" s="1"/>
  <c r="L120" i="17"/>
  <c r="L138" i="17"/>
  <c r="L149" i="17" s="1"/>
  <c r="L160" i="17" s="1"/>
  <c r="K137" i="17" a="1"/>
  <c r="K137" i="17" s="1"/>
  <c r="L159" i="17"/>
  <c r="L190" i="17"/>
  <c r="L246" i="17"/>
  <c r="O138" i="17" l="1"/>
  <c r="O149" i="17" s="1"/>
  <c r="O160" i="17" s="1"/>
  <c r="O171" i="17" s="1"/>
  <c r="O182" i="17" s="1"/>
  <c r="O193" i="17" s="1"/>
  <c r="O204" i="17" s="1"/>
  <c r="O215" i="17" s="1"/>
  <c r="O226" i="17" s="1"/>
  <c r="O237" i="17" s="1"/>
  <c r="O248" i="17" s="1"/>
  <c r="O259" i="17" s="1"/>
  <c r="O270" i="17" s="1"/>
  <c r="O281" i="17" s="1"/>
  <c r="O292" i="17" s="1"/>
  <c r="O303" i="17" s="1"/>
  <c r="O314" i="17" s="1"/>
  <c r="O325" i="17" s="1"/>
  <c r="O336" i="17" s="1"/>
  <c r="O347" i="17" s="1"/>
  <c r="O358" i="17" s="1"/>
  <c r="O369" i="17" s="1"/>
  <c r="O380" i="17" s="1"/>
  <c r="O391" i="17" s="1"/>
  <c r="O402" i="17" s="1"/>
  <c r="O413" i="17" s="1"/>
  <c r="O424" i="17" s="1"/>
  <c r="B115" i="17"/>
  <c r="P120" i="17" a="1"/>
  <c r="P120" i="17" s="1"/>
  <c r="N120" i="17" a="1"/>
  <c r="N120" i="17" s="1"/>
  <c r="N139" i="17" s="1"/>
  <c r="N150" i="17" s="1"/>
  <c r="N161" i="17" s="1"/>
  <c r="N172" i="17" s="1"/>
  <c r="N183" i="17" s="1"/>
  <c r="N194" i="17" s="1"/>
  <c r="N205" i="17" s="1"/>
  <c r="N216" i="17" s="1"/>
  <c r="N227" i="17" s="1"/>
  <c r="N238" i="17" s="1"/>
  <c r="N249" i="17" s="1"/>
  <c r="N260" i="17" s="1"/>
  <c r="N271" i="17" s="1"/>
  <c r="N282" i="17" s="1"/>
  <c r="N293" i="17" s="1"/>
  <c r="N304" i="17" s="1"/>
  <c r="N315" i="17" s="1"/>
  <c r="N326" i="17" s="1"/>
  <c r="N337" i="17" s="1"/>
  <c r="N348" i="17" s="1"/>
  <c r="N359" i="17" s="1"/>
  <c r="N370" i="17" s="1"/>
  <c r="N381" i="17" s="1"/>
  <c r="N392" i="17" s="1"/>
  <c r="N403" i="17" s="1"/>
  <c r="N414" i="17" s="1"/>
  <c r="N425" i="17" s="1"/>
  <c r="O120" i="17" a="1"/>
  <c r="O120" i="17" s="1"/>
  <c r="O139" i="17" s="1"/>
  <c r="O150" i="17" s="1"/>
  <c r="O161" i="17" s="1"/>
  <c r="O172" i="17" s="1"/>
  <c r="O183" i="17" s="1"/>
  <c r="O194" i="17" s="1"/>
  <c r="O205" i="17" s="1"/>
  <c r="O216" i="17" s="1"/>
  <c r="O227" i="17" s="1"/>
  <c r="O238" i="17" s="1"/>
  <c r="O249" i="17" s="1"/>
  <c r="O260" i="17" s="1"/>
  <c r="O271" i="17" s="1"/>
  <c r="O282" i="17" s="1"/>
  <c r="O293" i="17" s="1"/>
  <c r="O304" i="17" s="1"/>
  <c r="O315" i="17" s="1"/>
  <c r="O326" i="17" s="1"/>
  <c r="O337" i="17" s="1"/>
  <c r="O348" i="17" s="1"/>
  <c r="O359" i="17" s="1"/>
  <c r="O370" i="17" s="1"/>
  <c r="O381" i="17" s="1"/>
  <c r="O392" i="17" s="1"/>
  <c r="O403" i="17" s="1"/>
  <c r="O414" i="17" s="1"/>
  <c r="O425" i="17" s="1"/>
  <c r="Q120" i="17" a="1"/>
  <c r="Q120" i="17" s="1"/>
  <c r="L121" i="17"/>
  <c r="L139" i="17"/>
  <c r="L150" i="17" s="1"/>
  <c r="L161" i="17" s="1"/>
  <c r="J138" i="17"/>
  <c r="Q138" i="17" s="1" a="1"/>
  <c r="Q138" i="17" s="1"/>
  <c r="P137" i="17" a="1"/>
  <c r="P137" i="17" s="1"/>
  <c r="M137" i="17" a="1"/>
  <c r="M137" i="17" s="1"/>
  <c r="L170" i="17"/>
  <c r="L257" i="17"/>
  <c r="L171" i="17"/>
  <c r="L201" i="17"/>
  <c r="K138" i="17" l="1" a="1"/>
  <c r="K138" i="17" s="1"/>
  <c r="P138" i="17" s="1" a="1"/>
  <c r="P138" i="17" s="1"/>
  <c r="J139" i="17"/>
  <c r="Q121" i="17" a="1"/>
  <c r="Q121" i="17" s="1"/>
  <c r="P121" i="17" a="1"/>
  <c r="P121" i="17" s="1"/>
  <c r="L122" i="17"/>
  <c r="N121" i="17" a="1"/>
  <c r="N121" i="17" s="1"/>
  <c r="N140" i="17" s="1"/>
  <c r="N151" i="17" s="1"/>
  <c r="N162" i="17" s="1"/>
  <c r="N173" i="17" s="1"/>
  <c r="N184" i="17" s="1"/>
  <c r="N195" i="17" s="1"/>
  <c r="N206" i="17" s="1"/>
  <c r="N217" i="17" s="1"/>
  <c r="N228" i="17" s="1"/>
  <c r="N239" i="17" s="1"/>
  <c r="N250" i="17" s="1"/>
  <c r="N261" i="17" s="1"/>
  <c r="N272" i="17" s="1"/>
  <c r="N283" i="17" s="1"/>
  <c r="N294" i="17" s="1"/>
  <c r="N305" i="17" s="1"/>
  <c r="N316" i="17" s="1"/>
  <c r="N327" i="17" s="1"/>
  <c r="N338" i="17" s="1"/>
  <c r="N349" i="17" s="1"/>
  <c r="N360" i="17" s="1"/>
  <c r="N371" i="17" s="1"/>
  <c r="N382" i="17" s="1"/>
  <c r="N393" i="17" s="1"/>
  <c r="N404" i="17" s="1"/>
  <c r="N415" i="17" s="1"/>
  <c r="N426" i="17" s="1"/>
  <c r="O121" i="17" a="1"/>
  <c r="O121" i="17" s="1"/>
  <c r="L140" i="17"/>
  <c r="L182" i="17"/>
  <c r="L172" i="17"/>
  <c r="L212" i="17"/>
  <c r="L268" i="17"/>
  <c r="L181" i="17"/>
  <c r="M138" i="17" l="1" a="1"/>
  <c r="M138" i="17" s="1"/>
  <c r="L123" i="17"/>
  <c r="O122" i="17" a="1"/>
  <c r="O122" i="17" s="1"/>
  <c r="Q122" i="17" a="1"/>
  <c r="Q122" i="17" s="1"/>
  <c r="N122" i="17" a="1"/>
  <c r="N122" i="17" s="1"/>
  <c r="N141" i="17" s="1"/>
  <c r="N152" i="17" s="1"/>
  <c r="N163" i="17" s="1"/>
  <c r="N174" i="17" s="1"/>
  <c r="N185" i="17" s="1"/>
  <c r="N196" i="17" s="1"/>
  <c r="N207" i="17" s="1"/>
  <c r="N218" i="17" s="1"/>
  <c r="N229" i="17" s="1"/>
  <c r="N240" i="17" s="1"/>
  <c r="N251" i="17" s="1"/>
  <c r="N262" i="17" s="1"/>
  <c r="N273" i="17" s="1"/>
  <c r="N284" i="17" s="1"/>
  <c r="N295" i="17" s="1"/>
  <c r="N306" i="17" s="1"/>
  <c r="N317" i="17" s="1"/>
  <c r="N328" i="17" s="1"/>
  <c r="N339" i="17" s="1"/>
  <c r="N350" i="17" s="1"/>
  <c r="N361" i="17" s="1"/>
  <c r="N372" i="17" s="1"/>
  <c r="N383" i="17" s="1"/>
  <c r="N394" i="17" s="1"/>
  <c r="N405" i="17" s="1"/>
  <c r="N416" i="17" s="1"/>
  <c r="N427" i="17" s="1"/>
  <c r="L141" i="17"/>
  <c r="P122" i="17" a="1"/>
  <c r="P122" i="17" s="1"/>
  <c r="Q139" i="17" a="1"/>
  <c r="Q139" i="17" s="1"/>
  <c r="K139" i="17" a="1"/>
  <c r="K139" i="17" s="1"/>
  <c r="O140" i="17"/>
  <c r="O151" i="17" s="1"/>
  <c r="O162" i="17" s="1"/>
  <c r="O173" i="17" s="1"/>
  <c r="O184" i="17" s="1"/>
  <c r="O195" i="17" s="1"/>
  <c r="O206" i="17" s="1"/>
  <c r="O217" i="17" s="1"/>
  <c r="O228" i="17" s="1"/>
  <c r="O239" i="17" s="1"/>
  <c r="O250" i="17" s="1"/>
  <c r="O261" i="17" s="1"/>
  <c r="O272" i="17" s="1"/>
  <c r="O283" i="17" s="1"/>
  <c r="O294" i="17" s="1"/>
  <c r="O305" i="17" s="1"/>
  <c r="O316" i="17" s="1"/>
  <c r="O327" i="17" s="1"/>
  <c r="O338" i="17" s="1"/>
  <c r="O349" i="17" s="1"/>
  <c r="O360" i="17" s="1"/>
  <c r="O371" i="17" s="1"/>
  <c r="O382" i="17" s="1"/>
  <c r="O393" i="17" s="1"/>
  <c r="O404" i="17" s="1"/>
  <c r="O415" i="17" s="1"/>
  <c r="O426" i="17" s="1"/>
  <c r="B117" i="17"/>
  <c r="L151" i="17"/>
  <c r="L162" i="17" s="1"/>
  <c r="L173" i="17" s="1"/>
  <c r="J140" i="17"/>
  <c r="B126" i="17"/>
  <c r="L192" i="17"/>
  <c r="L223" i="17"/>
  <c r="L183" i="17"/>
  <c r="L279" i="17"/>
  <c r="L193" i="17"/>
  <c r="J141" i="17" l="1"/>
  <c r="L152" i="17"/>
  <c r="L163" i="17" s="1"/>
  <c r="M139" i="17" a="1"/>
  <c r="M139" i="17" s="1"/>
  <c r="P139" i="17" a="1"/>
  <c r="P139" i="17" s="1"/>
  <c r="Q140" i="17" a="1"/>
  <c r="Q140" i="17" s="1"/>
  <c r="K140" i="17" a="1"/>
  <c r="K140" i="17" s="1"/>
  <c r="O141" i="17"/>
  <c r="O152" i="17" s="1"/>
  <c r="O163" i="17" s="1"/>
  <c r="O174" i="17" s="1"/>
  <c r="O185" i="17" s="1"/>
  <c r="O196" i="17" s="1"/>
  <c r="O207" i="17" s="1"/>
  <c r="O218" i="17" s="1"/>
  <c r="O229" i="17" s="1"/>
  <c r="O240" i="17" s="1"/>
  <c r="O251" i="17" s="1"/>
  <c r="O262" i="17" s="1"/>
  <c r="O273" i="17" s="1"/>
  <c r="O284" i="17" s="1"/>
  <c r="O295" i="17" s="1"/>
  <c r="O306" i="17" s="1"/>
  <c r="O317" i="17" s="1"/>
  <c r="O328" i="17" s="1"/>
  <c r="O339" i="17" s="1"/>
  <c r="O350" i="17" s="1"/>
  <c r="O361" i="17" s="1"/>
  <c r="O372" i="17" s="1"/>
  <c r="O383" i="17" s="1"/>
  <c r="O394" i="17" s="1"/>
  <c r="O405" i="17" s="1"/>
  <c r="O416" i="17" s="1"/>
  <c r="O427" i="17" s="1"/>
  <c r="Q123" i="17" a="1"/>
  <c r="Q123" i="17" s="1"/>
  <c r="P123" i="17" a="1"/>
  <c r="P123" i="17" s="1"/>
  <c r="L142" i="17"/>
  <c r="O123" i="17" a="1"/>
  <c r="O123" i="17" s="1"/>
  <c r="N123" i="17" a="1"/>
  <c r="N123" i="17" s="1"/>
  <c r="N142" i="17" s="1"/>
  <c r="N153" i="17" s="1"/>
  <c r="N164" i="17" s="1"/>
  <c r="N175" i="17" s="1"/>
  <c r="N186" i="17" s="1"/>
  <c r="N197" i="17" s="1"/>
  <c r="N208" i="17" s="1"/>
  <c r="N219" i="17" s="1"/>
  <c r="N230" i="17" s="1"/>
  <c r="N241" i="17" s="1"/>
  <c r="N252" i="17" s="1"/>
  <c r="N263" i="17" s="1"/>
  <c r="N274" i="17" s="1"/>
  <c r="N285" i="17" s="1"/>
  <c r="N296" i="17" s="1"/>
  <c r="N307" i="17" s="1"/>
  <c r="N318" i="17" s="1"/>
  <c r="N329" i="17" s="1"/>
  <c r="N340" i="17" s="1"/>
  <c r="N351" i="17" s="1"/>
  <c r="N362" i="17" s="1"/>
  <c r="N373" i="17" s="1"/>
  <c r="N384" i="17" s="1"/>
  <c r="N395" i="17" s="1"/>
  <c r="N406" i="17" s="1"/>
  <c r="N417" i="17" s="1"/>
  <c r="N428" i="17" s="1"/>
  <c r="L124" i="17"/>
  <c r="L174" i="17"/>
  <c r="L204" i="17"/>
  <c r="L194" i="17"/>
  <c r="L290" i="17"/>
  <c r="L184" i="17"/>
  <c r="L203" i="17"/>
  <c r="L234" i="17"/>
  <c r="O142" i="17" l="1"/>
  <c r="O153" i="17" s="1"/>
  <c r="O164" i="17" s="1"/>
  <c r="O175" i="17" s="1"/>
  <c r="O186" i="17" s="1"/>
  <c r="O197" i="17" s="1"/>
  <c r="O208" i="17" s="1"/>
  <c r="O219" i="17" s="1"/>
  <c r="O230" i="17" s="1"/>
  <c r="O241" i="17" s="1"/>
  <c r="O252" i="17" s="1"/>
  <c r="O263" i="17" s="1"/>
  <c r="O274" i="17" s="1"/>
  <c r="O285" i="17" s="1"/>
  <c r="O296" i="17" s="1"/>
  <c r="O307" i="17" s="1"/>
  <c r="O318" i="17" s="1"/>
  <c r="O329" i="17" s="1"/>
  <c r="O340" i="17" s="1"/>
  <c r="O351" i="17" s="1"/>
  <c r="O362" i="17" s="1"/>
  <c r="O373" i="17" s="1"/>
  <c r="O384" i="17" s="1"/>
  <c r="O395" i="17" s="1"/>
  <c r="O406" i="17" s="1"/>
  <c r="O417" i="17" s="1"/>
  <c r="O428" i="17" s="1"/>
  <c r="M140" i="17" a="1"/>
  <c r="M140" i="17" s="1"/>
  <c r="P140" i="17" a="1"/>
  <c r="P140" i="17" s="1"/>
  <c r="L153" i="17"/>
  <c r="L164" i="17" s="1"/>
  <c r="L175" i="17" s="1"/>
  <c r="J142" i="17"/>
  <c r="L143" i="17"/>
  <c r="L125" i="17"/>
  <c r="P124" i="17" a="1"/>
  <c r="P124" i="17" s="1"/>
  <c r="O124" i="17" a="1"/>
  <c r="O124" i="17" s="1"/>
  <c r="O143" i="17" s="1"/>
  <c r="O154" i="17" s="1"/>
  <c r="O165" i="17" s="1"/>
  <c r="O176" i="17" s="1"/>
  <c r="O187" i="17" s="1"/>
  <c r="O198" i="17" s="1"/>
  <c r="O209" i="17" s="1"/>
  <c r="O220" i="17" s="1"/>
  <c r="O231" i="17" s="1"/>
  <c r="O242" i="17" s="1"/>
  <c r="O253" i="17" s="1"/>
  <c r="O264" i="17" s="1"/>
  <c r="O275" i="17" s="1"/>
  <c r="O286" i="17" s="1"/>
  <c r="O297" i="17" s="1"/>
  <c r="O308" i="17" s="1"/>
  <c r="O319" i="17" s="1"/>
  <c r="O330" i="17" s="1"/>
  <c r="O341" i="17" s="1"/>
  <c r="O352" i="17" s="1"/>
  <c r="O363" i="17" s="1"/>
  <c r="O374" i="17" s="1"/>
  <c r="O385" i="17" s="1"/>
  <c r="O396" i="17" s="1"/>
  <c r="O407" i="17" s="1"/>
  <c r="O418" i="17" s="1"/>
  <c r="O429" i="17" s="1"/>
  <c r="N124" i="17" a="1"/>
  <c r="N124" i="17" s="1"/>
  <c r="N143" i="17" s="1"/>
  <c r="N154" i="17" s="1"/>
  <c r="N165" i="17" s="1"/>
  <c r="N176" i="17" s="1"/>
  <c r="N187" i="17" s="1"/>
  <c r="N198" i="17" s="1"/>
  <c r="N209" i="17" s="1"/>
  <c r="N220" i="17" s="1"/>
  <c r="N231" i="17" s="1"/>
  <c r="N242" i="17" s="1"/>
  <c r="N253" i="17" s="1"/>
  <c r="N264" i="17" s="1"/>
  <c r="N275" i="17" s="1"/>
  <c r="N286" i="17" s="1"/>
  <c r="N297" i="17" s="1"/>
  <c r="N308" i="17" s="1"/>
  <c r="N319" i="17" s="1"/>
  <c r="N330" i="17" s="1"/>
  <c r="N341" i="17" s="1"/>
  <c r="N352" i="17" s="1"/>
  <c r="N363" i="17" s="1"/>
  <c r="N374" i="17" s="1"/>
  <c r="N385" i="17" s="1"/>
  <c r="N396" i="17" s="1"/>
  <c r="N407" i="17" s="1"/>
  <c r="N418" i="17" s="1"/>
  <c r="N429" i="17" s="1"/>
  <c r="Q124" i="17" a="1"/>
  <c r="Q124" i="17" s="1"/>
  <c r="Q141" i="17" a="1"/>
  <c r="Q141" i="17" s="1"/>
  <c r="K141" i="17" a="1"/>
  <c r="K141" i="17" s="1"/>
  <c r="L195" i="17"/>
  <c r="L215" i="17"/>
  <c r="L245" i="17"/>
  <c r="L301" i="17"/>
  <c r="L185" i="17"/>
  <c r="L214" i="17"/>
  <c r="L205" i="17"/>
  <c r="L154" i="17" l="1"/>
  <c r="L165" i="17" s="1"/>
  <c r="L176" i="17" s="1"/>
  <c r="J143" i="17"/>
  <c r="Q142" i="17" a="1"/>
  <c r="Q142" i="17" s="1"/>
  <c r="K142" i="17" a="1"/>
  <c r="K142" i="17" s="1"/>
  <c r="Q125" i="17" a="1"/>
  <c r="Q125" i="17" s="1"/>
  <c r="P125" i="17" a="1"/>
  <c r="P125" i="17" s="1"/>
  <c r="N125" i="17" a="1"/>
  <c r="N125" i="17" s="1"/>
  <c r="N144" i="17" s="1"/>
  <c r="N155" i="17" s="1"/>
  <c r="N166" i="17" s="1"/>
  <c r="N177" i="17" s="1"/>
  <c r="N188" i="17" s="1"/>
  <c r="N199" i="17" s="1"/>
  <c r="N210" i="17" s="1"/>
  <c r="N221" i="17" s="1"/>
  <c r="N232" i="17" s="1"/>
  <c r="N243" i="17" s="1"/>
  <c r="N254" i="17" s="1"/>
  <c r="N265" i="17" s="1"/>
  <c r="N276" i="17" s="1"/>
  <c r="N287" i="17" s="1"/>
  <c r="N298" i="17" s="1"/>
  <c r="N309" i="17" s="1"/>
  <c r="N320" i="17" s="1"/>
  <c r="N331" i="17" s="1"/>
  <c r="N342" i="17" s="1"/>
  <c r="N353" i="17" s="1"/>
  <c r="N364" i="17" s="1"/>
  <c r="N375" i="17" s="1"/>
  <c r="N386" i="17" s="1"/>
  <c r="N397" i="17" s="1"/>
  <c r="N408" i="17" s="1"/>
  <c r="N419" i="17" s="1"/>
  <c r="N430" i="17" s="1"/>
  <c r="L144" i="17"/>
  <c r="O125" i="17" a="1"/>
  <c r="O125" i="17" s="1"/>
  <c r="O144" i="17" s="1"/>
  <c r="O155" i="17" s="1"/>
  <c r="O166" i="17" s="1"/>
  <c r="O177" i="17" s="1"/>
  <c r="O188" i="17" s="1"/>
  <c r="O199" i="17" s="1"/>
  <c r="O210" i="17" s="1"/>
  <c r="O221" i="17" s="1"/>
  <c r="O232" i="17" s="1"/>
  <c r="O243" i="17" s="1"/>
  <c r="O254" i="17" s="1"/>
  <c r="O265" i="17" s="1"/>
  <c r="O276" i="17" s="1"/>
  <c r="O287" i="17" s="1"/>
  <c r="O298" i="17" s="1"/>
  <c r="O309" i="17" s="1"/>
  <c r="O320" i="17" s="1"/>
  <c r="O331" i="17" s="1"/>
  <c r="O342" i="17" s="1"/>
  <c r="O353" i="17" s="1"/>
  <c r="O364" i="17" s="1"/>
  <c r="O375" i="17" s="1"/>
  <c r="O386" i="17" s="1"/>
  <c r="O397" i="17" s="1"/>
  <c r="O408" i="17" s="1"/>
  <c r="O419" i="17" s="1"/>
  <c r="O430" i="17" s="1"/>
  <c r="L126" i="17"/>
  <c r="P141" i="17" a="1"/>
  <c r="P141" i="17" s="1"/>
  <c r="M141" i="17" a="1"/>
  <c r="M141" i="17" s="1"/>
  <c r="L256" i="17"/>
  <c r="L216" i="17"/>
  <c r="L196" i="17"/>
  <c r="L226" i="17"/>
  <c r="L186" i="17"/>
  <c r="L312" i="17"/>
  <c r="L225" i="17"/>
  <c r="L206" i="17"/>
  <c r="J144" i="17" l="1"/>
  <c r="L155" i="17"/>
  <c r="L166" i="17" s="1"/>
  <c r="Q126" i="17" a="1"/>
  <c r="Q126" i="17" s="1"/>
  <c r="P126" i="17" a="1"/>
  <c r="P126" i="17" s="1"/>
  <c r="L145" i="17"/>
  <c r="O126" i="17" a="1"/>
  <c r="O126" i="17" s="1"/>
  <c r="O145" i="17" s="1"/>
  <c r="O156" i="17" s="1"/>
  <c r="O167" i="17" s="1"/>
  <c r="O178" i="17" s="1"/>
  <c r="O189" i="17" s="1"/>
  <c r="O200" i="17" s="1"/>
  <c r="O211" i="17" s="1"/>
  <c r="O222" i="17" s="1"/>
  <c r="O233" i="17" s="1"/>
  <c r="O244" i="17" s="1"/>
  <c r="O255" i="17" s="1"/>
  <c r="O266" i="17" s="1"/>
  <c r="O277" i="17" s="1"/>
  <c r="O288" i="17" s="1"/>
  <c r="O299" i="17" s="1"/>
  <c r="O310" i="17" s="1"/>
  <c r="O321" i="17" s="1"/>
  <c r="O332" i="17" s="1"/>
  <c r="O343" i="17" s="1"/>
  <c r="O354" i="17" s="1"/>
  <c r="O365" i="17" s="1"/>
  <c r="O376" i="17" s="1"/>
  <c r="O387" i="17" s="1"/>
  <c r="O398" i="17" s="1"/>
  <c r="O409" i="17" s="1"/>
  <c r="O420" i="17" s="1"/>
  <c r="O431" i="17" s="1"/>
  <c r="N126" i="17" a="1"/>
  <c r="N126" i="17" s="1"/>
  <c r="N145" i="17" s="1"/>
  <c r="N156" i="17" s="1"/>
  <c r="N167" i="17" s="1"/>
  <c r="N178" i="17" s="1"/>
  <c r="N189" i="17" s="1"/>
  <c r="N200" i="17" s="1"/>
  <c r="N211" i="17" s="1"/>
  <c r="N222" i="17" s="1"/>
  <c r="N233" i="17" s="1"/>
  <c r="N244" i="17" s="1"/>
  <c r="N255" i="17" s="1"/>
  <c r="N266" i="17" s="1"/>
  <c r="N277" i="17" s="1"/>
  <c r="N288" i="17" s="1"/>
  <c r="N299" i="17" s="1"/>
  <c r="N310" i="17" s="1"/>
  <c r="N321" i="17" s="1"/>
  <c r="N332" i="17" s="1"/>
  <c r="N343" i="17" s="1"/>
  <c r="N354" i="17" s="1"/>
  <c r="N365" i="17" s="1"/>
  <c r="N376" i="17" s="1"/>
  <c r="N387" i="17" s="1"/>
  <c r="N398" i="17" s="1"/>
  <c r="N409" i="17" s="1"/>
  <c r="N420" i="17" s="1"/>
  <c r="N431" i="17" s="1"/>
  <c r="P142" i="17" a="1"/>
  <c r="P142" i="17" s="1"/>
  <c r="M142" i="17" a="1"/>
  <c r="M142" i="17" s="1"/>
  <c r="Q143" i="17" a="1"/>
  <c r="Q143" i="17" s="1"/>
  <c r="K143" i="17" a="1"/>
  <c r="K143" i="17" s="1"/>
  <c r="L207" i="17"/>
  <c r="L236" i="17"/>
  <c r="L187" i="17"/>
  <c r="L227" i="17"/>
  <c r="L267" i="17"/>
  <c r="L197" i="17"/>
  <c r="L217" i="17"/>
  <c r="L237" i="17"/>
  <c r="L323" i="17"/>
  <c r="L177" i="17"/>
  <c r="P143" i="17" l="1" a="1"/>
  <c r="P143" i="17" s="1"/>
  <c r="M143" i="17" a="1"/>
  <c r="M143" i="17" s="1"/>
  <c r="L156" i="17"/>
  <c r="L167" i="17" s="1"/>
  <c r="J145" i="17"/>
  <c r="Q144" i="17" a="1"/>
  <c r="Q144" i="17" s="1"/>
  <c r="K144" i="17" a="1"/>
  <c r="K144" i="17" s="1"/>
  <c r="L238" i="17"/>
  <c r="L198" i="17"/>
  <c r="L334" i="17"/>
  <c r="L248" i="17"/>
  <c r="L228" i="17"/>
  <c r="L208" i="17"/>
  <c r="L247" i="17"/>
  <c r="L188" i="17"/>
  <c r="L178" i="17"/>
  <c r="L218" i="17"/>
  <c r="L278" i="17"/>
  <c r="Q145" i="17" l="1" a="1"/>
  <c r="Q145" i="17" s="1"/>
  <c r="J146" i="17"/>
  <c r="K145" i="17" a="1"/>
  <c r="K145" i="17" s="1"/>
  <c r="M144" i="17" a="1"/>
  <c r="M144" i="17" s="1"/>
  <c r="P144" i="17" a="1"/>
  <c r="P144" i="17" s="1"/>
  <c r="L289" i="17"/>
  <c r="L239" i="17"/>
  <c r="L229" i="17"/>
  <c r="L259" i="17"/>
  <c r="L199" i="17"/>
  <c r="L209" i="17"/>
  <c r="L189" i="17"/>
  <c r="L345" i="17"/>
  <c r="L258" i="17"/>
  <c r="L219" i="17"/>
  <c r="L249" i="17"/>
  <c r="P145" i="17" l="1" a="1"/>
  <c r="P145" i="17" s="1"/>
  <c r="M145" i="17" a="1"/>
  <c r="M145" i="17" s="1"/>
  <c r="Q146" i="17" a="1"/>
  <c r="Q146" i="17" s="1"/>
  <c r="K146" i="17" a="1"/>
  <c r="K146" i="17" s="1"/>
  <c r="J147" i="17"/>
  <c r="L220" i="17"/>
  <c r="L210" i="17"/>
  <c r="L270" i="17"/>
  <c r="L250" i="17"/>
  <c r="L269" i="17"/>
  <c r="L240" i="17"/>
  <c r="L260" i="17"/>
  <c r="L300" i="17"/>
  <c r="L356" i="17"/>
  <c r="L230" i="17"/>
  <c r="L200" i="17"/>
  <c r="Q147" i="17" l="1" a="1"/>
  <c r="Q147" i="17" s="1"/>
  <c r="K147" i="17" a="1"/>
  <c r="K147" i="17" s="1"/>
  <c r="J148" i="17"/>
  <c r="M146" i="17" a="1"/>
  <c r="M146" i="17" s="1"/>
  <c r="P146" i="17" a="1"/>
  <c r="P146" i="17" s="1"/>
  <c r="L280" i="17"/>
  <c r="L241" i="17"/>
  <c r="L221" i="17"/>
  <c r="L367" i="17"/>
  <c r="L261" i="17"/>
  <c r="L271" i="17"/>
  <c r="L251" i="17"/>
  <c r="L311" i="17"/>
  <c r="L281" i="17"/>
  <c r="L211" i="17"/>
  <c r="L231" i="17"/>
  <c r="Q148" i="17" l="1" a="1"/>
  <c r="Q148" i="17" s="1"/>
  <c r="K148" i="17" a="1"/>
  <c r="K148" i="17" s="1"/>
  <c r="J149" i="17"/>
  <c r="M147" i="17" a="1"/>
  <c r="M147" i="17" s="1"/>
  <c r="P147" i="17" a="1"/>
  <c r="P147" i="17" s="1"/>
  <c r="L272" i="17"/>
  <c r="L378" i="17"/>
  <c r="L222" i="17"/>
  <c r="L252" i="17"/>
  <c r="L292" i="17"/>
  <c r="L322" i="17"/>
  <c r="L262" i="17"/>
  <c r="L242" i="17"/>
  <c r="L282" i="17"/>
  <c r="L232" i="17"/>
  <c r="L291" i="17"/>
  <c r="Q149" i="17" l="1" a="1"/>
  <c r="Q149" i="17" s="1"/>
  <c r="K149" i="17" a="1"/>
  <c r="K149" i="17" s="1"/>
  <c r="J150" i="17"/>
  <c r="P148" i="17" a="1"/>
  <c r="P148" i="17" s="1"/>
  <c r="M148" i="17" a="1"/>
  <c r="M148" i="17" s="1"/>
  <c r="L303" i="17"/>
  <c r="L389" i="17"/>
  <c r="L243" i="17"/>
  <c r="L263" i="17"/>
  <c r="L233" i="17"/>
  <c r="L293" i="17"/>
  <c r="L253" i="17"/>
  <c r="L302" i="17"/>
  <c r="L273" i="17"/>
  <c r="L333" i="17"/>
  <c r="L283" i="17"/>
  <c r="Q150" i="17" l="1" a="1"/>
  <c r="Q150" i="17" s="1"/>
  <c r="J151" i="17"/>
  <c r="K150" i="17" a="1"/>
  <c r="K150" i="17" s="1"/>
  <c r="P149" i="17" a="1"/>
  <c r="P149" i="17" s="1"/>
  <c r="M149" i="17" a="1"/>
  <c r="M149" i="17" s="1"/>
  <c r="L254" i="17"/>
  <c r="L244" i="17"/>
  <c r="L400" i="17"/>
  <c r="L274" i="17"/>
  <c r="L344" i="17"/>
  <c r="L284" i="17"/>
  <c r="L313" i="17"/>
  <c r="L294" i="17"/>
  <c r="L304" i="17"/>
  <c r="L314" i="17"/>
  <c r="L264" i="17"/>
  <c r="P150" i="17" l="1" a="1"/>
  <c r="P150" i="17" s="1"/>
  <c r="M150" i="17" a="1"/>
  <c r="M150" i="17" s="1"/>
  <c r="Q151" i="17" a="1"/>
  <c r="Q151" i="17" s="1"/>
  <c r="J152" i="17"/>
  <c r="K151" i="17" a="1"/>
  <c r="K151" i="17" s="1"/>
  <c r="L305" i="17"/>
  <c r="L275" i="17"/>
  <c r="L355" i="17"/>
  <c r="L325" i="17"/>
  <c r="L411" i="17"/>
  <c r="L324" i="17"/>
  <c r="L255" i="17"/>
  <c r="L285" i="17"/>
  <c r="L315" i="17"/>
  <c r="L295" i="17"/>
  <c r="L265" i="17"/>
  <c r="P151" i="17" l="1" a="1"/>
  <c r="P151" i="17" s="1"/>
  <c r="M151" i="17" a="1"/>
  <c r="M151" i="17" s="1"/>
  <c r="Q152" i="17" a="1"/>
  <c r="Q152" i="17" s="1"/>
  <c r="K152" i="17" a="1"/>
  <c r="K152" i="17" s="1"/>
  <c r="J153" i="17"/>
  <c r="L422" i="17"/>
  <c r="L335" i="17"/>
  <c r="L366" i="17"/>
  <c r="L336" i="17"/>
  <c r="L326" i="17"/>
  <c r="L286" i="17"/>
  <c r="L276" i="17"/>
  <c r="L266" i="17"/>
  <c r="L316" i="17"/>
  <c r="L296" i="17"/>
  <c r="L306" i="17"/>
  <c r="Q153" i="17" l="1" a="1"/>
  <c r="Q153" i="17" s="1"/>
  <c r="K153" i="17" a="1"/>
  <c r="K153" i="17" s="1"/>
  <c r="J154" i="17"/>
  <c r="M152" i="17" a="1"/>
  <c r="M152" i="17" s="1"/>
  <c r="P152" i="17" a="1"/>
  <c r="P152" i="17" s="1"/>
  <c r="L347" i="17"/>
  <c r="L377" i="17"/>
  <c r="L327" i="17"/>
  <c r="L287" i="17"/>
  <c r="L307" i="17"/>
  <c r="L277" i="17"/>
  <c r="L317" i="17"/>
  <c r="L297" i="17"/>
  <c r="L433" i="17"/>
  <c r="L346" i="17"/>
  <c r="L337" i="17"/>
  <c r="Q154" i="17" l="1" a="1"/>
  <c r="Q154" i="17" s="1"/>
  <c r="J155" i="17"/>
  <c r="K154" i="17" a="1"/>
  <c r="K154" i="17" s="1"/>
  <c r="P153" i="17" a="1"/>
  <c r="P153" i="17" s="1"/>
  <c r="M153" i="17" a="1"/>
  <c r="M153" i="17" s="1"/>
  <c r="O433" i="17" a="1"/>
  <c r="O433" i="17" s="1"/>
  <c r="N433" i="17" a="1"/>
  <c r="N433" i="17" s="1"/>
  <c r="L308" i="17"/>
  <c r="L328" i="17"/>
  <c r="L318" i="17"/>
  <c r="L298" i="17"/>
  <c r="L338" i="17"/>
  <c r="L434" i="17"/>
  <c r="K433" i="17"/>
  <c r="M433" i="17" s="1" a="1"/>
  <c r="M433" i="17" s="1"/>
  <c r="L388" i="17"/>
  <c r="L348" i="17"/>
  <c r="L288" i="17"/>
  <c r="L357" i="17"/>
  <c r="L358" i="17"/>
  <c r="P154" i="17" l="1" a="1"/>
  <c r="P154" i="17" s="1"/>
  <c r="M154" i="17" a="1"/>
  <c r="M154" i="17" s="1"/>
  <c r="Q155" i="17" a="1"/>
  <c r="Q155" i="17" s="1"/>
  <c r="K155" i="17" a="1"/>
  <c r="K155" i="17" s="1"/>
  <c r="J156" i="17"/>
  <c r="O434" i="17" a="1"/>
  <c r="O434" i="17" s="1"/>
  <c r="N434" i="17" a="1"/>
  <c r="N434" i="17" s="1"/>
  <c r="L299" i="17"/>
  <c r="L399" i="17"/>
  <c r="L329" i="17"/>
  <c r="L309" i="17"/>
  <c r="L339" i="17"/>
  <c r="L368" i="17"/>
  <c r="L359" i="17"/>
  <c r="L369" i="17"/>
  <c r="L435" i="17"/>
  <c r="K434" i="17"/>
  <c r="M434" i="17" s="1" a="1"/>
  <c r="M434" i="17" s="1"/>
  <c r="L349" i="17"/>
  <c r="L319" i="17"/>
  <c r="M155" i="17" l="1" a="1"/>
  <c r="M155" i="17" s="1"/>
  <c r="P155" i="17" a="1"/>
  <c r="P155" i="17" s="1"/>
  <c r="Q156" i="17" a="1"/>
  <c r="Q156" i="17" s="1"/>
  <c r="K156" i="17" a="1"/>
  <c r="K156" i="17" s="1"/>
  <c r="J157" i="17"/>
  <c r="O435" i="17" a="1"/>
  <c r="O435" i="17" s="1"/>
  <c r="N435" i="17" a="1"/>
  <c r="N435" i="17" s="1"/>
  <c r="L320" i="17"/>
  <c r="L330" i="17"/>
  <c r="L350" i="17"/>
  <c r="L410" i="17"/>
  <c r="L380" i="17"/>
  <c r="L360" i="17"/>
  <c r="L379" i="17"/>
  <c r="L340" i="17"/>
  <c r="L370" i="17"/>
  <c r="L436" i="17"/>
  <c r="K435" i="17"/>
  <c r="M435" i="17" s="1" a="1"/>
  <c r="M435" i="17" s="1"/>
  <c r="L310" i="17"/>
  <c r="M156" i="17" l="1" a="1"/>
  <c r="M156" i="17" s="1"/>
  <c r="P156" i="17" a="1"/>
  <c r="P156" i="17" s="1"/>
  <c r="Q157" i="17" a="1"/>
  <c r="Q157" i="17" s="1"/>
  <c r="K157" i="17" a="1"/>
  <c r="K157" i="17" s="1"/>
  <c r="J158" i="17"/>
  <c r="O436" i="17" a="1"/>
  <c r="O436" i="17" s="1"/>
  <c r="N436" i="17" a="1"/>
  <c r="N436" i="17" s="1"/>
  <c r="L361" i="17"/>
  <c r="L321" i="17"/>
  <c r="L341" i="17"/>
  <c r="L390" i="17"/>
  <c r="L437" i="17"/>
  <c r="K436" i="17"/>
  <c r="M436" i="17" s="1" a="1"/>
  <c r="M436" i="17" s="1"/>
  <c r="L371" i="17"/>
  <c r="L331" i="17"/>
  <c r="L381" i="17"/>
  <c r="L351" i="17"/>
  <c r="L391" i="17"/>
  <c r="L421" i="17"/>
  <c r="M157" i="17" l="1" a="1"/>
  <c r="M157" i="17" s="1"/>
  <c r="P157" i="17" a="1"/>
  <c r="P157" i="17" s="1"/>
  <c r="Q158" i="17" a="1"/>
  <c r="Q158" i="17" s="1"/>
  <c r="J159" i="17"/>
  <c r="K158" i="17" a="1"/>
  <c r="K158" i="17" s="1"/>
  <c r="N437" i="17" a="1"/>
  <c r="N437" i="17" s="1"/>
  <c r="O437" i="17" a="1"/>
  <c r="O437" i="17" s="1"/>
  <c r="L438" i="17"/>
  <c r="K437" i="17"/>
  <c r="M437" i="17" s="1" a="1"/>
  <c r="M437" i="17" s="1"/>
  <c r="L432" i="17"/>
  <c r="L352" i="17"/>
  <c r="L392" i="17"/>
  <c r="L402" i="17"/>
  <c r="L342" i="17"/>
  <c r="L332" i="17"/>
  <c r="L362" i="17"/>
  <c r="L401" i="17"/>
  <c r="L382" i="17"/>
  <c r="L372" i="17"/>
  <c r="P158" i="17" l="1" a="1"/>
  <c r="P158" i="17" s="1"/>
  <c r="M158" i="17" a="1"/>
  <c r="M158" i="17" s="1"/>
  <c r="Q159" i="17" a="1"/>
  <c r="Q159" i="17" s="1"/>
  <c r="K159" i="17" a="1"/>
  <c r="K159" i="17" s="1"/>
  <c r="J160" i="17"/>
  <c r="O432" i="17" a="1"/>
  <c r="O432" i="17" s="1"/>
  <c r="N432" i="17" a="1"/>
  <c r="N432" i="17" s="1"/>
  <c r="O438" i="17" a="1"/>
  <c r="O438" i="17" s="1"/>
  <c r="N438" i="17" a="1"/>
  <c r="N438" i="17" s="1"/>
  <c r="L373" i="17"/>
  <c r="L353" i="17"/>
  <c r="L439" i="17"/>
  <c r="K438" i="17"/>
  <c r="M438" i="17" s="1" a="1"/>
  <c r="M438" i="17" s="1"/>
  <c r="L343" i="17"/>
  <c r="L413" i="17"/>
  <c r="L393" i="17"/>
  <c r="L403" i="17"/>
  <c r="L363" i="17"/>
  <c r="L383" i="17"/>
  <c r="L412" i="17"/>
  <c r="P159" i="17" l="1" a="1"/>
  <c r="P159" i="17" s="1"/>
  <c r="M159" i="17" a="1"/>
  <c r="M159" i="17" s="1"/>
  <c r="Q160" i="17" a="1"/>
  <c r="Q160" i="17" s="1"/>
  <c r="J161" i="17"/>
  <c r="K160" i="17" a="1"/>
  <c r="K160" i="17" s="1"/>
  <c r="O439" i="17" a="1"/>
  <c r="O439" i="17" s="1"/>
  <c r="N439" i="17" a="1"/>
  <c r="N439" i="17" s="1"/>
  <c r="L394" i="17"/>
  <c r="L374" i="17"/>
  <c r="L404" i="17"/>
  <c r="L414" i="17"/>
  <c r="L364" i="17"/>
  <c r="K439" i="17"/>
  <c r="M439" i="17" s="1" a="1"/>
  <c r="M439" i="17" s="1"/>
  <c r="L440" i="17"/>
  <c r="L423" i="17"/>
  <c r="L424" i="17"/>
  <c r="L354" i="17"/>
  <c r="L384" i="17"/>
  <c r="Q161" i="17" l="1" a="1"/>
  <c r="Q161" i="17" s="1"/>
  <c r="J162" i="17"/>
  <c r="K161" i="17" a="1"/>
  <c r="K161" i="17" s="1"/>
  <c r="M160" i="17" a="1"/>
  <c r="M160" i="17" s="1"/>
  <c r="P160" i="17" a="1"/>
  <c r="P160" i="17" s="1"/>
  <c r="O440" i="17" a="1"/>
  <c r="O440" i="17" s="1"/>
  <c r="N440" i="17" a="1"/>
  <c r="N440" i="17" s="1"/>
  <c r="L415" i="17"/>
  <c r="L385" i="17"/>
  <c r="L441" i="17"/>
  <c r="K440" i="17"/>
  <c r="M440" i="17" s="1" a="1"/>
  <c r="M440" i="17" s="1"/>
  <c r="L405" i="17"/>
  <c r="L395" i="17"/>
  <c r="L365" i="17"/>
  <c r="L375" i="17"/>
  <c r="L425" i="17"/>
  <c r="M161" i="17" l="1" a="1"/>
  <c r="M161" i="17" s="1"/>
  <c r="P161" i="17" a="1"/>
  <c r="P161" i="17" s="1"/>
  <c r="Q162" i="17" a="1"/>
  <c r="Q162" i="17" s="1"/>
  <c r="K162" i="17" a="1"/>
  <c r="K162" i="17" s="1"/>
  <c r="J163" i="17"/>
  <c r="O441" i="17" a="1"/>
  <c r="O441" i="17" s="1"/>
  <c r="N441" i="17" a="1"/>
  <c r="N441" i="17" s="1"/>
  <c r="L442" i="17"/>
  <c r="K441" i="17"/>
  <c r="M441" i="17" s="1" a="1"/>
  <c r="M441" i="17" s="1"/>
  <c r="L376" i="17"/>
  <c r="L386" i="17"/>
  <c r="L426" i="17"/>
  <c r="L396" i="17"/>
  <c r="L406" i="17"/>
  <c r="L416" i="17"/>
  <c r="M162" i="17" l="1" a="1"/>
  <c r="M162" i="17" s="1"/>
  <c r="P162" i="17" a="1"/>
  <c r="P162" i="17" s="1"/>
  <c r="Q163" i="17" a="1"/>
  <c r="Q163" i="17" s="1"/>
  <c r="K163" i="17" a="1"/>
  <c r="K163" i="17" s="1"/>
  <c r="J164" i="17"/>
  <c r="O442" i="17" a="1"/>
  <c r="O442" i="17" s="1"/>
  <c r="N442" i="17" a="1"/>
  <c r="N442" i="17" s="1"/>
  <c r="L397" i="17"/>
  <c r="L387" i="17"/>
  <c r="L407" i="17"/>
  <c r="K442" i="17"/>
  <c r="M442" i="17" s="1" a="1"/>
  <c r="M442" i="17" s="1"/>
  <c r="L443" i="17"/>
  <c r="L417" i="17"/>
  <c r="L427" i="17"/>
  <c r="Q164" i="17" l="1" a="1"/>
  <c r="Q164" i="17" s="1"/>
  <c r="J165" i="17"/>
  <c r="K164" i="17" a="1"/>
  <c r="K164" i="17" s="1"/>
  <c r="M163" i="17" a="1"/>
  <c r="M163" i="17" s="1"/>
  <c r="P163" i="17" a="1"/>
  <c r="P163" i="17" s="1"/>
  <c r="O443" i="17" a="1"/>
  <c r="O443" i="17" s="1"/>
  <c r="N443" i="17" a="1"/>
  <c r="N443" i="17" s="1"/>
  <c r="L428" i="17"/>
  <c r="L408" i="17"/>
  <c r="L444" i="17"/>
  <c r="K443" i="17"/>
  <c r="M443" i="17" s="1" a="1"/>
  <c r="M443" i="17" s="1"/>
  <c r="L398" i="17"/>
  <c r="L418" i="17"/>
  <c r="P164" i="17" l="1" a="1"/>
  <c r="P164" i="17" s="1"/>
  <c r="M164" i="17" a="1"/>
  <c r="M164" i="17" s="1"/>
  <c r="Q165" i="17" a="1"/>
  <c r="Q165" i="17" s="1"/>
  <c r="J166" i="17"/>
  <c r="K165" i="17" a="1"/>
  <c r="K165" i="17" s="1"/>
  <c r="O444" i="17" a="1"/>
  <c r="O444" i="17" s="1"/>
  <c r="N444" i="17" a="1"/>
  <c r="N444" i="17" s="1"/>
  <c r="L419" i="17"/>
  <c r="K444" i="17"/>
  <c r="M444" i="17" s="1" a="1"/>
  <c r="M444" i="17" s="1"/>
  <c r="L445" i="17"/>
  <c r="L429" i="17"/>
  <c r="L409" i="17"/>
  <c r="M165" i="17" l="1" a="1"/>
  <c r="M165" i="17" s="1"/>
  <c r="P165" i="17" a="1"/>
  <c r="P165" i="17" s="1"/>
  <c r="Q166" i="17" a="1"/>
  <c r="Q166" i="17" s="1"/>
  <c r="K166" i="17" a="1"/>
  <c r="K166" i="17" s="1"/>
  <c r="J167" i="17"/>
  <c r="O445" i="17" a="1"/>
  <c r="O445" i="17" s="1"/>
  <c r="N445" i="17" a="1"/>
  <c r="N445" i="17" s="1"/>
  <c r="L430" i="17"/>
  <c r="L446" i="17"/>
  <c r="K445" i="17"/>
  <c r="M445" i="17" s="1" a="1"/>
  <c r="M445" i="17" s="1"/>
  <c r="L420" i="17"/>
  <c r="P166" i="17" l="1" a="1"/>
  <c r="P166" i="17" s="1"/>
  <c r="M166" i="17" a="1"/>
  <c r="M166" i="17" s="1"/>
  <c r="Q167" i="17" a="1"/>
  <c r="Q167" i="17" s="1"/>
  <c r="K167" i="17" a="1"/>
  <c r="K167" i="17" s="1"/>
  <c r="J168" i="17"/>
  <c r="N446" i="17" a="1"/>
  <c r="N446" i="17" s="1"/>
  <c r="O446" i="17" a="1"/>
  <c r="O446" i="17" s="1"/>
  <c r="K446" i="17"/>
  <c r="M446" i="17" s="1" a="1"/>
  <c r="M446" i="17" s="1"/>
  <c r="L447" i="17"/>
  <c r="L431" i="17"/>
  <c r="P167" i="17" l="1" a="1"/>
  <c r="P167" i="17" s="1"/>
  <c r="M167" i="17" a="1"/>
  <c r="M167" i="17" s="1"/>
  <c r="Q168" i="17" a="1"/>
  <c r="Q168" i="17" s="1"/>
  <c r="J169" i="17"/>
  <c r="K168" i="17" a="1"/>
  <c r="K168" i="17" s="1"/>
  <c r="O447" i="17" a="1"/>
  <c r="O447" i="17" s="1"/>
  <c r="N447" i="17" a="1"/>
  <c r="N447" i="17" s="1"/>
  <c r="K447" i="17"/>
  <c r="M447" i="17" s="1" a="1"/>
  <c r="M447" i="17" s="1"/>
  <c r="L448" i="17"/>
  <c r="Q169" i="17" l="1" a="1"/>
  <c r="Q169" i="17" s="1"/>
  <c r="K169" i="17" a="1"/>
  <c r="K169" i="17" s="1"/>
  <c r="J170" i="17"/>
  <c r="M168" i="17" a="1"/>
  <c r="M168" i="17" s="1"/>
  <c r="P168" i="17" a="1"/>
  <c r="P168" i="17" s="1"/>
  <c r="O448" i="17" a="1"/>
  <c r="O448" i="17" s="1"/>
  <c r="N448" i="17" a="1"/>
  <c r="N448" i="17" s="1"/>
  <c r="L449" i="17"/>
  <c r="K448" i="17"/>
  <c r="M448" i="17" s="1" a="1"/>
  <c r="M448" i="17" s="1"/>
  <c r="Q170" i="17" l="1" a="1"/>
  <c r="Q170" i="17" s="1"/>
  <c r="J171" i="17"/>
  <c r="K170" i="17" a="1"/>
  <c r="K170" i="17" s="1"/>
  <c r="M169" i="17" a="1"/>
  <c r="M169" i="17" s="1"/>
  <c r="P169" i="17" a="1"/>
  <c r="P169" i="17" s="1"/>
  <c r="O449" i="17" a="1"/>
  <c r="O449" i="17" s="1"/>
  <c r="N449" i="17" a="1"/>
  <c r="N449" i="17" s="1"/>
  <c r="L450" i="17"/>
  <c r="K449" i="17"/>
  <c r="M449" i="17" s="1" a="1"/>
  <c r="M449" i="17" s="1"/>
  <c r="P170" i="17" l="1" a="1"/>
  <c r="P170" i="17" s="1"/>
  <c r="M170" i="17" a="1"/>
  <c r="M170" i="17" s="1"/>
  <c r="Q171" i="17" a="1"/>
  <c r="Q171" i="17" s="1"/>
  <c r="J172" i="17"/>
  <c r="K171" i="17" a="1"/>
  <c r="K171" i="17" s="1"/>
  <c r="O450" i="17" a="1"/>
  <c r="O450" i="17" s="1"/>
  <c r="N450" i="17" a="1"/>
  <c r="N450" i="17" s="1"/>
  <c r="L451" i="17"/>
  <c r="K450" i="17"/>
  <c r="M450" i="17" s="1" a="1"/>
  <c r="M450" i="17" s="1"/>
  <c r="Q172" i="17" l="1" a="1"/>
  <c r="Q172" i="17" s="1"/>
  <c r="K172" i="17" a="1"/>
  <c r="K172" i="17" s="1"/>
  <c r="J173" i="17"/>
  <c r="M171" i="17" a="1"/>
  <c r="M171" i="17" s="1"/>
  <c r="P171" i="17" a="1"/>
  <c r="P171" i="17" s="1"/>
  <c r="O451" i="17" a="1"/>
  <c r="O451" i="17" s="1"/>
  <c r="N451" i="17" a="1"/>
  <c r="N451" i="17" s="1"/>
  <c r="L452" i="17"/>
  <c r="K451" i="17"/>
  <c r="M451" i="17" s="1" a="1"/>
  <c r="M451" i="17" s="1"/>
  <c r="Q173" i="17" l="1" a="1"/>
  <c r="Q173" i="17" s="1"/>
  <c r="K173" i="17" a="1"/>
  <c r="K173" i="17" s="1"/>
  <c r="J174" i="17"/>
  <c r="P172" i="17" a="1"/>
  <c r="P172" i="17" s="1"/>
  <c r="M172" i="17" a="1"/>
  <c r="M172" i="17" s="1"/>
  <c r="N452" i="17" a="1"/>
  <c r="N452" i="17" s="1"/>
  <c r="O452" i="17" a="1"/>
  <c r="O452" i="17" s="1"/>
  <c r="K452" i="17"/>
  <c r="M452" i="17" s="1" a="1"/>
  <c r="M452" i="17" s="1"/>
  <c r="L453" i="17"/>
  <c r="Q174" i="17" l="1" a="1"/>
  <c r="Q174" i="17" s="1"/>
  <c r="J175" i="17"/>
  <c r="K174" i="17" a="1"/>
  <c r="K174" i="17" s="1"/>
  <c r="M173" i="17" a="1"/>
  <c r="M173" i="17" s="1"/>
  <c r="P173" i="17" a="1"/>
  <c r="P173" i="17" s="1"/>
  <c r="O453" i="17" a="1"/>
  <c r="O453" i="17" s="1"/>
  <c r="N453" i="17" a="1"/>
  <c r="N453" i="17" s="1"/>
  <c r="K453" i="17"/>
  <c r="M453" i="17" s="1" a="1"/>
  <c r="M453" i="17" s="1"/>
  <c r="L454" i="17"/>
  <c r="M174" i="17" l="1" a="1"/>
  <c r="M174" i="17" s="1"/>
  <c r="P174" i="17" a="1"/>
  <c r="P174" i="17" s="1"/>
  <c r="Q175" i="17" a="1"/>
  <c r="Q175" i="17" s="1"/>
  <c r="K175" i="17" a="1"/>
  <c r="K175" i="17" s="1"/>
  <c r="J176" i="17"/>
  <c r="N454" i="17" a="1"/>
  <c r="N454" i="17" s="1"/>
  <c r="O454" i="17" a="1"/>
  <c r="O454" i="17" s="1"/>
  <c r="L455" i="17"/>
  <c r="K454" i="17"/>
  <c r="M454" i="17" s="1" a="1"/>
  <c r="M454" i="17" s="1"/>
  <c r="Q176" i="17" l="1" a="1"/>
  <c r="Q176" i="17" s="1"/>
  <c r="K176" i="17" a="1"/>
  <c r="K176" i="17" s="1"/>
  <c r="J177" i="17"/>
  <c r="P175" i="17" a="1"/>
  <c r="P175" i="17" s="1"/>
  <c r="M175" i="17" a="1"/>
  <c r="M175" i="17" s="1"/>
  <c r="N455" i="17" a="1"/>
  <c r="N455" i="17" s="1"/>
  <c r="O455" i="17" a="1"/>
  <c r="O455" i="17" s="1"/>
  <c r="L456" i="17"/>
  <c r="K455" i="17"/>
  <c r="M455" i="17" s="1" a="1"/>
  <c r="M455" i="17" s="1"/>
  <c r="Q177" i="17" l="1" a="1"/>
  <c r="Q177" i="17" s="1"/>
  <c r="K177" i="17" a="1"/>
  <c r="K177" i="17" s="1"/>
  <c r="J178" i="17"/>
  <c r="P176" i="17" a="1"/>
  <c r="P176" i="17" s="1"/>
  <c r="M176" i="17" a="1"/>
  <c r="M176" i="17" s="1"/>
  <c r="O456" i="17" a="1"/>
  <c r="O456" i="17" s="1"/>
  <c r="N456" i="17" a="1"/>
  <c r="N456" i="17" s="1"/>
  <c r="L457" i="17"/>
  <c r="K456" i="17"/>
  <c r="M456" i="17" s="1" a="1"/>
  <c r="M456" i="17" s="1"/>
  <c r="Q178" i="17" l="1" a="1"/>
  <c r="Q178" i="17" s="1"/>
  <c r="J179" i="17"/>
  <c r="K178" i="17" a="1"/>
  <c r="K178" i="17" s="1"/>
  <c r="P177" i="17" a="1"/>
  <c r="P177" i="17" s="1"/>
  <c r="M177" i="17" a="1"/>
  <c r="M177" i="17" s="1"/>
  <c r="O457" i="17" a="1"/>
  <c r="O457" i="17" s="1"/>
  <c r="N457" i="17" a="1"/>
  <c r="N457" i="17" s="1"/>
  <c r="L458" i="17"/>
  <c r="K457" i="17"/>
  <c r="M457" i="17" s="1" a="1"/>
  <c r="M457" i="17" s="1"/>
  <c r="P178" i="17" l="1" a="1"/>
  <c r="P178" i="17" s="1"/>
  <c r="M178" i="17" a="1"/>
  <c r="M178" i="17" s="1"/>
  <c r="Q179" i="17" a="1"/>
  <c r="Q179" i="17" s="1"/>
  <c r="J180" i="17"/>
  <c r="K179" i="17" a="1"/>
  <c r="K179" i="17" s="1"/>
  <c r="O458" i="17" a="1"/>
  <c r="O458" i="17" s="1"/>
  <c r="N458" i="17" a="1"/>
  <c r="N458" i="17" s="1"/>
  <c r="K458" i="17"/>
  <c r="M458" i="17" s="1" a="1"/>
  <c r="M458" i="17" s="1"/>
  <c r="L459" i="17"/>
  <c r="Q180" i="17" l="1" a="1"/>
  <c r="Q180" i="17" s="1"/>
  <c r="J181" i="17"/>
  <c r="K180" i="17" a="1"/>
  <c r="K180" i="17" s="1"/>
  <c r="P179" i="17" a="1"/>
  <c r="P179" i="17" s="1"/>
  <c r="M179" i="17" a="1"/>
  <c r="M179" i="17" s="1"/>
  <c r="O459" i="17" a="1"/>
  <c r="O459" i="17" s="1"/>
  <c r="N459" i="17" a="1"/>
  <c r="N459" i="17" s="1"/>
  <c r="L460" i="17"/>
  <c r="K459" i="17"/>
  <c r="M459" i="17" s="1" a="1"/>
  <c r="M459" i="17" s="1"/>
  <c r="M180" i="17" l="1" a="1"/>
  <c r="M180" i="17" s="1"/>
  <c r="P180" i="17" a="1"/>
  <c r="P180" i="17" s="1"/>
  <c r="Q181" i="17" a="1"/>
  <c r="Q181" i="17" s="1"/>
  <c r="J182" i="17"/>
  <c r="K181" i="17" a="1"/>
  <c r="K181" i="17" s="1"/>
  <c r="N460" i="17" a="1"/>
  <c r="N460" i="17" s="1"/>
  <c r="O460" i="17" a="1"/>
  <c r="O460" i="17" s="1"/>
  <c r="L461" i="17"/>
  <c r="K460" i="17"/>
  <c r="M460" i="17" s="1" a="1"/>
  <c r="M460" i="17" s="1"/>
  <c r="Q182" i="17" l="1" a="1"/>
  <c r="Q182" i="17" s="1"/>
  <c r="J183" i="17"/>
  <c r="K182" i="17" a="1"/>
  <c r="K182" i="17" s="1"/>
  <c r="P181" i="17" a="1"/>
  <c r="P181" i="17" s="1"/>
  <c r="M181" i="17" a="1"/>
  <c r="M181" i="17" s="1"/>
  <c r="O461" i="17" a="1"/>
  <c r="O461" i="17" s="1"/>
  <c r="N461" i="17" a="1"/>
  <c r="N461" i="17" s="1"/>
  <c r="L462" i="17"/>
  <c r="K461" i="17"/>
  <c r="M461" i="17" s="1" a="1"/>
  <c r="M461" i="17" s="1"/>
  <c r="P182" i="17" l="1" a="1"/>
  <c r="P182" i="17" s="1"/>
  <c r="M182" i="17" a="1"/>
  <c r="M182" i="17" s="1"/>
  <c r="Q183" i="17" a="1"/>
  <c r="Q183" i="17" s="1"/>
  <c r="K183" i="17" a="1"/>
  <c r="K183" i="17" s="1"/>
  <c r="J184" i="17"/>
  <c r="O462" i="17" a="1"/>
  <c r="O462" i="17" s="1"/>
  <c r="N462" i="17" a="1"/>
  <c r="N462" i="17" s="1"/>
  <c r="K462" i="17"/>
  <c r="M462" i="17" s="1" a="1"/>
  <c r="M462" i="17" s="1"/>
  <c r="L463" i="17"/>
  <c r="P183" i="17" l="1" a="1"/>
  <c r="P183" i="17" s="1"/>
  <c r="M183" i="17" a="1"/>
  <c r="M183" i="17" s="1"/>
  <c r="Q184" i="17" a="1"/>
  <c r="Q184" i="17" s="1"/>
  <c r="J185" i="17"/>
  <c r="K184" i="17" a="1"/>
  <c r="K184" i="17" s="1"/>
  <c r="N463" i="17" a="1"/>
  <c r="N463" i="17" s="1"/>
  <c r="O463" i="17" a="1"/>
  <c r="O463" i="17" s="1"/>
  <c r="L464" i="17"/>
  <c r="K463" i="17"/>
  <c r="M463" i="17" s="1" a="1"/>
  <c r="M463" i="17" s="1"/>
  <c r="Q185" i="17" l="1" a="1"/>
  <c r="Q185" i="17" s="1"/>
  <c r="J186" i="17"/>
  <c r="K185" i="17" a="1"/>
  <c r="K185" i="17" s="1"/>
  <c r="P184" i="17" a="1"/>
  <c r="P184" i="17" s="1"/>
  <c r="M184" i="17" a="1"/>
  <c r="M184" i="17" s="1"/>
  <c r="O464" i="17" a="1"/>
  <c r="O464" i="17" s="1"/>
  <c r="N464" i="17" a="1"/>
  <c r="N464" i="17" s="1"/>
  <c r="L465" i="17"/>
  <c r="K464" i="17"/>
  <c r="M464" i="17" s="1" a="1"/>
  <c r="M464" i="17" s="1"/>
  <c r="M185" i="17" l="1" a="1"/>
  <c r="M185" i="17" s="1"/>
  <c r="P185" i="17" a="1"/>
  <c r="P185" i="17" s="1"/>
  <c r="Q186" i="17" a="1"/>
  <c r="Q186" i="17" s="1"/>
  <c r="J187" i="17"/>
  <c r="K186" i="17" a="1"/>
  <c r="K186" i="17" s="1"/>
  <c r="O465" i="17" a="1"/>
  <c r="O465" i="17" s="1"/>
  <c r="N465" i="17" a="1"/>
  <c r="N465" i="17" s="1"/>
  <c r="K465" i="17"/>
  <c r="M465" i="17" s="1" a="1"/>
  <c r="M465" i="17" s="1"/>
  <c r="L466" i="17"/>
  <c r="Q187" i="17" l="1" a="1"/>
  <c r="Q187" i="17" s="1"/>
  <c r="J188" i="17"/>
  <c r="K187" i="17" a="1"/>
  <c r="K187" i="17" s="1"/>
  <c r="P186" i="17" a="1"/>
  <c r="P186" i="17" s="1"/>
  <c r="M186" i="17" a="1"/>
  <c r="M186" i="17" s="1"/>
  <c r="O466" i="17" a="1"/>
  <c r="O466" i="17" s="1"/>
  <c r="N466" i="17" a="1"/>
  <c r="N466" i="17" s="1"/>
  <c r="L467" i="17"/>
  <c r="K466" i="17"/>
  <c r="M466" i="17" s="1" a="1"/>
  <c r="M466" i="17" s="1"/>
  <c r="P187" i="17" l="1" a="1"/>
  <c r="P187" i="17" s="1"/>
  <c r="M187" i="17" a="1"/>
  <c r="M187" i="17" s="1"/>
  <c r="Q188" i="17" a="1"/>
  <c r="Q188" i="17" s="1"/>
  <c r="J189" i="17"/>
  <c r="K188" i="17" a="1"/>
  <c r="K188" i="17" s="1"/>
  <c r="O467" i="17" a="1"/>
  <c r="O467" i="17" s="1"/>
  <c r="N467" i="17" a="1"/>
  <c r="N467" i="17" s="1"/>
  <c r="K467" i="17"/>
  <c r="M467" i="17" s="1" a="1"/>
  <c r="M467" i="17" s="1"/>
  <c r="L468" i="17"/>
  <c r="Q189" i="17" l="1" a="1"/>
  <c r="Q189" i="17" s="1"/>
  <c r="J190" i="17"/>
  <c r="K189" i="17" a="1"/>
  <c r="K189" i="17" s="1"/>
  <c r="P188" i="17" a="1"/>
  <c r="P188" i="17" s="1"/>
  <c r="M188" i="17" a="1"/>
  <c r="M188" i="17" s="1"/>
  <c r="N468" i="17" a="1"/>
  <c r="N468" i="17" s="1"/>
  <c r="O468" i="17" a="1"/>
  <c r="O468" i="17" s="1"/>
  <c r="L469" i="17"/>
  <c r="K468" i="17"/>
  <c r="M468" i="17" s="1" a="1"/>
  <c r="M468" i="17" s="1"/>
  <c r="P189" i="17" l="1" a="1"/>
  <c r="P189" i="17" s="1"/>
  <c r="M189" i="17" a="1"/>
  <c r="M189" i="17" s="1"/>
  <c r="Q190" i="17" a="1"/>
  <c r="Q190" i="17" s="1"/>
  <c r="K190" i="17" a="1"/>
  <c r="K190" i="17" s="1"/>
  <c r="J191" i="17"/>
  <c r="O469" i="17" a="1"/>
  <c r="O469" i="17" s="1"/>
  <c r="N469" i="17" a="1"/>
  <c r="N469" i="17" s="1"/>
  <c r="K469" i="17"/>
  <c r="M469" i="17" s="1" a="1"/>
  <c r="M469" i="17" s="1"/>
  <c r="L470" i="17"/>
  <c r="P190" i="17" l="1" a="1"/>
  <c r="P190" i="17" s="1"/>
  <c r="M190" i="17" a="1"/>
  <c r="M190" i="17" s="1"/>
  <c r="Q191" i="17" a="1"/>
  <c r="Q191" i="17" s="1"/>
  <c r="J192" i="17"/>
  <c r="K191" i="17" a="1"/>
  <c r="K191" i="17" s="1"/>
  <c r="O470" i="17" a="1"/>
  <c r="O470" i="17" s="1"/>
  <c r="N470" i="17" a="1"/>
  <c r="N470" i="17" s="1"/>
  <c r="L471" i="17"/>
  <c r="K470" i="17"/>
  <c r="M470" i="17" s="1" a="1"/>
  <c r="M470" i="17" s="1"/>
  <c r="Q192" i="17" l="1" a="1"/>
  <c r="Q192" i="17" s="1"/>
  <c r="J193" i="17"/>
  <c r="K192" i="17" a="1"/>
  <c r="K192" i="17" s="1"/>
  <c r="M191" i="17" a="1"/>
  <c r="M191" i="17" s="1"/>
  <c r="P191" i="17" a="1"/>
  <c r="P191" i="17" s="1"/>
  <c r="N471" i="17" a="1"/>
  <c r="N471" i="17" s="1"/>
  <c r="O471" i="17" a="1"/>
  <c r="O471" i="17" s="1"/>
  <c r="L472" i="17"/>
  <c r="K471" i="17"/>
  <c r="M471" i="17" s="1" a="1"/>
  <c r="M471" i="17" s="1"/>
  <c r="P192" i="17" l="1" a="1"/>
  <c r="P192" i="17" s="1"/>
  <c r="M192" i="17" a="1"/>
  <c r="M192" i="17" s="1"/>
  <c r="Q193" i="17" a="1"/>
  <c r="Q193" i="17" s="1"/>
  <c r="J194" i="17"/>
  <c r="K193" i="17" a="1"/>
  <c r="K193" i="17" s="1"/>
  <c r="O472" i="17" a="1"/>
  <c r="O472" i="17" s="1"/>
  <c r="N472" i="17" a="1"/>
  <c r="N472" i="17" s="1"/>
  <c r="L473" i="17"/>
  <c r="K472" i="17"/>
  <c r="M472" i="17" s="1" a="1"/>
  <c r="M472" i="17" s="1"/>
  <c r="Q194" i="17" l="1" a="1"/>
  <c r="Q194" i="17" s="1"/>
  <c r="J195" i="17"/>
  <c r="K194" i="17" a="1"/>
  <c r="K194" i="17" s="1"/>
  <c r="M193" i="17" a="1"/>
  <c r="M193" i="17" s="1"/>
  <c r="P193" i="17" a="1"/>
  <c r="P193" i="17" s="1"/>
  <c r="N473" i="17" a="1"/>
  <c r="N473" i="17" s="1"/>
  <c r="O473" i="17" a="1"/>
  <c r="O473" i="17" s="1"/>
  <c r="L474" i="17"/>
  <c r="K473" i="17"/>
  <c r="M473" i="17" s="1" a="1"/>
  <c r="M473" i="17" s="1"/>
  <c r="M194" i="17" l="1" a="1"/>
  <c r="M194" i="17" s="1"/>
  <c r="P194" i="17" a="1"/>
  <c r="P194" i="17" s="1"/>
  <c r="Q195" i="17" a="1"/>
  <c r="Q195" i="17" s="1"/>
  <c r="J196" i="17"/>
  <c r="K195" i="17" a="1"/>
  <c r="K195" i="17" s="1"/>
  <c r="N474" i="17" a="1"/>
  <c r="N474" i="17" s="1"/>
  <c r="O474" i="17" a="1"/>
  <c r="O474" i="17" s="1"/>
  <c r="L475" i="17"/>
  <c r="K474" i="17"/>
  <c r="M474" i="17" s="1" a="1"/>
  <c r="M474" i="17" s="1"/>
  <c r="Q196" i="17" l="1" a="1"/>
  <c r="Q196" i="17" s="1"/>
  <c r="J197" i="17"/>
  <c r="K196" i="17" a="1"/>
  <c r="K196" i="17" s="1"/>
  <c r="M195" i="17" a="1"/>
  <c r="M195" i="17" s="1"/>
  <c r="P195" i="17" a="1"/>
  <c r="P195" i="17" s="1"/>
  <c r="O475" i="17" a="1"/>
  <c r="O475" i="17" s="1"/>
  <c r="N475" i="17" a="1"/>
  <c r="N475" i="17" s="1"/>
  <c r="K475" i="17"/>
  <c r="M475" i="17" s="1" a="1"/>
  <c r="M475" i="17" s="1"/>
  <c r="L476" i="17"/>
  <c r="M196" i="17" l="1" a="1"/>
  <c r="M196" i="17" s="1"/>
  <c r="P196" i="17" a="1"/>
  <c r="P196" i="17" s="1"/>
  <c r="Q197" i="17" a="1"/>
  <c r="Q197" i="17" s="1"/>
  <c r="J198" i="17"/>
  <c r="K197" i="17" a="1"/>
  <c r="K197" i="17" s="1"/>
  <c r="N476" i="17" a="1"/>
  <c r="N476" i="17" s="1"/>
  <c r="O476" i="17" a="1"/>
  <c r="O476" i="17" s="1"/>
  <c r="L477" i="17"/>
  <c r="K476" i="17"/>
  <c r="M476" i="17" s="1" a="1"/>
  <c r="M476" i="17" s="1"/>
  <c r="Q198" i="17" l="1" a="1"/>
  <c r="Q198" i="17" s="1"/>
  <c r="J199" i="17"/>
  <c r="K198" i="17" a="1"/>
  <c r="K198" i="17" s="1"/>
  <c r="M197" i="17" a="1"/>
  <c r="M197" i="17" s="1"/>
  <c r="P197" i="17" a="1"/>
  <c r="P197" i="17" s="1"/>
  <c r="O477" i="17" a="1"/>
  <c r="O477" i="17" s="1"/>
  <c r="N477" i="17" a="1"/>
  <c r="N477" i="17" s="1"/>
  <c r="K477" i="17"/>
  <c r="M477" i="17" s="1" a="1"/>
  <c r="M477" i="17" s="1"/>
  <c r="L478" i="17"/>
  <c r="M198" i="17" l="1" a="1"/>
  <c r="M198" i="17" s="1"/>
  <c r="P198" i="17" a="1"/>
  <c r="P198" i="17" s="1"/>
  <c r="Q199" i="17" a="1"/>
  <c r="Q199" i="17" s="1"/>
  <c r="J200" i="17"/>
  <c r="K199" i="17" a="1"/>
  <c r="K199" i="17" s="1"/>
  <c r="O478" i="17" a="1"/>
  <c r="O478" i="17" s="1"/>
  <c r="N478" i="17" a="1"/>
  <c r="N478" i="17" s="1"/>
  <c r="K478" i="17"/>
  <c r="M478" i="17" s="1" a="1"/>
  <c r="M478" i="17" s="1"/>
  <c r="L479" i="17"/>
  <c r="Q200" i="17" l="1" a="1"/>
  <c r="Q200" i="17" s="1"/>
  <c r="J201" i="17"/>
  <c r="K200" i="17" a="1"/>
  <c r="K200" i="17" s="1"/>
  <c r="P199" i="17" a="1"/>
  <c r="P199" i="17" s="1"/>
  <c r="M199" i="17" a="1"/>
  <c r="M199" i="17" s="1"/>
  <c r="N479" i="17" a="1"/>
  <c r="N479" i="17" s="1"/>
  <c r="O479" i="17" a="1"/>
  <c r="O479" i="17" s="1"/>
  <c r="L480" i="17"/>
  <c r="K479" i="17"/>
  <c r="M479" i="17" s="1" a="1"/>
  <c r="M479" i="17" s="1"/>
  <c r="P200" i="17" l="1" a="1"/>
  <c r="P200" i="17" s="1"/>
  <c r="M200" i="17" a="1"/>
  <c r="M200" i="17" s="1"/>
  <c r="Q201" i="17" a="1"/>
  <c r="Q201" i="17" s="1"/>
  <c r="K201" i="17" a="1"/>
  <c r="K201" i="17" s="1"/>
  <c r="J202" i="17"/>
  <c r="O480" i="17" a="1"/>
  <c r="O480" i="17" s="1"/>
  <c r="N480" i="17" a="1"/>
  <c r="N480" i="17" s="1"/>
  <c r="L481" i="17"/>
  <c r="K480" i="17"/>
  <c r="M480" i="17" s="1" a="1"/>
  <c r="M480" i="17" s="1"/>
  <c r="P201" i="17" l="1" a="1"/>
  <c r="P201" i="17" s="1"/>
  <c r="M201" i="17" a="1"/>
  <c r="M201" i="17" s="1"/>
  <c r="Q202" i="17" a="1"/>
  <c r="Q202" i="17" s="1"/>
  <c r="J203" i="17"/>
  <c r="K202" i="17" a="1"/>
  <c r="K202" i="17" s="1"/>
  <c r="O481" i="17" a="1"/>
  <c r="O481" i="17" s="1"/>
  <c r="N481" i="17" a="1"/>
  <c r="N481" i="17" s="1"/>
  <c r="K481" i="17"/>
  <c r="M481" i="17" s="1" a="1"/>
  <c r="M481" i="17" s="1"/>
  <c r="L482" i="17"/>
  <c r="Q203" i="17" l="1" a="1"/>
  <c r="Q203" i="17" s="1"/>
  <c r="K203" i="17" a="1"/>
  <c r="K203" i="17" s="1"/>
  <c r="J204" i="17"/>
  <c r="P202" i="17" a="1"/>
  <c r="P202" i="17" s="1"/>
  <c r="M202" i="17" a="1"/>
  <c r="M202" i="17" s="1"/>
  <c r="O482" i="17" a="1"/>
  <c r="O482" i="17" s="1"/>
  <c r="N482" i="17" a="1"/>
  <c r="N482" i="17" s="1"/>
  <c r="L483" i="17"/>
  <c r="K482" i="17"/>
  <c r="M482" i="17" s="1" a="1"/>
  <c r="M482" i="17" s="1"/>
  <c r="Q204" i="17" l="1" a="1"/>
  <c r="Q204" i="17" s="1"/>
  <c r="J205" i="17"/>
  <c r="K204" i="17" a="1"/>
  <c r="K204" i="17" s="1"/>
  <c r="P203" i="17" a="1"/>
  <c r="P203" i="17" s="1"/>
  <c r="M203" i="17" a="1"/>
  <c r="M203" i="17" s="1"/>
  <c r="O483" i="17" a="1"/>
  <c r="O483" i="17" s="1"/>
  <c r="N483" i="17" a="1"/>
  <c r="N483" i="17" s="1"/>
  <c r="K483" i="17"/>
  <c r="M483" i="17" s="1" a="1"/>
  <c r="M483" i="17" s="1"/>
  <c r="L484" i="17"/>
  <c r="M204" i="17" l="1" a="1"/>
  <c r="M204" i="17" s="1"/>
  <c r="P204" i="17" a="1"/>
  <c r="P204" i="17" s="1"/>
  <c r="Q205" i="17" a="1"/>
  <c r="Q205" i="17" s="1"/>
  <c r="K205" i="17" a="1"/>
  <c r="K205" i="17" s="1"/>
  <c r="J206" i="17"/>
  <c r="N484" i="17" a="1"/>
  <c r="N484" i="17" s="1"/>
  <c r="O484" i="17" a="1"/>
  <c r="O484" i="17" s="1"/>
  <c r="K484" i="17"/>
  <c r="M484" i="17" s="1" a="1"/>
  <c r="M484" i="17" s="1"/>
  <c r="L485" i="17"/>
  <c r="Q206" i="17" l="1" a="1"/>
  <c r="Q206" i="17" s="1"/>
  <c r="J207" i="17"/>
  <c r="K206" i="17" a="1"/>
  <c r="K206" i="17" s="1"/>
  <c r="P205" i="17" a="1"/>
  <c r="P205" i="17" s="1"/>
  <c r="M205" i="17" a="1"/>
  <c r="M205" i="17" s="1"/>
  <c r="N485" i="17" a="1"/>
  <c r="N485" i="17" s="1"/>
  <c r="O485" i="17" a="1"/>
  <c r="O485" i="17" s="1"/>
  <c r="K485" i="17"/>
  <c r="M485" i="17" s="1" a="1"/>
  <c r="M485" i="17" s="1"/>
  <c r="L486" i="17"/>
  <c r="P206" i="17" l="1" a="1"/>
  <c r="P206" i="17" s="1"/>
  <c r="M206" i="17" a="1"/>
  <c r="M206" i="17" s="1"/>
  <c r="Q207" i="17" a="1"/>
  <c r="Q207" i="17" s="1"/>
  <c r="J208" i="17"/>
  <c r="K207" i="17" a="1"/>
  <c r="K207" i="17" s="1"/>
  <c r="O486" i="17" a="1"/>
  <c r="O486" i="17" s="1"/>
  <c r="N486" i="17" a="1"/>
  <c r="N486" i="17" s="1"/>
  <c r="L487" i="17"/>
  <c r="K486" i="17"/>
  <c r="M486" i="17" s="1" a="1"/>
  <c r="M486" i="17" s="1"/>
  <c r="Q208" i="17" l="1" a="1"/>
  <c r="Q208" i="17" s="1"/>
  <c r="K208" i="17" a="1"/>
  <c r="K208" i="17" s="1"/>
  <c r="J209" i="17"/>
  <c r="M207" i="17" a="1"/>
  <c r="M207" i="17" s="1"/>
  <c r="P207" i="17" a="1"/>
  <c r="P207" i="17" s="1"/>
  <c r="N487" i="17" a="1"/>
  <c r="N487" i="17" s="1"/>
  <c r="O487" i="17" a="1"/>
  <c r="O487" i="17" s="1"/>
  <c r="K487" i="17"/>
  <c r="M487" i="17" s="1" a="1"/>
  <c r="M487" i="17" s="1"/>
  <c r="L488" i="17"/>
  <c r="Q209" i="17" l="1" a="1"/>
  <c r="Q209" i="17" s="1"/>
  <c r="J210" i="17"/>
  <c r="K209" i="17" a="1"/>
  <c r="K209" i="17" s="1"/>
  <c r="P208" i="17" a="1"/>
  <c r="P208" i="17" s="1"/>
  <c r="M208" i="17" a="1"/>
  <c r="M208" i="17" s="1"/>
  <c r="O488" i="17" a="1"/>
  <c r="O488" i="17" s="1"/>
  <c r="N488" i="17" a="1"/>
  <c r="N488" i="17" s="1"/>
  <c r="L489" i="17"/>
  <c r="K488" i="17"/>
  <c r="M488" i="17" s="1" a="1"/>
  <c r="M488" i="17" s="1"/>
  <c r="M209" i="17" l="1" a="1"/>
  <c r="M209" i="17" s="1"/>
  <c r="P209" i="17" a="1"/>
  <c r="P209" i="17" s="1"/>
  <c r="Q210" i="17" a="1"/>
  <c r="Q210" i="17" s="1"/>
  <c r="J211" i="17"/>
  <c r="K210" i="17" a="1"/>
  <c r="K210" i="17" s="1"/>
  <c r="N489" i="17" a="1"/>
  <c r="N489" i="17" s="1"/>
  <c r="O489" i="17" a="1"/>
  <c r="O489" i="17" s="1"/>
  <c r="L490" i="17"/>
  <c r="K489" i="17"/>
  <c r="M489" i="17" s="1" a="1"/>
  <c r="M489" i="17" s="1"/>
  <c r="Q211" i="17" l="1" a="1"/>
  <c r="Q211" i="17" s="1"/>
  <c r="J212" i="17"/>
  <c r="K211" i="17" a="1"/>
  <c r="K211" i="17" s="1"/>
  <c r="P210" i="17" a="1"/>
  <c r="P210" i="17" s="1"/>
  <c r="M210" i="17" a="1"/>
  <c r="M210" i="17" s="1"/>
  <c r="N490" i="17" a="1"/>
  <c r="N490" i="17" s="1"/>
  <c r="O490" i="17" a="1"/>
  <c r="O490" i="17" s="1"/>
  <c r="K490" i="17"/>
  <c r="M490" i="17" s="1" a="1"/>
  <c r="M490" i="17" s="1"/>
  <c r="L491" i="17"/>
  <c r="P211" i="17" l="1" a="1"/>
  <c r="P211" i="17" s="1"/>
  <c r="M211" i="17" a="1"/>
  <c r="M211" i="17" s="1"/>
  <c r="Q212" i="17" a="1"/>
  <c r="Q212" i="17" s="1"/>
  <c r="J213" i="17"/>
  <c r="K212" i="17" a="1"/>
  <c r="K212" i="17" s="1"/>
  <c r="O491" i="17" a="1"/>
  <c r="O491" i="17" s="1"/>
  <c r="N491" i="17" a="1"/>
  <c r="N491" i="17" s="1"/>
  <c r="K491" i="17"/>
  <c r="M491" i="17" s="1" a="1"/>
  <c r="M491" i="17" s="1"/>
  <c r="L492" i="17"/>
  <c r="M212" i="17" l="1" a="1"/>
  <c r="M212" i="17" s="1"/>
  <c r="P212" i="17" a="1"/>
  <c r="P212" i="17" s="1"/>
  <c r="Q213" i="17" a="1"/>
  <c r="Q213" i="17" s="1"/>
  <c r="J214" i="17"/>
  <c r="K213" i="17" a="1"/>
  <c r="K213" i="17" s="1"/>
  <c r="O492" i="17" a="1"/>
  <c r="O492" i="17" s="1"/>
  <c r="N492" i="17" a="1"/>
  <c r="N492" i="17" s="1"/>
  <c r="L493" i="17"/>
  <c r="K492" i="17"/>
  <c r="M492" i="17" s="1" a="1"/>
  <c r="M492" i="17" s="1"/>
  <c r="Q214" i="17" l="1" a="1"/>
  <c r="Q214" i="17" s="1"/>
  <c r="K214" i="17" a="1"/>
  <c r="K214" i="17" s="1"/>
  <c r="J215" i="17"/>
  <c r="P213" i="17" a="1"/>
  <c r="P213" i="17" s="1"/>
  <c r="M213" i="17" a="1"/>
  <c r="M213" i="17" s="1"/>
  <c r="O493" i="17" a="1"/>
  <c r="O493" i="17" s="1"/>
  <c r="N493" i="17" a="1"/>
  <c r="N493" i="17" s="1"/>
  <c r="K493" i="17"/>
  <c r="M493" i="17" s="1" a="1"/>
  <c r="M493" i="17" s="1"/>
  <c r="L494" i="17"/>
  <c r="Q215" i="17" l="1" a="1"/>
  <c r="Q215" i="17" s="1"/>
  <c r="J216" i="17"/>
  <c r="K215" i="17" a="1"/>
  <c r="K215" i="17" s="1"/>
  <c r="P214" i="17" a="1"/>
  <c r="P214" i="17" s="1"/>
  <c r="M214" i="17" a="1"/>
  <c r="M214" i="17" s="1"/>
  <c r="O494" i="17" a="1"/>
  <c r="O494" i="17" s="1"/>
  <c r="N494" i="17" a="1"/>
  <c r="N494" i="17" s="1"/>
  <c r="L495" i="17"/>
  <c r="K494" i="17"/>
  <c r="M494" i="17" s="1" a="1"/>
  <c r="M494" i="17" s="1"/>
  <c r="P215" i="17" l="1" a="1"/>
  <c r="P215" i="17" s="1"/>
  <c r="M215" i="17" a="1"/>
  <c r="M215" i="17" s="1"/>
  <c r="Q216" i="17" a="1"/>
  <c r="Q216" i="17" s="1"/>
  <c r="K216" i="17" a="1"/>
  <c r="K216" i="17" s="1"/>
  <c r="J217" i="17"/>
  <c r="N495" i="17" a="1"/>
  <c r="N495" i="17" s="1"/>
  <c r="O495" i="17" a="1"/>
  <c r="O495" i="17" s="1"/>
  <c r="L496" i="17"/>
  <c r="K495" i="17"/>
  <c r="M495" i="17" s="1" a="1"/>
  <c r="M495" i="17" s="1"/>
  <c r="Q217" i="17" l="1" a="1"/>
  <c r="Q217" i="17" s="1"/>
  <c r="K217" i="17" a="1"/>
  <c r="K217" i="17" s="1"/>
  <c r="J218" i="17"/>
  <c r="M216" i="17" a="1"/>
  <c r="M216" i="17" s="1"/>
  <c r="P216" i="17" a="1"/>
  <c r="P216" i="17" s="1"/>
  <c r="O496" i="17" a="1"/>
  <c r="O496" i="17" s="1"/>
  <c r="N496" i="17" a="1"/>
  <c r="N496" i="17" s="1"/>
  <c r="K496" i="17"/>
  <c r="M496" i="17" s="1" a="1"/>
  <c r="M496" i="17" s="1"/>
  <c r="L497" i="17"/>
  <c r="Q218" i="17" l="1" a="1"/>
  <c r="Q218" i="17" s="1"/>
  <c r="J219" i="17"/>
  <c r="K218" i="17" a="1"/>
  <c r="K218" i="17" s="1"/>
  <c r="P217" i="17" a="1"/>
  <c r="P217" i="17" s="1"/>
  <c r="M217" i="17" a="1"/>
  <c r="M217" i="17" s="1"/>
  <c r="O497" i="17" a="1"/>
  <c r="O497" i="17" s="1"/>
  <c r="N497" i="17" a="1"/>
  <c r="N497" i="17" s="1"/>
  <c r="L498" i="17"/>
  <c r="K497" i="17"/>
  <c r="M497" i="17" s="1" a="1"/>
  <c r="M497" i="17" s="1"/>
  <c r="M218" i="17" l="1" a="1"/>
  <c r="M218" i="17" s="1"/>
  <c r="P218" i="17" a="1"/>
  <c r="P218" i="17" s="1"/>
  <c r="Q219" i="17" a="1"/>
  <c r="Q219" i="17" s="1"/>
  <c r="J220" i="17"/>
  <c r="K219" i="17" a="1"/>
  <c r="K219" i="17" s="1"/>
  <c r="N498" i="17" a="1"/>
  <c r="N498" i="17" s="1"/>
  <c r="O498" i="17" a="1"/>
  <c r="O498" i="17" s="1"/>
  <c r="L499" i="17"/>
  <c r="K498" i="17"/>
  <c r="M498" i="17" s="1" a="1"/>
  <c r="M498" i="17" s="1"/>
  <c r="Q220" i="17" l="1" a="1"/>
  <c r="Q220" i="17" s="1"/>
  <c r="K220" i="17" a="1"/>
  <c r="K220" i="17" s="1"/>
  <c r="J221" i="17"/>
  <c r="M219" i="17" a="1"/>
  <c r="M219" i="17" s="1"/>
  <c r="P219" i="17" a="1"/>
  <c r="P219" i="17" s="1"/>
  <c r="O499" i="17" a="1"/>
  <c r="O499" i="17" s="1"/>
  <c r="N499" i="17" a="1"/>
  <c r="N499" i="17" s="1"/>
  <c r="K499" i="17"/>
  <c r="M499" i="17" s="1" a="1"/>
  <c r="M499" i="17" s="1"/>
  <c r="L500" i="17"/>
  <c r="Q221" i="17" l="1" a="1"/>
  <c r="Q221" i="17" s="1"/>
  <c r="J222" i="17"/>
  <c r="K221" i="17" a="1"/>
  <c r="K221" i="17" s="1"/>
  <c r="P220" i="17" a="1"/>
  <c r="P220" i="17" s="1"/>
  <c r="M220" i="17" a="1"/>
  <c r="M220" i="17" s="1"/>
  <c r="O500" i="17" a="1"/>
  <c r="O500" i="17" s="1"/>
  <c r="N500" i="17" a="1"/>
  <c r="N500" i="17" s="1"/>
  <c r="L501" i="17"/>
  <c r="K500" i="17"/>
  <c r="M500" i="17" s="1" a="1"/>
  <c r="M500" i="17" s="1"/>
  <c r="P221" i="17" l="1" a="1"/>
  <c r="P221" i="17" s="1"/>
  <c r="M221" i="17" a="1"/>
  <c r="M221" i="17" s="1"/>
  <c r="Q222" i="17" a="1"/>
  <c r="Q222" i="17" s="1"/>
  <c r="K222" i="17" a="1"/>
  <c r="K222" i="17" s="1"/>
  <c r="J223" i="17"/>
  <c r="O501" i="17" a="1"/>
  <c r="O501" i="17" s="1"/>
  <c r="N501" i="17" a="1"/>
  <c r="N501" i="17" s="1"/>
  <c r="L502" i="17"/>
  <c r="K501" i="17"/>
  <c r="M501" i="17" s="1" a="1"/>
  <c r="M501" i="17" s="1"/>
  <c r="Q223" i="17" l="1" a="1"/>
  <c r="Q223" i="17" s="1"/>
  <c r="J224" i="17"/>
  <c r="K223" i="17" a="1"/>
  <c r="K223" i="17" s="1"/>
  <c r="M222" i="17" a="1"/>
  <c r="M222" i="17" s="1"/>
  <c r="P222" i="17" a="1"/>
  <c r="P222" i="17" s="1"/>
  <c r="O502" i="17" a="1"/>
  <c r="O502" i="17" s="1"/>
  <c r="N502" i="17" a="1"/>
  <c r="N502" i="17" s="1"/>
  <c r="L503" i="17"/>
  <c r="K502" i="17"/>
  <c r="M502" i="17" s="1" a="1"/>
  <c r="M502" i="17" s="1"/>
  <c r="M223" i="17" l="1" a="1"/>
  <c r="M223" i="17" s="1"/>
  <c r="P223" i="17" a="1"/>
  <c r="P223" i="17" s="1"/>
  <c r="Q224" i="17" a="1"/>
  <c r="Q224" i="17" s="1"/>
  <c r="K224" i="17" a="1"/>
  <c r="K224" i="17" s="1"/>
  <c r="J225" i="17"/>
  <c r="N503" i="17" a="1"/>
  <c r="N503" i="17" s="1"/>
  <c r="O503" i="17" a="1"/>
  <c r="O503" i="17" s="1"/>
  <c r="L504" i="17"/>
  <c r="K503" i="17"/>
  <c r="M503" i="17" s="1" a="1"/>
  <c r="M503" i="17" s="1"/>
  <c r="Q225" i="17" l="1" a="1"/>
  <c r="Q225" i="17" s="1"/>
  <c r="K225" i="17" a="1"/>
  <c r="K225" i="17" s="1"/>
  <c r="J226" i="17"/>
  <c r="P224" i="17" a="1"/>
  <c r="P224" i="17" s="1"/>
  <c r="M224" i="17" a="1"/>
  <c r="M224" i="17" s="1"/>
  <c r="O504" i="17" a="1"/>
  <c r="O504" i="17" s="1"/>
  <c r="N504" i="17" a="1"/>
  <c r="N504" i="17" s="1"/>
  <c r="L505" i="17"/>
  <c r="K504" i="17"/>
  <c r="M504" i="17" s="1" a="1"/>
  <c r="M504" i="17" s="1"/>
  <c r="Q226" i="17" l="1" a="1"/>
  <c r="Q226" i="17" s="1"/>
  <c r="J227" i="17"/>
  <c r="K226" i="17" a="1"/>
  <c r="K226" i="17" s="1"/>
  <c r="M225" i="17" a="1"/>
  <c r="M225" i="17" s="1"/>
  <c r="P225" i="17" a="1"/>
  <c r="P225" i="17" s="1"/>
  <c r="N505" i="17" a="1"/>
  <c r="N505" i="17" s="1"/>
  <c r="O505" i="17" a="1"/>
  <c r="O505" i="17" s="1"/>
  <c r="L506" i="17"/>
  <c r="K505" i="17"/>
  <c r="M505" i="17" s="1" a="1"/>
  <c r="M505" i="17" s="1"/>
  <c r="M226" i="17" l="1" a="1"/>
  <c r="M226" i="17" s="1"/>
  <c r="P226" i="17" a="1"/>
  <c r="P226" i="17" s="1"/>
  <c r="Q227" i="17" a="1"/>
  <c r="Q227" i="17" s="1"/>
  <c r="K227" i="17" a="1"/>
  <c r="K227" i="17" s="1"/>
  <c r="J228" i="17"/>
  <c r="O506" i="17" a="1"/>
  <c r="O506" i="17" s="1"/>
  <c r="N506" i="17" a="1"/>
  <c r="N506" i="17" s="1"/>
  <c r="L507" i="17"/>
  <c r="K506" i="17"/>
  <c r="M506" i="17" s="1" a="1"/>
  <c r="M506" i="17" s="1"/>
  <c r="Q228" i="17" l="1" a="1"/>
  <c r="Q228" i="17" s="1"/>
  <c r="J229" i="17"/>
  <c r="K228" i="17" a="1"/>
  <c r="K228" i="17" s="1"/>
  <c r="M227" i="17" a="1"/>
  <c r="M227" i="17" s="1"/>
  <c r="P227" i="17" a="1"/>
  <c r="P227" i="17" s="1"/>
  <c r="O507" i="17" a="1"/>
  <c r="O507" i="17" s="1"/>
  <c r="N507" i="17" a="1"/>
  <c r="N507" i="17" s="1"/>
  <c r="L508" i="17"/>
  <c r="K507" i="17"/>
  <c r="M507" i="17" s="1" a="1"/>
  <c r="M507" i="17" s="1"/>
  <c r="M228" i="17" l="1" a="1"/>
  <c r="M228" i="17" s="1"/>
  <c r="P228" i="17" a="1"/>
  <c r="P228" i="17" s="1"/>
  <c r="Q229" i="17" a="1"/>
  <c r="Q229" i="17" s="1"/>
  <c r="J230" i="17"/>
  <c r="K229" i="17" a="1"/>
  <c r="K229" i="17" s="1"/>
  <c r="N508" i="17" a="1"/>
  <c r="N508" i="17" s="1"/>
  <c r="O508" i="17" a="1"/>
  <c r="O508" i="17" s="1"/>
  <c r="L509" i="17"/>
  <c r="K508" i="17"/>
  <c r="M508" i="17" s="1" a="1"/>
  <c r="M508" i="17" s="1"/>
  <c r="Q230" i="17" l="1" a="1"/>
  <c r="Q230" i="17" s="1"/>
  <c r="J231" i="17"/>
  <c r="K230" i="17" a="1"/>
  <c r="K230" i="17" s="1"/>
  <c r="M229" i="17" a="1"/>
  <c r="M229" i="17" s="1"/>
  <c r="P229" i="17" a="1"/>
  <c r="P229" i="17" s="1"/>
  <c r="N509" i="17" a="1"/>
  <c r="N509" i="17" s="1"/>
  <c r="O509" i="17" a="1"/>
  <c r="O509" i="17" s="1"/>
  <c r="L510" i="17"/>
  <c r="K509" i="17"/>
  <c r="M509" i="17" s="1" a="1"/>
  <c r="M509" i="17" s="1"/>
  <c r="P230" i="17" l="1" a="1"/>
  <c r="P230" i="17" s="1"/>
  <c r="M230" i="17" a="1"/>
  <c r="M230" i="17" s="1"/>
  <c r="Q231" i="17" a="1"/>
  <c r="Q231" i="17" s="1"/>
  <c r="J232" i="17"/>
  <c r="K231" i="17" a="1"/>
  <c r="K231" i="17" s="1"/>
  <c r="O510" i="17" a="1"/>
  <c r="O510" i="17" s="1"/>
  <c r="N510" i="17" a="1"/>
  <c r="N510" i="17" s="1"/>
  <c r="L511" i="17"/>
  <c r="K510" i="17"/>
  <c r="M510" i="17" s="1" a="1"/>
  <c r="M510" i="17" s="1"/>
  <c r="Q232" i="17" l="1" a="1"/>
  <c r="Q232" i="17" s="1"/>
  <c r="J233" i="17"/>
  <c r="K232" i="17" a="1"/>
  <c r="K232" i="17" s="1"/>
  <c r="M231" i="17" a="1"/>
  <c r="M231" i="17" s="1"/>
  <c r="P231" i="17" a="1"/>
  <c r="P231" i="17" s="1"/>
  <c r="N511" i="17" a="1"/>
  <c r="N511" i="17" s="1"/>
  <c r="O511" i="17" a="1"/>
  <c r="O511" i="17" s="1"/>
  <c r="L512" i="17"/>
  <c r="K511" i="17"/>
  <c r="M511" i="17" s="1" a="1"/>
  <c r="M511" i="17" s="1"/>
  <c r="M232" i="17" l="1" a="1"/>
  <c r="M232" i="17" s="1"/>
  <c r="P232" i="17" a="1"/>
  <c r="P232" i="17" s="1"/>
  <c r="Q233" i="17" a="1"/>
  <c r="Q233" i="17" s="1"/>
  <c r="K233" i="17" a="1"/>
  <c r="K233" i="17" s="1"/>
  <c r="J234" i="17"/>
  <c r="O512" i="17" a="1"/>
  <c r="O512" i="17" s="1"/>
  <c r="N512" i="17" a="1"/>
  <c r="N512" i="17" s="1"/>
  <c r="L513" i="17"/>
  <c r="K512" i="17"/>
  <c r="M512" i="17" s="1" a="1"/>
  <c r="M512" i="17" s="1"/>
  <c r="P233" i="17" l="1" a="1"/>
  <c r="P233" i="17" s="1"/>
  <c r="M233" i="17" a="1"/>
  <c r="M233" i="17" s="1"/>
  <c r="Q234" i="17" a="1"/>
  <c r="Q234" i="17" s="1"/>
  <c r="J235" i="17"/>
  <c r="K234" i="17" a="1"/>
  <c r="K234" i="17" s="1"/>
  <c r="O513" i="17" a="1"/>
  <c r="O513" i="17" s="1"/>
  <c r="N513" i="17" a="1"/>
  <c r="N513" i="17" s="1"/>
  <c r="L514" i="17"/>
  <c r="K513" i="17"/>
  <c r="M513" i="17" s="1" a="1"/>
  <c r="M513" i="17" s="1"/>
  <c r="M234" i="17" l="1" a="1"/>
  <c r="M234" i="17" s="1"/>
  <c r="P234" i="17" a="1"/>
  <c r="P234" i="17" s="1"/>
  <c r="Q235" i="17" a="1"/>
  <c r="Q235" i="17" s="1"/>
  <c r="K235" i="17" a="1"/>
  <c r="K235" i="17" s="1"/>
  <c r="J236" i="17"/>
  <c r="N514" i="17" a="1"/>
  <c r="N514" i="17" s="1"/>
  <c r="O514" i="17" a="1"/>
  <c r="O514" i="17" s="1"/>
  <c r="L515" i="17"/>
  <c r="K514" i="17"/>
  <c r="M514" i="17" s="1" a="1"/>
  <c r="M514" i="17" s="1"/>
  <c r="Q236" i="17" l="1" a="1"/>
  <c r="Q236" i="17" s="1"/>
  <c r="J237" i="17"/>
  <c r="K236" i="17" a="1"/>
  <c r="K236" i="17" s="1"/>
  <c r="P235" i="17" a="1"/>
  <c r="P235" i="17" s="1"/>
  <c r="M235" i="17" a="1"/>
  <c r="M235" i="17" s="1"/>
  <c r="N515" i="17" a="1"/>
  <c r="N515" i="17" s="1"/>
  <c r="O515" i="17" a="1"/>
  <c r="O515" i="17" s="1"/>
  <c r="L516" i="17"/>
  <c r="K515" i="17"/>
  <c r="M515" i="17" s="1" a="1"/>
  <c r="M515" i="17" s="1"/>
  <c r="P236" i="17" l="1" a="1"/>
  <c r="P236" i="17" s="1"/>
  <c r="M236" i="17" a="1"/>
  <c r="M236" i="17" s="1"/>
  <c r="Q237" i="17" a="1"/>
  <c r="Q237" i="17" s="1"/>
  <c r="K237" i="17" a="1"/>
  <c r="K237" i="17" s="1"/>
  <c r="J238" i="17"/>
  <c r="O516" i="17" a="1"/>
  <c r="O516" i="17" s="1"/>
  <c r="N516" i="17" a="1"/>
  <c r="N516" i="17" s="1"/>
  <c r="L517" i="17"/>
  <c r="K516" i="17"/>
  <c r="M516" i="17" s="1" a="1"/>
  <c r="M516" i="17" s="1"/>
  <c r="M237" i="17" l="1" a="1"/>
  <c r="M237" i="17" s="1"/>
  <c r="P237" i="17" a="1"/>
  <c r="P237" i="17" s="1"/>
  <c r="Q238" i="17" a="1"/>
  <c r="Q238" i="17" s="1"/>
  <c r="J239" i="17"/>
  <c r="K238" i="17" a="1"/>
  <c r="K238" i="17" s="1"/>
  <c r="O517" i="17" a="1"/>
  <c r="O517" i="17" s="1"/>
  <c r="N517" i="17" a="1"/>
  <c r="N517" i="17" s="1"/>
  <c r="L518" i="17"/>
  <c r="K517" i="17"/>
  <c r="M517" i="17" s="1" a="1"/>
  <c r="M517" i="17" s="1"/>
  <c r="P238" i="17" l="1" a="1"/>
  <c r="P238" i="17" s="1"/>
  <c r="M238" i="17" a="1"/>
  <c r="M238" i="17" s="1"/>
  <c r="Q239" i="17" a="1"/>
  <c r="Q239" i="17" s="1"/>
  <c r="K239" i="17" a="1"/>
  <c r="K239" i="17" s="1"/>
  <c r="J240" i="17"/>
  <c r="O518" i="17" a="1"/>
  <c r="O518" i="17" s="1"/>
  <c r="N518" i="17" a="1"/>
  <c r="N518" i="17" s="1"/>
  <c r="L519" i="17"/>
  <c r="K518" i="17"/>
  <c r="M518" i="17" s="1" a="1"/>
  <c r="M518" i="17" s="1"/>
  <c r="P239" i="17" l="1" a="1"/>
  <c r="P239" i="17" s="1"/>
  <c r="M239" i="17" a="1"/>
  <c r="M239" i="17" s="1"/>
  <c r="Q240" i="17" a="1"/>
  <c r="Q240" i="17" s="1"/>
  <c r="K240" i="17" a="1"/>
  <c r="K240" i="17" s="1"/>
  <c r="J241" i="17"/>
  <c r="O519" i="17" a="1"/>
  <c r="O519" i="17" s="1"/>
  <c r="N519" i="17" a="1"/>
  <c r="N519" i="17" s="1"/>
  <c r="L520" i="17"/>
  <c r="K519" i="17"/>
  <c r="M519" i="17" s="1" a="1"/>
  <c r="M519" i="17" s="1"/>
  <c r="M240" i="17" l="1" a="1"/>
  <c r="M240" i="17" s="1"/>
  <c r="P240" i="17" a="1"/>
  <c r="P240" i="17" s="1"/>
  <c r="Q241" i="17" a="1"/>
  <c r="Q241" i="17" s="1"/>
  <c r="J242" i="17"/>
  <c r="K241" i="17" a="1"/>
  <c r="K241" i="17" s="1"/>
  <c r="O520" i="17" a="1"/>
  <c r="O520" i="17" s="1"/>
  <c r="N520" i="17" a="1"/>
  <c r="N520" i="17" s="1"/>
  <c r="L521" i="17"/>
  <c r="K520" i="17"/>
  <c r="M520" i="17" s="1" a="1"/>
  <c r="M520" i="17" s="1"/>
  <c r="Q242" i="17" l="1" a="1"/>
  <c r="Q242" i="17" s="1"/>
  <c r="J243" i="17"/>
  <c r="K242" i="17" a="1"/>
  <c r="K242" i="17" s="1"/>
  <c r="M241" i="17" a="1"/>
  <c r="M241" i="17" s="1"/>
  <c r="P241" i="17" a="1"/>
  <c r="P241" i="17" s="1"/>
  <c r="O521" i="17" a="1"/>
  <c r="O521" i="17" s="1"/>
  <c r="N521" i="17" a="1"/>
  <c r="N521" i="17" s="1"/>
  <c r="L522" i="17"/>
  <c r="K521" i="17"/>
  <c r="M521" i="17" s="1" a="1"/>
  <c r="M521" i="17" s="1"/>
  <c r="P242" i="17" l="1" a="1"/>
  <c r="P242" i="17" s="1"/>
  <c r="M242" i="17" a="1"/>
  <c r="M242" i="17" s="1"/>
  <c r="Q243" i="17" a="1"/>
  <c r="Q243" i="17" s="1"/>
  <c r="K243" i="17" a="1"/>
  <c r="K243" i="17" s="1"/>
  <c r="J244" i="17"/>
  <c r="O522" i="17" a="1"/>
  <c r="O522" i="17" s="1"/>
  <c r="N522" i="17" a="1"/>
  <c r="N522" i="17" s="1"/>
  <c r="L523" i="17"/>
  <c r="K522" i="17"/>
  <c r="M522" i="17" s="1" a="1"/>
  <c r="M522" i="17" s="1"/>
  <c r="M243" i="17" l="1" a="1"/>
  <c r="M243" i="17" s="1"/>
  <c r="P243" i="17" a="1"/>
  <c r="P243" i="17" s="1"/>
  <c r="Q244" i="17" a="1"/>
  <c r="Q244" i="17" s="1"/>
  <c r="J245" i="17"/>
  <c r="K244" i="17" a="1"/>
  <c r="K244" i="17" s="1"/>
  <c r="O523" i="17" a="1"/>
  <c r="O523" i="17" s="1"/>
  <c r="N523" i="17" a="1"/>
  <c r="N523" i="17" s="1"/>
  <c r="L524" i="17"/>
  <c r="K523" i="17"/>
  <c r="M523" i="17" s="1" a="1"/>
  <c r="M523" i="17" s="1"/>
  <c r="M244" i="17" l="1" a="1"/>
  <c r="M244" i="17" s="1"/>
  <c r="P244" i="17" a="1"/>
  <c r="P244" i="17" s="1"/>
  <c r="Q245" i="17" a="1"/>
  <c r="Q245" i="17" s="1"/>
  <c r="J246" i="17"/>
  <c r="K245" i="17" a="1"/>
  <c r="K245" i="17" s="1"/>
  <c r="O524" i="17" a="1"/>
  <c r="O524" i="17" s="1"/>
  <c r="N524" i="17" a="1"/>
  <c r="N524" i="17" s="1"/>
  <c r="L525" i="17"/>
  <c r="K524" i="17"/>
  <c r="M524" i="17" s="1" a="1"/>
  <c r="M524" i="17" s="1"/>
  <c r="M245" i="17" l="1" a="1"/>
  <c r="M245" i="17" s="1"/>
  <c r="P245" i="17" a="1"/>
  <c r="P245" i="17" s="1"/>
  <c r="Q246" i="17" a="1"/>
  <c r="Q246" i="17" s="1"/>
  <c r="K246" i="17" a="1"/>
  <c r="K246" i="17" s="1"/>
  <c r="J247" i="17"/>
  <c r="O525" i="17" a="1"/>
  <c r="O525" i="17" s="1"/>
  <c r="N525" i="17" a="1"/>
  <c r="N525" i="17" s="1"/>
  <c r="L526" i="17"/>
  <c r="K525" i="17"/>
  <c r="M525" i="17" s="1" a="1"/>
  <c r="M525" i="17" s="1"/>
  <c r="Q247" i="17" l="1" a="1"/>
  <c r="Q247" i="17" s="1"/>
  <c r="J248" i="17"/>
  <c r="K247" i="17" a="1"/>
  <c r="K247" i="17" s="1"/>
  <c r="P246" i="17" a="1"/>
  <c r="P246" i="17" s="1"/>
  <c r="M246" i="17" a="1"/>
  <c r="M246" i="17" s="1"/>
  <c r="O526" i="17" a="1"/>
  <c r="O526" i="17" s="1"/>
  <c r="N526" i="17" a="1"/>
  <c r="N526" i="17" s="1"/>
  <c r="L527" i="17"/>
  <c r="K526" i="17"/>
  <c r="M526" i="17" s="1" a="1"/>
  <c r="M526" i="17" s="1"/>
  <c r="M247" i="17" l="1" a="1"/>
  <c r="M247" i="17" s="1"/>
  <c r="P247" i="17" a="1"/>
  <c r="P247" i="17" s="1"/>
  <c r="Q248" i="17" a="1"/>
  <c r="Q248" i="17" s="1"/>
  <c r="K248" i="17" a="1"/>
  <c r="K248" i="17" s="1"/>
  <c r="J249" i="17"/>
  <c r="O527" i="17" a="1"/>
  <c r="O527" i="17" s="1"/>
  <c r="N527" i="17" a="1"/>
  <c r="N527" i="17" s="1"/>
  <c r="L528" i="17"/>
  <c r="K527" i="17"/>
  <c r="M527" i="17" s="1" a="1"/>
  <c r="M527" i="17" s="1"/>
  <c r="Q249" i="17" l="1" a="1"/>
  <c r="Q249" i="17" s="1"/>
  <c r="J250" i="17"/>
  <c r="K249" i="17" a="1"/>
  <c r="K249" i="17" s="1"/>
  <c r="M248" i="17" a="1"/>
  <c r="M248" i="17" s="1"/>
  <c r="P248" i="17" a="1"/>
  <c r="P248" i="17" s="1"/>
  <c r="O528" i="17" a="1"/>
  <c r="O528" i="17" s="1"/>
  <c r="N528" i="17" a="1"/>
  <c r="N528" i="17" s="1"/>
  <c r="L529" i="17"/>
  <c r="K528" i="17"/>
  <c r="M528" i="17" s="1" a="1"/>
  <c r="M528" i="17" s="1"/>
  <c r="M249" i="17" l="1" a="1"/>
  <c r="M249" i="17" s="1"/>
  <c r="P249" i="17" a="1"/>
  <c r="P249" i="17" s="1"/>
  <c r="Q250" i="17" a="1"/>
  <c r="Q250" i="17" s="1"/>
  <c r="J251" i="17"/>
  <c r="K250" i="17" a="1"/>
  <c r="K250" i="17" s="1"/>
  <c r="O529" i="17" a="1"/>
  <c r="O529" i="17" s="1"/>
  <c r="N529" i="17" a="1"/>
  <c r="N529" i="17" s="1"/>
  <c r="L530" i="17"/>
  <c r="K529" i="17"/>
  <c r="M529" i="17" s="1" a="1"/>
  <c r="M529" i="17" s="1"/>
  <c r="M250" i="17" l="1" a="1"/>
  <c r="M250" i="17" s="1"/>
  <c r="P250" i="17" a="1"/>
  <c r="P250" i="17" s="1"/>
  <c r="Q251" i="17" a="1"/>
  <c r="Q251" i="17" s="1"/>
  <c r="J252" i="17"/>
  <c r="K251" i="17" a="1"/>
  <c r="K251" i="17" s="1"/>
  <c r="N530" i="17" a="1"/>
  <c r="N530" i="17" s="1"/>
  <c r="O530" i="17" a="1"/>
  <c r="O530" i="17" s="1"/>
  <c r="L531" i="17"/>
  <c r="K530" i="17"/>
  <c r="M530" i="17" s="1" a="1"/>
  <c r="M530" i="17" s="1"/>
  <c r="P251" i="17" l="1" a="1"/>
  <c r="P251" i="17" s="1"/>
  <c r="M251" i="17" a="1"/>
  <c r="M251" i="17" s="1"/>
  <c r="Q252" i="17" a="1"/>
  <c r="Q252" i="17" s="1"/>
  <c r="J253" i="17"/>
  <c r="K252" i="17" a="1"/>
  <c r="K252" i="17" s="1"/>
  <c r="O531" i="17" a="1"/>
  <c r="O531" i="17" s="1"/>
  <c r="N531" i="17" a="1"/>
  <c r="N531" i="17" s="1"/>
  <c r="L532" i="17"/>
  <c r="K531" i="17"/>
  <c r="M531" i="17" s="1" a="1"/>
  <c r="M531" i="17" s="1"/>
  <c r="Q253" i="17" l="1" a="1"/>
  <c r="Q253" i="17" s="1"/>
  <c r="K253" i="17" a="1"/>
  <c r="K253" i="17" s="1"/>
  <c r="J254" i="17"/>
  <c r="P252" i="17" a="1"/>
  <c r="P252" i="17" s="1"/>
  <c r="M252" i="17" a="1"/>
  <c r="M252" i="17" s="1"/>
  <c r="O532" i="17" a="1"/>
  <c r="O532" i="17" s="1"/>
  <c r="N532" i="17" a="1"/>
  <c r="N532" i="17" s="1"/>
  <c r="L533" i="17"/>
  <c r="K532" i="17"/>
  <c r="M532" i="17" s="1" a="1"/>
  <c r="M532" i="17" s="1"/>
  <c r="Q254" i="17" l="1" a="1"/>
  <c r="Q254" i="17" s="1"/>
  <c r="J255" i="17"/>
  <c r="K254" i="17" a="1"/>
  <c r="K254" i="17" s="1"/>
  <c r="P253" i="17" a="1"/>
  <c r="P253" i="17" s="1"/>
  <c r="M253" i="17" a="1"/>
  <c r="M253" i="17" s="1"/>
  <c r="N533" i="17" a="1"/>
  <c r="N533" i="17" s="1"/>
  <c r="O533" i="17" a="1"/>
  <c r="O533" i="17" s="1"/>
  <c r="L534" i="17"/>
  <c r="K533" i="17"/>
  <c r="M533" i="17" s="1" a="1"/>
  <c r="M533" i="17" s="1"/>
  <c r="M254" i="17" l="1" a="1"/>
  <c r="M254" i="17" s="1"/>
  <c r="P254" i="17" a="1"/>
  <c r="P254" i="17" s="1"/>
  <c r="Q255" i="17" a="1"/>
  <c r="Q255" i="17" s="1"/>
  <c r="K255" i="17" a="1"/>
  <c r="K255" i="17" s="1"/>
  <c r="J256" i="17"/>
  <c r="O534" i="17" a="1"/>
  <c r="O534" i="17" s="1"/>
  <c r="N534" i="17" a="1"/>
  <c r="N534" i="17" s="1"/>
  <c r="L535" i="17"/>
  <c r="K534" i="17"/>
  <c r="M534" i="17" s="1" a="1"/>
  <c r="M534" i="17" s="1"/>
  <c r="P255" i="17" l="1" a="1"/>
  <c r="P255" i="17" s="1"/>
  <c r="M255" i="17" a="1"/>
  <c r="M255" i="17" s="1"/>
  <c r="Q256" i="17" a="1"/>
  <c r="Q256" i="17" s="1"/>
  <c r="J257" i="17"/>
  <c r="K256" i="17" a="1"/>
  <c r="K256" i="17" s="1"/>
  <c r="N535" i="17" a="1"/>
  <c r="N535" i="17" s="1"/>
  <c r="O535" i="17" a="1"/>
  <c r="O535" i="17" s="1"/>
  <c r="L536" i="17"/>
  <c r="K535" i="17"/>
  <c r="M535" i="17" s="1" a="1"/>
  <c r="M535" i="17" s="1"/>
  <c r="Q257" i="17" l="1" a="1"/>
  <c r="Q257" i="17" s="1"/>
  <c r="J258" i="17"/>
  <c r="K257" i="17" a="1"/>
  <c r="K257" i="17" s="1"/>
  <c r="M256" i="17" a="1"/>
  <c r="M256" i="17" s="1"/>
  <c r="P256" i="17" a="1"/>
  <c r="P256" i="17" s="1"/>
  <c r="N536" i="17" a="1"/>
  <c r="N536" i="17" s="1"/>
  <c r="O536" i="17" a="1"/>
  <c r="O536" i="17" s="1"/>
  <c r="L537" i="17"/>
  <c r="K536" i="17"/>
  <c r="M536" i="17" s="1" a="1"/>
  <c r="M536" i="17" s="1"/>
  <c r="M257" i="17" l="1" a="1"/>
  <c r="M257" i="17" s="1"/>
  <c r="P257" i="17" a="1"/>
  <c r="P257" i="17" s="1"/>
  <c r="Q258" i="17" a="1"/>
  <c r="Q258" i="17" s="1"/>
  <c r="J259" i="17"/>
  <c r="K258" i="17" a="1"/>
  <c r="K258" i="17" s="1"/>
  <c r="O537" i="17" a="1"/>
  <c r="O537" i="17" s="1"/>
  <c r="N537" i="17" a="1"/>
  <c r="N537" i="17" s="1"/>
  <c r="L538" i="17"/>
  <c r="K537" i="17"/>
  <c r="M537" i="17" s="1" a="1"/>
  <c r="M537" i="17" s="1"/>
  <c r="Q259" i="17" l="1" a="1"/>
  <c r="Q259" i="17" s="1"/>
  <c r="K259" i="17" a="1"/>
  <c r="K259" i="17" s="1"/>
  <c r="J260" i="17"/>
  <c r="M258" i="17" a="1"/>
  <c r="M258" i="17" s="1"/>
  <c r="P258" i="17" a="1"/>
  <c r="P258" i="17" s="1"/>
  <c r="O538" i="17" a="1"/>
  <c r="O538" i="17" s="1"/>
  <c r="N538" i="17" a="1"/>
  <c r="N538" i="17" s="1"/>
  <c r="L539" i="17"/>
  <c r="K538" i="17"/>
  <c r="M538" i="17" s="1" a="1"/>
  <c r="M538" i="17" s="1"/>
  <c r="P259" i="17" l="1" a="1"/>
  <c r="P259" i="17" s="1"/>
  <c r="M259" i="17" a="1"/>
  <c r="M259" i="17" s="1"/>
  <c r="Q260" i="17" a="1"/>
  <c r="Q260" i="17" s="1"/>
  <c r="J261" i="17"/>
  <c r="K260" i="17" a="1"/>
  <c r="K260" i="17" s="1"/>
  <c r="N539" i="17" a="1"/>
  <c r="N539" i="17" s="1"/>
  <c r="O539" i="17" a="1"/>
  <c r="O539" i="17" s="1"/>
  <c r="L540" i="17"/>
  <c r="K539" i="17"/>
  <c r="M539" i="17" s="1" a="1"/>
  <c r="M539" i="17" s="1"/>
  <c r="Q261" i="17" l="1" a="1"/>
  <c r="Q261" i="17" s="1"/>
  <c r="J262" i="17"/>
  <c r="K261" i="17" a="1"/>
  <c r="K261" i="17" s="1"/>
  <c r="P260" i="17" a="1"/>
  <c r="P260" i="17" s="1"/>
  <c r="M260" i="17" a="1"/>
  <c r="M260" i="17" s="1"/>
  <c r="O540" i="17" a="1"/>
  <c r="O540" i="17" s="1"/>
  <c r="N540" i="17" a="1"/>
  <c r="N540" i="17" s="1"/>
  <c r="L541" i="17"/>
  <c r="K540" i="17"/>
  <c r="M540" i="17" s="1" a="1"/>
  <c r="M540" i="17" s="1"/>
  <c r="M261" i="17" l="1" a="1"/>
  <c r="M261" i="17" s="1"/>
  <c r="P261" i="17" a="1"/>
  <c r="P261" i="17" s="1"/>
  <c r="Q262" i="17" a="1"/>
  <c r="Q262" i="17" s="1"/>
  <c r="K262" i="17" a="1"/>
  <c r="K262" i="17" s="1"/>
  <c r="J263" i="17"/>
  <c r="N541" i="17" a="1"/>
  <c r="N541" i="17" s="1"/>
  <c r="O541" i="17" a="1"/>
  <c r="O541" i="17" s="1"/>
  <c r="L542" i="17"/>
  <c r="K541" i="17"/>
  <c r="M541" i="17" s="1" a="1"/>
  <c r="M541" i="17" s="1"/>
  <c r="P262" i="17" l="1" a="1"/>
  <c r="P262" i="17" s="1"/>
  <c r="M262" i="17" a="1"/>
  <c r="M262" i="17" s="1"/>
  <c r="Q263" i="17" a="1"/>
  <c r="Q263" i="17" s="1"/>
  <c r="J264" i="17"/>
  <c r="K263" i="17" a="1"/>
  <c r="K263" i="17" s="1"/>
  <c r="O542" i="17" a="1"/>
  <c r="O542" i="17" s="1"/>
  <c r="N542" i="17" a="1"/>
  <c r="N542" i="17" s="1"/>
  <c r="L543" i="17"/>
  <c r="K542" i="17"/>
  <c r="M542" i="17" s="1" a="1"/>
  <c r="M542" i="17" s="1"/>
  <c r="Q264" i="17" l="1" a="1"/>
  <c r="Q264" i="17" s="1"/>
  <c r="J265" i="17"/>
  <c r="K264" i="17" a="1"/>
  <c r="K264" i="17" s="1"/>
  <c r="M263" i="17" a="1"/>
  <c r="M263" i="17" s="1"/>
  <c r="P263" i="17" a="1"/>
  <c r="P263" i="17" s="1"/>
  <c r="N543" i="17" a="1"/>
  <c r="N543" i="17" s="1"/>
  <c r="O543" i="17" a="1"/>
  <c r="O543" i="17" s="1"/>
  <c r="L544" i="17"/>
  <c r="K543" i="17"/>
  <c r="M543" i="17" s="1" a="1"/>
  <c r="M543" i="17" s="1"/>
  <c r="P264" i="17" l="1" a="1"/>
  <c r="P264" i="17" s="1"/>
  <c r="M264" i="17" a="1"/>
  <c r="M264" i="17" s="1"/>
  <c r="Q265" i="17" a="1"/>
  <c r="Q265" i="17" s="1"/>
  <c r="J266" i="17"/>
  <c r="K265" i="17" a="1"/>
  <c r="K265" i="17" s="1"/>
  <c r="O544" i="17" a="1"/>
  <c r="O544" i="17" s="1"/>
  <c r="N544" i="17" a="1"/>
  <c r="N544" i="17" s="1"/>
  <c r="L545" i="17"/>
  <c r="K544" i="17"/>
  <c r="M544" i="17" s="1" a="1"/>
  <c r="M544" i="17" s="1"/>
  <c r="M265" i="17" l="1" a="1"/>
  <c r="M265" i="17" s="1"/>
  <c r="P265" i="17" a="1"/>
  <c r="P265" i="17" s="1"/>
  <c r="Q266" i="17" a="1"/>
  <c r="Q266" i="17" s="1"/>
  <c r="J267" i="17"/>
  <c r="K266" i="17" a="1"/>
  <c r="K266" i="17" s="1"/>
  <c r="O545" i="17" a="1"/>
  <c r="O545" i="17" s="1"/>
  <c r="N545" i="17" a="1"/>
  <c r="N545" i="17" s="1"/>
  <c r="L546" i="17"/>
  <c r="K545" i="17"/>
  <c r="M545" i="17" s="1" a="1"/>
  <c r="M545" i="17" s="1"/>
  <c r="Q267" i="17" l="1" a="1"/>
  <c r="Q267" i="17" s="1"/>
  <c r="J268" i="17"/>
  <c r="K267" i="17" a="1"/>
  <c r="K267" i="17" s="1"/>
  <c r="M266" i="17" a="1"/>
  <c r="M266" i="17" s="1"/>
  <c r="P266" i="17" a="1"/>
  <c r="P266" i="17" s="1"/>
  <c r="N546" i="17" a="1"/>
  <c r="N546" i="17" s="1"/>
  <c r="O546" i="17" a="1"/>
  <c r="O546" i="17" s="1"/>
  <c r="L547" i="17"/>
  <c r="K546" i="17"/>
  <c r="M546" i="17" s="1" a="1"/>
  <c r="M546" i="17" s="1"/>
  <c r="P267" i="17" l="1" a="1"/>
  <c r="P267" i="17" s="1"/>
  <c r="M267" i="17" a="1"/>
  <c r="M267" i="17" s="1"/>
  <c r="Q268" i="17" a="1"/>
  <c r="Q268" i="17" s="1"/>
  <c r="K268" i="17" a="1"/>
  <c r="K268" i="17" s="1"/>
  <c r="J269" i="17"/>
  <c r="O547" i="17" a="1"/>
  <c r="O547" i="17" s="1"/>
  <c r="N547" i="17" a="1"/>
  <c r="N547" i="17" s="1"/>
  <c r="L548" i="17"/>
  <c r="K547" i="17"/>
  <c r="M547" i="17" s="1" a="1"/>
  <c r="M547" i="17" s="1"/>
  <c r="P268" i="17" l="1" a="1"/>
  <c r="P268" i="17" s="1"/>
  <c r="M268" i="17" a="1"/>
  <c r="M268" i="17" s="1"/>
  <c r="Q269" i="17" a="1"/>
  <c r="Q269" i="17" s="1"/>
  <c r="J270" i="17"/>
  <c r="K269" i="17" a="1"/>
  <c r="K269" i="17" s="1"/>
  <c r="O548" i="17" a="1"/>
  <c r="O548" i="17" s="1"/>
  <c r="N548" i="17" a="1"/>
  <c r="N548" i="17" s="1"/>
  <c r="L549" i="17"/>
  <c r="K548" i="17"/>
  <c r="M548" i="17" s="1" a="1"/>
  <c r="M548" i="17" s="1"/>
  <c r="Q270" i="17" l="1" a="1"/>
  <c r="Q270" i="17" s="1"/>
  <c r="K270" i="17" a="1"/>
  <c r="K270" i="17" s="1"/>
  <c r="J271" i="17"/>
  <c r="M269" i="17" a="1"/>
  <c r="M269" i="17" s="1"/>
  <c r="P269" i="17" a="1"/>
  <c r="P269" i="17" s="1"/>
  <c r="O549" i="17" a="1"/>
  <c r="O549" i="17" s="1"/>
  <c r="N549" i="17" a="1"/>
  <c r="N549" i="17" s="1"/>
  <c r="L550" i="17"/>
  <c r="K549" i="17"/>
  <c r="M549" i="17" s="1" a="1"/>
  <c r="M549" i="17" s="1"/>
  <c r="Q271" i="17" l="1" a="1"/>
  <c r="Q271" i="17" s="1"/>
  <c r="K271" i="17" a="1"/>
  <c r="K271" i="17" s="1"/>
  <c r="J272" i="17"/>
  <c r="M270" i="17" a="1"/>
  <c r="M270" i="17" s="1"/>
  <c r="P270" i="17" a="1"/>
  <c r="P270" i="17" s="1"/>
  <c r="O550" i="17" a="1"/>
  <c r="O550" i="17" s="1"/>
  <c r="N550" i="17" a="1"/>
  <c r="N550" i="17" s="1"/>
  <c r="L551" i="17"/>
  <c r="K550" i="17"/>
  <c r="M550" i="17" s="1" a="1"/>
  <c r="M550" i="17" s="1"/>
  <c r="Q272" i="17" l="1" a="1"/>
  <c r="Q272" i="17" s="1"/>
  <c r="J273" i="17"/>
  <c r="K272" i="17" a="1"/>
  <c r="K272" i="17" s="1"/>
  <c r="P271" i="17" a="1"/>
  <c r="P271" i="17" s="1"/>
  <c r="M271" i="17" a="1"/>
  <c r="M271" i="17" s="1"/>
  <c r="N551" i="17" a="1"/>
  <c r="N551" i="17" s="1"/>
  <c r="O551" i="17" a="1"/>
  <c r="O551" i="17" s="1"/>
  <c r="L552" i="17"/>
  <c r="K551" i="17"/>
  <c r="M551" i="17" s="1" a="1"/>
  <c r="M551" i="17" s="1"/>
  <c r="P272" i="17" l="1" a="1"/>
  <c r="P272" i="17" s="1"/>
  <c r="M272" i="17" a="1"/>
  <c r="M272" i="17" s="1"/>
  <c r="Q273" i="17" a="1"/>
  <c r="Q273" i="17" s="1"/>
  <c r="J274" i="17"/>
  <c r="K273" i="17" a="1"/>
  <c r="K273" i="17" s="1"/>
  <c r="N552" i="17" a="1"/>
  <c r="N552" i="17" s="1"/>
  <c r="O552" i="17" a="1"/>
  <c r="O552" i="17" s="1"/>
  <c r="B99" i="17" s="1"/>
  <c r="K552" i="17"/>
  <c r="M552" i="17" s="1" a="1"/>
  <c r="M552" i="17" s="1"/>
  <c r="P273" i="17" l="1" a="1"/>
  <c r="P273" i="17" s="1"/>
  <c r="M273" i="17" a="1"/>
  <c r="M273" i="17" s="1"/>
  <c r="B107" i="17"/>
  <c r="B91" i="17"/>
  <c r="B109" i="17"/>
  <c r="B108" i="17"/>
  <c r="B84" i="17"/>
  <c r="Q274" i="17" a="1"/>
  <c r="Q274" i="17" s="1"/>
  <c r="J275" i="17"/>
  <c r="K274" i="17" a="1"/>
  <c r="K274" i="17" s="1"/>
  <c r="M274" i="17" l="1" a="1"/>
  <c r="M274" i="17" s="1"/>
  <c r="P274" i="17" a="1"/>
  <c r="P274" i="17" s="1"/>
  <c r="Q275" i="17" a="1"/>
  <c r="Q275" i="17" s="1"/>
  <c r="J276" i="17"/>
  <c r="K275" i="17" a="1"/>
  <c r="K275" i="17" s="1"/>
  <c r="Q276" i="17" l="1" a="1"/>
  <c r="Q276" i="17" s="1"/>
  <c r="K276" i="17" a="1"/>
  <c r="K276" i="17" s="1"/>
  <c r="J277" i="17"/>
  <c r="M275" i="17" a="1"/>
  <c r="M275" i="17" s="1"/>
  <c r="P275" i="17" a="1"/>
  <c r="P275" i="17" s="1"/>
  <c r="Q277" i="17" l="1" a="1"/>
  <c r="Q277" i="17" s="1"/>
  <c r="K277" i="17" a="1"/>
  <c r="K277" i="17" s="1"/>
  <c r="J278" i="17"/>
  <c r="M276" i="17" a="1"/>
  <c r="M276" i="17" s="1"/>
  <c r="P276" i="17" a="1"/>
  <c r="P276" i="17" s="1"/>
  <c r="Q278" i="17" l="1" a="1"/>
  <c r="Q278" i="17" s="1"/>
  <c r="K278" i="17" a="1"/>
  <c r="K278" i="17" s="1"/>
  <c r="J279" i="17"/>
  <c r="M277" i="17" a="1"/>
  <c r="M277" i="17" s="1"/>
  <c r="P277" i="17" a="1"/>
  <c r="P277" i="17" s="1"/>
  <c r="Q279" i="17" l="1" a="1"/>
  <c r="Q279" i="17" s="1"/>
  <c r="K279" i="17" a="1"/>
  <c r="K279" i="17" s="1"/>
  <c r="J280" i="17"/>
  <c r="P278" i="17" a="1"/>
  <c r="P278" i="17" s="1"/>
  <c r="M278" i="17" a="1"/>
  <c r="M278" i="17" s="1"/>
  <c r="Q280" i="17" l="1" a="1"/>
  <c r="Q280" i="17" s="1"/>
  <c r="K280" i="17" a="1"/>
  <c r="K280" i="17" s="1"/>
  <c r="J281" i="17"/>
  <c r="M279" i="17" a="1"/>
  <c r="M279" i="17" s="1"/>
  <c r="P279" i="17" a="1"/>
  <c r="P279" i="17" s="1"/>
  <c r="Q281" i="17" l="1" a="1"/>
  <c r="Q281" i="17" s="1"/>
  <c r="J282" i="17"/>
  <c r="K281" i="17" a="1"/>
  <c r="K281" i="17" s="1"/>
  <c r="P280" i="17" a="1"/>
  <c r="P280" i="17" s="1"/>
  <c r="M280" i="17" a="1"/>
  <c r="M280" i="17" s="1"/>
  <c r="P281" i="17" l="1" a="1"/>
  <c r="P281" i="17" s="1"/>
  <c r="M281" i="17" a="1"/>
  <c r="M281" i="17" s="1"/>
  <c r="Q282" i="17" a="1"/>
  <c r="Q282" i="17" s="1"/>
  <c r="J283" i="17"/>
  <c r="K282" i="17" a="1"/>
  <c r="K282" i="17" s="1"/>
  <c r="P282" i="17" l="1" a="1"/>
  <c r="P282" i="17" s="1"/>
  <c r="M282" i="17" a="1"/>
  <c r="M282" i="17" s="1"/>
  <c r="Q283" i="17" a="1"/>
  <c r="Q283" i="17" s="1"/>
  <c r="K283" i="17" a="1"/>
  <c r="K283" i="17" s="1"/>
  <c r="J284" i="17"/>
  <c r="P283" i="17" l="1" a="1"/>
  <c r="P283" i="17" s="1"/>
  <c r="M283" i="17" a="1"/>
  <c r="M283" i="17" s="1"/>
  <c r="Q284" i="17" a="1"/>
  <c r="Q284" i="17" s="1"/>
  <c r="J285" i="17"/>
  <c r="K284" i="17" a="1"/>
  <c r="K284" i="17" s="1"/>
  <c r="P284" i="17" l="1" a="1"/>
  <c r="P284" i="17" s="1"/>
  <c r="M284" i="17" a="1"/>
  <c r="M284" i="17" s="1"/>
  <c r="Q285" i="17" a="1"/>
  <c r="Q285" i="17" s="1"/>
  <c r="K285" i="17" a="1"/>
  <c r="K285" i="17" s="1"/>
  <c r="J286" i="17"/>
  <c r="Q286" i="17" l="1" a="1"/>
  <c r="Q286" i="17" s="1"/>
  <c r="K286" i="17" a="1"/>
  <c r="K286" i="17" s="1"/>
  <c r="J287" i="17"/>
  <c r="M285" i="17" a="1"/>
  <c r="M285" i="17" s="1"/>
  <c r="P285" i="17" a="1"/>
  <c r="P285" i="17" s="1"/>
  <c r="Q287" i="17" l="1" a="1"/>
  <c r="Q287" i="17" s="1"/>
  <c r="K287" i="17" a="1"/>
  <c r="K287" i="17" s="1"/>
  <c r="J288" i="17"/>
  <c r="P286" i="17" a="1"/>
  <c r="P286" i="17" s="1"/>
  <c r="M286" i="17" a="1"/>
  <c r="M286" i="17" s="1"/>
  <c r="Q288" i="17" l="1" a="1"/>
  <c r="Q288" i="17" s="1"/>
  <c r="J289" i="17"/>
  <c r="K288" i="17" a="1"/>
  <c r="K288" i="17" s="1"/>
  <c r="P287" i="17" a="1"/>
  <c r="P287" i="17" s="1"/>
  <c r="M287" i="17" a="1"/>
  <c r="M287" i="17" s="1"/>
  <c r="M288" i="17" l="1" a="1"/>
  <c r="M288" i="17" s="1"/>
  <c r="P288" i="17" a="1"/>
  <c r="P288" i="17" s="1"/>
  <c r="Q289" i="17" a="1"/>
  <c r="Q289" i="17" s="1"/>
  <c r="K289" i="17" a="1"/>
  <c r="K289" i="17" s="1"/>
  <c r="J290" i="17"/>
  <c r="Q290" i="17" l="1" a="1"/>
  <c r="Q290" i="17" s="1"/>
  <c r="K290" i="17" a="1"/>
  <c r="K290" i="17" s="1"/>
  <c r="J291" i="17"/>
  <c r="P289" i="17" a="1"/>
  <c r="P289" i="17" s="1"/>
  <c r="M289" i="17" a="1"/>
  <c r="M289" i="17" s="1"/>
  <c r="Q291" i="17" l="1" a="1"/>
  <c r="Q291" i="17" s="1"/>
  <c r="J292" i="17"/>
  <c r="K291" i="17" a="1"/>
  <c r="K291" i="17" s="1"/>
  <c r="P290" i="17" a="1"/>
  <c r="P290" i="17" s="1"/>
  <c r="M290" i="17" a="1"/>
  <c r="M290" i="17" s="1"/>
  <c r="M291" i="17" l="1" a="1"/>
  <c r="M291" i="17" s="1"/>
  <c r="P291" i="17" a="1"/>
  <c r="P291" i="17" s="1"/>
  <c r="Q292" i="17" a="1"/>
  <c r="Q292" i="17" s="1"/>
  <c r="J293" i="17"/>
  <c r="K292" i="17" a="1"/>
  <c r="K292" i="17" s="1"/>
  <c r="Q293" i="17" l="1" a="1"/>
  <c r="Q293" i="17" s="1"/>
  <c r="K293" i="17" a="1"/>
  <c r="K293" i="17" s="1"/>
  <c r="J294" i="17"/>
  <c r="P292" i="17" a="1"/>
  <c r="P292" i="17" s="1"/>
  <c r="M292" i="17" a="1"/>
  <c r="M292" i="17" s="1"/>
  <c r="Q294" i="17" l="1" a="1"/>
  <c r="Q294" i="17" s="1"/>
  <c r="J295" i="17"/>
  <c r="K294" i="17" a="1"/>
  <c r="K294" i="17" s="1"/>
  <c r="M293" i="17" a="1"/>
  <c r="M293" i="17" s="1"/>
  <c r="P293" i="17" a="1"/>
  <c r="P293" i="17" s="1"/>
  <c r="P294" i="17" l="1" a="1"/>
  <c r="P294" i="17" s="1"/>
  <c r="M294" i="17" a="1"/>
  <c r="M294" i="17" s="1"/>
  <c r="Q295" i="17" a="1"/>
  <c r="Q295" i="17" s="1"/>
  <c r="J296" i="17"/>
  <c r="K295" i="17" a="1"/>
  <c r="K295" i="17" s="1"/>
  <c r="M295" i="17" l="1" a="1"/>
  <c r="M295" i="17" s="1"/>
  <c r="P295" i="17" a="1"/>
  <c r="P295" i="17" s="1"/>
  <c r="Q296" i="17" a="1"/>
  <c r="Q296" i="17" s="1"/>
  <c r="K296" i="17" a="1"/>
  <c r="K296" i="17" s="1"/>
  <c r="J297" i="17"/>
  <c r="M296" i="17" l="1" a="1"/>
  <c r="M296" i="17" s="1"/>
  <c r="P296" i="17" a="1"/>
  <c r="P296" i="17" s="1"/>
  <c r="Q297" i="17" a="1"/>
  <c r="Q297" i="17" s="1"/>
  <c r="K297" i="17" a="1"/>
  <c r="K297" i="17" s="1"/>
  <c r="J298" i="17"/>
  <c r="Q298" i="17" l="1" a="1"/>
  <c r="Q298" i="17" s="1"/>
  <c r="K298" i="17" a="1"/>
  <c r="K298" i="17" s="1"/>
  <c r="J299" i="17"/>
  <c r="M297" i="17" a="1"/>
  <c r="M297" i="17" s="1"/>
  <c r="P297" i="17" a="1"/>
  <c r="P297" i="17" s="1"/>
  <c r="Q299" i="17" l="1" a="1"/>
  <c r="Q299" i="17" s="1"/>
  <c r="J300" i="17"/>
  <c r="K299" i="17" a="1"/>
  <c r="K299" i="17" s="1"/>
  <c r="M298" i="17" a="1"/>
  <c r="M298" i="17" s="1"/>
  <c r="P298" i="17" a="1"/>
  <c r="P298" i="17" s="1"/>
  <c r="P299" i="17" l="1" a="1"/>
  <c r="P299" i="17" s="1"/>
  <c r="M299" i="17" a="1"/>
  <c r="M299" i="17" s="1"/>
  <c r="Q300" i="17" a="1"/>
  <c r="Q300" i="17" s="1"/>
  <c r="K300" i="17" a="1"/>
  <c r="K300" i="17" s="1"/>
  <c r="J301" i="17"/>
  <c r="Q301" i="17" l="1" a="1"/>
  <c r="Q301" i="17" s="1"/>
  <c r="K301" i="17" a="1"/>
  <c r="K301" i="17" s="1"/>
  <c r="J302" i="17"/>
  <c r="M300" i="17" a="1"/>
  <c r="M300" i="17" s="1"/>
  <c r="P300" i="17" a="1"/>
  <c r="P300" i="17" s="1"/>
  <c r="Q302" i="17" l="1" a="1"/>
  <c r="Q302" i="17" s="1"/>
  <c r="J303" i="17"/>
  <c r="K302" i="17" a="1"/>
  <c r="K302" i="17" s="1"/>
  <c r="P301" i="17" a="1"/>
  <c r="P301" i="17" s="1"/>
  <c r="M301" i="17" a="1"/>
  <c r="M301" i="17" s="1"/>
  <c r="M302" i="17" l="1" a="1"/>
  <c r="M302" i="17" s="1"/>
  <c r="P302" i="17" a="1"/>
  <c r="P302" i="17" s="1"/>
  <c r="Q303" i="17" a="1"/>
  <c r="Q303" i="17" s="1"/>
  <c r="K303" i="17" a="1"/>
  <c r="K303" i="17" s="1"/>
  <c r="J304" i="17"/>
  <c r="Q304" i="17" l="1" a="1"/>
  <c r="Q304" i="17" s="1"/>
  <c r="J305" i="17"/>
  <c r="K304" i="17" a="1"/>
  <c r="K304" i="17" s="1"/>
  <c r="M303" i="17" a="1"/>
  <c r="M303" i="17" s="1"/>
  <c r="P303" i="17" a="1"/>
  <c r="P303" i="17" s="1"/>
  <c r="M304" i="17" l="1" a="1"/>
  <c r="M304" i="17" s="1"/>
  <c r="P304" i="17" a="1"/>
  <c r="P304" i="17" s="1"/>
  <c r="Q305" i="17" a="1"/>
  <c r="Q305" i="17" s="1"/>
  <c r="J306" i="17"/>
  <c r="K305" i="17" a="1"/>
  <c r="K305" i="17" s="1"/>
  <c r="Q306" i="17" l="1" a="1"/>
  <c r="Q306" i="17" s="1"/>
  <c r="J307" i="17"/>
  <c r="K306" i="17" a="1"/>
  <c r="K306" i="17" s="1"/>
  <c r="P305" i="17" a="1"/>
  <c r="P305" i="17" s="1"/>
  <c r="M305" i="17" a="1"/>
  <c r="M305" i="17" s="1"/>
  <c r="M306" i="17" l="1" a="1"/>
  <c r="M306" i="17" s="1"/>
  <c r="P306" i="17" a="1"/>
  <c r="P306" i="17" s="1"/>
  <c r="Q307" i="17" a="1"/>
  <c r="Q307" i="17" s="1"/>
  <c r="K307" i="17" a="1"/>
  <c r="K307" i="17" s="1"/>
  <c r="J308" i="17"/>
  <c r="Q308" i="17" l="1" a="1"/>
  <c r="Q308" i="17" s="1"/>
  <c r="K308" i="17" a="1"/>
  <c r="K308" i="17" s="1"/>
  <c r="J309" i="17"/>
  <c r="M307" i="17" a="1"/>
  <c r="M307" i="17" s="1"/>
  <c r="P307" i="17" a="1"/>
  <c r="P307" i="17" s="1"/>
  <c r="Q309" i="17" l="1" a="1"/>
  <c r="Q309" i="17" s="1"/>
  <c r="K309" i="17" a="1"/>
  <c r="K309" i="17" s="1"/>
  <c r="J310" i="17"/>
  <c r="P308" i="17" a="1"/>
  <c r="P308" i="17" s="1"/>
  <c r="M308" i="17" a="1"/>
  <c r="M308" i="17" s="1"/>
  <c r="Q310" i="17" l="1" a="1"/>
  <c r="Q310" i="17" s="1"/>
  <c r="K310" i="17" a="1"/>
  <c r="K310" i="17" s="1"/>
  <c r="J311" i="17"/>
  <c r="M309" i="17" a="1"/>
  <c r="M309" i="17" s="1"/>
  <c r="P309" i="17" a="1"/>
  <c r="P309" i="17" s="1"/>
  <c r="Q311" i="17" l="1" a="1"/>
  <c r="Q311" i="17" s="1"/>
  <c r="K311" i="17" a="1"/>
  <c r="K311" i="17" s="1"/>
  <c r="J312" i="17"/>
  <c r="P310" i="17" a="1"/>
  <c r="P310" i="17" s="1"/>
  <c r="M310" i="17" a="1"/>
  <c r="M310" i="17" s="1"/>
  <c r="Q312" i="17" l="1" a="1"/>
  <c r="Q312" i="17" s="1"/>
  <c r="K312" i="17" a="1"/>
  <c r="K312" i="17" s="1"/>
  <c r="J313" i="17"/>
  <c r="P311" i="17" a="1"/>
  <c r="P311" i="17" s="1"/>
  <c r="M311" i="17" a="1"/>
  <c r="M311" i="17" s="1"/>
  <c r="Q313" i="17" l="1" a="1"/>
  <c r="Q313" i="17" s="1"/>
  <c r="J314" i="17"/>
  <c r="K313" i="17" a="1"/>
  <c r="K313" i="17" s="1"/>
  <c r="M312" i="17" a="1"/>
  <c r="M312" i="17" s="1"/>
  <c r="P312" i="17" a="1"/>
  <c r="P312" i="17" s="1"/>
  <c r="M313" i="17" l="1" a="1"/>
  <c r="M313" i="17" s="1"/>
  <c r="P313" i="17" a="1"/>
  <c r="P313" i="17" s="1"/>
  <c r="Q314" i="17" a="1"/>
  <c r="Q314" i="17" s="1"/>
  <c r="J315" i="17"/>
  <c r="K314" i="17" a="1"/>
  <c r="K314" i="17" s="1"/>
  <c r="M314" i="17" l="1" a="1"/>
  <c r="M314" i="17" s="1"/>
  <c r="P314" i="17" a="1"/>
  <c r="P314" i="17" s="1"/>
  <c r="Q315" i="17" a="1"/>
  <c r="Q315" i="17" s="1"/>
  <c r="K315" i="17" a="1"/>
  <c r="K315" i="17" s="1"/>
  <c r="J316" i="17"/>
  <c r="M315" i="17" l="1" a="1"/>
  <c r="M315" i="17" s="1"/>
  <c r="P315" i="17" a="1"/>
  <c r="P315" i="17" s="1"/>
  <c r="Q316" i="17" a="1"/>
  <c r="Q316" i="17" s="1"/>
  <c r="K316" i="17" a="1"/>
  <c r="K316" i="17" s="1"/>
  <c r="J317" i="17"/>
  <c r="P316" i="17" l="1" a="1"/>
  <c r="P316" i="17" s="1"/>
  <c r="M316" i="17" a="1"/>
  <c r="M316" i="17" s="1"/>
  <c r="Q317" i="17" a="1"/>
  <c r="Q317" i="17" s="1"/>
  <c r="K317" i="17" a="1"/>
  <c r="K317" i="17" s="1"/>
  <c r="J318" i="17"/>
  <c r="Q318" i="17" l="1" a="1"/>
  <c r="Q318" i="17" s="1"/>
  <c r="K318" i="17" a="1"/>
  <c r="K318" i="17" s="1"/>
  <c r="J319" i="17"/>
  <c r="P317" i="17" a="1"/>
  <c r="P317" i="17" s="1"/>
  <c r="M317" i="17" a="1"/>
  <c r="M317" i="17" s="1"/>
  <c r="Q319" i="17" l="1" a="1"/>
  <c r="Q319" i="17" s="1"/>
  <c r="J320" i="17"/>
  <c r="K319" i="17" a="1"/>
  <c r="K319" i="17" s="1"/>
  <c r="P318" i="17" a="1"/>
  <c r="P318" i="17" s="1"/>
  <c r="M318" i="17" a="1"/>
  <c r="M318" i="17" s="1"/>
  <c r="P319" i="17" l="1" a="1"/>
  <c r="P319" i="17" s="1"/>
  <c r="M319" i="17" a="1"/>
  <c r="M319" i="17" s="1"/>
  <c r="Q320" i="17" a="1"/>
  <c r="Q320" i="17" s="1"/>
  <c r="K320" i="17" a="1"/>
  <c r="K320" i="17" s="1"/>
  <c r="J321" i="17"/>
  <c r="Q321" i="17" l="1" a="1"/>
  <c r="Q321" i="17" s="1"/>
  <c r="K321" i="17" a="1"/>
  <c r="K321" i="17" s="1"/>
  <c r="J322" i="17"/>
  <c r="M320" i="17" a="1"/>
  <c r="M320" i="17" s="1"/>
  <c r="P320" i="17" a="1"/>
  <c r="P320" i="17" s="1"/>
  <c r="Q322" i="17" l="1" a="1"/>
  <c r="Q322" i="17" s="1"/>
  <c r="J323" i="17"/>
  <c r="K322" i="17" a="1"/>
  <c r="K322" i="17" s="1"/>
  <c r="P321" i="17" a="1"/>
  <c r="P321" i="17" s="1"/>
  <c r="M321" i="17" a="1"/>
  <c r="M321" i="17" s="1"/>
  <c r="P322" i="17" l="1" a="1"/>
  <c r="P322" i="17" s="1"/>
  <c r="M322" i="17" a="1"/>
  <c r="M322" i="17" s="1"/>
  <c r="Q323" i="17" a="1"/>
  <c r="Q323" i="17" s="1"/>
  <c r="K323" i="17" a="1"/>
  <c r="K323" i="17" s="1"/>
  <c r="J324" i="17"/>
  <c r="Q324" i="17" l="1" a="1"/>
  <c r="Q324" i="17" s="1"/>
  <c r="K324" i="17" a="1"/>
  <c r="K324" i="17" s="1"/>
  <c r="J325" i="17"/>
  <c r="P323" i="17" a="1"/>
  <c r="P323" i="17" s="1"/>
  <c r="M323" i="17" a="1"/>
  <c r="M323" i="17" s="1"/>
  <c r="Q325" i="17" l="1" a="1"/>
  <c r="Q325" i="17" s="1"/>
  <c r="K325" i="17" a="1"/>
  <c r="K325" i="17" s="1"/>
  <c r="J326" i="17"/>
  <c r="P324" i="17" a="1"/>
  <c r="P324" i="17" s="1"/>
  <c r="M324" i="17" a="1"/>
  <c r="M324" i="17" s="1"/>
  <c r="Q326" i="17" l="1" a="1"/>
  <c r="Q326" i="17" s="1"/>
  <c r="K326" i="17" a="1"/>
  <c r="K326" i="17" s="1"/>
  <c r="J327" i="17"/>
  <c r="P325" i="17" a="1"/>
  <c r="P325" i="17" s="1"/>
  <c r="M325" i="17" a="1"/>
  <c r="M325" i="17" s="1"/>
  <c r="Q327" i="17" l="1" a="1"/>
  <c r="Q327" i="17" s="1"/>
  <c r="J328" i="17"/>
  <c r="K327" i="17" a="1"/>
  <c r="K327" i="17" s="1"/>
  <c r="P326" i="17" a="1"/>
  <c r="P326" i="17" s="1"/>
  <c r="M326" i="17" a="1"/>
  <c r="M326" i="17" s="1"/>
  <c r="M327" i="17" l="1" a="1"/>
  <c r="M327" i="17" s="1"/>
  <c r="P327" i="17" a="1"/>
  <c r="P327" i="17" s="1"/>
  <c r="Q328" i="17" a="1"/>
  <c r="Q328" i="17" s="1"/>
  <c r="K328" i="17" a="1"/>
  <c r="K328" i="17" s="1"/>
  <c r="J329" i="17"/>
  <c r="Q329" i="17" l="1" a="1"/>
  <c r="Q329" i="17" s="1"/>
  <c r="K329" i="17" a="1"/>
  <c r="K329" i="17" s="1"/>
  <c r="J330" i="17"/>
  <c r="M328" i="17" a="1"/>
  <c r="M328" i="17" s="1"/>
  <c r="P328" i="17" a="1"/>
  <c r="P328" i="17" s="1"/>
  <c r="Q330" i="17" l="1" a="1"/>
  <c r="Q330" i="17" s="1"/>
  <c r="K330" i="17" a="1"/>
  <c r="K330" i="17" s="1"/>
  <c r="J331" i="17"/>
  <c r="P329" i="17" a="1"/>
  <c r="P329" i="17" s="1"/>
  <c r="M329" i="17" a="1"/>
  <c r="M329" i="17" s="1"/>
  <c r="Q331" i="17" l="1" a="1"/>
  <c r="Q331" i="17" s="1"/>
  <c r="K331" i="17" a="1"/>
  <c r="K331" i="17" s="1"/>
  <c r="J332" i="17"/>
  <c r="P330" i="17" a="1"/>
  <c r="P330" i="17" s="1"/>
  <c r="M330" i="17" a="1"/>
  <c r="M330" i="17" s="1"/>
  <c r="Q332" i="17" l="1" a="1"/>
  <c r="Q332" i="17" s="1"/>
  <c r="J333" i="17"/>
  <c r="K332" i="17" a="1"/>
  <c r="K332" i="17" s="1"/>
  <c r="M331" i="17" a="1"/>
  <c r="M331" i="17" s="1"/>
  <c r="P331" i="17" a="1"/>
  <c r="P331" i="17" s="1"/>
  <c r="M332" i="17" l="1" a="1"/>
  <c r="M332" i="17" s="1"/>
  <c r="P332" i="17" a="1"/>
  <c r="P332" i="17" s="1"/>
  <c r="Q333" i="17" a="1"/>
  <c r="Q333" i="17" s="1"/>
  <c r="K333" i="17" a="1"/>
  <c r="K333" i="17" s="1"/>
  <c r="J334" i="17"/>
  <c r="Q334" i="17" l="1" a="1"/>
  <c r="Q334" i="17" s="1"/>
  <c r="K334" i="17" a="1"/>
  <c r="K334" i="17" s="1"/>
  <c r="J335" i="17"/>
  <c r="P333" i="17" a="1"/>
  <c r="P333" i="17" s="1"/>
  <c r="M333" i="17" a="1"/>
  <c r="M333" i="17" s="1"/>
  <c r="Q335" i="17" l="1" a="1"/>
  <c r="Q335" i="17" s="1"/>
  <c r="K335" i="17" a="1"/>
  <c r="K335" i="17" s="1"/>
  <c r="J336" i="17"/>
  <c r="M334" i="17" a="1"/>
  <c r="M334" i="17" s="1"/>
  <c r="P334" i="17" a="1"/>
  <c r="P334" i="17" s="1"/>
  <c r="Q336" i="17" l="1" a="1"/>
  <c r="Q336" i="17" s="1"/>
  <c r="J337" i="17"/>
  <c r="K336" i="17" a="1"/>
  <c r="K336" i="17" s="1"/>
  <c r="M335" i="17" a="1"/>
  <c r="M335" i="17" s="1"/>
  <c r="P335" i="17" a="1"/>
  <c r="P335" i="17" s="1"/>
  <c r="P336" i="17" l="1" a="1"/>
  <c r="P336" i="17" s="1"/>
  <c r="M336" i="17" a="1"/>
  <c r="M336" i="17" s="1"/>
  <c r="Q337" i="17" a="1"/>
  <c r="Q337" i="17" s="1"/>
  <c r="K337" i="17" a="1"/>
  <c r="K337" i="17" s="1"/>
  <c r="J338" i="17"/>
  <c r="Q338" i="17" l="1" a="1"/>
  <c r="Q338" i="17" s="1"/>
  <c r="J339" i="17"/>
  <c r="K338" i="17" a="1"/>
  <c r="K338" i="17" s="1"/>
  <c r="P337" i="17" a="1"/>
  <c r="P337" i="17" s="1"/>
  <c r="M337" i="17" a="1"/>
  <c r="M337" i="17" s="1"/>
  <c r="M338" i="17" l="1" a="1"/>
  <c r="M338" i="17" s="1"/>
  <c r="P338" i="17" a="1"/>
  <c r="P338" i="17" s="1"/>
  <c r="Q339" i="17" a="1"/>
  <c r="Q339" i="17" s="1"/>
  <c r="J340" i="17"/>
  <c r="K339" i="17" a="1"/>
  <c r="K339" i="17" s="1"/>
  <c r="Q340" i="17" l="1" a="1"/>
  <c r="Q340" i="17" s="1"/>
  <c r="K340" i="17" a="1"/>
  <c r="K340" i="17" s="1"/>
  <c r="J341" i="17"/>
  <c r="P339" i="17" a="1"/>
  <c r="P339" i="17" s="1"/>
  <c r="M339" i="17" a="1"/>
  <c r="M339" i="17" s="1"/>
  <c r="Q341" i="17" l="1" a="1"/>
  <c r="Q341" i="17" s="1"/>
  <c r="K341" i="17" a="1"/>
  <c r="K341" i="17" s="1"/>
  <c r="J342" i="17"/>
  <c r="P340" i="17" a="1"/>
  <c r="P340" i="17" s="1"/>
  <c r="M340" i="17" a="1"/>
  <c r="M340" i="17" s="1"/>
  <c r="Q342" i="17" l="1" a="1"/>
  <c r="Q342" i="17" s="1"/>
  <c r="K342" i="17" a="1"/>
  <c r="K342" i="17" s="1"/>
  <c r="J343" i="17"/>
  <c r="P341" i="17" a="1"/>
  <c r="P341" i="17" s="1"/>
  <c r="M341" i="17" a="1"/>
  <c r="M341" i="17" s="1"/>
  <c r="Q343" i="17" l="1" a="1"/>
  <c r="Q343" i="17" s="1"/>
  <c r="K343" i="17" a="1"/>
  <c r="K343" i="17" s="1"/>
  <c r="J344" i="17"/>
  <c r="M342" i="17" a="1"/>
  <c r="M342" i="17" s="1"/>
  <c r="P342" i="17" a="1"/>
  <c r="P342" i="17" s="1"/>
  <c r="Q344" i="17" l="1" a="1"/>
  <c r="Q344" i="17" s="1"/>
  <c r="K344" i="17" a="1"/>
  <c r="K344" i="17" s="1"/>
  <c r="J345" i="17"/>
  <c r="M343" i="17" a="1"/>
  <c r="M343" i="17" s="1"/>
  <c r="P343" i="17" a="1"/>
  <c r="P343" i="17" s="1"/>
  <c r="Q345" i="17" l="1" a="1"/>
  <c r="Q345" i="17" s="1"/>
  <c r="K345" i="17" a="1"/>
  <c r="K345" i="17" s="1"/>
  <c r="J346" i="17"/>
  <c r="M344" i="17" a="1"/>
  <c r="M344" i="17" s="1"/>
  <c r="P344" i="17" a="1"/>
  <c r="P344" i="17" s="1"/>
  <c r="Q346" i="17" l="1" a="1"/>
  <c r="Q346" i="17" s="1"/>
  <c r="K346" i="17" a="1"/>
  <c r="K346" i="17" s="1"/>
  <c r="J347" i="17"/>
  <c r="P345" i="17" a="1"/>
  <c r="P345" i="17" s="1"/>
  <c r="M345" i="17" a="1"/>
  <c r="M345" i="17" s="1"/>
  <c r="P346" i="17" l="1" a="1"/>
  <c r="P346" i="17" s="1"/>
  <c r="M346" i="17" a="1"/>
  <c r="M346" i="17" s="1"/>
  <c r="Q347" i="17" a="1"/>
  <c r="Q347" i="17" s="1"/>
  <c r="K347" i="17" a="1"/>
  <c r="K347" i="17" s="1"/>
  <c r="J348" i="17"/>
  <c r="P347" i="17" l="1" a="1"/>
  <c r="P347" i="17" s="1"/>
  <c r="M347" i="17" a="1"/>
  <c r="M347" i="17" s="1"/>
  <c r="Q348" i="17" a="1"/>
  <c r="Q348" i="17" s="1"/>
  <c r="K348" i="17" a="1"/>
  <c r="K348" i="17" s="1"/>
  <c r="J349" i="17"/>
  <c r="Q349" i="17" l="1" a="1"/>
  <c r="Q349" i="17" s="1"/>
  <c r="J350" i="17"/>
  <c r="K349" i="17" a="1"/>
  <c r="K349" i="17" s="1"/>
  <c r="M348" i="17" a="1"/>
  <c r="M348" i="17" s="1"/>
  <c r="P348" i="17" a="1"/>
  <c r="P348" i="17" s="1"/>
  <c r="M349" i="17" l="1" a="1"/>
  <c r="M349" i="17" s="1"/>
  <c r="P349" i="17" a="1"/>
  <c r="P349" i="17" s="1"/>
  <c r="Q350" i="17" a="1"/>
  <c r="Q350" i="17" s="1"/>
  <c r="K350" i="17" a="1"/>
  <c r="K350" i="17" s="1"/>
  <c r="J351" i="17"/>
  <c r="M350" i="17" l="1" a="1"/>
  <c r="M350" i="17" s="1"/>
  <c r="P350" i="17" a="1"/>
  <c r="P350" i="17" s="1"/>
  <c r="Q351" i="17" a="1"/>
  <c r="Q351" i="17" s="1"/>
  <c r="K351" i="17" a="1"/>
  <c r="K351" i="17" s="1"/>
  <c r="J352" i="17"/>
  <c r="M351" i="17" l="1" a="1"/>
  <c r="M351" i="17" s="1"/>
  <c r="P351" i="17" a="1"/>
  <c r="P351" i="17" s="1"/>
  <c r="Q352" i="17" a="1"/>
  <c r="Q352" i="17" s="1"/>
  <c r="K352" i="17" a="1"/>
  <c r="K352" i="17" s="1"/>
  <c r="J353" i="17"/>
  <c r="Q353" i="17" l="1" a="1"/>
  <c r="Q353" i="17" s="1"/>
  <c r="J354" i="17"/>
  <c r="K353" i="17" a="1"/>
  <c r="K353" i="17" s="1"/>
  <c r="M352" i="17" a="1"/>
  <c r="M352" i="17" s="1"/>
  <c r="P352" i="17" a="1"/>
  <c r="P352" i="17" s="1"/>
  <c r="M353" i="17" l="1" a="1"/>
  <c r="M353" i="17" s="1"/>
  <c r="P353" i="17" a="1"/>
  <c r="P353" i="17" s="1"/>
  <c r="Q354" i="17" a="1"/>
  <c r="Q354" i="17" s="1"/>
  <c r="K354" i="17" a="1"/>
  <c r="K354" i="17" s="1"/>
  <c r="J355" i="17"/>
  <c r="Q355" i="17" l="1" a="1"/>
  <c r="Q355" i="17" s="1"/>
  <c r="K355" i="17" a="1"/>
  <c r="K355" i="17" s="1"/>
  <c r="J356" i="17"/>
  <c r="M354" i="17" a="1"/>
  <c r="M354" i="17" s="1"/>
  <c r="P354" i="17" a="1"/>
  <c r="P354" i="17" s="1"/>
  <c r="Q356" i="17" l="1" a="1"/>
  <c r="Q356" i="17" s="1"/>
  <c r="K356" i="17" a="1"/>
  <c r="K356" i="17" s="1"/>
  <c r="J357" i="17"/>
  <c r="M355" i="17" a="1"/>
  <c r="M355" i="17" s="1"/>
  <c r="P355" i="17" a="1"/>
  <c r="P355" i="17" s="1"/>
  <c r="Q357" i="17" l="1" a="1"/>
  <c r="Q357" i="17" s="1"/>
  <c r="K357" i="17" a="1"/>
  <c r="K357" i="17" s="1"/>
  <c r="J358" i="17"/>
  <c r="P356" i="17" a="1"/>
  <c r="P356" i="17" s="1"/>
  <c r="M356" i="17" a="1"/>
  <c r="M356" i="17" s="1"/>
  <c r="Q358" i="17" l="1" a="1"/>
  <c r="Q358" i="17" s="1"/>
  <c r="J359" i="17"/>
  <c r="K358" i="17" a="1"/>
  <c r="K358" i="17" s="1"/>
  <c r="P357" i="17" a="1"/>
  <c r="P357" i="17" s="1"/>
  <c r="M357" i="17" a="1"/>
  <c r="M357" i="17" s="1"/>
  <c r="P358" i="17" l="1" a="1"/>
  <c r="P358" i="17" s="1"/>
  <c r="M358" i="17" a="1"/>
  <c r="M358" i="17" s="1"/>
  <c r="Q359" i="17" a="1"/>
  <c r="Q359" i="17" s="1"/>
  <c r="J360" i="17"/>
  <c r="K359" i="17" a="1"/>
  <c r="K359" i="17" s="1"/>
  <c r="M359" i="17" l="1" a="1"/>
  <c r="M359" i="17" s="1"/>
  <c r="P359" i="17" a="1"/>
  <c r="P359" i="17" s="1"/>
  <c r="Q360" i="17" a="1"/>
  <c r="Q360" i="17" s="1"/>
  <c r="K360" i="17" a="1"/>
  <c r="K360" i="17" s="1"/>
  <c r="J361" i="17"/>
  <c r="Q361" i="17" l="1" a="1"/>
  <c r="Q361" i="17" s="1"/>
  <c r="K361" i="17" a="1"/>
  <c r="K361" i="17" s="1"/>
  <c r="J362" i="17"/>
  <c r="P360" i="17" a="1"/>
  <c r="P360" i="17" s="1"/>
  <c r="M360" i="17" a="1"/>
  <c r="M360" i="17" s="1"/>
  <c r="Q362" i="17" l="1" a="1"/>
  <c r="Q362" i="17" s="1"/>
  <c r="K362" i="17" a="1"/>
  <c r="K362" i="17" s="1"/>
  <c r="J363" i="17"/>
  <c r="P361" i="17" a="1"/>
  <c r="P361" i="17" s="1"/>
  <c r="M361" i="17" a="1"/>
  <c r="M361" i="17" s="1"/>
  <c r="Q363" i="17" l="1" a="1"/>
  <c r="Q363" i="17" s="1"/>
  <c r="K363" i="17" a="1"/>
  <c r="K363" i="17" s="1"/>
  <c r="J364" i="17"/>
  <c r="P362" i="17" a="1"/>
  <c r="P362" i="17" s="1"/>
  <c r="M362" i="17" a="1"/>
  <c r="M362" i="17" s="1"/>
  <c r="Q364" i="17" l="1" a="1"/>
  <c r="Q364" i="17" s="1"/>
  <c r="K364" i="17" a="1"/>
  <c r="K364" i="17" s="1"/>
  <c r="J365" i="17"/>
  <c r="P363" i="17" a="1"/>
  <c r="P363" i="17" s="1"/>
  <c r="M363" i="17" a="1"/>
  <c r="M363" i="17" s="1"/>
  <c r="Q365" i="17" l="1" a="1"/>
  <c r="Q365" i="17" s="1"/>
  <c r="K365" i="17" a="1"/>
  <c r="K365" i="17" s="1"/>
  <c r="J366" i="17"/>
  <c r="P364" i="17" a="1"/>
  <c r="P364" i="17" s="1"/>
  <c r="M364" i="17" a="1"/>
  <c r="M364" i="17" s="1"/>
  <c r="Q366" i="17" l="1" a="1"/>
  <c r="Q366" i="17" s="1"/>
  <c r="K366" i="17" a="1"/>
  <c r="K366" i="17" s="1"/>
  <c r="J367" i="17"/>
  <c r="P365" i="17" a="1"/>
  <c r="P365" i="17" s="1"/>
  <c r="M365" i="17" a="1"/>
  <c r="M365" i="17" s="1"/>
  <c r="M366" i="17" l="1" a="1"/>
  <c r="M366" i="17" s="1"/>
  <c r="P366" i="17" a="1"/>
  <c r="P366" i="17" s="1"/>
  <c r="Q367" i="17" a="1"/>
  <c r="Q367" i="17" s="1"/>
  <c r="K367" i="17" a="1"/>
  <c r="K367" i="17" s="1"/>
  <c r="J368" i="17"/>
  <c r="Q368" i="17" l="1" a="1"/>
  <c r="Q368" i="17" s="1"/>
  <c r="J369" i="17"/>
  <c r="K368" i="17" a="1"/>
  <c r="K368" i="17" s="1"/>
  <c r="M367" i="17" a="1"/>
  <c r="M367" i="17" s="1"/>
  <c r="P367" i="17" a="1"/>
  <c r="P367" i="17" s="1"/>
  <c r="P368" i="17" l="1" a="1"/>
  <c r="P368" i="17" s="1"/>
  <c r="M368" i="17" a="1"/>
  <c r="M368" i="17" s="1"/>
  <c r="Q369" i="17" a="1"/>
  <c r="Q369" i="17" s="1"/>
  <c r="J370" i="17"/>
  <c r="K369" i="17" a="1"/>
  <c r="K369" i="17" s="1"/>
  <c r="Q370" i="17" l="1" a="1"/>
  <c r="Q370" i="17" s="1"/>
  <c r="K370" i="17" a="1"/>
  <c r="K370" i="17" s="1"/>
  <c r="J371" i="17"/>
  <c r="M369" i="17" a="1"/>
  <c r="M369" i="17" s="1"/>
  <c r="P369" i="17" a="1"/>
  <c r="P369" i="17" s="1"/>
  <c r="Q371" i="17" l="1" a="1"/>
  <c r="Q371" i="17" s="1"/>
  <c r="J372" i="17"/>
  <c r="K371" i="17" a="1"/>
  <c r="K371" i="17" s="1"/>
  <c r="M370" i="17" a="1"/>
  <c r="M370" i="17" s="1"/>
  <c r="P370" i="17" a="1"/>
  <c r="P370" i="17" s="1"/>
  <c r="P371" i="17" l="1" a="1"/>
  <c r="P371" i="17" s="1"/>
  <c r="M371" i="17" a="1"/>
  <c r="M371" i="17" s="1"/>
  <c r="Q372" i="17" a="1"/>
  <c r="Q372" i="17" s="1"/>
  <c r="J373" i="17"/>
  <c r="K372" i="17" a="1"/>
  <c r="K372" i="17" s="1"/>
  <c r="M372" i="17" l="1" a="1"/>
  <c r="M372" i="17" s="1"/>
  <c r="P372" i="17" a="1"/>
  <c r="P372" i="17" s="1"/>
  <c r="Q373" i="17" a="1"/>
  <c r="Q373" i="17" s="1"/>
  <c r="J374" i="17"/>
  <c r="K373" i="17" a="1"/>
  <c r="K373" i="17" s="1"/>
  <c r="M373" i="17" l="1" a="1"/>
  <c r="M373" i="17" s="1"/>
  <c r="P373" i="17" a="1"/>
  <c r="P373" i="17" s="1"/>
  <c r="Q374" i="17" a="1"/>
  <c r="Q374" i="17" s="1"/>
  <c r="J375" i="17"/>
  <c r="K374" i="17" a="1"/>
  <c r="K374" i="17" s="1"/>
  <c r="P374" i="17" l="1" a="1"/>
  <c r="P374" i="17" s="1"/>
  <c r="M374" i="17" a="1"/>
  <c r="M374" i="17" s="1"/>
  <c r="Q375" i="17" a="1"/>
  <c r="Q375" i="17" s="1"/>
  <c r="K375" i="17" a="1"/>
  <c r="K375" i="17" s="1"/>
  <c r="J376" i="17"/>
  <c r="M375" i="17" l="1" a="1"/>
  <c r="M375" i="17" s="1"/>
  <c r="P375" i="17" a="1"/>
  <c r="P375" i="17" s="1"/>
  <c r="Q376" i="17" a="1"/>
  <c r="Q376" i="17" s="1"/>
  <c r="K376" i="17" a="1"/>
  <c r="K376" i="17" s="1"/>
  <c r="J377" i="17"/>
  <c r="P376" i="17" l="1" a="1"/>
  <c r="P376" i="17" s="1"/>
  <c r="M376" i="17" a="1"/>
  <c r="M376" i="17" s="1"/>
  <c r="Q377" i="17" a="1"/>
  <c r="Q377" i="17" s="1"/>
  <c r="K377" i="17" a="1"/>
  <c r="K377" i="17" s="1"/>
  <c r="J378" i="17"/>
  <c r="Q378" i="17" l="1" a="1"/>
  <c r="Q378" i="17" s="1"/>
  <c r="J379" i="17"/>
  <c r="K378" i="17" a="1"/>
  <c r="K378" i="17" s="1"/>
  <c r="P377" i="17" a="1"/>
  <c r="P377" i="17" s="1"/>
  <c r="M377" i="17" a="1"/>
  <c r="M377" i="17" s="1"/>
  <c r="M378" i="17" l="1" a="1"/>
  <c r="M378" i="17" s="1"/>
  <c r="P378" i="17" a="1"/>
  <c r="P378" i="17" s="1"/>
  <c r="Q379" i="17" a="1"/>
  <c r="Q379" i="17" s="1"/>
  <c r="J380" i="17"/>
  <c r="K379" i="17" a="1"/>
  <c r="K379" i="17" s="1"/>
  <c r="Q380" i="17" l="1" a="1"/>
  <c r="Q380" i="17" s="1"/>
  <c r="K380" i="17" a="1"/>
  <c r="K380" i="17" s="1"/>
  <c r="J381" i="17"/>
  <c r="M379" i="17" a="1"/>
  <c r="M379" i="17" s="1"/>
  <c r="P379" i="17" a="1"/>
  <c r="P379" i="17" s="1"/>
  <c r="Q381" i="17" l="1" a="1"/>
  <c r="Q381" i="17" s="1"/>
  <c r="J382" i="17"/>
  <c r="K381" i="17" a="1"/>
  <c r="K381" i="17" s="1"/>
  <c r="P380" i="17" a="1"/>
  <c r="P380" i="17" s="1"/>
  <c r="M380" i="17" a="1"/>
  <c r="M380" i="17" s="1"/>
  <c r="P381" i="17" l="1" a="1"/>
  <c r="P381" i="17" s="1"/>
  <c r="M381" i="17" a="1"/>
  <c r="M381" i="17" s="1"/>
  <c r="Q382" i="17" a="1"/>
  <c r="Q382" i="17" s="1"/>
  <c r="K382" i="17" a="1"/>
  <c r="K382" i="17" s="1"/>
  <c r="J383" i="17"/>
  <c r="P382" i="17" l="1" a="1"/>
  <c r="P382" i="17" s="1"/>
  <c r="M382" i="17" a="1"/>
  <c r="M382" i="17" s="1"/>
  <c r="Q383" i="17" a="1"/>
  <c r="Q383" i="17" s="1"/>
  <c r="K383" i="17" a="1"/>
  <c r="K383" i="17" s="1"/>
  <c r="J384" i="17"/>
  <c r="Q384" i="17" l="1" a="1"/>
  <c r="Q384" i="17" s="1"/>
  <c r="K384" i="17" a="1"/>
  <c r="K384" i="17" s="1"/>
  <c r="J385" i="17"/>
  <c r="P383" i="17" a="1"/>
  <c r="P383" i="17" s="1"/>
  <c r="M383" i="17" a="1"/>
  <c r="M383" i="17" s="1"/>
  <c r="Q385" i="17" l="1" a="1"/>
  <c r="Q385" i="17" s="1"/>
  <c r="K385" i="17" a="1"/>
  <c r="K385" i="17" s="1"/>
  <c r="J386" i="17"/>
  <c r="P384" i="17" a="1"/>
  <c r="P384" i="17" s="1"/>
  <c r="M384" i="17" a="1"/>
  <c r="M384" i="17" s="1"/>
  <c r="Q386" i="17" l="1" a="1"/>
  <c r="Q386" i="17" s="1"/>
  <c r="K386" i="17" a="1"/>
  <c r="K386" i="17" s="1"/>
  <c r="J387" i="17"/>
  <c r="M385" i="17" a="1"/>
  <c r="M385" i="17" s="1"/>
  <c r="P385" i="17" a="1"/>
  <c r="P385" i="17" s="1"/>
  <c r="Q387" i="17" l="1" a="1"/>
  <c r="Q387" i="17" s="1"/>
  <c r="J388" i="17"/>
  <c r="K387" i="17" a="1"/>
  <c r="K387" i="17" s="1"/>
  <c r="P386" i="17" a="1"/>
  <c r="P386" i="17" s="1"/>
  <c r="M386" i="17" a="1"/>
  <c r="M386" i="17" s="1"/>
  <c r="M387" i="17" l="1" a="1"/>
  <c r="M387" i="17" s="1"/>
  <c r="P387" i="17" a="1"/>
  <c r="P387" i="17" s="1"/>
  <c r="Q388" i="17" a="1"/>
  <c r="Q388" i="17" s="1"/>
  <c r="K388" i="17" a="1"/>
  <c r="K388" i="17" s="1"/>
  <c r="J389" i="17"/>
  <c r="Q389" i="17" l="1" a="1"/>
  <c r="Q389" i="17" s="1"/>
  <c r="J390" i="17"/>
  <c r="K389" i="17" a="1"/>
  <c r="K389" i="17" s="1"/>
  <c r="P388" i="17" a="1"/>
  <c r="P388" i="17" s="1"/>
  <c r="M388" i="17" a="1"/>
  <c r="M388" i="17" s="1"/>
  <c r="P389" i="17" l="1" a="1"/>
  <c r="P389" i="17" s="1"/>
  <c r="M389" i="17" a="1"/>
  <c r="M389" i="17" s="1"/>
  <c r="Q390" i="17" a="1"/>
  <c r="Q390" i="17" s="1"/>
  <c r="J391" i="17"/>
  <c r="K390" i="17" a="1"/>
  <c r="K390" i="17" s="1"/>
  <c r="Q391" i="17" l="1" a="1"/>
  <c r="Q391" i="17" s="1"/>
  <c r="J392" i="17"/>
  <c r="K391" i="17" a="1"/>
  <c r="K391" i="17" s="1"/>
  <c r="M390" i="17" a="1"/>
  <c r="M390" i="17" s="1"/>
  <c r="P390" i="17" a="1"/>
  <c r="P390" i="17" s="1"/>
  <c r="M391" i="17" l="1" a="1"/>
  <c r="M391" i="17" s="1"/>
  <c r="P391" i="17" a="1"/>
  <c r="P391" i="17" s="1"/>
  <c r="Q392" i="17" a="1"/>
  <c r="Q392" i="17" s="1"/>
  <c r="K392" i="17" a="1"/>
  <c r="K392" i="17" s="1"/>
  <c r="J393" i="17"/>
  <c r="M392" i="17" l="1" a="1"/>
  <c r="M392" i="17" s="1"/>
  <c r="P392" i="17" a="1"/>
  <c r="P392" i="17" s="1"/>
  <c r="Q393" i="17" a="1"/>
  <c r="Q393" i="17" s="1"/>
  <c r="K393" i="17" a="1"/>
  <c r="K393" i="17" s="1"/>
  <c r="J394" i="17"/>
  <c r="Q394" i="17" l="1" a="1"/>
  <c r="Q394" i="17" s="1"/>
  <c r="J395" i="17"/>
  <c r="K394" i="17" a="1"/>
  <c r="K394" i="17" s="1"/>
  <c r="M393" i="17" a="1"/>
  <c r="M393" i="17" s="1"/>
  <c r="P393" i="17" a="1"/>
  <c r="P393" i="17" s="1"/>
  <c r="P394" i="17" l="1" a="1"/>
  <c r="P394" i="17" s="1"/>
  <c r="M394" i="17" a="1"/>
  <c r="M394" i="17" s="1"/>
  <c r="Q395" i="17" a="1"/>
  <c r="Q395" i="17" s="1"/>
  <c r="K395" i="17" a="1"/>
  <c r="K395" i="17" s="1"/>
  <c r="J396" i="17"/>
  <c r="Q396" i="17" l="1" a="1"/>
  <c r="Q396" i="17" s="1"/>
  <c r="K396" i="17" a="1"/>
  <c r="K396" i="17" s="1"/>
  <c r="J397" i="17"/>
  <c r="P395" i="17" a="1"/>
  <c r="P395" i="17" s="1"/>
  <c r="M395" i="17" a="1"/>
  <c r="M395" i="17" s="1"/>
  <c r="Q397" i="17" l="1" a="1"/>
  <c r="Q397" i="17" s="1"/>
  <c r="J398" i="17"/>
  <c r="K397" i="17" a="1"/>
  <c r="K397" i="17" s="1"/>
  <c r="P396" i="17" a="1"/>
  <c r="P396" i="17" s="1"/>
  <c r="M396" i="17" a="1"/>
  <c r="M396" i="17" s="1"/>
  <c r="M397" i="17" l="1" a="1"/>
  <c r="M397" i="17" s="1"/>
  <c r="P397" i="17" a="1"/>
  <c r="P397" i="17" s="1"/>
  <c r="Q398" i="17" a="1"/>
  <c r="Q398" i="17" s="1"/>
  <c r="K398" i="17" a="1"/>
  <c r="K398" i="17" s="1"/>
  <c r="J399" i="17"/>
  <c r="M398" i="17" l="1" a="1"/>
  <c r="M398" i="17" s="1"/>
  <c r="P398" i="17" a="1"/>
  <c r="P398" i="17" s="1"/>
  <c r="Q399" i="17" a="1"/>
  <c r="Q399" i="17" s="1"/>
  <c r="K399" i="17" a="1"/>
  <c r="K399" i="17" s="1"/>
  <c r="J400" i="17"/>
  <c r="P399" i="17" l="1" a="1"/>
  <c r="P399" i="17" s="1"/>
  <c r="M399" i="17" a="1"/>
  <c r="M399" i="17" s="1"/>
  <c r="Q400" i="17" a="1"/>
  <c r="Q400" i="17" s="1"/>
  <c r="K400" i="17" a="1"/>
  <c r="K400" i="17" s="1"/>
  <c r="J401" i="17"/>
  <c r="Q401" i="17" l="1" a="1"/>
  <c r="Q401" i="17" s="1"/>
  <c r="K401" i="17" a="1"/>
  <c r="K401" i="17" s="1"/>
  <c r="J402" i="17"/>
  <c r="P400" i="17" a="1"/>
  <c r="P400" i="17" s="1"/>
  <c r="M400" i="17" a="1"/>
  <c r="M400" i="17" s="1"/>
  <c r="Q402" i="17" l="1" a="1"/>
  <c r="Q402" i="17" s="1"/>
  <c r="J403" i="17"/>
  <c r="K402" i="17" a="1"/>
  <c r="K402" i="17" s="1"/>
  <c r="P401" i="17" a="1"/>
  <c r="P401" i="17" s="1"/>
  <c r="M401" i="17" a="1"/>
  <c r="M401" i="17" s="1"/>
  <c r="M402" i="17" l="1" a="1"/>
  <c r="M402" i="17" s="1"/>
  <c r="P402" i="17" a="1"/>
  <c r="P402" i="17" s="1"/>
  <c r="Q403" i="17" a="1"/>
  <c r="Q403" i="17" s="1"/>
  <c r="K403" i="17" a="1"/>
  <c r="K403" i="17" s="1"/>
  <c r="J404" i="17"/>
  <c r="Q404" i="17" l="1" a="1"/>
  <c r="Q404" i="17" s="1"/>
  <c r="K404" i="17" a="1"/>
  <c r="K404" i="17" s="1"/>
  <c r="J405" i="17"/>
  <c r="P403" i="17" a="1"/>
  <c r="P403" i="17" s="1"/>
  <c r="M403" i="17" a="1"/>
  <c r="M403" i="17" s="1"/>
  <c r="Q405" i="17" l="1" a="1"/>
  <c r="Q405" i="17" s="1"/>
  <c r="K405" i="17" a="1"/>
  <c r="K405" i="17" s="1"/>
  <c r="J406" i="17"/>
  <c r="M404" i="17" a="1"/>
  <c r="M404" i="17" s="1"/>
  <c r="P404" i="17" a="1"/>
  <c r="P404" i="17" s="1"/>
  <c r="Q406" i="17" l="1" a="1"/>
  <c r="Q406" i="17" s="1"/>
  <c r="K406" i="17" a="1"/>
  <c r="K406" i="17" s="1"/>
  <c r="J407" i="17"/>
  <c r="M405" i="17" a="1"/>
  <c r="M405" i="17" s="1"/>
  <c r="P405" i="17" a="1"/>
  <c r="P405" i="17" s="1"/>
  <c r="Q407" i="17" l="1" a="1"/>
  <c r="Q407" i="17" s="1"/>
  <c r="J408" i="17"/>
  <c r="K407" i="17" a="1"/>
  <c r="K407" i="17" s="1"/>
  <c r="P406" i="17" a="1"/>
  <c r="P406" i="17" s="1"/>
  <c r="M406" i="17" a="1"/>
  <c r="M406" i="17" s="1"/>
  <c r="P407" i="17" l="1" a="1"/>
  <c r="P407" i="17" s="1"/>
  <c r="M407" i="17" a="1"/>
  <c r="M407" i="17" s="1"/>
  <c r="Q408" i="17" a="1"/>
  <c r="Q408" i="17" s="1"/>
  <c r="K408" i="17" a="1"/>
  <c r="K408" i="17" s="1"/>
  <c r="J409" i="17"/>
  <c r="Q409" i="17" l="1" a="1"/>
  <c r="Q409" i="17" s="1"/>
  <c r="K409" i="17" a="1"/>
  <c r="K409" i="17" s="1"/>
  <c r="J410" i="17"/>
  <c r="M408" i="17" a="1"/>
  <c r="M408" i="17" s="1"/>
  <c r="P408" i="17" a="1"/>
  <c r="P408" i="17" s="1"/>
  <c r="Q410" i="17" l="1" a="1"/>
  <c r="Q410" i="17" s="1"/>
  <c r="J411" i="17"/>
  <c r="K410" i="17" a="1"/>
  <c r="K410" i="17" s="1"/>
  <c r="P409" i="17" a="1"/>
  <c r="P409" i="17" s="1"/>
  <c r="M409" i="17" a="1"/>
  <c r="M409" i="17" s="1"/>
  <c r="M410" i="17" l="1" a="1"/>
  <c r="M410" i="17" s="1"/>
  <c r="P410" i="17" a="1"/>
  <c r="P410" i="17" s="1"/>
  <c r="Q411" i="17" a="1"/>
  <c r="Q411" i="17" s="1"/>
  <c r="J412" i="17"/>
  <c r="K411" i="17" a="1"/>
  <c r="K411" i="17" s="1"/>
  <c r="M411" i="17" l="1" a="1"/>
  <c r="M411" i="17" s="1"/>
  <c r="P411" i="17" a="1"/>
  <c r="P411" i="17" s="1"/>
  <c r="Q412" i="17" a="1"/>
  <c r="Q412" i="17" s="1"/>
  <c r="K412" i="17" a="1"/>
  <c r="K412" i="17" s="1"/>
  <c r="J413" i="17"/>
  <c r="Q413" i="17" l="1" a="1"/>
  <c r="Q413" i="17" s="1"/>
  <c r="K413" i="17" a="1"/>
  <c r="K413" i="17" s="1"/>
  <c r="J414" i="17"/>
  <c r="P412" i="17" a="1"/>
  <c r="P412" i="17" s="1"/>
  <c r="M412" i="17" a="1"/>
  <c r="M412" i="17" s="1"/>
  <c r="Q414" i="17" l="1" a="1"/>
  <c r="Q414" i="17" s="1"/>
  <c r="K414" i="17" a="1"/>
  <c r="K414" i="17" s="1"/>
  <c r="J415" i="17"/>
  <c r="M413" i="17" a="1"/>
  <c r="M413" i="17" s="1"/>
  <c r="P413" i="17" a="1"/>
  <c r="P413" i="17" s="1"/>
  <c r="Q415" i="17" l="1" a="1"/>
  <c r="Q415" i="17" s="1"/>
  <c r="J416" i="17"/>
  <c r="K415" i="17" a="1"/>
  <c r="K415" i="17" s="1"/>
  <c r="P414" i="17" a="1"/>
  <c r="P414" i="17" s="1"/>
  <c r="M414" i="17" a="1"/>
  <c r="M414" i="17" s="1"/>
  <c r="M415" i="17" l="1" a="1"/>
  <c r="M415" i="17" s="1"/>
  <c r="P415" i="17" a="1"/>
  <c r="P415" i="17" s="1"/>
  <c r="Q416" i="17" a="1"/>
  <c r="Q416" i="17" s="1"/>
  <c r="J417" i="17"/>
  <c r="K416" i="17" a="1"/>
  <c r="K416" i="17" s="1"/>
  <c r="P416" i="17" l="1" a="1"/>
  <c r="P416" i="17" s="1"/>
  <c r="M416" i="17" a="1"/>
  <c r="M416" i="17" s="1"/>
  <c r="Q417" i="17" a="1"/>
  <c r="Q417" i="17" s="1"/>
  <c r="J418" i="17"/>
  <c r="K417" i="17" a="1"/>
  <c r="K417" i="17" s="1"/>
  <c r="P417" i="17" l="1" a="1"/>
  <c r="P417" i="17" s="1"/>
  <c r="M417" i="17" a="1"/>
  <c r="M417" i="17" s="1"/>
  <c r="Q418" i="17" a="1"/>
  <c r="Q418" i="17" s="1"/>
  <c r="K418" i="17" a="1"/>
  <c r="K418" i="17" s="1"/>
  <c r="J419" i="17"/>
  <c r="Q419" i="17" l="1" a="1"/>
  <c r="Q419" i="17" s="1"/>
  <c r="K419" i="17" a="1"/>
  <c r="K419" i="17" s="1"/>
  <c r="J420" i="17"/>
  <c r="P418" i="17" a="1"/>
  <c r="P418" i="17" s="1"/>
  <c r="M418" i="17" a="1"/>
  <c r="M418" i="17" s="1"/>
  <c r="Q420" i="17" l="1" a="1"/>
  <c r="Q420" i="17" s="1"/>
  <c r="K420" i="17" a="1"/>
  <c r="K420" i="17" s="1"/>
  <c r="J421" i="17"/>
  <c r="M419" i="17" a="1"/>
  <c r="M419" i="17" s="1"/>
  <c r="P419" i="17" a="1"/>
  <c r="P419" i="17" s="1"/>
  <c r="Q421" i="17" l="1" a="1"/>
  <c r="Q421" i="17" s="1"/>
  <c r="K421" i="17" a="1"/>
  <c r="K421" i="17" s="1"/>
  <c r="J422" i="17"/>
  <c r="M420" i="17" a="1"/>
  <c r="M420" i="17" s="1"/>
  <c r="P420" i="17" a="1"/>
  <c r="P420" i="17" s="1"/>
  <c r="Q422" i="17" l="1" a="1"/>
  <c r="Q422" i="17" s="1"/>
  <c r="K422" i="17" a="1"/>
  <c r="K422" i="17" s="1"/>
  <c r="J423" i="17"/>
  <c r="P421" i="17" a="1"/>
  <c r="P421" i="17" s="1"/>
  <c r="M421" i="17" a="1"/>
  <c r="M421" i="17" s="1"/>
  <c r="Q423" i="17" l="1" a="1"/>
  <c r="Q423" i="17" s="1"/>
  <c r="J424" i="17"/>
  <c r="K423" i="17" a="1"/>
  <c r="K423" i="17" s="1"/>
  <c r="M422" i="17" a="1"/>
  <c r="M422" i="17" s="1"/>
  <c r="P422" i="17" a="1"/>
  <c r="P422" i="17" s="1"/>
  <c r="Q424" i="17" l="1" a="1"/>
  <c r="Q424" i="17" s="1"/>
  <c r="K424" i="17" a="1"/>
  <c r="K424" i="17" s="1"/>
  <c r="J425" i="17"/>
  <c r="M423" i="17" a="1"/>
  <c r="M423" i="17" s="1"/>
  <c r="P423" i="17" a="1"/>
  <c r="P423" i="17" s="1"/>
  <c r="Q425" i="17" l="1" a="1"/>
  <c r="Q425" i="17" s="1"/>
  <c r="K425" i="17" a="1"/>
  <c r="K425" i="17" s="1"/>
  <c r="J426" i="17"/>
  <c r="M424" i="17" a="1"/>
  <c r="M424" i="17" s="1"/>
  <c r="P424" i="17" a="1"/>
  <c r="P424" i="17" s="1"/>
  <c r="Q426" i="17" l="1" a="1"/>
  <c r="Q426" i="17" s="1"/>
  <c r="K426" i="17" a="1"/>
  <c r="K426" i="17" s="1"/>
  <c r="J427" i="17"/>
  <c r="M425" i="17" a="1"/>
  <c r="M425" i="17" s="1"/>
  <c r="P425" i="17" a="1"/>
  <c r="P425" i="17" s="1"/>
  <c r="Q427" i="17" l="1" a="1"/>
  <c r="Q427" i="17" s="1"/>
  <c r="K427" i="17" a="1"/>
  <c r="K427" i="17" s="1"/>
  <c r="J428" i="17"/>
  <c r="M426" i="17" a="1"/>
  <c r="M426" i="17" s="1"/>
  <c r="P426" i="17" a="1"/>
  <c r="P426" i="17" s="1"/>
  <c r="Q428" i="17" l="1" a="1"/>
  <c r="Q428" i="17" s="1"/>
  <c r="K428" i="17" a="1"/>
  <c r="K428" i="17" s="1"/>
  <c r="J429" i="17"/>
  <c r="M427" i="17" a="1"/>
  <c r="M427" i="17" s="1"/>
  <c r="P427" i="17" a="1"/>
  <c r="P427" i="17" s="1"/>
  <c r="Q429" i="17" l="1" a="1"/>
  <c r="Q429" i="17" s="1"/>
  <c r="J430" i="17"/>
  <c r="K429" i="17" a="1"/>
  <c r="K429" i="17" s="1"/>
  <c r="P428" i="17" a="1"/>
  <c r="P428" i="17" s="1"/>
  <c r="M428" i="17" a="1"/>
  <c r="M428" i="17" s="1"/>
  <c r="M429" i="17" l="1" a="1"/>
  <c r="M429" i="17" s="1"/>
  <c r="P429" i="17" a="1"/>
  <c r="P429" i="17" s="1"/>
  <c r="Q430" i="17" a="1"/>
  <c r="Q430" i="17" s="1"/>
  <c r="K430" i="17" a="1"/>
  <c r="K430" i="17" s="1"/>
  <c r="J431" i="17"/>
  <c r="P430" i="17" l="1" a="1"/>
  <c r="P430" i="17" s="1"/>
  <c r="M430" i="17" a="1"/>
  <c r="M430" i="17" s="1"/>
  <c r="Q431" i="17" a="1"/>
  <c r="Q431" i="17" s="1"/>
  <c r="K431" i="17" a="1"/>
  <c r="K431" i="17" s="1"/>
  <c r="G94" i="2"/>
  <c r="P114" i="17" s="1"/>
  <c r="G93" i="2"/>
  <c r="G92" i="2"/>
  <c r="P108" i="17" s="1"/>
  <c r="G91" i="2"/>
  <c r="G90" i="2"/>
  <c r="G89" i="2"/>
  <c r="G88" i="2"/>
  <c r="G87" i="2"/>
  <c r="G86" i="2"/>
  <c r="F85" i="2"/>
  <c r="G84" i="2"/>
  <c r="G83" i="2"/>
  <c r="G82" i="2"/>
  <c r="G81" i="2"/>
  <c r="G80" i="2"/>
  <c r="G79" i="2"/>
  <c r="G78" i="2"/>
  <c r="E188" i="2" s="1"/>
  <c r="P91" i="17" s="1"/>
  <c r="G77" i="2"/>
  <c r="G76" i="2"/>
  <c r="G75" i="2"/>
  <c r="G74" i="2"/>
  <c r="F73" i="2"/>
  <c r="G72" i="2"/>
  <c r="G71" i="2"/>
  <c r="G70" i="2"/>
  <c r="G69" i="2"/>
  <c r="E169" i="2" s="1"/>
  <c r="G68" i="2"/>
  <c r="G67" i="2"/>
  <c r="G66" i="2"/>
  <c r="G65" i="2"/>
  <c r="G64" i="2"/>
  <c r="G63" i="2"/>
  <c r="G62" i="2"/>
  <c r="F61" i="2"/>
  <c r="G60" i="2"/>
  <c r="G59" i="2"/>
  <c r="G58" i="2"/>
  <c r="G57" i="2"/>
  <c r="G56" i="2"/>
  <c r="G55" i="2"/>
  <c r="G54" i="2"/>
  <c r="P431" i="17" l="1" a="1"/>
  <c r="P431" i="17" s="1"/>
  <c r="M431" i="17" a="1"/>
  <c r="M431" i="17" s="1"/>
  <c r="P109" i="17"/>
  <c r="Q110" i="17"/>
  <c r="P110" i="17"/>
  <c r="Q111" i="17"/>
  <c r="E184" i="2"/>
  <c r="P87" i="17" s="1"/>
  <c r="P111" i="17"/>
  <c r="Q112" i="17"/>
  <c r="E185" i="2"/>
  <c r="P88" i="17" s="1"/>
  <c r="P112" i="17"/>
  <c r="Q113" i="17"/>
  <c r="E186" i="2"/>
  <c r="P89" i="17" s="1"/>
  <c r="P113" i="17"/>
  <c r="E187" i="2"/>
  <c r="P90" i="17" s="1"/>
  <c r="F70" i="2"/>
  <c r="F83" i="2"/>
  <c r="G85" i="2"/>
  <c r="F86" i="2"/>
  <c r="F88" i="2"/>
  <c r="F68" i="2"/>
  <c r="F56" i="2"/>
  <c r="F71" i="2"/>
  <c r="F58" i="2"/>
  <c r="G73" i="2"/>
  <c r="E183" i="2" s="1"/>
  <c r="P86" i="17" s="1"/>
  <c r="F74" i="2"/>
  <c r="D184" i="2" s="1"/>
  <c r="Q87" i="17" s="1"/>
  <c r="F89" i="2"/>
  <c r="F59" i="2"/>
  <c r="F76" i="2"/>
  <c r="D186" i="2" s="1"/>
  <c r="Q89" i="17" s="1"/>
  <c r="F92" i="2"/>
  <c r="Q108" i="17" s="1"/>
  <c r="G61" i="2"/>
  <c r="F94" i="2"/>
  <c r="Q114" i="17" s="1"/>
  <c r="F62" i="2"/>
  <c r="F77" i="2"/>
  <c r="F64" i="2"/>
  <c r="F80" i="2"/>
  <c r="F82" i="2"/>
  <c r="F65" i="2"/>
  <c r="F54" i="2"/>
  <c r="F60" i="2"/>
  <c r="F66" i="2"/>
  <c r="F72" i="2"/>
  <c r="F78" i="2"/>
  <c r="D188" i="2" s="1"/>
  <c r="Q91" i="17" s="1"/>
  <c r="F84" i="2"/>
  <c r="F90" i="2"/>
  <c r="F55" i="2"/>
  <c r="F67" i="2"/>
  <c r="F79" i="2"/>
  <c r="F91" i="2"/>
  <c r="F57" i="2"/>
  <c r="F63" i="2"/>
  <c r="F69" i="2"/>
  <c r="D169" i="2" s="1"/>
  <c r="F75" i="2"/>
  <c r="D185" i="2" s="1"/>
  <c r="Q88" i="17" s="1"/>
  <c r="F81" i="2"/>
  <c r="F87" i="2"/>
  <c r="F93" i="2"/>
  <c r="Q109" i="17" s="1"/>
  <c r="D183" i="2" l="1"/>
  <c r="Q86" i="17" s="1"/>
  <c r="D187" i="2"/>
  <c r="Q90" i="17" s="1"/>
  <c r="B28" i="8"/>
  <c r="H25" i="8" l="1"/>
  <c r="J25" i="8" s="1"/>
  <c r="I25" i="8" s="1"/>
  <c r="I39" i="5" l="1"/>
  <c r="H39" i="5"/>
  <c r="I38" i="5"/>
  <c r="H38" i="5"/>
  <c r="I37" i="5"/>
  <c r="H37" i="5"/>
  <c r="C3" i="14" l="1"/>
  <c r="B3" i="14"/>
  <c r="F104" i="2" l="1"/>
  <c r="H22" i="12" l="1"/>
  <c r="Q128" i="17" s="1"/>
  <c r="H23" i="12"/>
  <c r="Q129" i="17" s="1"/>
  <c r="H24" i="12"/>
  <c r="Q130" i="17" s="1"/>
  <c r="H25" i="12"/>
  <c r="Q131" i="17" s="1"/>
  <c r="H26" i="12"/>
  <c r="Q132" i="17" s="1"/>
  <c r="H27" i="12"/>
  <c r="Q133" i="17" s="1"/>
  <c r="H28" i="12"/>
  <c r="Q134" i="17" s="1"/>
  <c r="G22" i="12"/>
  <c r="P128" i="17" s="1"/>
  <c r="G23" i="12"/>
  <c r="P129" i="17" s="1"/>
  <c r="G24" i="12"/>
  <c r="P130" i="17" s="1"/>
  <c r="G25" i="12"/>
  <c r="P131" i="17" s="1"/>
  <c r="G26" i="12"/>
  <c r="P132" i="17" s="1"/>
  <c r="G27" i="12"/>
  <c r="P133" i="17" s="1"/>
  <c r="G28" i="12"/>
  <c r="P134" i="17" s="1"/>
  <c r="F22" i="12"/>
  <c r="F23" i="12"/>
  <c r="F24" i="12"/>
  <c r="F25" i="12"/>
  <c r="F26" i="12"/>
  <c r="F27" i="12"/>
  <c r="F28" i="12"/>
  <c r="F21" i="12"/>
  <c r="G21" i="12" s="1"/>
  <c r="P127" i="17" s="1"/>
  <c r="E22" i="12"/>
  <c r="E23" i="12"/>
  <c r="E24" i="12"/>
  <c r="E25" i="12"/>
  <c r="E26" i="12"/>
  <c r="E27" i="12"/>
  <c r="E28" i="12"/>
  <c r="B14" i="12"/>
  <c r="B16" i="12" s="1"/>
  <c r="H21" i="12" l="1"/>
  <c r="Q127" i="17" s="1"/>
  <c r="I42" i="5"/>
  <c r="I41" i="5"/>
  <c r="I40" i="5"/>
  <c r="H42" i="5"/>
  <c r="H41" i="5"/>
  <c r="H40" i="5"/>
  <c r="I36" i="5"/>
  <c r="H36" i="5"/>
  <c r="I31" i="5"/>
  <c r="H31" i="5"/>
  <c r="I28" i="5"/>
  <c r="H28" i="5"/>
  <c r="I25" i="5"/>
  <c r="H25" i="5"/>
  <c r="I20" i="5"/>
  <c r="H20" i="5"/>
  <c r="I17" i="5"/>
  <c r="H17" i="5"/>
  <c r="I14" i="5"/>
  <c r="H14" i="5"/>
  <c r="B70" i="5" l="1"/>
  <c r="C70" i="5"/>
  <c r="I14" i="3"/>
  <c r="I15" i="3"/>
  <c r="I16" i="3"/>
  <c r="I17" i="3"/>
  <c r="I18" i="3"/>
  <c r="I19" i="3"/>
  <c r="I20" i="3"/>
  <c r="I21" i="3"/>
  <c r="I22" i="3"/>
  <c r="I23" i="3"/>
  <c r="I24" i="3"/>
  <c r="I25" i="3"/>
  <c r="I26" i="3"/>
  <c r="I27" i="3"/>
  <c r="I28" i="3"/>
  <c r="I29" i="3"/>
  <c r="I30" i="3"/>
  <c r="I31" i="3"/>
  <c r="I32" i="3"/>
  <c r="I33" i="3"/>
  <c r="I34" i="3"/>
  <c r="I35" i="3"/>
  <c r="I4" i="3"/>
  <c r="I5" i="3"/>
  <c r="I6" i="3"/>
  <c r="I7" i="3"/>
  <c r="I8" i="3"/>
  <c r="I9" i="3"/>
  <c r="I10" i="3"/>
  <c r="I11" i="3"/>
  <c r="I12" i="3"/>
  <c r="M46" i="11" l="1"/>
  <c r="L46" i="11"/>
  <c r="K46" i="11"/>
  <c r="J46" i="11"/>
  <c r="I46" i="11"/>
  <c r="H46" i="11"/>
  <c r="M34" i="11"/>
  <c r="L34" i="11"/>
  <c r="K34" i="11"/>
  <c r="J34" i="11"/>
  <c r="I34" i="11"/>
  <c r="H34" i="11"/>
  <c r="N34" i="11" s="1"/>
  <c r="M33" i="11"/>
  <c r="L33" i="11"/>
  <c r="K33" i="11"/>
  <c r="J33" i="11"/>
  <c r="I33" i="11"/>
  <c r="H33" i="11"/>
  <c r="M32" i="11"/>
  <c r="L32" i="11"/>
  <c r="K32" i="11"/>
  <c r="J32" i="11"/>
  <c r="I32" i="11"/>
  <c r="H32" i="11"/>
  <c r="M31" i="11"/>
  <c r="L31" i="11"/>
  <c r="K31" i="11"/>
  <c r="J31" i="11"/>
  <c r="I31" i="11"/>
  <c r="H31" i="11"/>
  <c r="M30" i="11"/>
  <c r="L30" i="11"/>
  <c r="K30" i="11"/>
  <c r="J30" i="11"/>
  <c r="I30" i="11"/>
  <c r="H30" i="11"/>
  <c r="N31" i="11" l="1"/>
  <c r="N46" i="11"/>
  <c r="N30" i="11"/>
  <c r="N33" i="11"/>
  <c r="N32" i="11"/>
  <c r="H7" i="11"/>
  <c r="I7" i="11"/>
  <c r="J7" i="11"/>
  <c r="K7" i="11"/>
  <c r="L7" i="11"/>
  <c r="M7" i="11"/>
  <c r="H8" i="11"/>
  <c r="I8" i="11"/>
  <c r="J8" i="11"/>
  <c r="K8" i="11"/>
  <c r="L8" i="11"/>
  <c r="M8" i="11"/>
  <c r="H9" i="11"/>
  <c r="I9" i="11"/>
  <c r="J9" i="11"/>
  <c r="K9" i="11"/>
  <c r="L9" i="11"/>
  <c r="M9" i="11"/>
  <c r="H10" i="11"/>
  <c r="I10" i="11"/>
  <c r="J10" i="11"/>
  <c r="K10" i="11"/>
  <c r="L10" i="11"/>
  <c r="M10" i="11"/>
  <c r="H11" i="11"/>
  <c r="I11" i="11"/>
  <c r="J11" i="11"/>
  <c r="K11" i="11"/>
  <c r="L11" i="11"/>
  <c r="M11" i="11"/>
  <c r="H12" i="11"/>
  <c r="I12" i="11"/>
  <c r="J12" i="11"/>
  <c r="K12" i="11"/>
  <c r="L12" i="11"/>
  <c r="M12" i="11"/>
  <c r="H13" i="11"/>
  <c r="I13" i="11"/>
  <c r="J13" i="11"/>
  <c r="K13" i="11"/>
  <c r="L13" i="11"/>
  <c r="M13" i="11"/>
  <c r="H14" i="11"/>
  <c r="I14" i="11"/>
  <c r="J14" i="11"/>
  <c r="K14" i="11"/>
  <c r="L14" i="11"/>
  <c r="M14" i="11"/>
  <c r="H15" i="11"/>
  <c r="I15" i="11"/>
  <c r="J15" i="11"/>
  <c r="K15" i="11"/>
  <c r="L15" i="11"/>
  <c r="M15" i="11"/>
  <c r="H16" i="11"/>
  <c r="I16" i="11"/>
  <c r="J16" i="11"/>
  <c r="K16" i="11"/>
  <c r="L16" i="11"/>
  <c r="M16" i="11"/>
  <c r="H17" i="11"/>
  <c r="I17" i="11"/>
  <c r="J17" i="11"/>
  <c r="K17" i="11"/>
  <c r="L17" i="11"/>
  <c r="M17" i="11"/>
  <c r="H18" i="11"/>
  <c r="I18" i="11"/>
  <c r="J18" i="11"/>
  <c r="K18" i="11"/>
  <c r="L18" i="11"/>
  <c r="M18" i="11"/>
  <c r="H19" i="11"/>
  <c r="I19" i="11"/>
  <c r="J19" i="11"/>
  <c r="K19" i="11"/>
  <c r="L19" i="11"/>
  <c r="M19" i="11"/>
  <c r="H20" i="11"/>
  <c r="I20" i="11"/>
  <c r="J20" i="11"/>
  <c r="K20" i="11"/>
  <c r="L20" i="11"/>
  <c r="M20" i="11"/>
  <c r="H21" i="11"/>
  <c r="I21" i="11"/>
  <c r="J21" i="11"/>
  <c r="K21" i="11"/>
  <c r="L21" i="11"/>
  <c r="M21" i="11"/>
  <c r="H22" i="11"/>
  <c r="I22" i="11"/>
  <c r="J22" i="11"/>
  <c r="K22" i="11"/>
  <c r="L22" i="11"/>
  <c r="M22" i="11"/>
  <c r="H23" i="11"/>
  <c r="I23" i="11"/>
  <c r="J23" i="11"/>
  <c r="K23" i="11"/>
  <c r="L23" i="11"/>
  <c r="M23" i="11"/>
  <c r="H24" i="11"/>
  <c r="I24" i="11"/>
  <c r="J24" i="11"/>
  <c r="K24" i="11"/>
  <c r="L24" i="11"/>
  <c r="M24" i="11"/>
  <c r="H25" i="11"/>
  <c r="I25" i="11"/>
  <c r="J25" i="11"/>
  <c r="K25" i="11"/>
  <c r="L25" i="11"/>
  <c r="M25" i="11"/>
  <c r="H26" i="11"/>
  <c r="I26" i="11"/>
  <c r="J26" i="11"/>
  <c r="K26" i="11"/>
  <c r="L26" i="11"/>
  <c r="M26" i="11"/>
  <c r="H27" i="11"/>
  <c r="I27" i="11"/>
  <c r="J27" i="11"/>
  <c r="K27" i="11"/>
  <c r="L27" i="11"/>
  <c r="M27" i="11"/>
  <c r="H28" i="11"/>
  <c r="I28" i="11"/>
  <c r="J28" i="11"/>
  <c r="K28" i="11"/>
  <c r="L28" i="11"/>
  <c r="M28" i="11"/>
  <c r="H29" i="11"/>
  <c r="I29" i="11"/>
  <c r="J29" i="11"/>
  <c r="K29" i="11"/>
  <c r="L29" i="11"/>
  <c r="M29" i="11"/>
  <c r="H35" i="11"/>
  <c r="I35" i="11"/>
  <c r="J35" i="11"/>
  <c r="K35" i="11"/>
  <c r="L35" i="11"/>
  <c r="M35" i="11"/>
  <c r="H36" i="11"/>
  <c r="I36" i="11"/>
  <c r="J36" i="11"/>
  <c r="K36" i="11"/>
  <c r="L36" i="11"/>
  <c r="M36" i="11"/>
  <c r="H37" i="11"/>
  <c r="I37" i="11"/>
  <c r="J37" i="11"/>
  <c r="K37" i="11"/>
  <c r="L37" i="11"/>
  <c r="M37" i="11"/>
  <c r="H38" i="11"/>
  <c r="I38" i="11"/>
  <c r="J38" i="11"/>
  <c r="K38" i="11"/>
  <c r="L38" i="11"/>
  <c r="M38" i="11"/>
  <c r="H39" i="11"/>
  <c r="I39" i="11"/>
  <c r="J39" i="11"/>
  <c r="K39" i="11"/>
  <c r="L39" i="11"/>
  <c r="M39" i="11"/>
  <c r="H40" i="11"/>
  <c r="I40" i="11"/>
  <c r="J40" i="11"/>
  <c r="K40" i="11"/>
  <c r="L40" i="11"/>
  <c r="M40" i="11"/>
  <c r="H41" i="11"/>
  <c r="I41" i="11"/>
  <c r="J41" i="11"/>
  <c r="K41" i="11"/>
  <c r="L41" i="11"/>
  <c r="M41" i="11"/>
  <c r="H42" i="11"/>
  <c r="I42" i="11"/>
  <c r="J42" i="11"/>
  <c r="K42" i="11"/>
  <c r="L42" i="11"/>
  <c r="M42" i="11"/>
  <c r="H43" i="11"/>
  <c r="I43" i="11"/>
  <c r="J43" i="11"/>
  <c r="K43" i="11"/>
  <c r="L43" i="11"/>
  <c r="M43" i="11"/>
  <c r="H44" i="11"/>
  <c r="I44" i="11"/>
  <c r="J44" i="11"/>
  <c r="K44" i="11"/>
  <c r="L44" i="11"/>
  <c r="M44" i="11"/>
  <c r="H45" i="11"/>
  <c r="I45" i="11"/>
  <c r="J45" i="11"/>
  <c r="K45" i="11"/>
  <c r="L45" i="11"/>
  <c r="M45" i="11"/>
  <c r="H47" i="11"/>
  <c r="I47" i="11"/>
  <c r="J47" i="11"/>
  <c r="K47" i="11"/>
  <c r="L47" i="11"/>
  <c r="M47" i="11"/>
  <c r="I6" i="11"/>
  <c r="J6" i="11"/>
  <c r="K6" i="11"/>
  <c r="L6" i="11"/>
  <c r="M6" i="11"/>
  <c r="H6" i="11"/>
  <c r="N42" i="11" l="1"/>
  <c r="N21" i="11"/>
  <c r="N38" i="11"/>
  <c r="N35" i="11"/>
  <c r="C59" i="11" s="1"/>
  <c r="N13" i="11"/>
  <c r="N29" i="11"/>
  <c r="N27" i="11"/>
  <c r="C58" i="11" s="1"/>
  <c r="N14" i="11"/>
  <c r="N17" i="11"/>
  <c r="N11" i="11"/>
  <c r="N10" i="11"/>
  <c r="N18" i="11"/>
  <c r="N41" i="11"/>
  <c r="C62" i="11" s="1"/>
  <c r="N39" i="11"/>
  <c r="N44" i="11"/>
  <c r="N23" i="11"/>
  <c r="C56" i="11" s="1"/>
  <c r="N9" i="11"/>
  <c r="C55" i="11" s="1"/>
  <c r="N7" i="11"/>
  <c r="N12" i="11"/>
  <c r="N25" i="11"/>
  <c r="C57" i="11" s="1"/>
  <c r="N47" i="11"/>
  <c r="C65" i="11" s="1"/>
  <c r="N19" i="11"/>
  <c r="N28" i="11"/>
  <c r="N40" i="11"/>
  <c r="N26" i="11"/>
  <c r="N22" i="11"/>
  <c r="N37" i="11"/>
  <c r="C61" i="11" s="1"/>
  <c r="N24" i="11"/>
  <c r="N16" i="11"/>
  <c r="N8" i="11"/>
  <c r="N20" i="11"/>
  <c r="N43" i="11"/>
  <c r="C63" i="11" s="1"/>
  <c r="N6" i="11"/>
  <c r="N45" i="11"/>
  <c r="C64" i="11" s="1"/>
  <c r="N36" i="11"/>
  <c r="C60" i="11" s="1"/>
  <c r="N15" i="11"/>
  <c r="C50" i="8" l="1"/>
  <c r="T22" i="6"/>
  <c r="I22" i="6"/>
  <c r="T10" i="6"/>
  <c r="T25" i="6"/>
  <c r="I10" i="6"/>
  <c r="I25" i="6"/>
  <c r="I35" i="6"/>
  <c r="T13" i="6"/>
  <c r="T28" i="6"/>
  <c r="I13" i="6"/>
  <c r="I28" i="6"/>
  <c r="I37" i="6"/>
  <c r="T16" i="6"/>
  <c r="T31" i="6"/>
  <c r="I16" i="6"/>
  <c r="I31" i="6"/>
  <c r="I32" i="6"/>
  <c r="T19" i="6"/>
  <c r="T33" i="6"/>
  <c r="T7" i="6"/>
  <c r="I19" i="6"/>
  <c r="I33" i="6"/>
  <c r="I7" i="6"/>
  <c r="T21" i="6"/>
  <c r="T37" i="6"/>
  <c r="I21" i="6"/>
  <c r="I24" i="6"/>
  <c r="I27" i="6"/>
  <c r="T9" i="6"/>
  <c r="T24" i="6"/>
  <c r="I9" i="6"/>
  <c r="I36" i="6"/>
  <c r="T12" i="6"/>
  <c r="T27" i="6"/>
  <c r="I12" i="6"/>
  <c r="I39" i="6"/>
  <c r="I29" i="6"/>
  <c r="T15" i="6"/>
  <c r="T30" i="6"/>
  <c r="I15" i="6"/>
  <c r="I30" i="6"/>
  <c r="I18" i="6"/>
  <c r="T18" i="6"/>
  <c r="T39" i="6"/>
  <c r="T20" i="6"/>
  <c r="T36" i="6"/>
  <c r="I20" i="6"/>
  <c r="T8" i="6"/>
  <c r="T23" i="6"/>
  <c r="I8" i="6"/>
  <c r="I23" i="6"/>
  <c r="T11" i="6"/>
  <c r="T26" i="6"/>
  <c r="I11" i="6"/>
  <c r="I26" i="6"/>
  <c r="T14" i="6"/>
  <c r="T29" i="6"/>
  <c r="I14" i="6"/>
  <c r="T17" i="6"/>
  <c r="T32" i="6"/>
  <c r="I17" i="6"/>
  <c r="T38" i="6"/>
  <c r="T35" i="6"/>
  <c r="T40" i="6" s="1"/>
  <c r="I38" i="6"/>
  <c r="G70" i="5"/>
  <c r="Q534" i="17" s="1" a="1"/>
  <c r="Q534" i="17" s="1"/>
  <c r="R70" i="5"/>
  <c r="P534" i="17" s="1" a="1"/>
  <c r="P534" i="17" s="1"/>
  <c r="C54" i="8"/>
  <c r="X11" i="6"/>
  <c r="X26" i="6"/>
  <c r="X7" i="6"/>
  <c r="M11" i="6"/>
  <c r="M26" i="6"/>
  <c r="M7" i="6"/>
  <c r="M13" i="6"/>
  <c r="M16" i="6"/>
  <c r="M24" i="6"/>
  <c r="X14" i="6"/>
  <c r="X29" i="6"/>
  <c r="M14" i="6"/>
  <c r="M29" i="6"/>
  <c r="M38" i="6"/>
  <c r="M35" i="6"/>
  <c r="M37" i="6"/>
  <c r="M27" i="6"/>
  <c r="X17" i="6"/>
  <c r="X32" i="6"/>
  <c r="M17" i="6"/>
  <c r="M32" i="6"/>
  <c r="X38" i="6"/>
  <c r="X35" i="6"/>
  <c r="X22" i="6"/>
  <c r="M22" i="6"/>
  <c r="M31" i="6"/>
  <c r="M36" i="6"/>
  <c r="X10" i="6"/>
  <c r="X25" i="6"/>
  <c r="M10" i="6"/>
  <c r="M25" i="6"/>
  <c r="M30" i="6"/>
  <c r="X13" i="6"/>
  <c r="X28" i="6"/>
  <c r="M28" i="6"/>
  <c r="M39" i="6"/>
  <c r="X16" i="6"/>
  <c r="X31" i="6"/>
  <c r="X19" i="6"/>
  <c r="X33" i="6"/>
  <c r="M19" i="6"/>
  <c r="M33" i="6"/>
  <c r="X21" i="6"/>
  <c r="X37" i="6"/>
  <c r="M21" i="6"/>
  <c r="X9" i="6"/>
  <c r="X24" i="6"/>
  <c r="M9" i="6"/>
  <c r="X12" i="6"/>
  <c r="X27" i="6"/>
  <c r="M12" i="6"/>
  <c r="X15" i="6"/>
  <c r="X30" i="6"/>
  <c r="M15" i="6"/>
  <c r="X18" i="6"/>
  <c r="X39" i="6"/>
  <c r="M18" i="6"/>
  <c r="X20" i="6"/>
  <c r="X36" i="6"/>
  <c r="M20" i="6"/>
  <c r="X8" i="6"/>
  <c r="X23" i="6"/>
  <c r="M8" i="6"/>
  <c r="M23" i="6"/>
  <c r="K70" i="5"/>
  <c r="Q538" i="17" s="1" a="1"/>
  <c r="Q538" i="17" s="1"/>
  <c r="V70" i="5"/>
  <c r="P538" i="17" s="1" a="1"/>
  <c r="P538" i="17" s="1"/>
  <c r="C55" i="8"/>
  <c r="Y8" i="6"/>
  <c r="Y23" i="6"/>
  <c r="N8" i="6"/>
  <c r="N23" i="6"/>
  <c r="N25" i="6"/>
  <c r="N27" i="6"/>
  <c r="Y11" i="6"/>
  <c r="Y26" i="6"/>
  <c r="N11" i="6"/>
  <c r="N26" i="6"/>
  <c r="N37" i="6"/>
  <c r="Y14" i="6"/>
  <c r="Y29" i="6"/>
  <c r="N14" i="6"/>
  <c r="N29" i="6"/>
  <c r="N17" i="6"/>
  <c r="N32" i="6"/>
  <c r="Y17" i="6"/>
  <c r="Y32" i="6"/>
  <c r="N13" i="6"/>
  <c r="N28" i="6"/>
  <c r="N33" i="6"/>
  <c r="Y38" i="6"/>
  <c r="Y35" i="6"/>
  <c r="Y40" i="6" s="1"/>
  <c r="N38" i="6"/>
  <c r="N35" i="6"/>
  <c r="Y22" i="6"/>
  <c r="N22" i="6"/>
  <c r="Y10" i="6"/>
  <c r="Y25" i="6"/>
  <c r="N10" i="6"/>
  <c r="Y13" i="6"/>
  <c r="Y28" i="6"/>
  <c r="Y16" i="6"/>
  <c r="Y31" i="6"/>
  <c r="N16" i="6"/>
  <c r="N31" i="6"/>
  <c r="N24" i="6"/>
  <c r="N30" i="6"/>
  <c r="N36" i="6"/>
  <c r="Y19" i="6"/>
  <c r="Y33" i="6"/>
  <c r="N19" i="6"/>
  <c r="N7" i="6"/>
  <c r="Y21" i="6"/>
  <c r="Y37" i="6"/>
  <c r="N21" i="6"/>
  <c r="Y9" i="6"/>
  <c r="Y24" i="6"/>
  <c r="N9" i="6"/>
  <c r="N39" i="6"/>
  <c r="Y12" i="6"/>
  <c r="Y27" i="6"/>
  <c r="N12" i="6"/>
  <c r="Y15" i="6"/>
  <c r="Y30" i="6"/>
  <c r="N15" i="6"/>
  <c r="Y18" i="6"/>
  <c r="Y39" i="6"/>
  <c r="N18" i="6"/>
  <c r="Y20" i="6"/>
  <c r="Y36" i="6"/>
  <c r="Y7" i="6"/>
  <c r="N20" i="6"/>
  <c r="W70" i="5"/>
  <c r="P539" i="17" s="1" a="1"/>
  <c r="P539" i="17" s="1"/>
  <c r="L70" i="5"/>
  <c r="Q539" i="17" s="1" a="1"/>
  <c r="Q539" i="17" s="1"/>
  <c r="C53" i="8"/>
  <c r="W14" i="6"/>
  <c r="W29" i="6"/>
  <c r="L14" i="6"/>
  <c r="L29" i="6"/>
  <c r="L7" i="6"/>
  <c r="L22" i="6"/>
  <c r="W17" i="6"/>
  <c r="W32" i="6"/>
  <c r="W7" i="6"/>
  <c r="L17" i="6"/>
  <c r="L32" i="6"/>
  <c r="L31" i="6"/>
  <c r="L33" i="6"/>
  <c r="W38" i="6"/>
  <c r="W35" i="6"/>
  <c r="L38" i="6"/>
  <c r="L35" i="6"/>
  <c r="L28" i="6"/>
  <c r="L27" i="6"/>
  <c r="W22" i="6"/>
  <c r="L16" i="6"/>
  <c r="W10" i="6"/>
  <c r="W25" i="6"/>
  <c r="L10" i="6"/>
  <c r="L25" i="6"/>
  <c r="L39" i="6"/>
  <c r="W13" i="6"/>
  <c r="W28" i="6"/>
  <c r="L13" i="6"/>
  <c r="W16" i="6"/>
  <c r="W31" i="6"/>
  <c r="W19" i="6"/>
  <c r="W33" i="6"/>
  <c r="L19" i="6"/>
  <c r="L30" i="6"/>
  <c r="W21" i="6"/>
  <c r="W37" i="6"/>
  <c r="L21" i="6"/>
  <c r="L37" i="6"/>
  <c r="W9" i="6"/>
  <c r="W24" i="6"/>
  <c r="L9" i="6"/>
  <c r="L24" i="6"/>
  <c r="W12" i="6"/>
  <c r="W27" i="6"/>
  <c r="L12" i="6"/>
  <c r="W15" i="6"/>
  <c r="W30" i="6"/>
  <c r="L15" i="6"/>
  <c r="W18" i="6"/>
  <c r="W39" i="6"/>
  <c r="L18" i="6"/>
  <c r="L36" i="6"/>
  <c r="W20" i="6"/>
  <c r="W36" i="6"/>
  <c r="L20" i="6"/>
  <c r="W8" i="6"/>
  <c r="W23" i="6"/>
  <c r="L8" i="6"/>
  <c r="L23" i="6"/>
  <c r="W11" i="6"/>
  <c r="W26" i="6"/>
  <c r="L11" i="6"/>
  <c r="L26" i="6"/>
  <c r="J70" i="5"/>
  <c r="Q537" i="17" s="1" a="1"/>
  <c r="Q537" i="17" s="1"/>
  <c r="U70" i="5"/>
  <c r="P537" i="17" s="1" a="1"/>
  <c r="P537" i="17" s="1"/>
  <c r="C51" i="8"/>
  <c r="U38" i="6"/>
  <c r="U35" i="6"/>
  <c r="J38" i="6"/>
  <c r="J35" i="6"/>
  <c r="J28" i="6"/>
  <c r="J7" i="6"/>
  <c r="J33" i="6"/>
  <c r="U22" i="6"/>
  <c r="J22" i="6"/>
  <c r="J21" i="6"/>
  <c r="J24" i="6"/>
  <c r="U10" i="6"/>
  <c r="U25" i="6"/>
  <c r="J10" i="6"/>
  <c r="J25" i="6"/>
  <c r="J9" i="6"/>
  <c r="J29" i="6"/>
  <c r="U13" i="6"/>
  <c r="U28" i="6"/>
  <c r="U7" i="6"/>
  <c r="J13" i="6"/>
  <c r="U16" i="6"/>
  <c r="U31" i="6"/>
  <c r="J16" i="6"/>
  <c r="J31" i="6"/>
  <c r="U19" i="6"/>
  <c r="U33" i="6"/>
  <c r="J19" i="6"/>
  <c r="J36" i="6"/>
  <c r="U21" i="6"/>
  <c r="U37" i="6"/>
  <c r="J37" i="6"/>
  <c r="U9" i="6"/>
  <c r="U24" i="6"/>
  <c r="J39" i="6"/>
  <c r="J32" i="6"/>
  <c r="U12" i="6"/>
  <c r="U27" i="6"/>
  <c r="J12" i="6"/>
  <c r="J27" i="6"/>
  <c r="U15" i="6"/>
  <c r="U30" i="6"/>
  <c r="J15" i="6"/>
  <c r="J30" i="6"/>
  <c r="U18" i="6"/>
  <c r="U39" i="6"/>
  <c r="J18" i="6"/>
  <c r="U20" i="6"/>
  <c r="U36" i="6"/>
  <c r="J20" i="6"/>
  <c r="U8" i="6"/>
  <c r="U23" i="6"/>
  <c r="J8" i="6"/>
  <c r="J23" i="6"/>
  <c r="U11" i="6"/>
  <c r="U26" i="6"/>
  <c r="J11" i="6"/>
  <c r="J26" i="6"/>
  <c r="U14" i="6"/>
  <c r="U29" i="6"/>
  <c r="J14" i="6"/>
  <c r="U17" i="6"/>
  <c r="U32" i="6"/>
  <c r="J17" i="6"/>
  <c r="S70" i="5"/>
  <c r="P535" i="17" s="1" a="1"/>
  <c r="P535" i="17" s="1"/>
  <c r="H70" i="5"/>
  <c r="Q535" i="17" s="1" a="1"/>
  <c r="Q535" i="17" s="1"/>
  <c r="C56" i="8"/>
  <c r="Z20" i="6"/>
  <c r="Z36" i="6"/>
  <c r="O20" i="6"/>
  <c r="O36" i="6"/>
  <c r="O25" i="6"/>
  <c r="O30" i="6"/>
  <c r="Z8" i="6"/>
  <c r="Z23" i="6"/>
  <c r="O8" i="6"/>
  <c r="O23" i="6"/>
  <c r="O29" i="6"/>
  <c r="O10" i="6"/>
  <c r="Z11" i="6"/>
  <c r="Z26" i="6"/>
  <c r="O11" i="6"/>
  <c r="O26" i="6"/>
  <c r="O37" i="6"/>
  <c r="Z14" i="6"/>
  <c r="Z29" i="6"/>
  <c r="O14" i="6"/>
  <c r="O33" i="6"/>
  <c r="Z17" i="6"/>
  <c r="Z32" i="6"/>
  <c r="O17" i="6"/>
  <c r="O32" i="6"/>
  <c r="Z38" i="6"/>
  <c r="Z35" i="6"/>
  <c r="O38" i="6"/>
  <c r="O35" i="6"/>
  <c r="Z22" i="6"/>
  <c r="O22" i="6"/>
  <c r="O39" i="6"/>
  <c r="Z10" i="6"/>
  <c r="Z25" i="6"/>
  <c r="Z13" i="6"/>
  <c r="Z28" i="6"/>
  <c r="O13" i="6"/>
  <c r="O28" i="6"/>
  <c r="O31" i="6"/>
  <c r="Z16" i="6"/>
  <c r="Z31" i="6"/>
  <c r="O16" i="6"/>
  <c r="O27" i="6"/>
  <c r="Z19" i="6"/>
  <c r="Z33" i="6"/>
  <c r="O19" i="6"/>
  <c r="Z21" i="6"/>
  <c r="Z37" i="6"/>
  <c r="O21" i="6"/>
  <c r="Z9" i="6"/>
  <c r="Z24" i="6"/>
  <c r="O9" i="6"/>
  <c r="O24" i="6"/>
  <c r="Z12" i="6"/>
  <c r="Z27" i="6"/>
  <c r="O12" i="6"/>
  <c r="Z15" i="6"/>
  <c r="Z30" i="6"/>
  <c r="Z7" i="6"/>
  <c r="Z34" i="6" s="1"/>
  <c r="O15" i="6"/>
  <c r="O7" i="6"/>
  <c r="Z18" i="6"/>
  <c r="Z39" i="6"/>
  <c r="O18" i="6"/>
  <c r="X70" i="5"/>
  <c r="P540" i="17" s="1" a="1"/>
  <c r="P540" i="17" s="1"/>
  <c r="M70" i="5"/>
  <c r="Q540" i="17" s="1" a="1"/>
  <c r="Q540" i="17" s="1"/>
  <c r="C48" i="8"/>
  <c r="R13" i="6"/>
  <c r="R28" i="6"/>
  <c r="G13" i="6"/>
  <c r="G28" i="6"/>
  <c r="G7" i="6"/>
  <c r="R16" i="6"/>
  <c r="R31" i="6"/>
  <c r="G16" i="6"/>
  <c r="G31" i="6"/>
  <c r="R19" i="6"/>
  <c r="R33" i="6"/>
  <c r="G19" i="6"/>
  <c r="G33" i="6"/>
  <c r="G30" i="6"/>
  <c r="R21" i="6"/>
  <c r="R37" i="6"/>
  <c r="G21" i="6"/>
  <c r="G37" i="6"/>
  <c r="G32" i="6"/>
  <c r="R9" i="6"/>
  <c r="R24" i="6"/>
  <c r="G9" i="6"/>
  <c r="G24" i="6"/>
  <c r="R12" i="6"/>
  <c r="R27" i="6"/>
  <c r="G12" i="6"/>
  <c r="G27" i="6"/>
  <c r="G26" i="6"/>
  <c r="R15" i="6"/>
  <c r="R30" i="6"/>
  <c r="R7" i="6"/>
  <c r="G15" i="6"/>
  <c r="G18" i="6"/>
  <c r="G39" i="6"/>
  <c r="R18" i="6"/>
  <c r="R39" i="6"/>
  <c r="R20" i="6"/>
  <c r="R36" i="6"/>
  <c r="G20" i="6"/>
  <c r="G36" i="6"/>
  <c r="G23" i="6"/>
  <c r="R8" i="6"/>
  <c r="R23" i="6"/>
  <c r="G8" i="6"/>
  <c r="G29" i="6"/>
  <c r="R11" i="6"/>
  <c r="R26" i="6"/>
  <c r="G11" i="6"/>
  <c r="R14" i="6"/>
  <c r="R29" i="6"/>
  <c r="G14" i="6"/>
  <c r="R17" i="6"/>
  <c r="R32" i="6"/>
  <c r="G17" i="6"/>
  <c r="R38" i="6"/>
  <c r="R35" i="6"/>
  <c r="R40" i="6" s="1"/>
  <c r="G38" i="6"/>
  <c r="G35" i="6"/>
  <c r="R22" i="6"/>
  <c r="G22" i="6"/>
  <c r="R10" i="6"/>
  <c r="R25" i="6"/>
  <c r="G10" i="6"/>
  <c r="G25" i="6"/>
  <c r="P70" i="5"/>
  <c r="P532" i="17" s="1" a="1"/>
  <c r="P532" i="17" s="1"/>
  <c r="E70" i="5"/>
  <c r="Q532" i="17" s="1" a="1"/>
  <c r="Q532" i="17" s="1"/>
  <c r="C57" i="8"/>
  <c r="AA18" i="6"/>
  <c r="AA39" i="6"/>
  <c r="P18" i="6"/>
  <c r="P39" i="6"/>
  <c r="AA20" i="6"/>
  <c r="AA36" i="6"/>
  <c r="P20" i="6"/>
  <c r="P36" i="6"/>
  <c r="AA8" i="6"/>
  <c r="AA23" i="6"/>
  <c r="P8" i="6"/>
  <c r="P23" i="6"/>
  <c r="P38" i="6"/>
  <c r="P22" i="6"/>
  <c r="P37" i="6"/>
  <c r="AA11" i="6"/>
  <c r="AA26" i="6"/>
  <c r="P11" i="6"/>
  <c r="P26" i="6"/>
  <c r="P35" i="6"/>
  <c r="P33" i="6"/>
  <c r="AA14" i="6"/>
  <c r="AA29" i="6"/>
  <c r="P14" i="6"/>
  <c r="P29" i="6"/>
  <c r="P32" i="6"/>
  <c r="AA17" i="6"/>
  <c r="AA32" i="6"/>
  <c r="P17" i="6"/>
  <c r="AA38" i="6"/>
  <c r="AA35" i="6"/>
  <c r="AA22" i="6"/>
  <c r="AA10" i="6"/>
  <c r="AA25" i="6"/>
  <c r="P10" i="6"/>
  <c r="P25" i="6"/>
  <c r="P28" i="6"/>
  <c r="AA13" i="6"/>
  <c r="AA28" i="6"/>
  <c r="P13" i="6"/>
  <c r="P31" i="6"/>
  <c r="AA16" i="6"/>
  <c r="AA31" i="6"/>
  <c r="P16" i="6"/>
  <c r="P7" i="6"/>
  <c r="P30" i="6"/>
  <c r="AA19" i="6"/>
  <c r="AA33" i="6"/>
  <c r="P19" i="6"/>
  <c r="AA21" i="6"/>
  <c r="AA37" i="6"/>
  <c r="P21" i="6"/>
  <c r="AA9" i="6"/>
  <c r="AA24" i="6"/>
  <c r="AA7" i="6"/>
  <c r="P9" i="6"/>
  <c r="P24" i="6"/>
  <c r="AA12" i="6"/>
  <c r="AA27" i="6"/>
  <c r="P12" i="6"/>
  <c r="P27" i="6"/>
  <c r="AA15" i="6"/>
  <c r="AA30" i="6"/>
  <c r="P15" i="6"/>
  <c r="Y70" i="5"/>
  <c r="P541" i="17" s="1" a="1"/>
  <c r="P541" i="17" s="1"/>
  <c r="N70" i="5"/>
  <c r="Q541" i="17" s="1" a="1"/>
  <c r="Q541" i="17" s="1"/>
  <c r="C49" i="8"/>
  <c r="S10" i="6"/>
  <c r="S25" i="6"/>
  <c r="H10" i="6"/>
  <c r="H25" i="6"/>
  <c r="H33" i="6"/>
  <c r="S13" i="6"/>
  <c r="S28" i="6"/>
  <c r="H13" i="6"/>
  <c r="H28" i="6"/>
  <c r="H7" i="6"/>
  <c r="H32" i="6"/>
  <c r="S16" i="6"/>
  <c r="S31" i="6"/>
  <c r="H16" i="6"/>
  <c r="H31" i="6"/>
  <c r="S19" i="6"/>
  <c r="S33" i="6"/>
  <c r="H19" i="6"/>
  <c r="H27" i="6"/>
  <c r="S21" i="6"/>
  <c r="S37" i="6"/>
  <c r="H21" i="6"/>
  <c r="H37" i="6"/>
  <c r="H23" i="6"/>
  <c r="S9" i="6"/>
  <c r="S24" i="6"/>
  <c r="S7" i="6"/>
  <c r="H9" i="6"/>
  <c r="H24" i="6"/>
  <c r="H15" i="6"/>
  <c r="H35" i="6"/>
  <c r="S12" i="6"/>
  <c r="S27" i="6"/>
  <c r="H12" i="6"/>
  <c r="H36" i="6"/>
  <c r="H26" i="6"/>
  <c r="S15" i="6"/>
  <c r="S30" i="6"/>
  <c r="H30" i="6"/>
  <c r="S18" i="6"/>
  <c r="S39" i="6"/>
  <c r="H18" i="6"/>
  <c r="H39" i="6"/>
  <c r="H20" i="6"/>
  <c r="S20" i="6"/>
  <c r="S36" i="6"/>
  <c r="S8" i="6"/>
  <c r="S23" i="6"/>
  <c r="H8" i="6"/>
  <c r="S11" i="6"/>
  <c r="S26" i="6"/>
  <c r="H11" i="6"/>
  <c r="S14" i="6"/>
  <c r="S29" i="6"/>
  <c r="H14" i="6"/>
  <c r="H29" i="6"/>
  <c r="S17" i="6"/>
  <c r="S32" i="6"/>
  <c r="H17" i="6"/>
  <c r="S38" i="6"/>
  <c r="S35" i="6"/>
  <c r="H38" i="6"/>
  <c r="S22" i="6"/>
  <c r="H22" i="6"/>
  <c r="Q70" i="5"/>
  <c r="P533" i="17" s="1" a="1"/>
  <c r="P533" i="17" s="1"/>
  <c r="F70" i="5"/>
  <c r="Q533" i="17" s="1" a="1"/>
  <c r="Q533" i="17" s="1"/>
  <c r="C52" i="8"/>
  <c r="V17" i="6"/>
  <c r="V32" i="6"/>
  <c r="K17" i="6"/>
  <c r="K32" i="6"/>
  <c r="K37" i="6"/>
  <c r="V38" i="6"/>
  <c r="V35" i="6"/>
  <c r="K38" i="6"/>
  <c r="K35" i="6"/>
  <c r="V22" i="6"/>
  <c r="V7" i="6"/>
  <c r="K22" i="6"/>
  <c r="K7" i="6"/>
  <c r="K25" i="6"/>
  <c r="V10" i="6"/>
  <c r="V25" i="6"/>
  <c r="K10" i="6"/>
  <c r="K31" i="6"/>
  <c r="V13" i="6"/>
  <c r="V28" i="6"/>
  <c r="K13" i="6"/>
  <c r="K28" i="6"/>
  <c r="K19" i="6"/>
  <c r="K39" i="6"/>
  <c r="V16" i="6"/>
  <c r="V31" i="6"/>
  <c r="K16" i="6"/>
  <c r="K33" i="6"/>
  <c r="V19" i="6"/>
  <c r="V33" i="6"/>
  <c r="K21" i="6"/>
  <c r="V21" i="6"/>
  <c r="V37" i="6"/>
  <c r="V9" i="6"/>
  <c r="V24" i="6"/>
  <c r="K9" i="6"/>
  <c r="K24" i="6"/>
  <c r="K30" i="6"/>
  <c r="V12" i="6"/>
  <c r="V27" i="6"/>
  <c r="K12" i="6"/>
  <c r="K27" i="6"/>
  <c r="V15" i="6"/>
  <c r="V30" i="6"/>
  <c r="K15" i="6"/>
  <c r="K36" i="6"/>
  <c r="V18" i="6"/>
  <c r="V39" i="6"/>
  <c r="K18" i="6"/>
  <c r="V20" i="6"/>
  <c r="V36" i="6"/>
  <c r="K20" i="6"/>
  <c r="V8" i="6"/>
  <c r="V23" i="6"/>
  <c r="K8" i="6"/>
  <c r="K23" i="6"/>
  <c r="V11" i="6"/>
  <c r="V26" i="6"/>
  <c r="K11" i="6"/>
  <c r="K26" i="6"/>
  <c r="V14" i="6"/>
  <c r="V29" i="6"/>
  <c r="K14" i="6"/>
  <c r="K29" i="6"/>
  <c r="T70" i="5"/>
  <c r="P536" i="17" s="1" a="1"/>
  <c r="P536" i="17" s="1"/>
  <c r="I70" i="5"/>
  <c r="Q536" i="17" s="1" a="1"/>
  <c r="Q536" i="17" s="1"/>
  <c r="C47" i="8"/>
  <c r="Q16" i="6"/>
  <c r="Q31" i="6"/>
  <c r="F16" i="6"/>
  <c r="F31" i="6"/>
  <c r="Q19" i="6"/>
  <c r="Q33" i="6"/>
  <c r="F19" i="6"/>
  <c r="F33" i="6"/>
  <c r="F30" i="6"/>
  <c r="Q21" i="6"/>
  <c r="Q37" i="6"/>
  <c r="F21" i="6"/>
  <c r="F37" i="6"/>
  <c r="F36" i="6"/>
  <c r="Q9" i="6"/>
  <c r="Q24" i="6"/>
  <c r="F9" i="6"/>
  <c r="F24" i="6"/>
  <c r="Q12" i="6"/>
  <c r="Q27" i="6"/>
  <c r="F12" i="6"/>
  <c r="F27" i="6"/>
  <c r="F39" i="6"/>
  <c r="Q7" i="6"/>
  <c r="F20" i="6"/>
  <c r="Q15" i="6"/>
  <c r="Q30" i="6"/>
  <c r="F15" i="6"/>
  <c r="F18" i="6"/>
  <c r="F7" i="6"/>
  <c r="Q18" i="6"/>
  <c r="Q39" i="6"/>
  <c r="Q20" i="6"/>
  <c r="Q36" i="6"/>
  <c r="Q8" i="6"/>
  <c r="Q23" i="6"/>
  <c r="F8" i="6"/>
  <c r="F23" i="6"/>
  <c r="F26" i="6"/>
  <c r="Q11" i="6"/>
  <c r="Q26" i="6"/>
  <c r="F11" i="6"/>
  <c r="Q14" i="6"/>
  <c r="Q29" i="6"/>
  <c r="F14" i="6"/>
  <c r="F29" i="6"/>
  <c r="F32" i="6"/>
  <c r="Q17" i="6"/>
  <c r="Q32" i="6"/>
  <c r="F17" i="6"/>
  <c r="F35" i="6"/>
  <c r="Q38" i="6"/>
  <c r="Q35" i="6"/>
  <c r="F38" i="6"/>
  <c r="Q22" i="6"/>
  <c r="F22" i="6"/>
  <c r="Q10" i="6"/>
  <c r="Q25" i="6"/>
  <c r="F10" i="6"/>
  <c r="F25" i="6"/>
  <c r="Q13" i="6"/>
  <c r="Q28" i="6"/>
  <c r="F13" i="6"/>
  <c r="F28" i="6"/>
  <c r="O70" i="5"/>
  <c r="P531" i="17" s="1" a="1"/>
  <c r="P531" i="17" s="1"/>
  <c r="D70" i="5"/>
  <c r="Q531" i="17" s="1" a="1"/>
  <c r="Q531" i="17" s="1"/>
  <c r="U40" i="6" l="1"/>
  <c r="L34" i="6"/>
  <c r="AA34" i="6"/>
  <c r="G40" i="6"/>
  <c r="O34" i="6"/>
  <c r="O40" i="6"/>
  <c r="Z40" i="6"/>
  <c r="L40" i="6"/>
  <c r="X40" i="6"/>
  <c r="P40" i="6"/>
  <c r="M34" i="6"/>
  <c r="W40" i="6"/>
  <c r="K34" i="6"/>
  <c r="H40" i="6"/>
  <c r="G34" i="6"/>
  <c r="I34" i="6"/>
  <c r="I40" i="6"/>
  <c r="Q34" i="6"/>
  <c r="V34" i="6"/>
  <c r="X34" i="6"/>
  <c r="S40" i="6"/>
  <c r="Y34" i="6"/>
  <c r="K40" i="6"/>
  <c r="AA40" i="6"/>
  <c r="T34" i="6"/>
  <c r="S34" i="6"/>
  <c r="F34" i="6"/>
  <c r="V40" i="6"/>
  <c r="H34" i="6"/>
  <c r="P34" i="6"/>
  <c r="J34" i="6"/>
  <c r="W34" i="6"/>
  <c r="N34" i="6"/>
  <c r="M40" i="6"/>
  <c r="Q40" i="6"/>
  <c r="F40" i="6"/>
  <c r="R34" i="6"/>
  <c r="U34" i="6"/>
  <c r="J40" i="6"/>
  <c r="N40" i="6"/>
  <c r="C4" i="14"/>
  <c r="B4" i="14"/>
  <c r="G2" i="1" l="1"/>
  <c r="H26" i="8" l="1"/>
  <c r="H24" i="8"/>
  <c r="H23" i="8"/>
  <c r="J23" i="8" s="1"/>
  <c r="H22" i="8"/>
  <c r="J22" i="8" s="1"/>
  <c r="J26" i="8" l="1"/>
  <c r="I26" i="8" s="1"/>
  <c r="I22" i="8"/>
  <c r="J24" i="8"/>
  <c r="I24" i="8" s="1"/>
  <c r="I23" i="8"/>
  <c r="I27" i="8" l="1"/>
  <c r="J27" i="8"/>
  <c r="E57" i="8" l="1"/>
  <c r="E51" i="8"/>
  <c r="E52" i="8"/>
  <c r="E54" i="8"/>
  <c r="E50" i="8"/>
  <c r="E47" i="8"/>
  <c r="E48" i="8"/>
  <c r="E53" i="8"/>
  <c r="E56" i="8"/>
  <c r="E49" i="8"/>
  <c r="E55" i="8"/>
  <c r="D48" i="8"/>
  <c r="P554" i="17" s="1"/>
  <c r="D51" i="8"/>
  <c r="P557" i="17" s="1"/>
  <c r="D47" i="8"/>
  <c r="P553" i="17" s="1"/>
  <c r="D52" i="8"/>
  <c r="P558" i="17" s="1"/>
  <c r="D53" i="8"/>
  <c r="P559" i="17" s="1"/>
  <c r="D56" i="8"/>
  <c r="P562" i="17" s="1"/>
  <c r="D49" i="8"/>
  <c r="P555" i="17" s="1"/>
  <c r="D50" i="8"/>
  <c r="P556" i="17" s="1"/>
  <c r="D55" i="8"/>
  <c r="P561" i="17" s="1"/>
  <c r="D57" i="8"/>
  <c r="P563" i="17" s="1"/>
  <c r="D54" i="8"/>
  <c r="P560" i="17" s="1"/>
  <c r="Q555" i="17" l="1"/>
  <c r="Q553" i="17"/>
  <c r="Q559" i="17"/>
  <c r="Q558" i="17"/>
  <c r="S554" i="17"/>
  <c r="Q561" i="17"/>
  <c r="Q554" i="17"/>
  <c r="Q560" i="17"/>
  <c r="Q557" i="17"/>
  <c r="Q562" i="17"/>
  <c r="Q556" i="17"/>
  <c r="Q563" i="17"/>
  <c r="E58" i="8"/>
  <c r="B6" i="14" s="1"/>
  <c r="D58" i="8"/>
  <c r="C6" i="14" s="1"/>
  <c r="I35" i="5"/>
  <c r="E35" i="5"/>
  <c r="H35" i="5" s="1"/>
  <c r="I34" i="5"/>
  <c r="E34" i="5"/>
  <c r="H34" i="5" s="1"/>
  <c r="E33" i="5"/>
  <c r="H33" i="5" s="1"/>
  <c r="E32" i="5"/>
  <c r="H32" i="5" s="1"/>
  <c r="I33" i="5"/>
  <c r="I32" i="5"/>
  <c r="I30" i="5"/>
  <c r="H30" i="5"/>
  <c r="I29" i="5"/>
  <c r="H29" i="5"/>
  <c r="I27" i="5"/>
  <c r="H27" i="5"/>
  <c r="I26" i="5"/>
  <c r="H26" i="5"/>
  <c r="I24" i="5"/>
  <c r="H24" i="5"/>
  <c r="I23" i="5"/>
  <c r="H23" i="5"/>
  <c r="I22" i="5"/>
  <c r="H22" i="5"/>
  <c r="I21" i="5"/>
  <c r="H21" i="5"/>
  <c r="I19" i="5"/>
  <c r="H19" i="5"/>
  <c r="I18" i="5"/>
  <c r="H18" i="5"/>
  <c r="I16" i="5"/>
  <c r="H16" i="5"/>
  <c r="I15" i="5"/>
  <c r="H15" i="5"/>
  <c r="I13" i="5"/>
  <c r="I12" i="5"/>
  <c r="C61" i="5" s="1"/>
  <c r="H13" i="5"/>
  <c r="H12" i="5"/>
  <c r="T552" i="17" l="1"/>
  <c r="O61" i="5"/>
  <c r="P432" i="17" s="1" a="1"/>
  <c r="P432" i="17" s="1"/>
  <c r="P61" i="5"/>
  <c r="P433" i="17" s="1" a="1"/>
  <c r="P433" i="17" s="1"/>
  <c r="Y61" i="5"/>
  <c r="P442" i="17" s="1" a="1"/>
  <c r="P442" i="17" s="1"/>
  <c r="Q61" i="5"/>
  <c r="P434" i="17" s="1" a="1"/>
  <c r="P434" i="17" s="1"/>
  <c r="R61" i="5"/>
  <c r="P435" i="17" s="1" a="1"/>
  <c r="P435" i="17" s="1"/>
  <c r="V61" i="5"/>
  <c r="P439" i="17" s="1" a="1"/>
  <c r="P439" i="17" s="1"/>
  <c r="X61" i="5"/>
  <c r="P441" i="17" s="1" a="1"/>
  <c r="P441" i="17" s="1"/>
  <c r="S61" i="5"/>
  <c r="P436" i="17" s="1" a="1"/>
  <c r="P436" i="17" s="1"/>
  <c r="T61" i="5"/>
  <c r="P437" i="17" s="1" a="1"/>
  <c r="P437" i="17" s="1"/>
  <c r="U61" i="5"/>
  <c r="P438" i="17" s="1" a="1"/>
  <c r="P438" i="17" s="1"/>
  <c r="W61" i="5"/>
  <c r="P440" i="17" s="1" a="1"/>
  <c r="P440" i="17" s="1"/>
  <c r="C62" i="5"/>
  <c r="B69" i="5"/>
  <c r="B67" i="5"/>
  <c r="C63" i="5"/>
  <c r="B71" i="5"/>
  <c r="B64" i="5"/>
  <c r="C64" i="5"/>
  <c r="C65" i="5"/>
  <c r="B61" i="5"/>
  <c r="B66" i="5"/>
  <c r="C66" i="5"/>
  <c r="B62" i="5"/>
  <c r="C67" i="5"/>
  <c r="B65" i="5"/>
  <c r="C68" i="5"/>
  <c r="B63" i="5"/>
  <c r="B68" i="5"/>
  <c r="C69" i="5"/>
  <c r="C71" i="5"/>
  <c r="H43" i="5"/>
  <c r="I43" i="5"/>
  <c r="O68" i="5" l="1"/>
  <c r="P509" i="17" s="1" a="1"/>
  <c r="P509" i="17" s="1"/>
  <c r="Q68" i="5"/>
  <c r="P511" i="17" s="1" a="1"/>
  <c r="P511" i="17" s="1"/>
  <c r="U68" i="5"/>
  <c r="P515" i="17" s="1" a="1"/>
  <c r="P515" i="17" s="1"/>
  <c r="W68" i="5"/>
  <c r="P517" i="17" s="1" a="1"/>
  <c r="P517" i="17" s="1"/>
  <c r="Y68" i="5"/>
  <c r="P519" i="17" s="1" a="1"/>
  <c r="P519" i="17" s="1"/>
  <c r="X68" i="5"/>
  <c r="P518" i="17" s="1" a="1"/>
  <c r="P518" i="17" s="1"/>
  <c r="T68" i="5"/>
  <c r="P514" i="17" s="1" a="1"/>
  <c r="P514" i="17" s="1"/>
  <c r="P68" i="5"/>
  <c r="P510" i="17" s="1" a="1"/>
  <c r="P510" i="17" s="1"/>
  <c r="R68" i="5"/>
  <c r="P512" i="17" s="1" a="1"/>
  <c r="P512" i="17" s="1"/>
  <c r="S68" i="5"/>
  <c r="P513" i="17" s="1" a="1"/>
  <c r="P513" i="17" s="1"/>
  <c r="V68" i="5"/>
  <c r="P516" i="17" s="1" a="1"/>
  <c r="P516" i="17" s="1"/>
  <c r="O66" i="5"/>
  <c r="P487" i="17" s="1" a="1"/>
  <c r="P487" i="17" s="1"/>
  <c r="V66" i="5"/>
  <c r="P494" i="17" s="1" a="1"/>
  <c r="P494" i="17" s="1"/>
  <c r="S66" i="5"/>
  <c r="P491" i="17" s="1" a="1"/>
  <c r="P491" i="17" s="1"/>
  <c r="T66" i="5"/>
  <c r="P492" i="17" s="1" a="1"/>
  <c r="P492" i="17" s="1"/>
  <c r="W66" i="5"/>
  <c r="P495" i="17" s="1" a="1"/>
  <c r="P495" i="17" s="1"/>
  <c r="P66" i="5"/>
  <c r="P488" i="17" s="1" a="1"/>
  <c r="P488" i="17" s="1"/>
  <c r="U66" i="5"/>
  <c r="P493" i="17" s="1" a="1"/>
  <c r="P493" i="17" s="1"/>
  <c r="Y66" i="5"/>
  <c r="P497" i="17" s="1" a="1"/>
  <c r="P497" i="17" s="1"/>
  <c r="Q66" i="5"/>
  <c r="P489" i="17" s="1" a="1"/>
  <c r="P489" i="17" s="1"/>
  <c r="R66" i="5"/>
  <c r="P490" i="17" s="1" a="1"/>
  <c r="P490" i="17" s="1"/>
  <c r="X66" i="5"/>
  <c r="P496" i="17" s="1" a="1"/>
  <c r="P496" i="17" s="1"/>
  <c r="O71" i="5"/>
  <c r="P542" i="17" s="1" a="1"/>
  <c r="P542" i="17" s="1"/>
  <c r="V71" i="5"/>
  <c r="P549" i="17" s="1" a="1"/>
  <c r="P549" i="17" s="1"/>
  <c r="P71" i="5"/>
  <c r="P543" i="17" s="1" a="1"/>
  <c r="P543" i="17" s="1"/>
  <c r="U71" i="5"/>
  <c r="P548" i="17" s="1" a="1"/>
  <c r="P548" i="17" s="1"/>
  <c r="W71" i="5"/>
  <c r="P550" i="17" s="1" a="1"/>
  <c r="P550" i="17" s="1"/>
  <c r="S71" i="5"/>
  <c r="P546" i="17" s="1" a="1"/>
  <c r="P546" i="17" s="1"/>
  <c r="X71" i="5"/>
  <c r="P551" i="17" s="1" a="1"/>
  <c r="P551" i="17" s="1"/>
  <c r="R71" i="5"/>
  <c r="P545" i="17" s="1" a="1"/>
  <c r="P545" i="17" s="1"/>
  <c r="Y71" i="5"/>
  <c r="P552" i="17" s="1" a="1"/>
  <c r="P552" i="17" s="1"/>
  <c r="Q71" i="5"/>
  <c r="P544" i="17" s="1" a="1"/>
  <c r="P544" i="17" s="1"/>
  <c r="T71" i="5"/>
  <c r="P547" i="17" s="1" a="1"/>
  <c r="P547" i="17" s="1"/>
  <c r="O69" i="5"/>
  <c r="P520" i="17" s="1" a="1"/>
  <c r="P520" i="17" s="1"/>
  <c r="P69" i="5"/>
  <c r="P521" i="17" s="1" a="1"/>
  <c r="P521" i="17" s="1"/>
  <c r="Q69" i="5"/>
  <c r="P522" i="17" s="1" a="1"/>
  <c r="P522" i="17" s="1"/>
  <c r="V69" i="5"/>
  <c r="P527" i="17" s="1" a="1"/>
  <c r="P527" i="17" s="1"/>
  <c r="R69" i="5"/>
  <c r="P523" i="17" s="1" a="1"/>
  <c r="P523" i="17" s="1"/>
  <c r="X69" i="5"/>
  <c r="P529" i="17" s="1" a="1"/>
  <c r="P529" i="17" s="1"/>
  <c r="Y69" i="5"/>
  <c r="P530" i="17" s="1" a="1"/>
  <c r="P530" i="17" s="1"/>
  <c r="S69" i="5"/>
  <c r="P524" i="17" s="1" a="1"/>
  <c r="P524" i="17" s="1"/>
  <c r="U69" i="5"/>
  <c r="P526" i="17" s="1" a="1"/>
  <c r="P526" i="17" s="1"/>
  <c r="T69" i="5"/>
  <c r="P525" i="17" s="1" a="1"/>
  <c r="P525" i="17" s="1"/>
  <c r="W69" i="5"/>
  <c r="P528" i="17" s="1" a="1"/>
  <c r="P528" i="17" s="1"/>
  <c r="O65" i="5"/>
  <c r="P476" i="17" s="1" a="1"/>
  <c r="P476" i="17" s="1"/>
  <c r="X65" i="5"/>
  <c r="P485" i="17" s="1" a="1"/>
  <c r="P485" i="17" s="1"/>
  <c r="Y65" i="5"/>
  <c r="P486" i="17" s="1" a="1"/>
  <c r="P486" i="17" s="1"/>
  <c r="T65" i="5"/>
  <c r="P481" i="17" s="1" a="1"/>
  <c r="P481" i="17" s="1"/>
  <c r="W65" i="5"/>
  <c r="P484" i="17" s="1" a="1"/>
  <c r="P484" i="17" s="1"/>
  <c r="P65" i="5"/>
  <c r="P477" i="17" s="1" a="1"/>
  <c r="P477" i="17" s="1"/>
  <c r="Q65" i="5"/>
  <c r="P478" i="17" s="1" a="1"/>
  <c r="P478" i="17" s="1"/>
  <c r="R65" i="5"/>
  <c r="P479" i="17" s="1" a="1"/>
  <c r="P479" i="17" s="1"/>
  <c r="U65" i="5"/>
  <c r="P482" i="17" s="1" a="1"/>
  <c r="P482" i="17" s="1"/>
  <c r="S65" i="5"/>
  <c r="P480" i="17" s="1" a="1"/>
  <c r="P480" i="17" s="1"/>
  <c r="V65" i="5"/>
  <c r="P483" i="17" s="1" a="1"/>
  <c r="P483" i="17" s="1"/>
  <c r="O62" i="5"/>
  <c r="P443" i="17" s="1" a="1"/>
  <c r="P443" i="17" s="1"/>
  <c r="V62" i="5"/>
  <c r="P450" i="17" s="1" a="1"/>
  <c r="P450" i="17" s="1"/>
  <c r="R62" i="5"/>
  <c r="P446" i="17" s="1" a="1"/>
  <c r="P446" i="17" s="1"/>
  <c r="W62" i="5"/>
  <c r="P451" i="17" s="1" a="1"/>
  <c r="P451" i="17" s="1"/>
  <c r="P62" i="5"/>
  <c r="P444" i="17" s="1" a="1"/>
  <c r="P444" i="17" s="1"/>
  <c r="U62" i="5"/>
  <c r="P449" i="17" s="1" a="1"/>
  <c r="P449" i="17" s="1"/>
  <c r="X62" i="5"/>
  <c r="P452" i="17" s="1" a="1"/>
  <c r="P452" i="17" s="1"/>
  <c r="T62" i="5"/>
  <c r="P448" i="17" s="1" a="1"/>
  <c r="P448" i="17" s="1"/>
  <c r="Y62" i="5"/>
  <c r="P453" i="17" s="1" a="1"/>
  <c r="P453" i="17" s="1"/>
  <c r="Q62" i="5"/>
  <c r="P445" i="17" s="1" a="1"/>
  <c r="P445" i="17" s="1"/>
  <c r="S62" i="5"/>
  <c r="P447" i="17" s="1" a="1"/>
  <c r="P447" i="17" s="1"/>
  <c r="O64" i="5"/>
  <c r="P465" i="17" s="1" a="1"/>
  <c r="P465" i="17" s="1"/>
  <c r="R64" i="5"/>
  <c r="P468" i="17" s="1" a="1"/>
  <c r="P468" i="17" s="1"/>
  <c r="S64" i="5"/>
  <c r="P469" i="17" s="1" a="1"/>
  <c r="P469" i="17" s="1"/>
  <c r="Y64" i="5"/>
  <c r="P475" i="17" s="1" a="1"/>
  <c r="P475" i="17" s="1"/>
  <c r="T64" i="5"/>
  <c r="P470" i="17" s="1" a="1"/>
  <c r="P470" i="17" s="1"/>
  <c r="U64" i="5"/>
  <c r="P471" i="17" s="1" a="1"/>
  <c r="P471" i="17" s="1"/>
  <c r="P64" i="5"/>
  <c r="P466" i="17" s="1" a="1"/>
  <c r="P466" i="17" s="1"/>
  <c r="V64" i="5"/>
  <c r="P472" i="17" s="1" a="1"/>
  <c r="P472" i="17" s="1"/>
  <c r="W64" i="5"/>
  <c r="P473" i="17" s="1" a="1"/>
  <c r="P473" i="17" s="1"/>
  <c r="X64" i="5"/>
  <c r="P474" i="17" s="1" a="1"/>
  <c r="P474" i="17" s="1"/>
  <c r="Q64" i="5"/>
  <c r="P467" i="17" s="1" a="1"/>
  <c r="P467" i="17" s="1"/>
  <c r="O67" i="5"/>
  <c r="P498" i="17" s="1" a="1"/>
  <c r="P498" i="17" s="1"/>
  <c r="T67" i="5"/>
  <c r="P503" i="17" s="1" a="1"/>
  <c r="P503" i="17" s="1"/>
  <c r="R67" i="5"/>
  <c r="P501" i="17" s="1" a="1"/>
  <c r="P501" i="17" s="1"/>
  <c r="U67" i="5"/>
  <c r="P504" i="17" s="1" a="1"/>
  <c r="P504" i="17" s="1"/>
  <c r="V67" i="5"/>
  <c r="P505" i="17" s="1" a="1"/>
  <c r="P505" i="17" s="1"/>
  <c r="Q67" i="5"/>
  <c r="P500" i="17" s="1" a="1"/>
  <c r="P500" i="17" s="1"/>
  <c r="W67" i="5"/>
  <c r="P506" i="17" s="1" a="1"/>
  <c r="P506" i="17" s="1"/>
  <c r="P67" i="5"/>
  <c r="P499" i="17" s="1" a="1"/>
  <c r="P499" i="17" s="1"/>
  <c r="S67" i="5"/>
  <c r="P502" i="17" s="1" a="1"/>
  <c r="P502" i="17" s="1"/>
  <c r="X67" i="5"/>
  <c r="P507" i="17" s="1" a="1"/>
  <c r="P507" i="17" s="1"/>
  <c r="Y67" i="5"/>
  <c r="P508" i="17" s="1" a="1"/>
  <c r="P508" i="17" s="1"/>
  <c r="O63" i="5"/>
  <c r="P454" i="17" s="1" a="1"/>
  <c r="P454" i="17" s="1"/>
  <c r="R63" i="5"/>
  <c r="P457" i="17" s="1" a="1"/>
  <c r="P457" i="17" s="1"/>
  <c r="T63" i="5"/>
  <c r="P459" i="17" s="1" a="1"/>
  <c r="P459" i="17" s="1"/>
  <c r="W63" i="5"/>
  <c r="P462" i="17" s="1" a="1"/>
  <c r="P462" i="17" s="1"/>
  <c r="Y63" i="5"/>
  <c r="P464" i="17" s="1" a="1"/>
  <c r="P464" i="17" s="1"/>
  <c r="V63" i="5"/>
  <c r="P461" i="17" s="1" a="1"/>
  <c r="P461" i="17" s="1"/>
  <c r="X63" i="5"/>
  <c r="P463" i="17" s="1" a="1"/>
  <c r="P463" i="17" s="1"/>
  <c r="S63" i="5"/>
  <c r="P458" i="17" s="1" a="1"/>
  <c r="P458" i="17" s="1"/>
  <c r="P63" i="5"/>
  <c r="P455" i="17" s="1" a="1"/>
  <c r="P455" i="17" s="1"/>
  <c r="Q63" i="5"/>
  <c r="P456" i="17" s="1" a="1"/>
  <c r="P456" i="17" s="1"/>
  <c r="U63" i="5"/>
  <c r="P460" i="17" s="1" a="1"/>
  <c r="P460" i="17" s="1"/>
  <c r="D62" i="5"/>
  <c r="Q443" i="17" s="1" a="1"/>
  <c r="Q443" i="17" s="1"/>
  <c r="K62" i="5"/>
  <c r="Q450" i="17" s="1" a="1"/>
  <c r="Q450" i="17" s="1"/>
  <c r="L62" i="5"/>
  <c r="Q451" i="17" s="1" a="1"/>
  <c r="Q451" i="17" s="1"/>
  <c r="N62" i="5"/>
  <c r="Q453" i="17" s="1" a="1"/>
  <c r="Q453" i="17" s="1"/>
  <c r="E62" i="5"/>
  <c r="Q444" i="17" s="1" a="1"/>
  <c r="Q444" i="17" s="1"/>
  <c r="F62" i="5"/>
  <c r="Q445" i="17" s="1" a="1"/>
  <c r="Q445" i="17" s="1"/>
  <c r="G62" i="5"/>
  <c r="Q446" i="17" s="1" a="1"/>
  <c r="Q446" i="17" s="1"/>
  <c r="I62" i="5"/>
  <c r="Q448" i="17" s="1" a="1"/>
  <c r="Q448" i="17" s="1"/>
  <c r="H62" i="5"/>
  <c r="Q447" i="17" s="1" a="1"/>
  <c r="Q447" i="17" s="1"/>
  <c r="M62" i="5"/>
  <c r="Q452" i="17" s="1" a="1"/>
  <c r="Q452" i="17" s="1"/>
  <c r="J62" i="5"/>
  <c r="Q449" i="17" s="1" a="1"/>
  <c r="Q449" i="17" s="1"/>
  <c r="D66" i="5"/>
  <c r="Q487" i="17" s="1" a="1"/>
  <c r="Q487" i="17" s="1"/>
  <c r="F66" i="5"/>
  <c r="Q489" i="17" s="1" a="1"/>
  <c r="Q489" i="17" s="1"/>
  <c r="I66" i="5"/>
  <c r="Q492" i="17" s="1" a="1"/>
  <c r="Q492" i="17" s="1"/>
  <c r="M66" i="5"/>
  <c r="Q496" i="17" s="1" a="1"/>
  <c r="Q496" i="17" s="1"/>
  <c r="N66" i="5"/>
  <c r="Q497" i="17" s="1" a="1"/>
  <c r="Q497" i="17" s="1"/>
  <c r="E66" i="5"/>
  <c r="Q488" i="17" s="1" a="1"/>
  <c r="Q488" i="17" s="1"/>
  <c r="G66" i="5"/>
  <c r="Q490" i="17" s="1" a="1"/>
  <c r="Q490" i="17" s="1"/>
  <c r="H66" i="5"/>
  <c r="Q491" i="17" s="1" a="1"/>
  <c r="Q491" i="17" s="1"/>
  <c r="J66" i="5"/>
  <c r="Q493" i="17" s="1" a="1"/>
  <c r="Q493" i="17" s="1"/>
  <c r="K66" i="5"/>
  <c r="Q494" i="17" s="1" a="1"/>
  <c r="Q494" i="17" s="1"/>
  <c r="L66" i="5"/>
  <c r="Q495" i="17" s="1" a="1"/>
  <c r="Q495" i="17" s="1"/>
  <c r="D61" i="5"/>
  <c r="Q432" i="17" s="1" a="1"/>
  <c r="Q432" i="17" s="1"/>
  <c r="E61" i="5"/>
  <c r="Q433" i="17" s="1" a="1"/>
  <c r="Q433" i="17" s="1"/>
  <c r="I61" i="5"/>
  <c r="Q437" i="17" s="1" a="1"/>
  <c r="Q437" i="17" s="1"/>
  <c r="K61" i="5"/>
  <c r="Q439" i="17" s="1" a="1"/>
  <c r="Q439" i="17" s="1"/>
  <c r="L61" i="5"/>
  <c r="Q440" i="17" s="1" a="1"/>
  <c r="Q440" i="17" s="1"/>
  <c r="M61" i="5"/>
  <c r="Q441" i="17" s="1" a="1"/>
  <c r="Q441" i="17" s="1"/>
  <c r="F61" i="5"/>
  <c r="Q434" i="17" s="1" a="1"/>
  <c r="Q434" i="17" s="1"/>
  <c r="J61" i="5"/>
  <c r="Q438" i="17" s="1" a="1"/>
  <c r="Q438" i="17" s="1"/>
  <c r="G61" i="5"/>
  <c r="Q435" i="17" s="1" a="1"/>
  <c r="Q435" i="17" s="1"/>
  <c r="H61" i="5"/>
  <c r="Q436" i="17" s="1" a="1"/>
  <c r="Q436" i="17" s="1"/>
  <c r="N61" i="5"/>
  <c r="Q442" i="17" s="1" a="1"/>
  <c r="Q442" i="17" s="1"/>
  <c r="D64" i="5"/>
  <c r="Q465" i="17" s="1" a="1"/>
  <c r="Q465" i="17" s="1"/>
  <c r="G64" i="5"/>
  <c r="Q468" i="17" s="1" a="1"/>
  <c r="Q468" i="17" s="1"/>
  <c r="H64" i="5"/>
  <c r="Q469" i="17" s="1" a="1"/>
  <c r="Q469" i="17" s="1"/>
  <c r="K64" i="5"/>
  <c r="Q472" i="17" s="1" a="1"/>
  <c r="Q472" i="17" s="1"/>
  <c r="L64" i="5"/>
  <c r="Q473" i="17" s="1" a="1"/>
  <c r="Q473" i="17" s="1"/>
  <c r="N64" i="5"/>
  <c r="Q475" i="17" s="1" a="1"/>
  <c r="Q475" i="17" s="1"/>
  <c r="E64" i="5"/>
  <c r="Q466" i="17" s="1" a="1"/>
  <c r="Q466" i="17" s="1"/>
  <c r="I64" i="5"/>
  <c r="Q470" i="17" s="1" a="1"/>
  <c r="Q470" i="17" s="1"/>
  <c r="J64" i="5"/>
  <c r="Q471" i="17" s="1" a="1"/>
  <c r="Q471" i="17" s="1"/>
  <c r="M64" i="5"/>
  <c r="Q474" i="17" s="1" a="1"/>
  <c r="Q474" i="17" s="1"/>
  <c r="F64" i="5"/>
  <c r="Q467" i="17" s="1" a="1"/>
  <c r="Q467" i="17" s="1"/>
  <c r="D71" i="5"/>
  <c r="Q542" i="17" s="1" a="1"/>
  <c r="Q542" i="17" s="1"/>
  <c r="K71" i="5"/>
  <c r="Q549" i="17" s="1" a="1"/>
  <c r="Q549" i="17" s="1"/>
  <c r="L71" i="5"/>
  <c r="Q550" i="17" s="1" a="1"/>
  <c r="Q550" i="17" s="1"/>
  <c r="E71" i="5"/>
  <c r="Q543" i="17" s="1" a="1"/>
  <c r="Q543" i="17" s="1"/>
  <c r="F71" i="5"/>
  <c r="Q544" i="17" s="1" a="1"/>
  <c r="Q544" i="17" s="1"/>
  <c r="G71" i="5"/>
  <c r="Q545" i="17" s="1" a="1"/>
  <c r="Q545" i="17" s="1"/>
  <c r="H71" i="5"/>
  <c r="Q546" i="17" s="1" a="1"/>
  <c r="Q546" i="17" s="1"/>
  <c r="I71" i="5"/>
  <c r="Q547" i="17" s="1" a="1"/>
  <c r="Q547" i="17" s="1"/>
  <c r="M71" i="5"/>
  <c r="Q551" i="17" s="1" a="1"/>
  <c r="Q551" i="17" s="1"/>
  <c r="N71" i="5"/>
  <c r="Q552" i="17" s="1" a="1"/>
  <c r="Q552" i="17" s="1"/>
  <c r="J71" i="5"/>
  <c r="Q548" i="17" s="1" a="1"/>
  <c r="Q548" i="17" s="1"/>
  <c r="D67" i="5"/>
  <c r="Q498" i="17" s="1" a="1"/>
  <c r="Q498" i="17" s="1"/>
  <c r="I67" i="5"/>
  <c r="Q503" i="17" s="1" a="1"/>
  <c r="Q503" i="17" s="1"/>
  <c r="J67" i="5"/>
  <c r="Q504" i="17" s="1" a="1"/>
  <c r="Q504" i="17" s="1"/>
  <c r="M67" i="5"/>
  <c r="Q507" i="17" s="1" a="1"/>
  <c r="Q507" i="17" s="1"/>
  <c r="N67" i="5"/>
  <c r="Q508" i="17" s="1" a="1"/>
  <c r="Q508" i="17" s="1"/>
  <c r="F67" i="5"/>
  <c r="Q500" i="17" s="1" a="1"/>
  <c r="Q500" i="17" s="1"/>
  <c r="H67" i="5"/>
  <c r="Q502" i="17" s="1" a="1"/>
  <c r="Q502" i="17" s="1"/>
  <c r="K67" i="5"/>
  <c r="Q505" i="17" s="1" a="1"/>
  <c r="Q505" i="17" s="1"/>
  <c r="L67" i="5"/>
  <c r="Q506" i="17" s="1" a="1"/>
  <c r="Q506" i="17" s="1"/>
  <c r="G67" i="5"/>
  <c r="Q501" i="17" s="1" a="1"/>
  <c r="Q501" i="17" s="1"/>
  <c r="E67" i="5"/>
  <c r="Q499" i="17" s="1" a="1"/>
  <c r="Q499" i="17" s="1"/>
  <c r="D65" i="5"/>
  <c r="Q476" i="17" s="1" a="1"/>
  <c r="Q476" i="17" s="1"/>
  <c r="M65" i="5"/>
  <c r="Q485" i="17" s="1" a="1"/>
  <c r="Q485" i="17" s="1"/>
  <c r="N65" i="5"/>
  <c r="Q486" i="17" s="1" a="1"/>
  <c r="Q486" i="17" s="1"/>
  <c r="E65" i="5"/>
  <c r="Q477" i="17" s="1" a="1"/>
  <c r="Q477" i="17" s="1"/>
  <c r="F65" i="5"/>
  <c r="Q478" i="17" s="1" a="1"/>
  <c r="Q478" i="17" s="1"/>
  <c r="G65" i="5"/>
  <c r="Q479" i="17" s="1" a="1"/>
  <c r="Q479" i="17" s="1"/>
  <c r="H65" i="5"/>
  <c r="Q480" i="17" s="1" a="1"/>
  <c r="Q480" i="17" s="1"/>
  <c r="L65" i="5"/>
  <c r="Q484" i="17" s="1" a="1"/>
  <c r="Q484" i="17" s="1"/>
  <c r="J65" i="5"/>
  <c r="Q482" i="17" s="1" a="1"/>
  <c r="Q482" i="17" s="1"/>
  <c r="I65" i="5"/>
  <c r="Q481" i="17" s="1" a="1"/>
  <c r="Q481" i="17" s="1"/>
  <c r="K65" i="5"/>
  <c r="Q483" i="17" s="1" a="1"/>
  <c r="Q483" i="17" s="1"/>
  <c r="D69" i="5"/>
  <c r="Q520" i="17" s="1" a="1"/>
  <c r="Q520" i="17" s="1"/>
  <c r="E69" i="5"/>
  <c r="Q521" i="17" s="1" a="1"/>
  <c r="Q521" i="17" s="1"/>
  <c r="F69" i="5"/>
  <c r="Q522" i="17" s="1" a="1"/>
  <c r="Q522" i="17" s="1"/>
  <c r="H69" i="5"/>
  <c r="Q524" i="17" s="1" a="1"/>
  <c r="Q524" i="17" s="1"/>
  <c r="I69" i="5"/>
  <c r="Q525" i="17" s="1" a="1"/>
  <c r="Q525" i="17" s="1"/>
  <c r="M69" i="5"/>
  <c r="Q529" i="17" s="1" a="1"/>
  <c r="Q529" i="17" s="1"/>
  <c r="L69" i="5"/>
  <c r="Q528" i="17" s="1" a="1"/>
  <c r="Q528" i="17" s="1"/>
  <c r="N69" i="5"/>
  <c r="Q530" i="17" s="1" a="1"/>
  <c r="Q530" i="17" s="1"/>
  <c r="G69" i="5"/>
  <c r="Q523" i="17" s="1" a="1"/>
  <c r="Q523" i="17" s="1"/>
  <c r="J69" i="5"/>
  <c r="Q526" i="17" s="1" a="1"/>
  <c r="Q526" i="17" s="1"/>
  <c r="K69" i="5"/>
  <c r="Q527" i="17" s="1" a="1"/>
  <c r="Q527" i="17" s="1"/>
  <c r="D68" i="5"/>
  <c r="Q509" i="17" s="1" a="1"/>
  <c r="Q509" i="17" s="1"/>
  <c r="E68" i="5"/>
  <c r="Q510" i="17" s="1" a="1"/>
  <c r="Q510" i="17" s="1"/>
  <c r="F68" i="5"/>
  <c r="Q511" i="17" s="1" a="1"/>
  <c r="Q511" i="17" s="1"/>
  <c r="H68" i="5"/>
  <c r="Q513" i="17" s="1" a="1"/>
  <c r="Q513" i="17" s="1"/>
  <c r="I68" i="5"/>
  <c r="Q514" i="17" s="1" a="1"/>
  <c r="Q514" i="17" s="1"/>
  <c r="J68" i="5"/>
  <c r="Q515" i="17" s="1" a="1"/>
  <c r="Q515" i="17" s="1"/>
  <c r="K68" i="5"/>
  <c r="Q516" i="17" s="1" a="1"/>
  <c r="Q516" i="17" s="1"/>
  <c r="M68" i="5"/>
  <c r="Q518" i="17" s="1" a="1"/>
  <c r="Q518" i="17" s="1"/>
  <c r="N68" i="5"/>
  <c r="Q519" i="17" s="1" a="1"/>
  <c r="Q519" i="17" s="1"/>
  <c r="G68" i="5"/>
  <c r="Q512" i="17" s="1" a="1"/>
  <c r="Q512" i="17" s="1"/>
  <c r="L68" i="5"/>
  <c r="Q517" i="17" s="1" a="1"/>
  <c r="Q517" i="17" s="1"/>
  <c r="D63" i="5"/>
  <c r="Q454" i="17" s="1" a="1"/>
  <c r="Q454" i="17" s="1"/>
  <c r="N63" i="5"/>
  <c r="Q464" i="17" s="1" a="1"/>
  <c r="Q464" i="17" s="1"/>
  <c r="J63" i="5"/>
  <c r="Q460" i="17" s="1" a="1"/>
  <c r="Q460" i="17" s="1"/>
  <c r="L63" i="5"/>
  <c r="Q462" i="17" s="1" a="1"/>
  <c r="Q462" i="17" s="1"/>
  <c r="M63" i="5"/>
  <c r="Q463" i="17" s="1" a="1"/>
  <c r="Q463" i="17" s="1"/>
  <c r="E63" i="5"/>
  <c r="Q455" i="17" s="1" a="1"/>
  <c r="Q455" i="17" s="1"/>
  <c r="F63" i="5"/>
  <c r="Q456" i="17" s="1" a="1"/>
  <c r="Q456" i="17" s="1"/>
  <c r="G63" i="5"/>
  <c r="Q457" i="17" s="1" a="1"/>
  <c r="Q457" i="17" s="1"/>
  <c r="H63" i="5"/>
  <c r="Q458" i="17" s="1" a="1"/>
  <c r="Q458" i="17" s="1"/>
  <c r="I63" i="5"/>
  <c r="Q459" i="17" s="1" a="1"/>
  <c r="Q459" i="17" s="1"/>
  <c r="K63" i="5"/>
  <c r="Q461" i="17" s="1" a="1"/>
  <c r="Q461" i="17" s="1"/>
  <c r="G117" i="2"/>
  <c r="P82" i="17"/>
  <c r="G118" i="2"/>
  <c r="G119" i="2"/>
  <c r="G120" i="2"/>
  <c r="E203" i="2" s="1"/>
  <c r="P106" i="17" s="1"/>
  <c r="G121" i="2"/>
  <c r="G122" i="2"/>
  <c r="E204" i="2" s="1"/>
  <c r="P107" i="17" s="1"/>
  <c r="G123" i="2"/>
  <c r="G124" i="2"/>
  <c r="G125" i="2"/>
  <c r="G116" i="2"/>
  <c r="F117" i="2"/>
  <c r="Q82" i="17"/>
  <c r="F118" i="2"/>
  <c r="F119" i="2"/>
  <c r="F120" i="2"/>
  <c r="D203" i="2" s="1"/>
  <c r="Q106" i="17" s="1"/>
  <c r="F121" i="2"/>
  <c r="F122" i="2"/>
  <c r="D204" i="2" s="1"/>
  <c r="Q107" i="17" s="1"/>
  <c r="F123" i="2"/>
  <c r="F124" i="2"/>
  <c r="F125" i="2"/>
  <c r="F116" i="2"/>
  <c r="W72" i="5" l="1"/>
  <c r="Q72" i="5"/>
  <c r="R72" i="5"/>
  <c r="V72" i="5"/>
  <c r="X72" i="5"/>
  <c r="S72" i="5"/>
  <c r="O72" i="5"/>
  <c r="T72" i="5"/>
  <c r="P72" i="5"/>
  <c r="U72" i="5"/>
  <c r="Y72" i="5"/>
  <c r="J72" i="5"/>
  <c r="M72" i="5"/>
  <c r="G72" i="5"/>
  <c r="F72" i="5"/>
  <c r="K72" i="5"/>
  <c r="E72" i="5"/>
  <c r="L72" i="5"/>
  <c r="I72" i="5"/>
  <c r="N72" i="5"/>
  <c r="H72" i="5"/>
  <c r="D72" i="5"/>
  <c r="E182" i="2"/>
  <c r="P85" i="17" s="1"/>
  <c r="E180" i="2"/>
  <c r="P83" i="17" s="1"/>
  <c r="C5" i="14"/>
  <c r="B5" i="14"/>
  <c r="D182" i="2"/>
  <c r="Q85" i="17" s="1"/>
  <c r="D180" i="2"/>
  <c r="Q83" i="17" s="1"/>
  <c r="C22" i="2"/>
  <c r="C27" i="2" s="1"/>
  <c r="F100" i="2"/>
  <c r="D194" i="2" s="1"/>
  <c r="Q97" i="17" s="1"/>
  <c r="F99" i="2"/>
  <c r="D193" i="2" s="1"/>
  <c r="Q96" i="17" s="1"/>
  <c r="F98" i="2"/>
  <c r="D192" i="2" s="1"/>
  <c r="Q95" i="17" s="1"/>
  <c r="F97" i="2"/>
  <c r="F96" i="2"/>
  <c r="D190" i="2" s="1"/>
  <c r="Q93" i="17" s="1"/>
  <c r="F103" i="2"/>
  <c r="F102" i="2"/>
  <c r="F33" i="3"/>
  <c r="F34" i="3"/>
  <c r="F35" i="3"/>
  <c r="F36" i="3"/>
  <c r="F37" i="3"/>
  <c r="F38" i="3"/>
  <c r="F39" i="3"/>
  <c r="F40" i="3"/>
  <c r="F41" i="3"/>
  <c r="F42" i="3"/>
  <c r="F43" i="3"/>
  <c r="F44" i="3"/>
  <c r="F45" i="3"/>
  <c r="F46" i="3"/>
  <c r="F47" i="3"/>
  <c r="F48" i="3"/>
  <c r="Q73" i="17" l="1"/>
  <c r="D162" i="2"/>
  <c r="Q47" i="17" s="1"/>
  <c r="Q50" i="17"/>
  <c r="Q52" i="17"/>
  <c r="Q51" i="17"/>
  <c r="D151" i="2"/>
  <c r="Q36" i="17" s="1"/>
  <c r="Q53" i="17"/>
  <c r="Q54" i="17"/>
  <c r="D164" i="2"/>
  <c r="Q55" i="17" s="1"/>
  <c r="Q66" i="17"/>
  <c r="Q62" i="17"/>
  <c r="Q67" i="17"/>
  <c r="Q68" i="17"/>
  <c r="D157" i="2"/>
  <c r="Q42" i="17" s="1"/>
  <c r="Q69" i="17"/>
  <c r="Q71" i="17"/>
  <c r="D160" i="2"/>
  <c r="Q45" i="17" s="1"/>
  <c r="D171" i="2"/>
  <c r="Q72" i="17" s="1"/>
  <c r="D161" i="2"/>
  <c r="Q46" i="17" s="1"/>
  <c r="F115" i="2"/>
  <c r="G111" i="2"/>
  <c r="E202" i="2" s="1"/>
  <c r="P105" i="17" s="1"/>
  <c r="G112" i="2"/>
  <c r="F108" i="2"/>
  <c r="G108" i="2"/>
  <c r="G110" i="2"/>
  <c r="E201" i="2" s="1"/>
  <c r="P104" i="17" s="1"/>
  <c r="G106" i="2"/>
  <c r="G107" i="2"/>
  <c r="E154" i="2"/>
  <c r="P39" i="17" s="1"/>
  <c r="G114" i="2"/>
  <c r="F113" i="2"/>
  <c r="D196" i="2" s="1"/>
  <c r="Q99" i="17" s="1"/>
  <c r="G113" i="2"/>
  <c r="G115" i="2"/>
  <c r="F110" i="2"/>
  <c r="D201" i="2" s="1"/>
  <c r="Q104" i="17" s="1"/>
  <c r="D154" i="2"/>
  <c r="Q39" i="17" s="1"/>
  <c r="F114" i="2"/>
  <c r="D197" i="2" s="1"/>
  <c r="Q100" i="17" s="1"/>
  <c r="F107" i="2"/>
  <c r="D153" i="2" s="1"/>
  <c r="Q38" i="17" s="1"/>
  <c r="F106" i="2"/>
  <c r="F112" i="2"/>
  <c r="F109" i="2"/>
  <c r="D149" i="2"/>
  <c r="Q34" i="17" s="1"/>
  <c r="F111" i="2"/>
  <c r="D202" i="2" s="1"/>
  <c r="Q105" i="17" s="1"/>
  <c r="G109" i="2"/>
  <c r="F95" i="2"/>
  <c r="D189" i="2" s="1"/>
  <c r="Q92" i="17" s="1"/>
  <c r="F101" i="2"/>
  <c r="D195" i="2" s="1"/>
  <c r="Q98" i="17" s="1"/>
  <c r="F105" i="2"/>
  <c r="D199" i="2" s="1"/>
  <c r="Q102" i="17" s="1"/>
  <c r="C13" i="2"/>
  <c r="G104" i="2" s="1"/>
  <c r="E198" i="2" s="1"/>
  <c r="P101" i="17" s="1"/>
  <c r="E181" i="2" l="1"/>
  <c r="P84" i="17" s="1"/>
  <c r="E200" i="2"/>
  <c r="P103" i="17" s="1"/>
  <c r="D181" i="2"/>
  <c r="Q84" i="17" s="1"/>
  <c r="D200" i="2"/>
  <c r="Q103" i="17" s="1"/>
  <c r="D176" i="2"/>
  <c r="Q78" i="17" s="1"/>
  <c r="D198" i="2"/>
  <c r="Q101" i="17" s="1"/>
  <c r="D191" i="2"/>
  <c r="Q94" i="17" s="1"/>
  <c r="Q63" i="17"/>
  <c r="E176" i="2"/>
  <c r="P78" i="17" s="1"/>
  <c r="D166" i="2"/>
  <c r="Q57" i="17" s="1"/>
  <c r="E179" i="2"/>
  <c r="P81" i="17" s="1"/>
  <c r="D156" i="2"/>
  <c r="Q41" i="17" s="1"/>
  <c r="D175" i="2"/>
  <c r="Q77" i="17" s="1"/>
  <c r="E148" i="2"/>
  <c r="P33" i="17" s="1"/>
  <c r="E178" i="2"/>
  <c r="P80" i="17" s="1"/>
  <c r="Q70" i="17"/>
  <c r="D159" i="2"/>
  <c r="Q44" i="17" s="1"/>
  <c r="D177" i="2"/>
  <c r="Q79" i="17" s="1"/>
  <c r="D179" i="2"/>
  <c r="Q81" i="17" s="1"/>
  <c r="D148" i="2"/>
  <c r="Q33" i="17" s="1"/>
  <c r="D174" i="2"/>
  <c r="Q76" i="17" s="1"/>
  <c r="Q65" i="17"/>
  <c r="Q49" i="17"/>
  <c r="Q61" i="17"/>
  <c r="D173" i="2"/>
  <c r="Q75" i="17" s="1"/>
  <c r="Q64" i="17"/>
  <c r="D178" i="2"/>
  <c r="Q80" i="17" s="1"/>
  <c r="D170" i="2"/>
  <c r="Q60" i="17" s="1"/>
  <c r="D168" i="2"/>
  <c r="Q59" i="17" s="1"/>
  <c r="D163" i="2"/>
  <c r="Q48" i="17" s="1"/>
  <c r="D152" i="2"/>
  <c r="Q37" i="17" s="1"/>
  <c r="D172" i="2"/>
  <c r="Q74" i="17" s="1"/>
  <c r="D165" i="2"/>
  <c r="Q56" i="17" s="1"/>
  <c r="D150" i="2"/>
  <c r="Q35" i="17" s="1"/>
  <c r="D167" i="2"/>
  <c r="Q58" i="17" s="1"/>
  <c r="D155" i="2"/>
  <c r="Q40" i="17" s="1"/>
  <c r="D158" i="2"/>
  <c r="Q43" i="17" s="1"/>
  <c r="G102" i="2"/>
  <c r="E196" i="2" s="1"/>
  <c r="P99" i="17" s="1"/>
  <c r="G99" i="2"/>
  <c r="E193" i="2" s="1"/>
  <c r="P96" i="17" s="1"/>
  <c r="G96" i="2"/>
  <c r="E190" i="2" s="1"/>
  <c r="P93" i="17" s="1"/>
  <c r="G103" i="2"/>
  <c r="E197" i="2" s="1"/>
  <c r="P100" i="17" s="1"/>
  <c r="G100" i="2"/>
  <c r="E194" i="2" s="1"/>
  <c r="P97" i="17" s="1"/>
  <c r="G97" i="2"/>
  <c r="E191" i="2" s="1"/>
  <c r="P94" i="17" s="1"/>
  <c r="G98" i="2"/>
  <c r="E192" i="2" s="1"/>
  <c r="P95" i="17" s="1"/>
  <c r="P63" i="17"/>
  <c r="G101" i="2"/>
  <c r="E195" i="2" s="1"/>
  <c r="P98" i="17" s="1"/>
  <c r="G95" i="2"/>
  <c r="E189" i="2" s="1"/>
  <c r="P92" i="17" s="1"/>
  <c r="G105" i="2"/>
  <c r="E199" i="2" s="1"/>
  <c r="P102" i="17" s="1"/>
  <c r="F4" i="3"/>
  <c r="F32" i="3"/>
  <c r="F31" i="3"/>
  <c r="F30" i="3"/>
  <c r="F29" i="3"/>
  <c r="F28" i="3"/>
  <c r="F27" i="3"/>
  <c r="F26" i="3"/>
  <c r="F25" i="3"/>
  <c r="F24" i="3"/>
  <c r="F23" i="3"/>
  <c r="F22" i="3"/>
  <c r="F21" i="3"/>
  <c r="F20" i="3"/>
  <c r="F19" i="3"/>
  <c r="F18" i="3"/>
  <c r="F17" i="3"/>
  <c r="F16" i="3"/>
  <c r="F15" i="3"/>
  <c r="F14" i="3"/>
  <c r="F13" i="3"/>
  <c r="F12" i="3"/>
  <c r="I13" i="3"/>
  <c r="F11" i="3"/>
  <c r="F10" i="3"/>
  <c r="F9" i="3"/>
  <c r="F8" i="3"/>
  <c r="F7" i="3"/>
  <c r="F6" i="3"/>
  <c r="F5" i="3"/>
  <c r="P73" i="17" l="1"/>
  <c r="E174" i="2"/>
  <c r="P76" i="17" s="1"/>
  <c r="P65" i="17"/>
  <c r="E155" i="2"/>
  <c r="P40" i="17" s="1"/>
  <c r="E157" i="2"/>
  <c r="P42" i="17" s="1"/>
  <c r="E149" i="2"/>
  <c r="P34" i="17" s="1"/>
  <c r="E159" i="2"/>
  <c r="P44" i="17" s="1"/>
  <c r="P66" i="17"/>
  <c r="P54" i="17"/>
  <c r="P69" i="17"/>
  <c r="E177" i="2"/>
  <c r="P79" i="17" s="1"/>
  <c r="P51" i="17"/>
  <c r="P49" i="17"/>
  <c r="E150" i="2"/>
  <c r="P35" i="17" s="1"/>
  <c r="E160" i="2"/>
  <c r="P45" i="17" s="1"/>
  <c r="E151" i="2"/>
  <c r="P36" i="17" s="1"/>
  <c r="P64" i="17"/>
  <c r="E153" i="2"/>
  <c r="P38" i="17" s="1"/>
  <c r="P52" i="17"/>
  <c r="P67" i="17"/>
  <c r="P50" i="17"/>
  <c r="E152" i="2"/>
  <c r="P37" i="17" s="1"/>
  <c r="P71" i="17"/>
  <c r="P70" i="17"/>
  <c r="E171" i="2"/>
  <c r="P72" i="17" s="1"/>
  <c r="E167" i="2"/>
  <c r="P58" i="17" s="1"/>
  <c r="E163" i="2"/>
  <c r="P48" i="17" s="1"/>
  <c r="E170" i="2"/>
  <c r="P60" i="17" s="1"/>
  <c r="P62" i="17"/>
  <c r="E165" i="2"/>
  <c r="P56" i="17" s="1"/>
  <c r="E164" i="2"/>
  <c r="P55" i="17" s="1"/>
  <c r="E166" i="2"/>
  <c r="P57" i="17" s="1"/>
  <c r="E161" i="2"/>
  <c r="P46" i="17" s="1"/>
  <c r="E175" i="2"/>
  <c r="P77" i="17" s="1"/>
  <c r="E172" i="2"/>
  <c r="P74" i="17" s="1"/>
  <c r="E158" i="2"/>
  <c r="P43" i="17" s="1"/>
  <c r="E173" i="2"/>
  <c r="P75" i="17" s="1"/>
  <c r="E156" i="2"/>
  <c r="P41" i="17" s="1"/>
  <c r="E162" i="2"/>
  <c r="P47" i="17" s="1"/>
  <c r="E168" i="2"/>
  <c r="P59" i="17" s="1"/>
  <c r="P61" i="17"/>
  <c r="P53" i="17"/>
  <c r="P68" i="17"/>
  <c r="G38" i="2"/>
  <c r="G39" i="2"/>
  <c r="G40" i="2"/>
  <c r="G41" i="2"/>
  <c r="G42" i="2"/>
  <c r="G43" i="2"/>
  <c r="G44" i="2"/>
  <c r="G45" i="2"/>
  <c r="G46" i="2"/>
  <c r="G47" i="2"/>
  <c r="G48" i="2"/>
  <c r="G49" i="2"/>
  <c r="G50" i="2"/>
  <c r="G51" i="2"/>
  <c r="G52" i="2"/>
  <c r="G53" i="2"/>
  <c r="F38" i="2"/>
  <c r="F39" i="2"/>
  <c r="F40" i="2"/>
  <c r="F41" i="2"/>
  <c r="F42" i="2"/>
  <c r="F43" i="2"/>
  <c r="F44" i="2"/>
  <c r="F45" i="2"/>
  <c r="F46" i="2"/>
  <c r="F47" i="2"/>
  <c r="F48" i="2"/>
  <c r="F49" i="2"/>
  <c r="F50" i="2"/>
  <c r="F51" i="2"/>
  <c r="F52" i="2"/>
  <c r="F53" i="2"/>
  <c r="G37" i="2"/>
  <c r="E131" i="2" s="1"/>
  <c r="F37" i="2"/>
  <c r="D131" i="2" s="1"/>
  <c r="Q16" i="17" l="1"/>
  <c r="P16" i="17"/>
  <c r="E141" i="2"/>
  <c r="P26" i="17" s="1"/>
  <c r="E144" i="2"/>
  <c r="P29" i="17" s="1"/>
  <c r="E139" i="2"/>
  <c r="P24" i="17" s="1"/>
  <c r="E134" i="2"/>
  <c r="P19" i="17" s="1"/>
  <c r="E138" i="2"/>
  <c r="P23" i="17" s="1"/>
  <c r="E137" i="2"/>
  <c r="P22" i="17" s="1"/>
  <c r="E142" i="2"/>
  <c r="P27" i="17" s="1"/>
  <c r="E140" i="2"/>
  <c r="P25" i="17" s="1"/>
  <c r="E136" i="2"/>
  <c r="P21" i="17" s="1"/>
  <c r="E135" i="2"/>
  <c r="P20" i="17" s="1"/>
  <c r="E133" i="2"/>
  <c r="P18" i="17" s="1"/>
  <c r="E147" i="2"/>
  <c r="P32" i="17" s="1"/>
  <c r="E132" i="2"/>
  <c r="P17" i="17" s="1"/>
  <c r="E146" i="2"/>
  <c r="P31" i="17" s="1"/>
  <c r="E145" i="2"/>
  <c r="P30" i="17" s="1"/>
  <c r="E143" i="2"/>
  <c r="P28" i="17" s="1"/>
  <c r="D132" i="2"/>
  <c r="Q17" i="17" s="1"/>
  <c r="D147" i="2"/>
  <c r="Q32" i="17" s="1"/>
  <c r="D146" i="2"/>
  <c r="Q31" i="17" s="1"/>
  <c r="D143" i="2"/>
  <c r="Q28" i="17" s="1"/>
  <c r="D141" i="2"/>
  <c r="Q26" i="17" s="1"/>
  <c r="D140" i="2"/>
  <c r="Q25" i="17" s="1"/>
  <c r="D145" i="2"/>
  <c r="Q30" i="17" s="1"/>
  <c r="D144" i="2"/>
  <c r="Q29" i="17" s="1"/>
  <c r="D142" i="2"/>
  <c r="Q27" i="17" s="1"/>
  <c r="D134" i="2"/>
  <c r="Q19" i="17" s="1"/>
  <c r="D139" i="2"/>
  <c r="Q24" i="17" s="1"/>
  <c r="D138" i="2"/>
  <c r="Q23" i="17" s="1"/>
  <c r="D137" i="2"/>
  <c r="Q22" i="17" s="1"/>
  <c r="D133" i="2"/>
  <c r="Q18" i="17" s="1"/>
  <c r="G126" i="2"/>
  <c r="D136" i="2"/>
  <c r="Q21" i="17" s="1"/>
  <c r="D135" i="2"/>
  <c r="Q20" i="17" s="1"/>
  <c r="F126" i="2"/>
  <c r="E206" i="2" l="1"/>
  <c r="C2" i="14" s="1"/>
  <c r="C7" i="14" s="1"/>
  <c r="D206" i="2"/>
  <c r="T16" i="17"/>
  <c r="S16" i="17"/>
  <c r="P12" i="17"/>
  <c r="Q12" i="17"/>
  <c r="B2" i="14"/>
  <c r="B7" i="14"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<sst xmlns="http://schemas.openxmlformats.org/spreadsheetml/2006/main" count="6687" uniqueCount="1636">
  <si>
    <t>Source Description</t>
  </si>
  <si>
    <t>TEU ID</t>
  </si>
  <si>
    <t>Controlled By</t>
  </si>
  <si>
    <t>Emission Point ID</t>
  </si>
  <si>
    <t>Notes</t>
  </si>
  <si>
    <t>Stack Ht. Abovegrade (ft.)</t>
  </si>
  <si>
    <t>Stack Diam (in.)</t>
  </si>
  <si>
    <t>Stack Temp (F)</t>
  </si>
  <si>
    <t>Flow out of stack vertical up and unobstructed? (Y/N)</t>
  </si>
  <si>
    <t>Refinery</t>
  </si>
  <si>
    <t>Sulfonation</t>
  </si>
  <si>
    <t>OPS</t>
  </si>
  <si>
    <t>Stack Flow Rate (ACFM)</t>
  </si>
  <si>
    <t>Regenerative Thermal Oxidizer (RTO)</t>
  </si>
  <si>
    <t>Tanks</t>
  </si>
  <si>
    <t>Mult.</t>
  </si>
  <si>
    <t>See Tanks tab for identification details</t>
  </si>
  <si>
    <t>See Tanks tab for vent details</t>
  </si>
  <si>
    <t>Fugitive Equipment Leaks</t>
  </si>
  <si>
    <t>Fugitive - None</t>
  </si>
  <si>
    <t>See "Heat Map" drawing for equipment distribution</t>
  </si>
  <si>
    <t>NG Boilers (CIA)</t>
  </si>
  <si>
    <t>Emissions (lb/day)</t>
  </si>
  <si>
    <t>Emissions (lb/year)</t>
  </si>
  <si>
    <t>CAS #</t>
  </si>
  <si>
    <t>Emission Factor</t>
  </si>
  <si>
    <t>Units</t>
  </si>
  <si>
    <t>lb/hr</t>
  </si>
  <si>
    <t>Emission Unit:</t>
  </si>
  <si>
    <t>Emission Point:</t>
  </si>
  <si>
    <t>Description:</t>
  </si>
  <si>
    <t>Max. Operating Parameters:</t>
  </si>
  <si>
    <t>Hours per Day</t>
  </si>
  <si>
    <t>Hours per Year</t>
  </si>
  <si>
    <t>hrs/day</t>
  </si>
  <si>
    <t>hrs/year</t>
  </si>
  <si>
    <t>CAS</t>
  </si>
  <si>
    <t>ChemicalName</t>
  </si>
  <si>
    <t>Lookup Name on CAO List Rtn CAS</t>
  </si>
  <si>
    <t>Lookup CAS on CAO List as Check</t>
  </si>
  <si>
    <t>75-07-0</t>
  </si>
  <si>
    <t>Acetaldehyde</t>
  </si>
  <si>
    <t>Acenaphthene</t>
  </si>
  <si>
    <t>60-35-5</t>
  </si>
  <si>
    <t>Acetamide</t>
  </si>
  <si>
    <t>Acenaphthylene</t>
  </si>
  <si>
    <t>67-64-1</t>
  </si>
  <si>
    <t>Acetone</t>
  </si>
  <si>
    <t>Anthracene</t>
  </si>
  <si>
    <t>75-05-8</t>
  </si>
  <si>
    <t>Acetonitrile</t>
  </si>
  <si>
    <t>Benz[a]anthracene</t>
  </si>
  <si>
    <t>98-86-2</t>
  </si>
  <si>
    <t>Acetophenone</t>
  </si>
  <si>
    <t>Benzo[a]pyrene</t>
  </si>
  <si>
    <t>107-02-8</t>
  </si>
  <si>
    <t>Acrolein</t>
  </si>
  <si>
    <t>Benzo[b]fluoranthene</t>
  </si>
  <si>
    <t>79-06-1</t>
  </si>
  <si>
    <t>Acrylamide</t>
  </si>
  <si>
    <t>Benzo[e]pyrene</t>
  </si>
  <si>
    <t>79-10-7</t>
  </si>
  <si>
    <t>Acrylic acid</t>
  </si>
  <si>
    <t>Benzo[g,h,i]perylene</t>
  </si>
  <si>
    <t>107-13-1</t>
  </si>
  <si>
    <t>Acrylonitrile</t>
  </si>
  <si>
    <t>Benzo[k]fluoranthene</t>
  </si>
  <si>
    <t>50-76-0</t>
  </si>
  <si>
    <t>Actinomycin D</t>
  </si>
  <si>
    <t>2-Chloronaphthalene</t>
  </si>
  <si>
    <t>91-58-7</t>
  </si>
  <si>
    <t>1596-84-5</t>
  </si>
  <si>
    <t>Alar</t>
  </si>
  <si>
    <t>Chrysene</t>
  </si>
  <si>
    <t>309-00-2</t>
  </si>
  <si>
    <t>Aldrin</t>
  </si>
  <si>
    <t>Dibenz[a,h]anthracene</t>
  </si>
  <si>
    <t>107-05-1</t>
  </si>
  <si>
    <t>Allyl chloride</t>
  </si>
  <si>
    <t>Fluoranthene</t>
  </si>
  <si>
    <t>7429-90-5</t>
  </si>
  <si>
    <t>Aluminum and compounds</t>
  </si>
  <si>
    <t>Fluorene</t>
  </si>
  <si>
    <t>1344-28-1</t>
  </si>
  <si>
    <t>Aluminum oxide (fibrous forms)</t>
  </si>
  <si>
    <t>Indeno[1,2,3-cd]pyrene</t>
  </si>
  <si>
    <t>97-56-3</t>
  </si>
  <si>
    <t>ortho-Aminoazotoluene</t>
  </si>
  <si>
    <t>2-Methyl naphthalene</t>
  </si>
  <si>
    <t>6109-97-3</t>
  </si>
  <si>
    <t>3-Amino-9-ethylcarbazole hydrochloride</t>
  </si>
  <si>
    <t>Perylene</t>
  </si>
  <si>
    <t>68006-83-7</t>
  </si>
  <si>
    <t>2-Amino-3-methyl-9H pyrido[2,3-b]indole</t>
  </si>
  <si>
    <t>Phenanthrene</t>
  </si>
  <si>
    <t>82-28-0</t>
  </si>
  <si>
    <t>1-Amino-2-methylanthraquinone</t>
  </si>
  <si>
    <t>Pyrene</t>
  </si>
  <si>
    <t>76180-96-6</t>
  </si>
  <si>
    <t>2-Amino-3-methylimidazo-[4,5-f]quinoline</t>
  </si>
  <si>
    <t>712-68-5</t>
  </si>
  <si>
    <t>2-Amino-5-(5-Nitro-2-Furyl)-1,3,4-Thiadiazol</t>
  </si>
  <si>
    <t>26148-68-5</t>
  </si>
  <si>
    <t>A-alpha-c(2-amino-9h-pyrido[2,3-b]indole)</t>
  </si>
  <si>
    <t>92-67-1</t>
  </si>
  <si>
    <t>4-Aminobiphenyl</t>
  </si>
  <si>
    <t>3-Methylcholanthrene</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</si>
  <si>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</si>
  <si>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</si>
  <si>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</si>
  <si>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</si>
  <si>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</si>
  <si>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</si>
  <si>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</si>
  <si>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</si>
  <si>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</si>
  <si>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</si>
  <si>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</si>
  <si>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</si>
  <si>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</si>
  <si>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</si>
  <si>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</si>
  <si>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</si>
  <si>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</si>
  <si>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</si>
  <si>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</si>
  <si>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</si>
  <si>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</si>
  <si>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</si>
  <si>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</si>
  <si>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</si>
  <si>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</si>
  <si>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</si>
  <si>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</si>
  <si>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</si>
  <si>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</si>
  <si>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</si>
  <si>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</si>
  <si>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</si>
  <si>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</si>
  <si>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</si>
  <si>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</si>
  <si>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</si>
  <si>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</si>
  <si>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</si>
  <si>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</si>
  <si>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</si>
  <si>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</si>
  <si>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</si>
  <si>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</si>
  <si>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</si>
  <si>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</si>
  <si>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</si>
  <si>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</si>
  <si>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</si>
  <si>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</si>
  <si>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</si>
  <si>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</si>
  <si>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</si>
  <si>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</si>
  <si>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</si>
  <si>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</si>
  <si>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</si>
  <si>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</si>
  <si>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</si>
  <si>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</si>
  <si>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</si>
  <si>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</si>
  <si>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</si>
  <si>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</si>
  <si>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</si>
  <si>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</si>
  <si>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</si>
  <si>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</si>
  <si>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</si>
  <si>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</si>
  <si>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</si>
  <si>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</si>
  <si>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</si>
  <si>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</si>
  <si>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</si>
  <si>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</si>
  <si>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</si>
  <si>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</si>
  <si>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</si>
  <si>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</si>
  <si>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</si>
  <si>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</si>
  <si>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</si>
  <si>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</si>
  <si>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</si>
  <si>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</si>
  <si>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</si>
  <si>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</si>
  <si>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</si>
  <si>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</si>
  <si>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</si>
  <si>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</si>
  <si>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</si>
  <si>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</si>
  <si>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</si>
  <si>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</si>
  <si>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</si>
  <si>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</si>
  <si>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</si>
  <si>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</si>
  <si>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</si>
  <si>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</si>
  <si>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</si>
  <si>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</si>
  <si>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</si>
  <si>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</si>
  <si>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</si>
  <si>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</si>
  <si>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</si>
  <si>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</si>
  <si>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</si>
  <si>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</si>
  <si>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</si>
  <si>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</si>
  <si>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</si>
  <si>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</si>
  <si>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</si>
  <si>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</si>
  <si>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</si>
  <si>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</si>
  <si>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</si>
  <si>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</si>
  <si>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</si>
  <si>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</si>
  <si>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</si>
  <si>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</si>
  <si>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</si>
  <si>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</si>
  <si>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</si>
  <si>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</si>
  <si>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</si>
  <si>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</si>
  <si>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</si>
  <si>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</si>
  <si>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</si>
  <si>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</si>
  <si>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</si>
  <si>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</si>
  <si>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</si>
  <si>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</si>
  <si>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</si>
  <si>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</si>
  <si>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</si>
  <si>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</si>
  <si>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</si>
  <si>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</si>
  <si>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</si>
  <si>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</si>
  <si>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</si>
  <si>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</si>
  <si>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</si>
  <si>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</si>
  <si>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</si>
  <si>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</si>
  <si>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</si>
  <si>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</si>
  <si>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</si>
  <si>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</si>
  <si>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</si>
  <si>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</si>
  <si>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</si>
  <si>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</si>
  <si>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</si>
  <si>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</si>
  <si>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</si>
  <si>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</si>
  <si>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</si>
  <si>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</si>
  <si>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</si>
  <si>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</si>
  <si>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</si>
  <si>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</si>
  <si>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</si>
  <si>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</si>
  <si>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</si>
  <si>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</si>
  <si>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</si>
  <si>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</si>
  <si>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</si>
  <si>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</si>
  <si>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</si>
  <si>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</si>
  <si>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</si>
  <si>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</si>
  <si>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</si>
  <si>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</si>
  <si>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</si>
  <si>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</si>
  <si>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</si>
  <si>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</si>
  <si>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</si>
  <si>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Chromium VI, chromate, and dichromate particulate</t>
  </si>
  <si>
    <t>1333-82-0</t>
  </si>
  <si>
    <t>Chromium trioxide</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</si>
  <si>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</si>
  <si>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</si>
  <si>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</si>
  <si>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</si>
  <si>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</si>
  <si>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</si>
  <si>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</si>
  <si>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</si>
  <si>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</si>
  <si>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</si>
  <si>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</si>
  <si>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</si>
  <si>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</si>
  <si>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</si>
  <si>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</si>
  <si>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m-Cresol</t>
  </si>
  <si>
    <t>95-48-7</t>
  </si>
  <si>
    <t>o-Cresol</t>
  </si>
  <si>
    <t>106-44-5</t>
  </si>
  <si>
    <t>p-Cresol</t>
  </si>
  <si>
    <t>4170-30-3</t>
  </si>
  <si>
    <t>Crotonaldehyde</t>
  </si>
  <si>
    <t>80-15-9</t>
  </si>
  <si>
    <t>Cumene hydroperoxide</t>
  </si>
  <si>
    <t>135-20-6</t>
  </si>
  <si>
    <t>Cupferron</t>
  </si>
  <si>
    <t>57-12-5</t>
  </si>
  <si>
    <t>Cyanide compounds</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</si>
  <si>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</si>
  <si>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</si>
  <si>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</si>
  <si>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</si>
  <si>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</si>
  <si>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</si>
  <si>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</si>
  <si>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</si>
  <si>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</si>
  <si>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</si>
  <si>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</si>
  <si>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</si>
  <si>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</si>
  <si>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</si>
  <si>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</si>
  <si>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</si>
  <si>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</si>
  <si>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</si>
  <si>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</si>
  <si>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</si>
  <si>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</si>
  <si>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</si>
  <si>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</si>
  <si>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</si>
  <si>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</si>
  <si>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</si>
  <si>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</si>
  <si>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</si>
  <si>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</si>
  <si>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</si>
  <si>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</si>
  <si>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</si>
  <si>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</si>
  <si>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</si>
  <si>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</si>
  <si>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</si>
  <si>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</si>
  <si>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</si>
  <si>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</si>
  <si>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</si>
  <si>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</si>
  <si>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</si>
  <si>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</si>
  <si>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</si>
  <si>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</si>
  <si>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</si>
  <si>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</si>
  <si>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</si>
  <si>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</si>
  <si>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</si>
  <si>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</si>
  <si>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</si>
  <si>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</si>
  <si>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</si>
  <si>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</si>
  <si>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</si>
  <si>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</si>
  <si>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</si>
  <si>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</si>
  <si>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</si>
  <si>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</si>
  <si>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</si>
  <si>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</si>
  <si>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</si>
  <si>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</si>
  <si>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</si>
  <si>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</si>
  <si>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</si>
  <si>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</si>
  <si>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</si>
  <si>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</si>
  <si>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</si>
  <si>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</si>
  <si>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</si>
  <si>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</si>
  <si>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</si>
  <si>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</si>
  <si>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</si>
  <si>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</si>
  <si>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</si>
  <si>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</si>
  <si>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</si>
  <si>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</si>
  <si>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</si>
  <si>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</si>
  <si>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</si>
  <si>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</si>
  <si>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</si>
  <si>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</si>
  <si>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</si>
  <si>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</si>
  <si>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</si>
  <si>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</si>
  <si>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</si>
  <si>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</si>
  <si>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</si>
  <si>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</si>
  <si>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</si>
  <si>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</si>
  <si>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</si>
  <si>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</si>
  <si>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</si>
  <si>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</si>
  <si>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</si>
  <si>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</si>
  <si>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</si>
  <si>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</si>
  <si>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</si>
  <si>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</si>
  <si>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</si>
  <si>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</si>
  <si>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</si>
  <si>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</si>
  <si>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</si>
  <si>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</si>
  <si>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</si>
  <si>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</si>
  <si>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</si>
  <si>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</si>
  <si>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</si>
  <si>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</si>
  <si>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</si>
  <si>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</si>
  <si>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</si>
  <si>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</si>
  <si>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</si>
  <si>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</si>
  <si>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</si>
  <si>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</si>
  <si>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</si>
  <si>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</si>
  <si>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</si>
  <si>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</si>
  <si>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</si>
  <si>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</si>
  <si>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</si>
  <si>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</si>
  <si>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</si>
  <si>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</si>
  <si>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</si>
  <si>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</si>
  <si>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</si>
  <si>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</si>
  <si>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</si>
  <si>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</si>
  <si>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</si>
  <si>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</si>
  <si>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</si>
  <si>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</si>
  <si>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</si>
  <si>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</si>
  <si>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</si>
  <si>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</si>
  <si>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</si>
  <si>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</si>
  <si>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</si>
  <si>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</si>
  <si>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</si>
  <si>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</si>
  <si>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</si>
  <si>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</si>
  <si>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</si>
  <si>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</si>
  <si>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</si>
  <si>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</si>
  <si>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</si>
  <si>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</si>
  <si>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</si>
  <si>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</si>
  <si>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</si>
  <si>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</si>
  <si>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</si>
  <si>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</si>
  <si>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</si>
  <si>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</si>
  <si>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</si>
  <si>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</si>
  <si>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</si>
  <si>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</si>
  <si>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</si>
  <si>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</si>
  <si>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</si>
  <si>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</si>
  <si>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</si>
  <si>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</si>
  <si>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</si>
  <si>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</si>
  <si>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</si>
  <si>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</si>
  <si>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</si>
  <si>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</si>
  <si>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</si>
  <si>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</si>
  <si>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</si>
  <si>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</si>
  <si>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</si>
  <si>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</si>
  <si>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</si>
  <si>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</si>
  <si>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</si>
  <si>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</si>
  <si>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</si>
  <si>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</si>
  <si>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</si>
  <si>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</si>
  <si>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</si>
  <si>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</si>
  <si>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</si>
  <si>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</si>
  <si>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</si>
  <si>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</si>
  <si>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</si>
  <si>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</si>
  <si>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</si>
  <si>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</si>
  <si>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</si>
  <si>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</si>
  <si>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</si>
  <si>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</si>
  <si>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</si>
  <si>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</si>
  <si>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</si>
  <si>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</si>
  <si>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</si>
  <si>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</si>
  <si>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</si>
  <si>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</si>
  <si>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</si>
  <si>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</si>
  <si>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</si>
  <si>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</si>
  <si>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</si>
  <si>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</si>
  <si>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</si>
  <si>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</si>
  <si>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</si>
  <si>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</si>
  <si>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</si>
  <si>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</si>
  <si>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</si>
  <si>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</si>
  <si>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</si>
  <si>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</si>
  <si>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</si>
  <si>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</si>
  <si>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</si>
  <si>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</si>
  <si>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</si>
  <si>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</si>
  <si>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</si>
  <si>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</si>
  <si>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</si>
  <si>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</si>
  <si>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</si>
  <si>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</si>
  <si>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</si>
  <si>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</si>
  <si>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</si>
  <si>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</si>
  <si>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</si>
  <si>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</si>
  <si>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</si>
  <si>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</si>
  <si>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</si>
  <si>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</si>
  <si>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</si>
  <si>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</si>
  <si>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</si>
  <si>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</si>
  <si>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</si>
  <si>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</si>
  <si>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</si>
  <si>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</si>
  <si>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</si>
  <si>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</si>
  <si>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</si>
  <si>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</si>
  <si>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</si>
  <si>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</si>
  <si>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</si>
  <si>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</si>
  <si>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</si>
  <si>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</si>
  <si>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</si>
  <si>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</si>
  <si>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</si>
  <si>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</si>
  <si>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</si>
  <si>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</si>
  <si>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</si>
  <si>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</si>
  <si>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</si>
  <si>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</si>
  <si>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</si>
  <si>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</si>
  <si>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</si>
  <si>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</si>
  <si>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Diethylmercury</t>
  </si>
  <si>
    <t>593-74-8</t>
  </si>
  <si>
    <t>Dimethylmercury</t>
  </si>
  <si>
    <t>22967-92-6</t>
  </si>
  <si>
    <t>Methylmercury</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</si>
  <si>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</si>
  <si>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</si>
  <si>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</si>
  <si>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</si>
  <si>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</si>
  <si>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</si>
  <si>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</si>
  <si>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</si>
  <si>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</si>
  <si>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</si>
  <si>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</si>
  <si>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</si>
  <si>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</si>
  <si>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</si>
  <si>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</si>
  <si>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</si>
  <si>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</si>
  <si>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</si>
  <si>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</si>
  <si>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</si>
  <si>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</si>
  <si>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</si>
  <si>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</si>
  <si>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</si>
  <si>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</si>
  <si>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</si>
  <si>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</si>
  <si>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</si>
  <si>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</si>
  <si>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</si>
  <si>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</si>
  <si>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</si>
  <si>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</si>
  <si>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</si>
  <si>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</si>
  <si>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</si>
  <si>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</si>
  <si>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</si>
  <si>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</si>
  <si>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1-Methylphenanthrene</t>
  </si>
  <si>
    <t>2381-21-7</t>
  </si>
  <si>
    <t>1-Methylpyrene</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</si>
  <si>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</si>
  <si>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</si>
  <si>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</si>
  <si>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</si>
  <si>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</si>
  <si>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</si>
  <si>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</si>
  <si>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</si>
  <si>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</si>
  <si>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Mineral fibers (fine mineral fibers which are man-made, and are airborne particles of a respirable size greater than 5 microns in length, less than or equal to 3.5 microns in diameter, with a length to diameter ratio of 3:1)</t>
  </si>
  <si>
    <t>2385-85-5</t>
  </si>
  <si>
    <t>Mirex</t>
  </si>
  <si>
    <t>50-07-7</t>
  </si>
  <si>
    <t>Mitomycin C</t>
  </si>
  <si>
    <t>1313-27-5</t>
  </si>
  <si>
    <t>Molybdenum trioxide</t>
  </si>
  <si>
    <t>315-22-0</t>
  </si>
  <si>
    <t>Monocrotaline</t>
  </si>
  <si>
    <t>91-59-8</t>
  </si>
  <si>
    <t>2-Naphthylamine</t>
  </si>
  <si>
    <t>91-20-3</t>
  </si>
  <si>
    <t>Naphthalene</t>
  </si>
  <si>
    <t>7440-02-0</t>
  </si>
  <si>
    <t>Nickel and compounds</t>
  </si>
  <si>
    <t>Nickel compounds, insoluble</t>
  </si>
  <si>
    <t>1313-99-1</t>
  </si>
  <si>
    <t>Nickel oxide</t>
  </si>
  <si>
    <t>12035-72-2</t>
  </si>
  <si>
    <t>Nickel subsulfide</t>
  </si>
  <si>
    <t>11113-75-0</t>
  </si>
  <si>
    <t>Nickel sulfide</t>
  </si>
  <si>
    <t>Nickel compounds, soluble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</si>
  <si>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</si>
  <si>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</si>
  <si>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</si>
  <si>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</si>
  <si>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</si>
  <si>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</si>
  <si>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</si>
  <si>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</si>
  <si>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</si>
  <si>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</si>
  <si>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</si>
  <si>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</si>
  <si>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</si>
  <si>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</si>
  <si>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</si>
  <si>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</si>
  <si>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</si>
  <si>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</si>
  <si>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</si>
  <si>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</si>
  <si>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</si>
  <si>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</si>
  <si>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</si>
  <si>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</si>
  <si>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</si>
  <si>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</si>
  <si>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</si>
  <si>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</si>
  <si>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</si>
  <si>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</si>
  <si>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</si>
  <si>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</si>
  <si>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</si>
  <si>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</si>
  <si>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</si>
  <si>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</si>
  <si>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</si>
  <si>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</si>
  <si>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</si>
  <si>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</si>
  <si>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</si>
  <si>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</si>
  <si>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</si>
  <si>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</si>
  <si>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</si>
  <si>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</si>
  <si>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</si>
  <si>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</si>
  <si>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</si>
  <si>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</si>
  <si>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</si>
  <si>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</si>
  <si>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</si>
  <si>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</si>
  <si>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</si>
  <si>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</si>
  <si>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</si>
  <si>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</si>
  <si>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</si>
  <si>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</si>
  <si>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</si>
  <si>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</si>
  <si>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</si>
  <si>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</si>
  <si>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</si>
  <si>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</si>
  <si>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</si>
  <si>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</si>
  <si>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</si>
  <si>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</si>
  <si>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</si>
  <si>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</si>
  <si>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</si>
  <si>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</si>
  <si>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</si>
  <si>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</si>
  <si>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</si>
  <si>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</si>
  <si>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</si>
  <si>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trans-Nonachlor</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</si>
  <si>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</si>
  <si>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</si>
  <si>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</si>
  <si>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</si>
  <si>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</si>
  <si>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</si>
  <si>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</si>
  <si>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</si>
  <si>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</si>
  <si>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</si>
  <si>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</si>
  <si>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</si>
  <si>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</si>
  <si>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</si>
  <si>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Perfluorinated compounds (PFCs)</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</si>
  <si>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</si>
  <si>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</si>
  <si>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</si>
  <si>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</si>
  <si>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</si>
  <si>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</si>
  <si>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</si>
  <si>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</si>
  <si>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</si>
  <si>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</si>
  <si>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</si>
  <si>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</si>
  <si>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</si>
  <si>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</si>
  <si>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</si>
  <si>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</si>
  <si>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</si>
  <si>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</si>
  <si>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</si>
  <si>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</si>
  <si>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</si>
  <si>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</si>
  <si>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</si>
  <si>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</si>
  <si>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</si>
  <si>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2-Phenylphenol</t>
  </si>
  <si>
    <t>75-44-5</t>
  </si>
  <si>
    <t>Phosgene</t>
  </si>
  <si>
    <t>7803-51-2</t>
  </si>
  <si>
    <t>Phosphine</t>
  </si>
  <si>
    <t>7664-38-2</t>
  </si>
  <si>
    <t>Phosphoric acid</t>
  </si>
  <si>
    <t>7723-14-0</t>
  </si>
  <si>
    <t>Phosphorus and compounds</t>
  </si>
  <si>
    <t>10025-87-3</t>
  </si>
  <si>
    <t>Phosphorus oxychloride</t>
  </si>
  <si>
    <t>10026-13-8</t>
  </si>
  <si>
    <t>Phosphorus pentachloride</t>
  </si>
  <si>
    <t>1314-56-3</t>
  </si>
  <si>
    <t>Phosphorus pentoxide</t>
  </si>
  <si>
    <t>7719-12-2</t>
  </si>
  <si>
    <t>Phosphorus trichloride</t>
  </si>
  <si>
    <t>12185-10-3</t>
  </si>
  <si>
    <t>Phosphorus, white</t>
  </si>
  <si>
    <t>Phthalates</t>
  </si>
  <si>
    <t>85-44-9</t>
  </si>
  <si>
    <t>Phthalic anhydride</t>
  </si>
  <si>
    <t>Polybrominated diphenyl ethers (PBDEs)</t>
  </si>
  <si>
    <t>5436-43-1</t>
  </si>
  <si>
    <t>PBDE-47 [2,2',4,4'-Tetrabromodiphenyl ether]</t>
  </si>
  <si>
    <t>60348-60-9</t>
  </si>
  <si>
    <t>PBDE-99 [2,2’,4,4’,5-Pentabromodiphenyl ether]</t>
  </si>
  <si>
    <t>189084-64-8</t>
  </si>
  <si>
    <t>PBDE-100 [2,2’,4,4’,6-Pentabromodiphenyl ether]</t>
  </si>
  <si>
    <t>17026-54-3</t>
  </si>
  <si>
    <t>PBDE-138 [2,2’,3,4,4’,5’-Hexabromodiphenyl ether]</t>
  </si>
  <si>
    <t>68631-49-2</t>
  </si>
  <si>
    <t>PBDE-153 [2,2',4,4',5,5'-hexabromodiphenyl ether]</t>
  </si>
  <si>
    <t>17026-58-4</t>
  </si>
  <si>
    <t>PBDE-154 [2,2’,4,4’,5,6’-Hexabromodiphenyl ether]</t>
  </si>
  <si>
    <t>68928-80-3</t>
  </si>
  <si>
    <t>PBDE-185 [2,2',3,4,4',5',6-Heptabromodiphenyl ether]</t>
  </si>
  <si>
    <t>1163-19-5</t>
  </si>
  <si>
    <t>PBDE-209 [Decabromodiphenyl ether]</t>
  </si>
  <si>
    <t>1336-36-3</t>
  </si>
  <si>
    <t>Polychlorinated biphenyls (PCBs)</t>
  </si>
  <si>
    <t>Polychlorinated biphenyls (PCBs) TEQ</t>
  </si>
  <si>
    <t>34883-43-7</t>
  </si>
  <si>
    <t>PCB-8 [2,4'-dichlorobiphenyl]</t>
  </si>
  <si>
    <t>37680-65-2</t>
  </si>
  <si>
    <t>PCB 18 [2,2',5-trichlorobiphenyl]</t>
  </si>
  <si>
    <t>7012-37-5</t>
  </si>
  <si>
    <t>PCB-28 [2,4,4'-trichlorobiphenyl]</t>
  </si>
  <si>
    <t>41464-39-5</t>
  </si>
  <si>
    <t>PCB-44 [2,2',3,5'-tetrachlorobiphenyl]</t>
  </si>
  <si>
    <t>35693-99-3</t>
  </si>
  <si>
    <t>PCB-52 [2,2',5,5'-tetrachlorobiphenyl]</t>
  </si>
  <si>
    <t>32598-10-0</t>
  </si>
  <si>
    <t>PCB-66 [2,3',4,4'-tetrachlorobiphenyl]</t>
  </si>
  <si>
    <t>32598-13-3</t>
  </si>
  <si>
    <t>PCB 77 [3,3',4,4'-tetrachlorobiphenyl]</t>
  </si>
  <si>
    <t>70362-50-4</t>
  </si>
  <si>
    <t>PCB 81 [3,4,4',5-tetrachlorobiphenyl]</t>
  </si>
  <si>
    <t>37680-73-2</t>
  </si>
  <si>
    <t>PCB-101 [2,2',4,5,5'-pentachlorobiphenyl]</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</si>
  <si>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</si>
  <si>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</si>
  <si>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</si>
  <si>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</si>
  <si>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</si>
  <si>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</si>
  <si>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</si>
  <si>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</si>
  <si>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</si>
  <si>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</si>
  <si>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</si>
  <si>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</si>
  <si>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</si>
  <si>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PCB-138 [2,2',3,4,4',5'-hexachlorobiphenyl]</t>
  </si>
  <si>
    <t>35065-27-1</t>
  </si>
  <si>
    <t>PCB-153 [2,2',4,4',5,5'-hexachlorobiphenyl]</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</si>
  <si>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</si>
  <si>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</si>
  <si>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</si>
  <si>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</si>
  <si>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</si>
  <si>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</si>
  <si>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</si>
  <si>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</si>
  <si>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</si>
  <si>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</si>
  <si>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</si>
  <si>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PCB-180 [2,2',3,4,4',5,5'-heptachlorobiphenyl]</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</si>
  <si>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</si>
  <si>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</si>
  <si>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</si>
  <si>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</si>
  <si>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</si>
  <si>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</si>
  <si>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</si>
  <si>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</si>
  <si>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</si>
  <si>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</si>
  <si>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Polychlorinated dibenzo-p-dioxins (PCDDs) &amp; dibenzofurans (PCDFs) TEQ</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</si>
  <si>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</si>
  <si>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</si>
  <si>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</si>
  <si>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</si>
  <si>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</si>
  <si>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</si>
  <si>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</si>
  <si>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</si>
  <si>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</si>
  <si>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</si>
  <si>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</si>
  <si>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</si>
  <si>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</si>
  <si>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</si>
  <si>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</si>
  <si>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</si>
  <si>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</si>
  <si>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</si>
  <si>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</si>
  <si>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</si>
  <si>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</si>
  <si>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</si>
  <si>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</si>
  <si>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</si>
  <si>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</si>
  <si>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</si>
  <si>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</si>
  <si>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2,3,4,6,7,8-Hexachlorodibenzofuran (HxCDF)</t>
  </si>
  <si>
    <t>67562-39-4</t>
  </si>
  <si>
    <t>1,2,3,4,6,7,8-Heptachlorodibenzofuran (HpCDF)</t>
  </si>
  <si>
    <t>55673-89-7</t>
  </si>
  <si>
    <t>1,2,3,4,7,8,9-Heptachlorodibenzofuran (HpCDF)</t>
  </si>
  <si>
    <t>39001-02-0</t>
  </si>
  <si>
    <t>Octachlorodibenzofuran (OCDF)</t>
  </si>
  <si>
    <t>Polycyclic aromatic hydrocarbons (PAHs)</t>
  </si>
  <si>
    <t>83-32-9</t>
  </si>
  <si>
    <t>208-96-8</t>
  </si>
  <si>
    <t>120-12-7</t>
  </si>
  <si>
    <t>191-26-4</t>
  </si>
  <si>
    <t>Anthanthrene</t>
  </si>
  <si>
    <t>56-55-3</t>
  </si>
  <si>
    <t>50-32-8</t>
  </si>
  <si>
    <t>205-99-2</t>
  </si>
  <si>
    <t>205-12-9</t>
  </si>
  <si>
    <t>Benzo[c]fluorene</t>
  </si>
  <si>
    <t>192-97-2</t>
  </si>
  <si>
    <t>191-24-2</t>
  </si>
  <si>
    <t>205-82-3</t>
  </si>
  <si>
    <t>Benzo[j]fluoranthene</t>
  </si>
  <si>
    <t>207-08-9</t>
  </si>
  <si>
    <t>86-74-8</t>
  </si>
  <si>
    <t>Carbazole</t>
  </si>
  <si>
    <t>218-01-9</t>
  </si>
  <si>
    <t>27208-37-3</t>
  </si>
  <si>
    <t>Cyclopenta[c,d]pyrene</t>
  </si>
  <si>
    <t>226-36-8</t>
  </si>
  <si>
    <t>Dibenz[a,h]acridine</t>
  </si>
  <si>
    <t>224-42-0</t>
  </si>
  <si>
    <t>Dibenz[a,j]acridine</t>
  </si>
  <si>
    <t>194-59-2</t>
  </si>
  <si>
    <t>7H-Dibenzo[c,g]carbazole</t>
  </si>
  <si>
    <t>53-70-3</t>
  </si>
  <si>
    <t>5385-75-1</t>
  </si>
  <si>
    <t>Dibenzo[a,e]fluoranthene</t>
  </si>
  <si>
    <t>192-65-4</t>
  </si>
  <si>
    <t>Dibenzo[a,e]pyrene</t>
  </si>
  <si>
    <t>189-64-0</t>
  </si>
  <si>
    <t>Dibenzo[a,h]pyrene</t>
  </si>
  <si>
    <t>189-55-9</t>
  </si>
  <si>
    <t>Dibenzo[a,i]pyrene</t>
  </si>
  <si>
    <t>191-30-0</t>
  </si>
  <si>
    <t>Dibenzo[a,l]pyrene</t>
  </si>
  <si>
    <t>206-44-0</t>
  </si>
  <si>
    <t>86-73-7</t>
  </si>
  <si>
    <t>193-39-5</t>
  </si>
  <si>
    <t>91-57-6</t>
  </si>
  <si>
    <t>198-55-0</t>
  </si>
  <si>
    <t>85-01-8</t>
  </si>
  <si>
    <t>129-00-0</t>
  </si>
  <si>
    <t>Polycyclic aromatic hydrocarbon derivatives [PAH-Derivatives]</t>
  </si>
  <si>
    <t>53-96-3</t>
  </si>
  <si>
    <t>2-Acetylaminofluorene</t>
  </si>
  <si>
    <t>117-79-3</t>
  </si>
  <si>
    <t>2-Aminoanthraquinone</t>
  </si>
  <si>
    <t>63-25-2</t>
  </si>
  <si>
    <t>Carbaryl</t>
  </si>
  <si>
    <t>57-97-6</t>
  </si>
  <si>
    <t>7,12-Dimethylbenz[a]anthracene</t>
  </si>
  <si>
    <t>42397-64-8</t>
  </si>
  <si>
    <t>1,6-Dinitropyrene</t>
  </si>
  <si>
    <t>42397-65-9</t>
  </si>
  <si>
    <t>1,8-Dinitropyrene</t>
  </si>
  <si>
    <t>56-49-5</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</si>
  <si>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</si>
  <si>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</si>
  <si>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</si>
  <si>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</si>
  <si>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</si>
  <si>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</si>
  <si>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</si>
  <si>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</si>
  <si>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</si>
  <si>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</si>
  <si>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</si>
  <si>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</si>
  <si>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</si>
  <si>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</si>
  <si>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</si>
  <si>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</si>
  <si>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</si>
  <si>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</si>
  <si>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</si>
  <si>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</si>
  <si>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</si>
  <si>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</si>
  <si>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</si>
  <si>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</si>
  <si>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</si>
  <si>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</si>
  <si>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</si>
  <si>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</si>
  <si>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</si>
  <si>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</si>
  <si>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</si>
  <si>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</si>
  <si>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</si>
  <si>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</si>
  <si>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</si>
  <si>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</si>
  <si>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</si>
  <si>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</si>
  <si>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</si>
  <si>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</si>
  <si>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</si>
  <si>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</si>
  <si>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</si>
  <si>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</si>
  <si>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</si>
  <si>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</si>
  <si>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</si>
  <si>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</si>
  <si>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</si>
  <si>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</si>
  <si>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Radionuclides</t>
  </si>
  <si>
    <t>Radon and its decay products</t>
  </si>
  <si>
    <t>Refractory Ceramic Fibers</t>
  </si>
  <si>
    <t>50-55-5</t>
  </si>
  <si>
    <t>Reserpine</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</si>
  <si>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</si>
  <si>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</si>
  <si>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</si>
  <si>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</si>
  <si>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</si>
  <si>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</si>
  <si>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</si>
  <si>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</si>
  <si>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</si>
  <si>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</si>
  <si>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</si>
  <si>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</si>
  <si>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</si>
  <si>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</si>
  <si>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</si>
  <si>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</si>
  <si>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</si>
  <si>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</si>
  <si>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</si>
  <si>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</si>
  <si>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</si>
  <si>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</si>
  <si>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</si>
  <si>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</si>
  <si>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</si>
  <si>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</si>
  <si>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</si>
  <si>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</si>
  <si>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</si>
  <si>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</si>
  <si>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</si>
  <si>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</si>
  <si>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</si>
  <si>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</si>
  <si>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</si>
  <si>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</si>
  <si>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</si>
  <si>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</si>
  <si>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</si>
  <si>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</si>
  <si>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</si>
  <si>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</si>
  <si>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</si>
  <si>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</si>
  <si>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</si>
  <si>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</si>
  <si>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</si>
  <si>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</si>
  <si>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</si>
  <si>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</si>
  <si>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</si>
  <si>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</si>
  <si>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</si>
  <si>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</si>
  <si>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</si>
  <si>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</si>
  <si>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</si>
  <si>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</si>
  <si>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</si>
  <si>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</si>
  <si>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</si>
  <si>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</si>
  <si>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</si>
  <si>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</si>
  <si>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</si>
  <si>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</si>
  <si>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</si>
  <si>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</si>
  <si>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</si>
  <si>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</si>
  <si>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Total Tetrachlorodibenzo-p-dioxin</t>
  </si>
  <si>
    <t>36088-22-9</t>
  </si>
  <si>
    <t>Total Pentachlorodibenzo-p-dioxin</t>
  </si>
  <si>
    <t>34465-46-8</t>
  </si>
  <si>
    <t>Total Hexachlorodibenzo-p-dioxin</t>
  </si>
  <si>
    <t>37871-00-4</t>
  </si>
  <si>
    <t>Total Heptachlorodibenzo-p-dioxin</t>
  </si>
  <si>
    <t>55722-27-5</t>
  </si>
  <si>
    <t>Total Tetrachlorodibenzofuran</t>
  </si>
  <si>
    <t>30402-15-4</t>
  </si>
  <si>
    <t>Total Pentachlorodibenzofuran</t>
  </si>
  <si>
    <t>55684-94-1</t>
  </si>
  <si>
    <t>Total Hexachlorodibenzofuran</t>
  </si>
  <si>
    <t>38998-75-3</t>
  </si>
  <si>
    <t>Total Heptachlorodibenzofuran</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</si>
  <si>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</si>
  <si>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</si>
  <si>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</si>
  <si>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</si>
  <si>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</si>
  <si>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</si>
  <si>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</si>
  <si>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</si>
  <si>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</si>
  <si>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</si>
  <si>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</si>
  <si>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</si>
  <si>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</si>
  <si>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</si>
  <si>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</si>
  <si>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</si>
  <si>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</si>
  <si>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</si>
  <si>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</si>
  <si>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</si>
  <si>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</si>
  <si>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</si>
  <si>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</si>
  <si>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</si>
  <si>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</si>
  <si>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</si>
  <si>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</si>
  <si>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</si>
  <si>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</si>
  <si>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Triorthocresyl phosphate</t>
  </si>
  <si>
    <t>115-86-6</t>
  </si>
  <si>
    <t>Triphenyl phosphate</t>
  </si>
  <si>
    <t>101-02-0</t>
  </si>
  <si>
    <t>Triphenyl phosphite</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</si>
  <si>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</si>
  <si>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</si>
  <si>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</si>
  <si>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</si>
  <si>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</si>
  <si>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</si>
  <si>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</si>
  <si>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</si>
  <si>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</si>
  <si>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</si>
  <si>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</si>
  <si>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</si>
  <si>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</si>
  <si>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</si>
  <si>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</si>
  <si>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</si>
  <si>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</si>
  <si>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</si>
  <si>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</si>
  <si>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</si>
  <si>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</si>
  <si>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</si>
  <si>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</si>
  <si>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</si>
  <si>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</si>
  <si>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</si>
  <si>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</si>
  <si>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</si>
  <si>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</si>
  <si>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</si>
  <si>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</si>
  <si>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</si>
  <si>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</si>
  <si>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</si>
  <si>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</si>
  <si>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m-Xylene</t>
  </si>
  <si>
    <t>95-47-6</t>
  </si>
  <si>
    <t>o-Xylene</t>
  </si>
  <si>
    <t>106-42-3</t>
  </si>
  <si>
    <t>p-Xylene</t>
  </si>
  <si>
    <t>7440-66-6</t>
  </si>
  <si>
    <t>Zinc and compounds</t>
  </si>
  <si>
    <t>1314-13-2</t>
  </si>
  <si>
    <t>Zinc oxide</t>
  </si>
  <si>
    <t>EF Reference</t>
  </si>
  <si>
    <t xml:space="preserve"> One ND</t>
  </si>
  <si>
    <t>Three ND</t>
  </si>
  <si>
    <t>One ND</t>
  </si>
  <si>
    <t>Ethylbenzene</t>
  </si>
  <si>
    <t>lb/Mgal</t>
  </si>
  <si>
    <t>PAHs (excluding Naphthalene)</t>
  </si>
  <si>
    <t>HTR-3 Daily Distillate Consumption</t>
  </si>
  <si>
    <t>gal/day</t>
  </si>
  <si>
    <t>gal/yr</t>
  </si>
  <si>
    <t>Chemical Name</t>
  </si>
  <si>
    <t>References</t>
  </si>
  <si>
    <t>Ref. 1: January 30-31, 2020 Source Test</t>
  </si>
  <si>
    <t>Ref. 1</t>
  </si>
  <si>
    <t>Ref. 2</t>
  </si>
  <si>
    <t>Ref. 3</t>
  </si>
  <si>
    <t>Ref. 4</t>
  </si>
  <si>
    <t>Ref. 2:  Emissions Estimation Protocol for Petroleum Refineries, Version 3,  Appendix D—Emission Factors for Combustion Sources, Table D-9a. Summary of Data for Emission Factor Development – Heaters Firing Fuel Oil</t>
  </si>
  <si>
    <t>Refinery Vac System Flow Rate</t>
  </si>
  <si>
    <t>Refinery Vac System Air Temp</t>
  </si>
  <si>
    <t>ACFM</t>
  </si>
  <si>
    <t>OPS Flow Rate</t>
  </si>
  <si>
    <t>F</t>
  </si>
  <si>
    <t>OPS Temp</t>
  </si>
  <si>
    <t>Air Density @ Temp</t>
  </si>
  <si>
    <t>lb/ft3</t>
  </si>
  <si>
    <t>OPS Air Flow Rate</t>
  </si>
  <si>
    <t>Total System "Refinery Gas" Air Flow Rate</t>
  </si>
  <si>
    <t>Hydrogen Sulfide</t>
  </si>
  <si>
    <t>lb/MMCF</t>
  </si>
  <si>
    <t>Ref. 3:  Emissions Estimation Protocol for Petroleum Refineries, Version 3,  Appendix D—Emission Factors for Combustion Sources, Table D-11a. Summary of Data for Emission Factor Development – Heaters Firing Refinery Fuel Gas</t>
  </si>
  <si>
    <t>Thermal Oxidizer Burner Rating</t>
  </si>
  <si>
    <t>MMBtu/hr</t>
  </si>
  <si>
    <t>Natural Gas HHV</t>
  </si>
  <si>
    <t>Btu/ft3</t>
  </si>
  <si>
    <t>TAC</t>
  </si>
  <si>
    <t>EF (lb/MMCf)</t>
  </si>
  <si>
    <t>Emissions from natural gas combustion in TO.</t>
  </si>
  <si>
    <t>Quantity</t>
  </si>
  <si>
    <t>Valves</t>
  </si>
  <si>
    <t>Flanges</t>
  </si>
  <si>
    <t>Total</t>
  </si>
  <si>
    <t>Emission Factor*           (kg/hr/source)</t>
  </si>
  <si>
    <t>% Leaking</t>
  </si>
  <si>
    <t>Front</t>
  </si>
  <si>
    <t>In Service (hours/yr)</t>
  </si>
  <si>
    <t>In Service (hours/day)</t>
  </si>
  <si>
    <t>VOC Emissions (lb/yr)</t>
  </si>
  <si>
    <t>VOC Emission (lb/day)</t>
  </si>
  <si>
    <t>Jail</t>
  </si>
  <si>
    <t>BO</t>
  </si>
  <si>
    <t>UO</t>
  </si>
  <si>
    <t>IT</t>
  </si>
  <si>
    <t>REF</t>
  </si>
  <si>
    <t>SULF</t>
  </si>
  <si>
    <t>LPS1</t>
  </si>
  <si>
    <t>LPS2</t>
  </si>
  <si>
    <t>Pumps</t>
  </si>
  <si>
    <t>Toxic Air Contaminant</t>
  </si>
  <si>
    <t>Emissions (lb/yr)</t>
  </si>
  <si>
    <t>CAO VOC Emission Rate (lb/day)</t>
  </si>
  <si>
    <t>JAIL1</t>
  </si>
  <si>
    <t>JAIL2</t>
  </si>
  <si>
    <t>JAIL3</t>
  </si>
  <si>
    <t>JAIL4</t>
  </si>
  <si>
    <t>JAIL7</t>
  </si>
  <si>
    <t>JAIL8</t>
  </si>
  <si>
    <t>JAIL9</t>
  </si>
  <si>
    <t>CT1</t>
  </si>
  <si>
    <t>CT2</t>
  </si>
  <si>
    <t>CT3</t>
  </si>
  <si>
    <t>CT4</t>
  </si>
  <si>
    <t>TANK12</t>
  </si>
  <si>
    <t>IT100-1</t>
  </si>
  <si>
    <t>IT100-2</t>
  </si>
  <si>
    <t>IT220-2</t>
  </si>
  <si>
    <t>TK10401</t>
  </si>
  <si>
    <t>TK10402</t>
  </si>
  <si>
    <t>TK10403</t>
  </si>
  <si>
    <t>TK10404</t>
  </si>
  <si>
    <t>UO1</t>
  </si>
  <si>
    <t>UO2</t>
  </si>
  <si>
    <t>UO3</t>
  </si>
  <si>
    <t>UO4</t>
  </si>
  <si>
    <t>UO5</t>
  </si>
  <si>
    <t>UO6</t>
  </si>
  <si>
    <t>AF1</t>
  </si>
  <si>
    <t>MDO1</t>
  </si>
  <si>
    <t>WLE1</t>
  </si>
  <si>
    <t>PF2</t>
  </si>
  <si>
    <t>TK30</t>
  </si>
  <si>
    <t>Annual TAC Emissions (lb/yr)</t>
  </si>
  <si>
    <t>Daily TAC Emissions (lb/day)</t>
  </si>
  <si>
    <t>Speciation Factor wt % of TAC*</t>
  </si>
  <si>
    <t>CAO VOC* Emission Rate (lb/yr)</t>
  </si>
  <si>
    <t>* See Tank Emissions Summary</t>
  </si>
  <si>
    <t>Product Loading VOC Emission Factor (EPA, AP-42, Section 5.2, July 2008)</t>
  </si>
  <si>
    <t>VOC EF=</t>
  </si>
  <si>
    <t>(12.46 x S x P x M)</t>
  </si>
  <si>
    <t>(AP-42 Section 5.2, Equation 1)</t>
  </si>
  <si>
    <t>T</t>
  </si>
  <si>
    <t>VOC Emission factor for loading (lb/1000 gal)</t>
  </si>
  <si>
    <t>S=</t>
  </si>
  <si>
    <t>P=</t>
  </si>
  <si>
    <t>true vapor pressure in psi at the loading temperature</t>
  </si>
  <si>
    <t>M=</t>
  </si>
  <si>
    <t>molecular weight of vapor</t>
  </si>
  <si>
    <t>T=</t>
  </si>
  <si>
    <t>temperature in Rankine</t>
  </si>
  <si>
    <t>Location/Facility</t>
  </si>
  <si>
    <t>S</t>
  </si>
  <si>
    <t>VOC EF (lb/kgal)</t>
  </si>
  <si>
    <t>VOC Emissions (lb/day)</t>
  </si>
  <si>
    <t>Throughput (gal/yr)</t>
  </si>
  <si>
    <t>Product/Material</t>
  </si>
  <si>
    <t>Base Oil</t>
  </si>
  <si>
    <t>VGO</t>
  </si>
  <si>
    <t>Totals</t>
  </si>
  <si>
    <t>RTO Stack Volumetric Flow Rate</t>
  </si>
  <si>
    <t>dscfm</t>
  </si>
  <si>
    <t>(Jan. 20 ST - metals run)</t>
  </si>
  <si>
    <t>340-245-8050 Table</t>
  </si>
  <si>
    <r>
      <rPr>
        <b/>
        <sz val="12"/>
        <rFont val="Times New Roman"/>
        <family val="1"/>
      </rPr>
      <t>Risk-Based Concentrations</t>
    </r>
  </si>
  <si>
    <r>
      <rPr>
        <b/>
        <sz val="16"/>
        <rFont val="Arial"/>
        <family val="2"/>
      </rPr>
      <t xml:space="preserve">OAR 340-245-8050 Table (11-2018)
</t>
    </r>
    <r>
      <rPr>
        <b/>
        <sz val="14"/>
        <rFont val="Arial"/>
        <family val="2"/>
      </rPr>
      <t>Risk-Based Concentrations</t>
    </r>
  </si>
  <si>
    <r>
      <rPr>
        <b/>
        <sz val="8"/>
        <color rgb="FFFFFFFF"/>
        <rFont val="Arial"/>
        <family val="2"/>
      </rPr>
      <t>Residential Chronic</t>
    </r>
  </si>
  <si>
    <r>
      <rPr>
        <b/>
        <sz val="8"/>
        <color rgb="FFFFFFFF"/>
        <rFont val="Arial"/>
        <family val="2"/>
      </rPr>
      <t>Non-Residential Chronic</t>
    </r>
  </si>
  <si>
    <r>
      <rPr>
        <b/>
        <sz val="8"/>
        <color rgb="FFFFFFFF"/>
        <rFont val="Arial"/>
        <family val="2"/>
      </rPr>
      <t>Acute</t>
    </r>
  </si>
  <si>
    <r>
      <rPr>
        <b/>
        <sz val="8"/>
        <color rgb="FFFFFFFF"/>
        <rFont val="Arial"/>
        <family val="2"/>
      </rPr>
      <t>Cancer RBC</t>
    </r>
  </si>
  <si>
    <r>
      <rPr>
        <b/>
        <sz val="8"/>
        <color rgb="FFFFFFFF"/>
        <rFont val="Arial"/>
        <family val="2"/>
      </rPr>
      <t>Non- cancer RBC</t>
    </r>
  </si>
  <si>
    <r>
      <rPr>
        <b/>
        <sz val="8"/>
        <color rgb="FFFFFFFF"/>
        <rFont val="Arial"/>
        <family val="2"/>
      </rPr>
      <t>Child Cancer RBC</t>
    </r>
  </si>
  <si>
    <r>
      <rPr>
        <b/>
        <sz val="8"/>
        <color rgb="FFFFFFFF"/>
        <rFont val="Arial"/>
        <family val="2"/>
      </rPr>
      <t>Child Non- cancer RBC</t>
    </r>
  </si>
  <si>
    <r>
      <rPr>
        <b/>
        <sz val="8"/>
        <color rgb="FFFFFFFF"/>
        <rFont val="Arial"/>
        <family val="2"/>
      </rPr>
      <t>Worker Cancer RBC</t>
    </r>
  </si>
  <si>
    <r>
      <rPr>
        <b/>
        <sz val="8"/>
        <color rgb="FFFFFFFF"/>
        <rFont val="Arial"/>
        <family val="2"/>
      </rPr>
      <t>Worker Non- cancer RBC</t>
    </r>
  </si>
  <si>
    <r>
      <rPr>
        <b/>
        <sz val="8"/>
        <color rgb="FFFFFFFF"/>
        <rFont val="Arial"/>
        <family val="2"/>
      </rPr>
      <t>CAS#</t>
    </r>
  </si>
  <si>
    <r>
      <rPr>
        <b/>
        <sz val="8"/>
        <color rgb="FFFFFFFF"/>
        <rFont val="Arial"/>
        <family val="2"/>
      </rPr>
      <t>Chemical</t>
    </r>
  </si>
  <si>
    <r>
      <rPr>
        <b/>
        <sz val="8"/>
        <color rgb="FFFFFFFF"/>
        <rFont val="Arial"/>
        <family val="2"/>
      </rPr>
      <t>Notes</t>
    </r>
  </si>
  <si>
    <r>
      <rPr>
        <b/>
        <sz val="8"/>
        <color rgb="FFFFFFFF"/>
        <rFont val="Arial"/>
        <family val="2"/>
      </rPr>
      <t>(µg/m</t>
    </r>
    <r>
      <rPr>
        <b/>
        <vertAlign val="superscript"/>
        <sz val="5"/>
        <color rgb="FFFFFFFF"/>
        <rFont val="Arial"/>
        <family val="2"/>
      </rPr>
      <t>3</t>
    </r>
    <r>
      <rPr>
        <b/>
        <sz val="8"/>
        <color rgb="FFFFFFFF"/>
        <rFont val="Arial"/>
        <family val="2"/>
      </rPr>
      <t>)</t>
    </r>
  </si>
  <si>
    <t>g</t>
  </si>
  <si>
    <t>l</t>
  </si>
  <si>
    <t>i</t>
  </si>
  <si>
    <t>c</t>
  </si>
  <si>
    <t>c, l</t>
  </si>
  <si>
    <t>j</t>
  </si>
  <si>
    <t>Chromium VI, chromate and dichromate particulate</t>
  </si>
  <si>
    <t>c, d</t>
  </si>
  <si>
    <t>Chromium VI, chromic acid aerosol mist</t>
  </si>
  <si>
    <t>COKE_OVEN</t>
  </si>
  <si>
    <t>Cyanide, Hydrogen</t>
  </si>
  <si>
    <t>e</t>
  </si>
  <si>
    <t>DPM</t>
  </si>
  <si>
    <t>f</t>
  </si>
  <si>
    <t>NI_S</t>
  </si>
  <si>
    <t>Oleum</t>
  </si>
  <si>
    <t>PBDE</t>
  </si>
  <si>
    <t>h</t>
  </si>
  <si>
    <t>PCB_TEQ</t>
  </si>
  <si>
    <t>PCDD_TEQ</t>
  </si>
  <si>
    <t>2,3,4,6,7,8-Hexachlorodibenzofuran  (HxCDF)</t>
  </si>
  <si>
    <t>PAH</t>
  </si>
  <si>
    <t>c, g</t>
  </si>
  <si>
    <t>RCF</t>
  </si>
  <si>
    <t>Sulfur Mustard</t>
  </si>
  <si>
    <t>g, k</t>
  </si>
  <si>
    <t>Sulfonation/OPS Carbon Backup</t>
  </si>
  <si>
    <t>RTO1</t>
  </si>
  <si>
    <t>TLOAD1</t>
  </si>
  <si>
    <t>To Carbon</t>
  </si>
  <si>
    <t>TLOAD</t>
  </si>
  <si>
    <t>Analyte</t>
  </si>
  <si>
    <t>Light Ends</t>
  </si>
  <si>
    <t>Wastewater</t>
  </si>
  <si>
    <t>Used Motor Oil</t>
  </si>
  <si>
    <t>Flux</t>
  </si>
  <si>
    <t>Wt. %</t>
  </si>
  <si>
    <t>Benzo(a)anthracene</t>
  </si>
  <si>
    <t>Benzo(a)pyrene</t>
  </si>
  <si>
    <t>Benzo(g,h,i)perylene</t>
  </si>
  <si>
    <t>Benzo(k)fluoranthene</t>
  </si>
  <si>
    <t>Benzo(b)fluoranthene</t>
  </si>
  <si>
    <t>Dibenzo (a,h) anthracene</t>
  </si>
  <si>
    <t>Indeno(1,2,3-cd)pyrene</t>
  </si>
  <si>
    <t>Cresols, Total</t>
  </si>
  <si>
    <t>m,p-Xylene</t>
  </si>
  <si>
    <t>MIBK</t>
  </si>
  <si>
    <t>ND</t>
  </si>
  <si>
    <t>PPM by Weight</t>
  </si>
  <si>
    <t>Max. for Profile</t>
  </si>
  <si>
    <t>1,1´-Biphenyl</t>
  </si>
  <si>
    <t>7,12-Dimethylbenz(a)anthracene</t>
  </si>
  <si>
    <t>Benzo(e)pyrene</t>
  </si>
  <si>
    <t>Summary Table for Lookup</t>
  </si>
  <si>
    <t>Note: The analytical report identified the analyte "m7p-cresol" as being detected in the wastewater sample at 13 mg/l.  This analyte was renamed above to "Cresols (mixture), including m-cresol, o-cresol, p-cresol" to align with CAO nomenclature.</t>
  </si>
  <si>
    <t>Analytical report name of isopropylbenzene changed to Isopropylbenzene (Cumene)</t>
  </si>
  <si>
    <t>Area Specific Component Equipment Leak VOC Emissions</t>
  </si>
  <si>
    <t>Sulfonation Flow Rate</t>
  </si>
  <si>
    <t>MW</t>
  </si>
  <si>
    <t>Carbon Disulfide</t>
  </si>
  <si>
    <t>Carbonyl Sulfide</t>
  </si>
  <si>
    <t>Refinery vent carbon adsorption backup system</t>
  </si>
  <si>
    <t>Max. Operating Parameters and Constants:</t>
  </si>
  <si>
    <t>Stnd MV at Temp</t>
  </si>
  <si>
    <t>K</t>
  </si>
  <si>
    <t>L/Mol</t>
  </si>
  <si>
    <t>Carbon System DRE</t>
  </si>
  <si>
    <t>Duration of carbon venting</t>
  </si>
  <si>
    <t>(assume 1x per week)</t>
  </si>
  <si>
    <t>Outlet lb/hr</t>
  </si>
  <si>
    <t>lb/day</t>
  </si>
  <si>
    <t>lb/yr</t>
  </si>
  <si>
    <t>Carbon Backup System Emissions</t>
  </si>
  <si>
    <t>hr/day</t>
  </si>
  <si>
    <t>Ref. 2a</t>
  </si>
  <si>
    <t>Ref. 2a:  SCAQMD Reporting Procedures for AB2588 Facilities Reporting their Quadrennial Air Toxic Emission Inventory in the Annual Emission Reporting Program, Appendix B-1, Table B-2.</t>
  </si>
  <si>
    <t>Ref. 4:  SCAQMD Reporting Procedures for AB2588 Facilities Reporting their Quadrennial Air Toxic Emission Inventory in the Annual Emission Reporting Program, Appendix B-1, Table B-1.</t>
  </si>
  <si>
    <t>P*</t>
  </si>
  <si>
    <t>M**</t>
  </si>
  <si>
    <t>**Source: AP-42 Table 7.1-2 (as Distallate Fuel Oil No. 2)</t>
  </si>
  <si>
    <t>Backup Activated Carbon Vessel</t>
  </si>
  <si>
    <t>Sulfonation Temp</t>
  </si>
  <si>
    <t>ppmv*</t>
  </si>
  <si>
    <t>Inlet       lb/hr</t>
  </si>
  <si>
    <t>Source</t>
  </si>
  <si>
    <t>Refinery/Sulf/OPS to RTO</t>
  </si>
  <si>
    <t>Refinery to CA Backup</t>
  </si>
  <si>
    <t>Fug. Equipment Leaks</t>
  </si>
  <si>
    <t>Truck/Rail Loading</t>
  </si>
  <si>
    <t>Site Total TACs</t>
  </si>
  <si>
    <t>Calculation Table</t>
  </si>
  <si>
    <t>Emissions Summary</t>
  </si>
  <si>
    <t>Truck Loading Area</t>
  </si>
  <si>
    <t>c89</t>
  </si>
  <si>
    <t>c351</t>
  </si>
  <si>
    <t>c148</t>
  </si>
  <si>
    <t>c150</t>
  </si>
  <si>
    <t>c200</t>
  </si>
  <si>
    <t>c227</t>
  </si>
  <si>
    <t>c239</t>
  </si>
  <si>
    <t>c352</t>
  </si>
  <si>
    <t>c349</t>
  </si>
  <si>
    <t>c350</t>
  </si>
  <si>
    <t>c365</t>
  </si>
  <si>
    <t>c368</t>
  </si>
  <si>
    <t>c489</t>
  </si>
  <si>
    <t>c518</t>
  </si>
  <si>
    <t>c447</t>
  </si>
  <si>
    <t>c645</t>
  </si>
  <si>
    <t>c646</t>
  </si>
  <si>
    <t>c401</t>
  </si>
  <si>
    <t>c432</t>
  </si>
  <si>
    <t>c569</t>
  </si>
  <si>
    <t>c571</t>
  </si>
  <si>
    <t>c572</t>
  </si>
  <si>
    <t>c353</t>
  </si>
  <si>
    <t>c354</t>
  </si>
  <si>
    <t>c358</t>
  </si>
  <si>
    <t>RBCs by Exposure Scenario [OAR 340-245-8040 Table 4]</t>
  </si>
  <si>
    <t>CAS#</t>
  </si>
  <si>
    <t>Chemical</t>
  </si>
  <si>
    <t>RBCs</t>
  </si>
  <si>
    <t>Non-cancer Classification for Hazard Index</t>
  </si>
  <si>
    <t>Residential</t>
  </si>
  <si>
    <t>Non-Residential</t>
  </si>
  <si>
    <t xml:space="preserve">Acute </t>
  </si>
  <si>
    <t>Cancer</t>
  </si>
  <si>
    <t>Noncancer</t>
  </si>
  <si>
    <t>Child Cancer</t>
  </si>
  <si>
    <t>Child Noncancer</t>
  </si>
  <si>
    <t>Worker Cancer</t>
  </si>
  <si>
    <t>Worker Noncancer</t>
  </si>
  <si>
    <r>
      <t>(µg/m</t>
    </r>
    <r>
      <rPr>
        <b/>
        <vertAlign val="superscript"/>
        <sz val="11"/>
        <color theme="1"/>
        <rFont val="Arial"/>
        <family val="2"/>
      </rPr>
      <t>3</t>
    </r>
    <r>
      <rPr>
        <b/>
        <sz val="11"/>
        <color theme="1"/>
        <rFont val="Arial"/>
        <family val="2"/>
      </rPr>
      <t>)</t>
    </r>
  </si>
  <si>
    <t>HI3</t>
  </si>
  <si>
    <t>--</t>
  </si>
  <si>
    <t>HI5</t>
  </si>
  <si>
    <t>Bis(2-chloroethyl) ether (BCEE)</t>
  </si>
  <si>
    <t>RCARBON</t>
  </si>
  <si>
    <t>Tank Vents</t>
  </si>
  <si>
    <t>Conservation vents  on tanks</t>
  </si>
  <si>
    <t>Carbon</t>
  </si>
  <si>
    <t>5 Tank Vents to Carbon</t>
  </si>
  <si>
    <t>TCARBON</t>
  </si>
  <si>
    <t>Truck Loading</t>
  </si>
  <si>
    <t>LDARREF</t>
  </si>
  <si>
    <t>LDARLPSSULF</t>
  </si>
  <si>
    <t>C148</t>
  </si>
  <si>
    <t>C200</t>
  </si>
  <si>
    <t>C239</t>
  </si>
  <si>
    <t>C365</t>
  </si>
  <si>
    <t>C368</t>
  </si>
  <si>
    <t>C447</t>
  </si>
  <si>
    <t>C645</t>
  </si>
  <si>
    <t>C646</t>
  </si>
  <si>
    <t>C401</t>
  </si>
  <si>
    <t>C572</t>
  </si>
  <si>
    <t>Emission Factor Set</t>
  </si>
  <si>
    <t>Attachment B - Emission Calculations</t>
  </si>
  <si>
    <t>Table B-1: Emissions from the RTO</t>
  </si>
  <si>
    <t>Set 1</t>
  </si>
  <si>
    <t>Set 2</t>
  </si>
  <si>
    <t>Set 3</t>
  </si>
  <si>
    <t>Set 4</t>
  </si>
  <si>
    <t>Table B-2a: VOC Emissions from Fugitive Equipment Leaks</t>
  </si>
  <si>
    <t>Table B-3: Summary of Compostional Analysis</t>
  </si>
  <si>
    <t>Table B-2b: Area Specific Component Equipment Leak TAC Emissions</t>
  </si>
  <si>
    <t>Distillate (Light Ends)</t>
  </si>
  <si>
    <t>RFO (UMO)</t>
  </si>
  <si>
    <t>Table B-4: VOC and TAC Emission from Tanks</t>
  </si>
  <si>
    <t>Table B-5: VOC and TAC Emission from Truck Loading</t>
  </si>
  <si>
    <t>Table B-6: TAC Emissions from Refinery Back-Up System</t>
  </si>
  <si>
    <t>*Source: Vapor Pressure Testing, See Attachment E</t>
  </si>
  <si>
    <t>Flux***</t>
  </si>
  <si>
    <t>vp=mm Hg</t>
  </si>
  <si>
    <t>1 mm Hg=0.01934 psi</t>
  </si>
  <si>
    <t>T=350 oF = 810 oR</t>
  </si>
  <si>
    <t>Flux vp</t>
  </si>
  <si>
    <t>ln(vp)=18.2891-12725.60/T</t>
  </si>
  <si>
    <t>Ref: David Trumbore, Owens Corning, Winter 1999, Environmental Progress Journal, Table 2</t>
  </si>
  <si>
    <t>vp=13.2 mm Hg = 0.25 psi</t>
  </si>
  <si>
    <t>(conservative estimate of max. loading temp., actual temp typically 250F)</t>
  </si>
  <si>
    <t>Service Component</t>
  </si>
  <si>
    <t>Toxics Emission Unit ID:</t>
  </si>
  <si>
    <t>TO-01</t>
  </si>
  <si>
    <t>Regenerative Thermal Oxidizer (RTO) controlling Refinery, Oil Polishing System (OPS) and Sulfonation</t>
  </si>
  <si>
    <t>Tank ID</t>
  </si>
  <si>
    <t>TANKS</t>
  </si>
  <si>
    <t>TANKS_CONTROLLED</t>
  </si>
  <si>
    <t>Tank Truck Loading</t>
  </si>
  <si>
    <t>saturation factor (1 for submerged loading)</t>
  </si>
  <si>
    <t>Totals for TEU ID: FUG-1</t>
  </si>
  <si>
    <t>FUG-1</t>
  </si>
  <si>
    <t>Area/Emission Points</t>
  </si>
  <si>
    <t>Area/Emission Point</t>
  </si>
  <si>
    <t>Front, Jail, BO, UO, IT, REF, SULF, LPS1, LPS2, LDARREF, LDARLPSSULF</t>
  </si>
  <si>
    <t>Totals for TEU ID: TANKS</t>
  </si>
  <si>
    <t>Totals for TEU ID: TANKS_CONTROLLED, Emission Point TCARBON</t>
  </si>
  <si>
    <t>Maximum Annual Throughput</t>
  </si>
  <si>
    <t>Maximum Daily Throughput</t>
  </si>
  <si>
    <t>*Analytical Report by Test America for a similar PESCO Refinery (see Attachment G)</t>
  </si>
  <si>
    <t>TK10405</t>
  </si>
  <si>
    <t>TK10406</t>
  </si>
  <si>
    <t>2-Methylnaphthalene</t>
  </si>
  <si>
    <t>PCB-209 [decachlorobiphenyl]</t>
  </si>
  <si>
    <t>Dibenzo[a,h]anthracene</t>
  </si>
  <si>
    <t>Ref. 1b</t>
  </si>
  <si>
    <t>Set 1b</t>
  </si>
  <si>
    <t>2,3,7,8-Tetrachlorodibenzofuran (TCDF)</t>
  </si>
  <si>
    <t>X_EMIS</t>
  </si>
  <si>
    <t>EMISSIONS TRANSFER SHEET</t>
  </si>
  <si>
    <t>Link EMIS sheet to appropiate cells.</t>
  </si>
  <si>
    <t>SRC Format:</t>
  </si>
  <si>
    <t>sequential number, emission source name, model source name, group flag, and description</t>
  </si>
  <si>
    <t>EMIS Format:</t>
  </si>
  <si>
    <t>Emissions source name, pollutant, ST_ER (lb/day), LT_ER(lb/yr)</t>
  </si>
  <si>
    <t>%SRC</t>
  </si>
  <si>
    <t>%EMIS</t>
  </si>
  <si>
    <t>%RUN&gt;</t>
  </si>
  <si>
    <t>SRC LIST</t>
  </si>
  <si>
    <t>EMISSION LIST</t>
  </si>
  <si>
    <t>SN</t>
  </si>
  <si>
    <t>SRCNAME</t>
  </si>
  <si>
    <t>MODELNAME</t>
  </si>
  <si>
    <t>GRP</t>
  </si>
  <si>
    <t>DESC</t>
  </si>
  <si>
    <t>SRC</t>
  </si>
  <si>
    <t>POL</t>
  </si>
  <si>
    <t>ST_ER</t>
  </si>
  <si>
    <t>LT_ER</t>
  </si>
  <si>
    <t>Thermal Oxidizer</t>
  </si>
  <si>
    <t>Tank Carbon Control</t>
  </si>
  <si>
    <t>Refinary Carbon Control</t>
  </si>
  <si>
    <t>IT1001</t>
  </si>
  <si>
    <t>IT2202</t>
  </si>
  <si>
    <t>SO1</t>
  </si>
  <si>
    <t>SO2</t>
  </si>
  <si>
    <t>SO3</t>
  </si>
  <si>
    <t>SO4</t>
  </si>
  <si>
    <t>GP1</t>
  </si>
  <si>
    <t>GP2</t>
  </si>
  <si>
    <t>%POL</t>
  </si>
  <si>
    <t>Sulfur Trioxide</t>
  </si>
  <si>
    <t>E:\WORK\PROJECTS\ECL-001\CAO\SRC2022_06_29.txt</t>
  </si>
  <si>
    <t>E:\WORK\PROJECTS\ECL-001\CAO\EMIS2022_06_29.txt</t>
  </si>
  <si>
    <t xml:space="preserve"> - 6/28/22 - Updated carbon disulfide estimate in tabl B6 per DEQ comment #5</t>
  </si>
  <si>
    <t>Updated RTO source test emissions based on DEQ approval letter.</t>
  </si>
  <si>
    <t>Ref. 1b: January 26-27, 2022 Source Test (Naphthalene result multiplied by a factor of 10 due to instrument saturation reported by lab)</t>
  </si>
  <si>
    <t>Added sulfur trioxide calc</t>
  </si>
  <si>
    <t>Inputs</t>
  </si>
  <si>
    <t>Table B-1a: Emissions from the RTO - Supplemental Sulfur Trioxide Calculation</t>
  </si>
  <si>
    <t>Sulfur Dioxide Emission Rate</t>
  </si>
  <si>
    <t>Sulfur Emission Rate</t>
  </si>
  <si>
    <t>Total Sulfur Present if 5% Oxidized to SO3</t>
  </si>
  <si>
    <t>(5% assumption from AP-42, Section 1.3.3.2)</t>
  </si>
  <si>
    <t>(Jan. 30-31, 2020 Source Test, OPS bauxite regen process not likely occurring concurrent with testing)</t>
  </si>
  <si>
    <t>Sulfur Contribution from Bauxite Regen Process</t>
  </si>
  <si>
    <t>(Estimated maximum by process vendor)</t>
  </si>
  <si>
    <t>Total Sulfur Available to Form Sulfur Trioxide</t>
  </si>
  <si>
    <t>5% Oxidized to SO3</t>
  </si>
  <si>
    <t>lb/hr - S</t>
  </si>
  <si>
    <t>lb/hr - SO3</t>
  </si>
  <si>
    <t>Emissions (lb/gal)</t>
  </si>
  <si>
    <t>7446-11-9</t>
  </si>
  <si>
    <t>Based on Maximum Emitting Product (flux) and Throughputs</t>
  </si>
  <si>
    <t>Based on Maximum Emitting Product (flux) and Throughputs (for CAO ATEI)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</si>
</sst>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_(* \(#,##0.00\);_(* &quot;-&quot;??_);_(@_)"/>
    <numFmt numFmtId="164" formatCode="0.000"/>
    <numFmt numFmtId="165" formatCode="0.00000"/>
    <numFmt numFmtId="166" formatCode="#,##0.0"/>
    <numFmt numFmtId="167" formatCode="#,##0.00000"/>
    <numFmt numFmtId="168" formatCode="0.0000"/>
    <numFmt numFmtId="169" formatCode="0.00000E+00"/>
    <numFmt numFmtId="170" formatCode="0.0"/>
    <numFmt numFmtId="171" formatCode="0.000000"/>
    <numFmt numFmtId="172" formatCode="0.0E+00"/>
    <numFmt numFmtId="173" formatCode="yyyy\-mm\-d;@"/>
    <numFmt numFmtId="174" formatCode="yy\-mm\-d;@"/>
    <numFmt numFmtId="175" formatCode="0.0000%"/>
    <numFmt numFmtId="176" formatCode="#,##0.0000"/>
    <numFmt numFmtId="177" formatCode="[$-409]mmmm\ d\,\ yyyy;@"/>
    <numFmt numFmtId="178" formatCode="0.00E+00;0.00E+00;0.0"/>
    <numFmt numFmtId="179" formatCode="0.00_)"/>
  </numFmts>
  <fonts count="4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
      <name val="Calibri"/>
      <family val="2"/>
      <scheme val="minor"/>
    </font>
    <font>
      <sz val="12"/>
      <name val="Calibri"/>
      <family val="2"/>
      <scheme val="minor"/>
    </font>
    <font>
      <sz val="8"/>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Arial"/>
      <family val="2"/>
    </font>
    <font>
      <b/>
      <sz val="10"/>
      <name val="Arial"/>
      <family val="2"/>
    </font>
    <font>
      <b/>
      <sz val="11"/>
      <name val="Arial"/>
      <family val="2"/>
    </font>
    <font>
      <sz val="11"/>
      <name val="Arial"/>
      <family val="2"/>
    </font>
    <font>
      <sz val="11"/>
      <color theme="1"/>
      <name val="Calibri"/>
      <family val="2"/>
      <scheme val="minor"/>
    </font>
    <font>
      <b/>
      <sz val="11"/>
      <color rgb="FF0000FF"/>
      <name val="Calibri"/>
      <family val="2"/>
      <scheme val="minor"/>
    </font>
    <font>
      <sz val="9"/>
      <color rgb="FF000000"/>
      <name val="Arial"/>
      <family val="2"/>
    </font>
    <font>
      <sz val="10"/>
      <color rgb="FF000000"/>
      <name val="Times New Roman"/>
      <family val="1"/>
    </font>
    <font>
      <b/>
      <sz val="12"/>
      <name val="Times New Roman"/>
      <family val="1"/>
    </font>
    <font>
      <b/>
      <sz val="16"/>
      <name val="Arial"/>
      <family val="2"/>
    </font>
    <font>
      <b/>
      <sz val="14"/>
      <name val="Arial"/>
      <family val="2"/>
    </font>
    <font>
      <b/>
      <sz val="8"/>
      <name val="Arial"/>
      <family val="2"/>
    </font>
    <font>
      <b/>
      <sz val="8"/>
      <color rgb="FFFFFFFF"/>
      <name val="Arial"/>
      <family val="2"/>
    </font>
    <font>
      <b/>
      <vertAlign val="superscript"/>
      <sz val="5"/>
      <color rgb="FFFFFFFF"/>
      <name val="Arial"/>
      <family val="2"/>
    </font>
    <font>
      <sz val="9"/>
      <name val="Times New Roman"/>
      <family val="1"/>
    </font>
    <font>
      <sz val="9"/>
      <color theme="1"/>
      <name val="Calibri"/>
      <family val="2"/>
      <scheme val="minor"/>
    </font>
    <font>
      <sz val="9"/>
      <color rgb="FF000000"/>
      <name val="Times New Roman"/>
      <family val="2"/>
    </font>
    <font>
      <sz val="9"/>
      <color rgb="FF000000"/>
      <name val="Times New Roman"/>
      <family val="1"/>
    </font>
    <font>
      <b/>
      <sz val="10"/>
      <color rgb="FF000000"/>
      <name val="Times New Roman"/>
      <family val="1"/>
    </font>
    <font>
      <sz val="9"/>
      <color theme="1"/>
      <name val="Times New Roman"/>
      <family val="1"/>
    </font>
    <font>
      <sz val="12"/>
      <color rgb="FF000000"/>
      <name val="Calibri"/>
      <family val="2"/>
      <scheme val="minor"/>
    </font>
    <font>
      <b/>
      <u/>
      <sz val="14"/>
      <color theme="1"/>
      <name val="Calibri"/>
      <family val="2"/>
      <scheme val="minor"/>
    </font>
    <font>
      <b/>
      <u/>
      <sz val="14"/>
      <color rgb="FF000000"/>
      <name val="Calibri"/>
      <family val="2"/>
      <scheme val="minor"/>
    </font>
    <font>
      <b/>
      <sz val="15"/>
      <color theme="1"/>
      <name val="Arial"/>
      <family val="2"/>
    </font>
    <font>
      <b/>
      <sz val="11"/>
      <color theme="1"/>
      <name val="Arial"/>
      <family val="2"/>
    </font>
    <font>
      <sz val="11"/>
      <color theme="1"/>
      <name val="Arial"/>
      <family val="2"/>
    </font>
    <font>
      <b/>
      <vertAlign val="superscript"/>
      <sz val="11"/>
      <color theme="1"/>
      <name val="Arial"/>
      <family val="2"/>
    </font>
    <font>
      <sz val="10"/>
      <color indexed="8"/>
      <name val="Arial"/>
      <family val="2"/>
    </font>
    <font>
      <sz val="11"/>
      <color indexed="8"/>
      <name val="Calibri"/>
      <family val="2"/>
    </font>
    <font>
      <b/>
      <sz val="14"/>
      <color theme="1"/>
      <name val="Calibri"/>
      <family val="2"/>
      <scheme val="minor"/>
    </font>
    <font>
      <b/>
      <sz val="26"/>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10"/>
      <name val="Courier"/>
      <family val="3"/>
    </font>
  </fonts>
  <fills count="9">
    <fill>
      <patternFill patternType="none"/>
    </fill>
    <fill>
      <patternFill patternType="gray125"/>
    </fill>
    <fill>
      <patternFill patternType="solid">
        <fgColor rgb="FFA8D08D"/>
      </patternFill>
    </fill>
    <fill>
      <patternFill patternType="solid">
        <fgColor rgb="FF538135"/>
      </patternFill>
    </fill>
    <fill>
      <patternFill patternType="solid">
        <fgColor theme="7"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style="thick">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ck">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right/>
      <top/>
      <bottom style="thick">
        <color auto="1"/>
      </bottom>
      <diagonal/>
    </border>
    <border>
      <left/>
      <right/>
      <top style="thick">
        <color auto="1"/>
      </top>
      <bottom style="thick">
        <color auto="1"/>
      </bottom>
      <diagonal/>
    </border>
    <border>
      <left style="thin">
        <color auto="1"/>
      </left>
      <right/>
      <top style="thin">
        <color auto="1"/>
      </top>
      <bottom/>
      <diagonal/>
    </border>
    <border>
      <left/>
      <right/>
      <top/>
      <bottom style="medium">
        <color indexed="64"/>
      </bottom>
      <diagonal/>
    </border>
  </borders>
  <cellStyleXfs count="13">
    <xf numFmtId="0" fontId="0" fillId="0" borderId="0"/>
    <xf numFmtId="9" fontId="8" fillId="0" borderId="0" applyFont="0" applyFill="0" applyBorder="0" applyAlignment="0" applyProtection="0"/>
    <xf numFmtId="0" fontId="10" fillId="0" borderId="0"/>
    <xf numFmtId="0" fontId="8" fillId="0" borderId="0"/>
    <xf numFmtId="0" fontId="15" fillId="0" borderId="0"/>
    <xf numFmtId="9" fontId="15" fillId="0" borderId="0" applyFont="0" applyFill="0" applyBorder="0" applyAlignment="0" applyProtection="0"/>
    <xf numFmtId="0" fontId="18"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8" fillId="0" borderId="0"/>
    <xf numFmtId="177" fontId="45" fillId="0" borderId="0"/>
    <xf numFmtId="179" fontId="45" fillId="0" borderId="0"/>
  </cellStyleXfs>
  <cellXfs count="287">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right"/>
    </xf>
    <xf numFmtId="0" fontId="4" fillId="0" borderId="0" xfId="0" applyFont="1" applyAlignment="1">
      <alignment horizontal="left"/>
    </xf>
    <xf numFmtId="11" fontId="0" fillId="0" borderId="0" xfId="0" applyNumberFormat="1"/>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1" xfId="0" applyBorder="1"/>
    <xf numFmtId="0" fontId="0" fillId="0" borderId="1" xfId="0" applyBorder="1" applyAlignment="1">
      <alignment horizontal="center"/>
    </xf>
    <xf numFmtId="3" fontId="0" fillId="0" borderId="0" xfId="0" applyNumberFormat="1"/>
    <xf numFmtId="2" fontId="0" fillId="0" borderId="0" xfId="0" applyNumberFormat="1"/>
    <xf numFmtId="0" fontId="0" fillId="0" borderId="0" xfId="0" applyAlignment="1">
      <alignment horizontal="center" vertical="center" wrapText="1"/>
    </xf>
    <xf numFmtId="0" fontId="0" fillId="0" borderId="0" xfId="0" applyAlignment="1">
      <alignment horizontal="center"/>
    </xf>
    <xf numFmtId="166" fontId="0" fillId="0" borderId="0" xfId="0" applyNumberFormat="1"/>
    <xf numFmtId="167" fontId="0" fillId="0" borderId="0" xfId="0" applyNumberFormat="1"/>
    <xf numFmtId="0" fontId="0" fillId="0" borderId="0" xfId="0" applyBorder="1"/>
    <xf numFmtId="11" fontId="0" fillId="0" borderId="0" xfId="0" applyNumberFormat="1" applyBorder="1"/>
    <xf numFmtId="0" fontId="0" fillId="0" borderId="0" xfId="0" applyBorder="1" applyAlignment="1">
      <alignment horizontal="center"/>
    </xf>
    <xf numFmtId="0" fontId="11" fillId="0" borderId="0" xfId="2" applyFont="1"/>
    <xf numFmtId="0" fontId="10" fillId="0" borderId="0" xfId="2"/>
    <xf numFmtId="0" fontId="10" fillId="0" borderId="0" xfId="2" applyAlignment="1">
      <alignment horizontal="center"/>
    </xf>
    <xf numFmtId="0" fontId="14" fillId="0" borderId="0" xfId="2" applyFont="1"/>
    <xf numFmtId="0" fontId="10" fillId="0" borderId="0" xfId="2" applyBorder="1"/>
    <xf numFmtId="0" fontId="13" fillId="0" borderId="0" xfId="2" applyFont="1" applyBorder="1" applyAlignment="1">
      <alignment horizontal="center"/>
    </xf>
    <xf numFmtId="0" fontId="10" fillId="0" borderId="0" xfId="2" applyBorder="1" applyAlignment="1">
      <alignment horizontal="center"/>
    </xf>
    <xf numFmtId="0" fontId="14" fillId="0" borderId="0" xfId="2" applyFont="1" applyBorder="1"/>
    <xf numFmtId="0" fontId="14" fillId="0" borderId="0" xfId="2" applyFont="1" applyBorder="1" applyAlignment="1">
      <alignment horizontal="center"/>
    </xf>
    <xf numFmtId="11" fontId="14" fillId="0" borderId="0" xfId="2" applyNumberFormat="1" applyFont="1" applyBorder="1" applyAlignment="1">
      <alignment horizontal="center"/>
    </xf>
    <xf numFmtId="2" fontId="14" fillId="0" borderId="0" xfId="2" applyNumberFormat="1" applyFont="1" applyBorder="1" applyAlignment="1">
      <alignment horizontal="center"/>
    </xf>
    <xf numFmtId="164" fontId="10" fillId="0" borderId="0" xfId="2" applyNumberFormat="1" applyBorder="1" applyAlignment="1">
      <alignment horizontal="center"/>
    </xf>
    <xf numFmtId="0" fontId="13" fillId="0" borderId="0" xfId="2" applyFont="1" applyBorder="1" applyAlignment="1">
      <alignment horizontal="center" vertical="center" wrapText="1"/>
    </xf>
    <xf numFmtId="0" fontId="12" fillId="0" borderId="0" xfId="2" applyFont="1" applyBorder="1" applyAlignment="1">
      <alignment horizontal="center" vertical="center" wrapText="1"/>
    </xf>
    <xf numFmtId="165" fontId="14" fillId="0" borderId="0" xfId="2" applyNumberFormat="1" applyFont="1" applyBorder="1" applyAlignment="1">
      <alignment horizontal="center"/>
    </xf>
    <xf numFmtId="9" fontId="14" fillId="0" borderId="0" xfId="1" applyFont="1" applyBorder="1" applyAlignment="1">
      <alignment horizontal="center"/>
    </xf>
    <xf numFmtId="169" fontId="10" fillId="0" borderId="0" xfId="2" applyNumberFormat="1"/>
    <xf numFmtId="2" fontId="12" fillId="0" borderId="0" xfId="2" applyNumberFormat="1" applyFont="1" applyAlignment="1">
      <alignment horizontal="center"/>
    </xf>
    <xf numFmtId="2" fontId="13" fillId="0" borderId="0" xfId="2" applyNumberFormat="1" applyFont="1" applyBorder="1" applyAlignment="1">
      <alignment horizontal="center"/>
    </xf>
    <xf numFmtId="170" fontId="0" fillId="0" borderId="0" xfId="0" applyNumberFormat="1"/>
    <xf numFmtId="0" fontId="10" fillId="0" borderId="0" xfId="0" applyFont="1" applyAlignment="1">
      <alignment horizontal="center" vertical="center" wrapText="1"/>
    </xf>
    <xf numFmtId="0" fontId="0" fillId="0" borderId="9" xfId="0" applyBorder="1" applyAlignment="1">
      <alignment horizontal="center" vertical="center" wrapText="1"/>
    </xf>
    <xf numFmtId="0" fontId="8" fillId="0" borderId="0" xfId="3"/>
    <xf numFmtId="0" fontId="16" fillId="0" borderId="0" xfId="4" applyFont="1" applyAlignment="1">
      <alignment vertical="center"/>
    </xf>
    <xf numFmtId="0" fontId="10" fillId="0" borderId="0" xfId="2" applyAlignment="1">
      <alignment horizontal="right"/>
    </xf>
    <xf numFmtId="0" fontId="15" fillId="0" borderId="0" xfId="4"/>
    <xf numFmtId="0" fontId="9" fillId="0" borderId="0" xfId="3" applyFont="1"/>
    <xf numFmtId="0" fontId="9" fillId="0" borderId="0" xfId="3" applyFont="1" applyAlignment="1">
      <alignment horizontal="center"/>
    </xf>
    <xf numFmtId="0" fontId="9" fillId="0" borderId="5" xfId="3" applyFont="1" applyBorder="1"/>
    <xf numFmtId="0" fontId="7" fillId="0" borderId="0" xfId="3" applyFont="1"/>
    <xf numFmtId="0" fontId="7" fillId="0" borderId="0" xfId="3" applyFont="1" applyAlignment="1">
      <alignment horizontal="center"/>
    </xf>
    <xf numFmtId="0" fontId="8" fillId="0" borderId="0" xfId="3" applyAlignment="1">
      <alignment horizontal="center" vertical="center" wrapText="1"/>
    </xf>
    <xf numFmtId="4" fontId="8" fillId="0" borderId="0" xfId="3" applyNumberFormat="1"/>
    <xf numFmtId="164" fontId="8" fillId="0" borderId="0" xfId="3" applyNumberFormat="1"/>
    <xf numFmtId="2" fontId="8" fillId="0" borderId="0" xfId="3" applyNumberFormat="1"/>
    <xf numFmtId="0" fontId="12" fillId="0" borderId="10" xfId="2" applyFont="1" applyBorder="1" applyAlignment="1">
      <alignment horizontal="center" vertical="center"/>
    </xf>
    <xf numFmtId="0" fontId="12" fillId="0" borderId="11" xfId="2" applyFont="1" applyBorder="1" applyAlignment="1">
      <alignment horizontal="center" vertical="center"/>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0" fillId="0" borderId="7" xfId="2" applyBorder="1"/>
    <xf numFmtId="0" fontId="10" fillId="0" borderId="7" xfId="2" applyBorder="1" applyAlignment="1">
      <alignment wrapText="1"/>
    </xf>
    <xf numFmtId="0" fontId="10" fillId="0" borderId="4" xfId="2" applyBorder="1"/>
    <xf numFmtId="0" fontId="10" fillId="0" borderId="5" xfId="2" applyBorder="1"/>
    <xf numFmtId="0" fontId="15" fillId="0" borderId="0" xfId="4" quotePrefix="1"/>
    <xf numFmtId="2" fontId="9" fillId="0" borderId="0" xfId="3" applyNumberFormat="1" applyFont="1"/>
    <xf numFmtId="0" fontId="12" fillId="0" borderId="0" xfId="2" applyFont="1" applyAlignment="1">
      <alignment horizontal="center"/>
    </xf>
    <xf numFmtId="0" fontId="19" fillId="0" borderId="0" xfId="6" applyFont="1" applyAlignment="1">
      <alignment horizontal="left" vertical="top"/>
    </xf>
    <xf numFmtId="0" fontId="18" fillId="0" borderId="0" xfId="6" applyAlignment="1">
      <alignment horizontal="left" vertical="top"/>
    </xf>
    <xf numFmtId="0" fontId="18" fillId="0" borderId="0" xfId="6" applyAlignment="1">
      <alignment horizontal="left" vertical="top" wrapText="1"/>
    </xf>
    <xf numFmtId="0" fontId="18" fillId="3" borderId="16" xfId="6" applyFill="1" applyBorder="1" applyAlignment="1">
      <alignment horizontal="left" vertical="top" wrapText="1"/>
    </xf>
    <xf numFmtId="0" fontId="22" fillId="3" borderId="16" xfId="6" applyFont="1" applyFill="1" applyBorder="1" applyAlignment="1">
      <alignment horizontal="center" vertical="top" wrapText="1"/>
    </xf>
    <xf numFmtId="0" fontId="22" fillId="3" borderId="16" xfId="6" applyFont="1" applyFill="1" applyBorder="1" applyAlignment="1">
      <alignment horizontal="left" vertical="top" wrapText="1" indent="1"/>
    </xf>
    <xf numFmtId="0" fontId="22" fillId="3" borderId="16" xfId="6" applyFont="1" applyFill="1" applyBorder="1" applyAlignment="1">
      <alignment horizontal="left" vertical="top" wrapText="1" indent="2"/>
    </xf>
    <xf numFmtId="0" fontId="18" fillId="3" borderId="16" xfId="6" applyFill="1" applyBorder="1" applyAlignment="1">
      <alignment horizontal="left" vertical="top" wrapText="1" indent="1"/>
    </xf>
    <xf numFmtId="0" fontId="18" fillId="3" borderId="16" xfId="6" applyFill="1" applyBorder="1" applyAlignment="1">
      <alignment horizontal="center" vertical="top" wrapText="1"/>
    </xf>
    <xf numFmtId="0" fontId="18" fillId="3" borderId="16" xfId="6" applyFill="1" applyBorder="1" applyAlignment="1">
      <alignment horizontal="right" vertical="top" wrapText="1" indent="1"/>
    </xf>
    <xf numFmtId="0" fontId="25" fillId="0" borderId="16" xfId="6" applyFont="1" applyBorder="1" applyAlignment="1">
      <alignment horizontal="center" vertical="top" wrapText="1"/>
    </xf>
    <xf numFmtId="0" fontId="25" fillId="0" borderId="16" xfId="6" applyFont="1" applyBorder="1" applyAlignment="1">
      <alignment horizontal="left" vertical="top" wrapText="1"/>
    </xf>
    <xf numFmtId="0" fontId="26" fillId="0" borderId="16" xfId="6" applyFont="1" applyBorder="1" applyAlignment="1">
      <alignment horizontal="center" vertical="top" wrapText="1"/>
    </xf>
    <xf numFmtId="2" fontId="27" fillId="0" borderId="16" xfId="6" applyNumberFormat="1" applyFont="1" applyBorder="1" applyAlignment="1">
      <alignment horizontal="center" vertical="top" wrapText="1"/>
    </xf>
    <xf numFmtId="170" fontId="27" fillId="0" borderId="16" xfId="6" applyNumberFormat="1" applyFont="1" applyBorder="1" applyAlignment="1">
      <alignment horizontal="center" vertical="top" wrapText="1"/>
    </xf>
    <xf numFmtId="1" fontId="27" fillId="0" borderId="16" xfId="6" applyNumberFormat="1" applyFont="1" applyBorder="1" applyAlignment="1">
      <alignment horizontal="center" vertical="top" wrapText="1"/>
    </xf>
    <xf numFmtId="0" fontId="26" fillId="0" borderId="0" xfId="6" applyFont="1" applyAlignment="1">
      <alignment horizontal="center" vertical="top"/>
    </xf>
    <xf numFmtId="164" fontId="27" fillId="0" borderId="16" xfId="6" applyNumberFormat="1" applyFont="1" applyBorder="1" applyAlignment="1">
      <alignment horizontal="center" vertical="top" wrapText="1"/>
    </xf>
    <xf numFmtId="3" fontId="27" fillId="0" borderId="16" xfId="6" applyNumberFormat="1" applyFont="1" applyBorder="1" applyAlignment="1">
      <alignment horizontal="center" vertical="top" wrapText="1"/>
    </xf>
    <xf numFmtId="0" fontId="28" fillId="0" borderId="0" xfId="6" applyFont="1" applyAlignment="1">
      <alignment horizontal="center" vertical="top"/>
    </xf>
    <xf numFmtId="168" fontId="27" fillId="0" borderId="16" xfId="6" applyNumberFormat="1" applyFont="1" applyBorder="1" applyAlignment="1">
      <alignment horizontal="center" vertical="top" wrapText="1"/>
    </xf>
    <xf numFmtId="0" fontId="29" fillId="0" borderId="0" xfId="6" applyFont="1" applyAlignment="1">
      <alignment horizontal="left" vertical="top"/>
    </xf>
    <xf numFmtId="165" fontId="27" fillId="0" borderId="16" xfId="6" applyNumberFormat="1" applyFont="1" applyBorder="1" applyAlignment="1">
      <alignment horizontal="center" vertical="top" wrapText="1"/>
    </xf>
    <xf numFmtId="0" fontId="25" fillId="4" borderId="16" xfId="6" applyFont="1" applyFill="1" applyBorder="1" applyAlignment="1">
      <alignment horizontal="center" vertical="top" wrapText="1"/>
    </xf>
    <xf numFmtId="0" fontId="25" fillId="4" borderId="16" xfId="6" applyFont="1" applyFill="1" applyBorder="1" applyAlignment="1">
      <alignment horizontal="left" vertical="top" wrapText="1"/>
    </xf>
    <xf numFmtId="0" fontId="26" fillId="4" borderId="16" xfId="6" applyFont="1" applyFill="1" applyBorder="1" applyAlignment="1">
      <alignment horizontal="center" vertical="top" wrapText="1"/>
    </xf>
    <xf numFmtId="2" fontId="27" fillId="4" borderId="16" xfId="6" applyNumberFormat="1" applyFont="1" applyFill="1" applyBorder="1" applyAlignment="1">
      <alignment horizontal="center" vertical="top" wrapText="1"/>
    </xf>
    <xf numFmtId="171" fontId="27" fillId="0" borderId="16" xfId="6" applyNumberFormat="1" applyFont="1" applyBorder="1" applyAlignment="1">
      <alignment horizontal="center" vertical="top" wrapText="1"/>
    </xf>
    <xf numFmtId="0" fontId="25" fillId="0" borderId="16" xfId="6" applyFont="1" applyBorder="1" applyAlignment="1">
      <alignment horizontal="left" vertical="center" wrapText="1"/>
    </xf>
    <xf numFmtId="172" fontId="27" fillId="0" borderId="16" xfId="6" applyNumberFormat="1" applyFont="1" applyBorder="1" applyAlignment="1">
      <alignment horizontal="center" vertical="top" wrapText="1"/>
    </xf>
    <xf numFmtId="11" fontId="27" fillId="0" borderId="16" xfId="6" applyNumberFormat="1" applyFont="1" applyBorder="1" applyAlignment="1">
      <alignment horizontal="center" vertical="top" wrapText="1"/>
    </xf>
    <xf numFmtId="0" fontId="26" fillId="0" borderId="16" xfId="6" applyFont="1" applyBorder="1" applyAlignment="1">
      <alignment horizontal="left" vertical="top" wrapText="1"/>
    </xf>
    <xf numFmtId="1" fontId="27" fillId="4" borderId="16" xfId="6" applyNumberFormat="1" applyFont="1" applyFill="1" applyBorder="1" applyAlignment="1">
      <alignment horizontal="center" vertical="top" wrapText="1"/>
    </xf>
    <xf numFmtId="3" fontId="27" fillId="4" borderId="16" xfId="6" applyNumberFormat="1" applyFont="1" applyFill="1" applyBorder="1" applyAlignment="1">
      <alignment horizontal="center" vertical="top" wrapText="1"/>
    </xf>
    <xf numFmtId="164" fontId="27" fillId="4" borderId="16" xfId="6" applyNumberFormat="1" applyFont="1" applyFill="1" applyBorder="1" applyAlignment="1">
      <alignment horizontal="center" vertical="top" wrapText="1"/>
    </xf>
    <xf numFmtId="0" fontId="27" fillId="0" borderId="16" xfId="6" applyFont="1" applyBorder="1" applyAlignment="1">
      <alignment horizontal="center" vertical="top" wrapText="1"/>
    </xf>
    <xf numFmtId="0" fontId="27" fillId="0" borderId="16" xfId="6" quotePrefix="1" applyFont="1" applyBorder="1" applyAlignment="1">
      <alignment horizontal="center" vertical="top" wrapText="1"/>
    </xf>
    <xf numFmtId="2" fontId="26" fillId="0" borderId="16" xfId="6" applyNumberFormat="1" applyFont="1" applyBorder="1" applyAlignment="1">
      <alignment horizontal="center" vertical="top" wrapText="1"/>
    </xf>
    <xf numFmtId="11" fontId="26" fillId="0" borderId="16" xfId="6" applyNumberFormat="1" applyFont="1" applyBorder="1" applyAlignment="1">
      <alignment horizontal="center" vertical="top" wrapText="1"/>
    </xf>
    <xf numFmtId="168" fontId="26" fillId="0" borderId="16" xfId="6" applyNumberFormat="1" applyFont="1" applyBorder="1" applyAlignment="1">
      <alignment horizontal="center" vertical="top" wrapText="1"/>
    </xf>
    <xf numFmtId="173" fontId="27" fillId="0" borderId="16" xfId="6" quotePrefix="1" applyNumberFormat="1" applyFont="1" applyBorder="1" applyAlignment="1">
      <alignment horizontal="center" vertical="top" wrapText="1"/>
    </xf>
    <xf numFmtId="1" fontId="26" fillId="0" borderId="16" xfId="6" applyNumberFormat="1" applyFont="1" applyBorder="1" applyAlignment="1">
      <alignment horizontal="center" vertical="top" wrapText="1"/>
    </xf>
    <xf numFmtId="0" fontId="28" fillId="0" borderId="0" xfId="6" quotePrefix="1" applyFont="1" applyAlignment="1">
      <alignment horizontal="center" vertical="top"/>
    </xf>
    <xf numFmtId="4" fontId="27" fillId="0" borderId="16" xfId="6" applyNumberFormat="1" applyFont="1" applyBorder="1" applyAlignment="1">
      <alignment horizontal="center" vertical="top" wrapText="1"/>
    </xf>
    <xf numFmtId="4" fontId="26" fillId="0" borderId="16" xfId="6" applyNumberFormat="1" applyFont="1" applyBorder="1" applyAlignment="1">
      <alignment horizontal="center" vertical="top" wrapText="1"/>
    </xf>
    <xf numFmtId="174" fontId="27" fillId="0" borderId="16" xfId="6" quotePrefix="1" applyNumberFormat="1" applyFont="1" applyBorder="1" applyAlignment="1">
      <alignment horizontal="center" vertical="top" wrapText="1"/>
    </xf>
    <xf numFmtId="166" fontId="27" fillId="0" borderId="16" xfId="6" applyNumberFormat="1" applyFont="1" applyBorder="1" applyAlignment="1">
      <alignment horizontal="center" vertical="top" wrapText="1"/>
    </xf>
    <xf numFmtId="0" fontId="25" fillId="0" borderId="17" xfId="6" applyFont="1" applyBorder="1" applyAlignment="1">
      <alignment horizontal="center" vertical="top" wrapText="1"/>
    </xf>
    <xf numFmtId="0" fontId="25" fillId="0" borderId="17" xfId="6" applyFont="1" applyBorder="1" applyAlignment="1">
      <alignment horizontal="left" vertical="top" wrapText="1"/>
    </xf>
    <xf numFmtId="0" fontId="26" fillId="0" borderId="17" xfId="6" applyFont="1" applyBorder="1" applyAlignment="1">
      <alignment horizontal="center" vertical="top" wrapText="1"/>
    </xf>
    <xf numFmtId="1" fontId="27" fillId="0" borderId="17" xfId="6" applyNumberFormat="1" applyFont="1" applyBorder="1" applyAlignment="1">
      <alignment horizontal="center" vertical="top" wrapText="1"/>
    </xf>
    <xf numFmtId="0" fontId="30" fillId="0" borderId="18" xfId="6" applyFont="1" applyBorder="1" applyAlignment="1">
      <alignment horizontal="center" vertical="center"/>
    </xf>
    <xf numFmtId="0" fontId="26" fillId="0" borderId="18" xfId="6" applyFont="1" applyBorder="1" applyAlignment="1">
      <alignment horizontal="left" vertical="top" wrapText="1"/>
    </xf>
    <xf numFmtId="0" fontId="26" fillId="0" borderId="18" xfId="6" applyFont="1" applyBorder="1" applyAlignment="1">
      <alignment horizontal="center" vertical="top" wrapText="1"/>
    </xf>
    <xf numFmtId="1" fontId="27" fillId="0" borderId="18" xfId="6" applyNumberFormat="1" applyFont="1" applyBorder="1" applyAlignment="1">
      <alignment horizontal="center" vertical="top" wrapText="1"/>
    </xf>
    <xf numFmtId="3" fontId="27" fillId="0" borderId="18" xfId="6" applyNumberFormat="1" applyFont="1" applyBorder="1" applyAlignment="1">
      <alignment horizontal="center" vertical="top" wrapText="1"/>
    </xf>
    <xf numFmtId="0" fontId="26" fillId="0" borderId="18" xfId="6" applyFont="1" applyBorder="1" applyAlignment="1">
      <alignment horizontal="left"/>
    </xf>
    <xf numFmtId="0" fontId="26" fillId="0" borderId="18" xfId="6" applyFont="1" applyBorder="1" applyAlignment="1">
      <alignment horizontal="center"/>
    </xf>
    <xf numFmtId="0" fontId="26" fillId="0" borderId="0" xfId="6"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Border="1" applyAlignment="1">
      <alignment horizontal="center" vertical="center" wrapText="1"/>
    </xf>
    <xf numFmtId="0" fontId="0" fillId="0" borderId="9" xfId="0" applyBorder="1" applyAlignment="1">
      <alignment horizontal="center"/>
    </xf>
    <xf numFmtId="0" fontId="0" fillId="0" borderId="0" xfId="0" applyBorder="1" applyAlignment="1">
      <alignment horizontal="center"/>
    </xf>
    <xf numFmtId="2" fontId="10" fillId="0" borderId="0" xfId="2" applyNumberFormat="1" applyBorder="1" applyAlignment="1">
      <alignment horizontal="center"/>
    </xf>
    <xf numFmtId="0" fontId="9" fillId="0" borderId="0" xfId="0" applyFont="1" applyAlignment="1">
      <alignment horizontal="center" vertical="center" wrapText="1"/>
    </xf>
    <xf numFmtId="1" fontId="0" fillId="0" borderId="0" xfId="0" applyNumberFormat="1" applyAlignment="1">
      <alignment horizontal="center"/>
    </xf>
    <xf numFmtId="0" fontId="26" fillId="0" borderId="0" xfId="7" applyFont="1" applyAlignment="1">
      <alignment horizontal="center" vertical="top"/>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175" fontId="0" fillId="0" borderId="0" xfId="1" applyNumberFormat="1" applyFont="1"/>
    <xf numFmtId="0" fontId="0" fillId="0" borderId="0" xfId="0" applyAlignment="1">
      <alignment horizontal="center" vertical="center" wrapText="1"/>
    </xf>
    <xf numFmtId="0" fontId="0" fillId="0" borderId="0" xfId="0" applyAlignment="1">
      <alignment horizontal="center"/>
    </xf>
    <xf numFmtId="0" fontId="0" fillId="0" borderId="0" xfId="0" applyBorder="1" applyAlignment="1">
      <alignment horizontal="center" vertical="center" wrapText="1"/>
    </xf>
    <xf numFmtId="0" fontId="0" fillId="0" borderId="9" xfId="0" applyBorder="1" applyAlignment="1">
      <alignment horizontal="center"/>
    </xf>
    <xf numFmtId="0" fontId="0" fillId="0" borderId="0" xfId="0" applyBorder="1" applyAlignment="1">
      <alignment horizontal="center"/>
    </xf>
    <xf numFmtId="0" fontId="0" fillId="0" borderId="0" xfId="0" applyAlignment="1">
      <alignment wrapText="1"/>
    </xf>
    <xf numFmtId="9" fontId="0" fillId="0" borderId="0" xfId="1" applyNumberFormat="1" applyFont="1"/>
    <xf numFmtId="0" fontId="9" fillId="0" borderId="0" xfId="0" applyFont="1"/>
    <xf numFmtId="0" fontId="0" fillId="0" borderId="0" xfId="0" applyAlignment="1">
      <alignment horizontal="center" vertical="center" wrapText="1"/>
    </xf>
    <xf numFmtId="0" fontId="0" fillId="0" borderId="0" xfId="0" applyAlignment="1">
      <alignment horizontal="center"/>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31" fillId="0" borderId="0" xfId="0" applyFont="1"/>
    <xf numFmtId="0" fontId="14" fillId="0" borderId="0" xfId="2" applyFont="1" applyFill="1"/>
    <xf numFmtId="2" fontId="14" fillId="0" borderId="0" xfId="2" applyNumberFormat="1" applyFont="1"/>
    <xf numFmtId="0" fontId="3" fillId="0" borderId="0" xfId="7"/>
    <xf numFmtId="2" fontId="3" fillId="0" borderId="0" xfId="7" applyNumberFormat="1"/>
    <xf numFmtId="164" fontId="3" fillId="0" borderId="0" xfId="7" applyNumberFormat="1"/>
    <xf numFmtId="168" fontId="3" fillId="0" borderId="0" xfId="7" applyNumberFormat="1"/>
    <xf numFmtId="170" fontId="3" fillId="0" borderId="0" xfId="7" applyNumberFormat="1"/>
    <xf numFmtId="165" fontId="3" fillId="0" borderId="0" xfId="7" applyNumberFormat="1"/>
    <xf numFmtId="9" fontId="3" fillId="0" borderId="0" xfId="1" applyFont="1"/>
    <xf numFmtId="0" fontId="3" fillId="0" borderId="0" xfId="7" applyFont="1" applyAlignment="1">
      <alignment horizontal="center" vertical="center" wrapText="1"/>
    </xf>
    <xf numFmtId="2" fontId="10" fillId="0" borderId="0" xfId="2" applyNumberFormat="1"/>
    <xf numFmtId="175" fontId="17" fillId="0" borderId="0" xfId="1" applyNumberFormat="1" applyFont="1" applyAlignment="1">
      <alignment horizontal="center" wrapText="1"/>
    </xf>
    <xf numFmtId="175" fontId="17" fillId="0" borderId="5" xfId="1" applyNumberFormat="1" applyFont="1" applyBorder="1" applyAlignment="1">
      <alignment horizontal="center" wrapText="1"/>
    </xf>
    <xf numFmtId="0" fontId="9" fillId="0" borderId="0" xfId="0" applyFont="1" applyFill="1" applyBorder="1" applyAlignment="1">
      <alignment horizontal="right"/>
    </xf>
    <xf numFmtId="2" fontId="9" fillId="0" borderId="0" xfId="0" applyNumberFormat="1" applyFont="1"/>
    <xf numFmtId="170" fontId="9" fillId="0" borderId="0" xfId="0" applyNumberFormat="1" applyFont="1"/>
    <xf numFmtId="0" fontId="9" fillId="0" borderId="0" xfId="0" applyFont="1" applyFill="1" applyBorder="1" applyAlignment="1">
      <alignment horizontal="center"/>
    </xf>
    <xf numFmtId="0" fontId="9" fillId="0" borderId="0" xfId="0" applyFont="1" applyAlignment="1">
      <alignment horizontal="right"/>
    </xf>
    <xf numFmtId="0" fontId="32" fillId="0" borderId="0" xfId="0" applyFont="1" applyAlignment="1">
      <alignment horizontal="left"/>
    </xf>
    <xf numFmtId="0" fontId="33" fillId="0" borderId="0" xfId="0" applyFont="1" applyAlignment="1">
      <alignment horizontal="left"/>
    </xf>
    <xf numFmtId="0" fontId="3" fillId="5" borderId="0" xfId="7" applyFill="1"/>
    <xf numFmtId="0" fontId="34" fillId="5" borderId="0" xfId="7" applyFont="1" applyFill="1" applyAlignment="1">
      <alignment horizontal="center"/>
    </xf>
    <xf numFmtId="0" fontId="35" fillId="6" borderId="18" xfId="7" applyFont="1" applyFill="1" applyBorder="1" applyAlignment="1">
      <alignment horizontal="center" wrapText="1"/>
    </xf>
    <xf numFmtId="176" fontId="35" fillId="6" borderId="18" xfId="7" applyNumberFormat="1" applyFont="1" applyFill="1" applyBorder="1" applyAlignment="1">
      <alignment horizontal="center"/>
    </xf>
    <xf numFmtId="3" fontId="35" fillId="6" borderId="18" xfId="7" applyNumberFormat="1" applyFont="1" applyFill="1" applyBorder="1" applyAlignment="1">
      <alignment horizontal="center"/>
    </xf>
    <xf numFmtId="0" fontId="3" fillId="0" borderId="18" xfId="7" applyBorder="1"/>
    <xf numFmtId="0" fontId="3" fillId="0" borderId="18" xfId="7" applyBorder="1" applyAlignment="1">
      <alignment wrapText="1"/>
    </xf>
    <xf numFmtId="0" fontId="3" fillId="7" borderId="18" xfId="7" applyFill="1" applyBorder="1" applyAlignment="1">
      <alignment horizontal="center"/>
    </xf>
    <xf numFmtId="0" fontId="3" fillId="4" borderId="18" xfId="7" applyFill="1" applyBorder="1" applyAlignment="1">
      <alignment horizontal="center"/>
    </xf>
    <xf numFmtId="0" fontId="3" fillId="8" borderId="18" xfId="7" applyFill="1" applyBorder="1" applyAlignment="1">
      <alignment horizontal="center"/>
    </xf>
    <xf numFmtId="0" fontId="3" fillId="5" borderId="18" xfId="7" applyFill="1" applyBorder="1" applyAlignment="1">
      <alignment horizontal="center"/>
    </xf>
    <xf numFmtId="49" fontId="39" fillId="0" borderId="18" xfId="10" applyNumberFormat="1" applyFont="1" applyBorder="1" applyAlignment="1">
      <alignment wrapText="1"/>
    </xf>
    <xf numFmtId="0" fontId="3" fillId="5" borderId="0" xfId="7" applyFill="1" applyAlignment="1">
      <alignment horizontal="center"/>
    </xf>
    <xf numFmtId="0" fontId="2" fillId="0" borderId="18" xfId="7" applyFont="1" applyBorder="1"/>
    <xf numFmtId="0" fontId="0" fillId="0" borderId="0" xfId="0" applyAlignment="1">
      <alignment horizontal="center" vertical="center" wrapText="1"/>
    </xf>
    <xf numFmtId="0" fontId="40" fillId="0" borderId="0" xfId="0" applyFont="1"/>
    <xf numFmtId="0" fontId="0" fillId="0" borderId="20" xfId="0" applyBorder="1"/>
    <xf numFmtId="0" fontId="0" fillId="0" borderId="20" xfId="0" applyBorder="1" applyAlignment="1">
      <alignment horizontal="center"/>
    </xf>
    <xf numFmtId="0" fontId="42" fillId="0" borderId="22" xfId="0" applyFont="1" applyBorder="1" applyAlignment="1">
      <alignment horizontal="center"/>
    </xf>
    <xf numFmtId="0" fontId="43" fillId="0" borderId="2" xfId="0" applyFont="1" applyBorder="1" applyAlignment="1">
      <alignment horizontal="left"/>
    </xf>
    <xf numFmtId="0" fontId="43" fillId="0" borderId="2" xfId="0" applyFont="1" applyBorder="1"/>
    <xf numFmtId="0" fontId="0" fillId="0" borderId="2" xfId="0" applyBorder="1"/>
    <xf numFmtId="0" fontId="43" fillId="0" borderId="2" xfId="0" applyFont="1" applyBorder="1" applyAlignment="1">
      <alignment horizontal="center"/>
    </xf>
    <xf numFmtId="0" fontId="43" fillId="0" borderId="3" xfId="0" applyFont="1" applyBorder="1"/>
    <xf numFmtId="0" fontId="43" fillId="0" borderId="7" xfId="0" applyFont="1" applyBorder="1"/>
    <xf numFmtId="0" fontId="43" fillId="0" borderId="0" xfId="0" applyFont="1"/>
    <xf numFmtId="0" fontId="43" fillId="0" borderId="8" xfId="0" applyFont="1" applyBorder="1"/>
    <xf numFmtId="0" fontId="43" fillId="0" borderId="4" xfId="0" applyFont="1" applyBorder="1"/>
    <xf numFmtId="0" fontId="44" fillId="0" borderId="5" xfId="0" applyFont="1" applyBorder="1"/>
    <xf numFmtId="0" fontId="43" fillId="0" borderId="5" xfId="0" applyFont="1" applyBorder="1"/>
    <xf numFmtId="0" fontId="43" fillId="0" borderId="6" xfId="0" applyFont="1" applyBorder="1"/>
    <xf numFmtId="0" fontId="0" fillId="0" borderId="0" xfId="0" applyAlignment="1">
      <alignment horizontal="center" vertical="center"/>
    </xf>
    <xf numFmtId="11" fontId="0" fillId="0" borderId="0" xfId="0" applyNumberFormat="1" applyAlignment="1">
      <alignment horizontal="right"/>
    </xf>
    <xf numFmtId="11" fontId="0" fillId="0" borderId="9" xfId="0" applyNumberFormat="1" applyBorder="1" applyAlignment="1">
      <alignment horizontal="right"/>
    </xf>
    <xf numFmtId="0" fontId="9" fillId="0" borderId="0" xfId="0" applyFont="1" applyAlignment="1">
      <alignment horizontal="center" vertical="center"/>
    </xf>
    <xf numFmtId="11" fontId="10" fillId="0" borderId="2" xfId="2" applyNumberFormat="1" applyBorder="1" applyAlignment="1">
      <alignment horizontal="center"/>
    </xf>
    <xf numFmtId="11" fontId="10" fillId="0" borderId="3" xfId="2" applyNumberFormat="1" applyBorder="1" applyAlignment="1">
      <alignment horizontal="center"/>
    </xf>
    <xf numFmtId="11" fontId="10" fillId="0" borderId="0" xfId="2" applyNumberFormat="1" applyAlignment="1">
      <alignment horizontal="center"/>
    </xf>
    <xf numFmtId="11" fontId="10" fillId="0" borderId="8" xfId="2" applyNumberFormat="1" applyBorder="1" applyAlignment="1">
      <alignment horizontal="center"/>
    </xf>
    <xf numFmtId="11" fontId="10" fillId="0" borderId="5" xfId="2" applyNumberFormat="1" applyBorder="1" applyAlignment="1">
      <alignment horizontal="center"/>
    </xf>
    <xf numFmtId="11" fontId="10" fillId="0" borderId="6" xfId="2" applyNumberFormat="1" applyBorder="1" applyAlignment="1">
      <alignment horizontal="center"/>
    </xf>
    <xf numFmtId="3" fontId="8" fillId="0" borderId="0" xfId="3" applyNumberFormat="1"/>
    <xf numFmtId="11" fontId="3" fillId="0" borderId="0" xfId="7" applyNumberFormat="1"/>
    <xf numFmtId="0" fontId="0" fillId="0" borderId="0" xfId="0"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0" fillId="0" borderId="5" xfId="0" applyBorder="1"/>
    <xf numFmtId="11" fontId="0" fillId="0" borderId="5" xfId="0" applyNumberFormat="1" applyBorder="1"/>
    <xf numFmtId="0" fontId="0" fillId="0" borderId="23" xfId="0" applyBorder="1"/>
    <xf numFmtId="11" fontId="0" fillId="0" borderId="23" xfId="0" applyNumberFormat="1" applyBorder="1"/>
    <xf numFmtId="0" fontId="0" fillId="0" borderId="23" xfId="0" applyBorder="1" applyAlignment="1">
      <alignment horizontal="center"/>
    </xf>
    <xf numFmtId="11" fontId="0" fillId="0" borderId="0" xfId="0" applyNumberFormat="1" applyBorder="1" applyAlignment="1">
      <alignment horizontal="center"/>
    </xf>
    <xf numFmtId="168" fontId="9" fillId="0" borderId="0" xfId="0" applyNumberFormat="1" applyFont="1" applyBorder="1"/>
    <xf numFmtId="178" fontId="0" fillId="0" borderId="0" xfId="0" applyNumberFormat="1" applyBorder="1" applyAlignment="1">
      <alignment horizontal="center"/>
    </xf>
    <xf numFmtId="178" fontId="0" fillId="0" borderId="0" xfId="0" applyNumberFormat="1" applyAlignment="1">
      <alignment horizontal="center"/>
    </xf>
    <xf numFmtId="178" fontId="0" fillId="0" borderId="23" xfId="0" applyNumberFormat="1" applyBorder="1" applyAlignment="1">
      <alignment horizontal="center"/>
    </xf>
    <xf numFmtId="178" fontId="0" fillId="0" borderId="0" xfId="0" applyNumberFormat="1" applyFill="1" applyAlignment="1">
      <alignment horizontal="center"/>
    </xf>
    <xf numFmtId="178" fontId="5" fillId="0" borderId="0" xfId="0" applyNumberFormat="1" applyFont="1" applyFill="1" applyAlignment="1">
      <alignment horizontal="center"/>
    </xf>
    <xf numFmtId="178" fontId="0" fillId="0" borderId="1" xfId="0" applyNumberFormat="1" applyBorder="1" applyAlignment="1">
      <alignment horizontal="center"/>
    </xf>
    <xf numFmtId="178" fontId="0" fillId="0" borderId="20" xfId="0" applyNumberFormat="1" applyBorder="1" applyAlignment="1">
      <alignment horizontal="center"/>
    </xf>
    <xf numFmtId="178" fontId="0" fillId="0" borderId="0" xfId="0" applyNumberFormat="1" applyFill="1" applyBorder="1" applyAlignment="1">
      <alignment horizontal="center"/>
    </xf>
    <xf numFmtId="164" fontId="9" fillId="0" borderId="0" xfId="0" applyNumberFormat="1" applyFont="1" applyAlignment="1">
      <alignment horizontal="center"/>
    </xf>
    <xf numFmtId="168" fontId="9" fillId="0" borderId="0" xfId="0" applyNumberFormat="1" applyFont="1" applyAlignment="1">
      <alignment horizontal="center"/>
    </xf>
    <xf numFmtId="0" fontId="9" fillId="0" borderId="0" xfId="0" applyFont="1" applyBorder="1" applyAlignment="1">
      <alignment horizontal="center" vertical="center"/>
    </xf>
    <xf numFmtId="22" fontId="0" fillId="0" borderId="0" xfId="0" applyNumberFormat="1"/>
    <xf numFmtId="0" fontId="0" fillId="0" borderId="0" xfId="0" applyNumberFormat="1"/>
    <xf numFmtId="0" fontId="7" fillId="0" borderId="0" xfId="0" applyFont="1" applyBorder="1" applyAlignment="1">
      <alignment horizontal="center" vertical="center" wrapText="1"/>
    </xf>
    <xf numFmtId="0" fontId="0" fillId="0" borderId="0" xfId="0" applyBorder="1" applyAlignment="1">
      <alignment horizontal="center"/>
    </xf>
    <xf numFmtId="172" fontId="0" fillId="0" borderId="0" xfId="0" applyNumberFormat="1"/>
    <xf numFmtId="0" fontId="1" fillId="0" borderId="0" xfId="7" applyFont="1"/>
    <xf numFmtId="14" fontId="0" fillId="0" borderId="0" xfId="0" applyNumberFormat="1"/>
    <xf numFmtId="0" fontId="0" fillId="0" borderId="0" xfId="0" applyAlignment="1">
      <alignment horizontal="center"/>
    </xf>
    <xf numFmtId="0" fontId="0" fillId="0" borderId="0" xfId="0" applyAlignment="1">
      <alignment horizontal="right"/>
    </xf>
    <xf numFmtId="4" fontId="0" fillId="0" borderId="0" xfId="0" applyNumberFormat="1" applyFill="1" applyAlignment="1">
      <alignment horizontal="center"/>
    </xf>
    <xf numFmtId="11" fontId="10" fillId="0" borderId="0" xfId="2" applyNumberFormat="1" applyBorder="1" applyAlignment="1">
      <alignment horizontal="center"/>
    </xf>
    <xf numFmtId="0" fontId="0" fillId="0" borderId="0" xfId="0" quotePrefix="1"/>
    <xf numFmtId="0" fontId="1" fillId="0" borderId="0" xfId="4" applyFont="1"/>
    <xf numFmtId="170" fontId="15" fillId="0" borderId="0" xfId="4" applyNumberFormat="1"/>
    <xf numFmtId="11" fontId="10" fillId="0" borderId="0" xfId="2" applyNumberFormat="1"/>
    <xf numFmtId="0" fontId="0" fillId="0" borderId="0" xfId="0" applyAlignment="1">
      <alignment horizontal="center" vertical="center" wrapText="1"/>
    </xf>
    <xf numFmtId="0" fontId="0" fillId="0" borderId="0" xfId="0" applyAlignment="1">
      <alignment horizontal="center"/>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41" fillId="0" borderId="0" xfId="0" applyFont="1" applyBorder="1" applyAlignment="1">
      <alignment horizontal="center" vertical="center" textRotation="90"/>
    </xf>
    <xf numFmtId="0" fontId="41" fillId="0" borderId="20" xfId="0" applyFont="1" applyBorder="1" applyAlignment="1">
      <alignment horizontal="center" vertical="center" textRotation="90"/>
    </xf>
    <xf numFmtId="0" fontId="41" fillId="0" borderId="1" xfId="0" applyFont="1" applyBorder="1" applyAlignment="1">
      <alignment horizontal="center" vertical="center" textRotation="90"/>
    </xf>
    <xf numFmtId="0" fontId="41" fillId="0" borderId="21" xfId="0" applyFont="1" applyBorder="1" applyAlignment="1">
      <alignment horizontal="center" vertical="center" textRotation="90"/>
    </xf>
    <xf numFmtId="0" fontId="0" fillId="0" borderId="19"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2" fontId="14" fillId="0" borderId="0" xfId="2" applyNumberFormat="1" applyFont="1" applyFill="1" applyAlignment="1">
      <alignment horizontal="right"/>
    </xf>
    <xf numFmtId="0" fontId="0" fillId="0" borderId="0" xfId="0" applyAlignment="1">
      <alignment horizontal="right"/>
    </xf>
    <xf numFmtId="0" fontId="0" fillId="0" borderId="0" xfId="0" applyAlignment="1">
      <alignment horizontal="center" vertical="center"/>
    </xf>
    <xf numFmtId="0" fontId="7" fillId="0" borderId="0" xfId="3" applyFont="1" applyAlignment="1">
      <alignment horizontal="center" vertical="center" wrapText="1"/>
    </xf>
    <xf numFmtId="0" fontId="1" fillId="0" borderId="5" xfId="4" applyFont="1" applyBorder="1" applyAlignment="1">
      <alignment horizontal="center" vertical="center" wrapText="1"/>
    </xf>
    <xf numFmtId="0" fontId="15" fillId="0" borderId="5" xfId="4" applyBorder="1" applyAlignment="1">
      <alignment horizontal="center" vertical="center"/>
    </xf>
    <xf numFmtId="0" fontId="3" fillId="0" borderId="0" xfId="7" applyAlignment="1">
      <alignment horizontal="center" wrapText="1"/>
    </xf>
    <xf numFmtId="0" fontId="34" fillId="5" borderId="0" xfId="7" applyFont="1" applyFill="1" applyAlignment="1">
      <alignment horizontal="center"/>
    </xf>
    <xf numFmtId="0" fontId="35" fillId="6" borderId="18" xfId="7" applyFont="1" applyFill="1" applyBorder="1" applyAlignment="1">
      <alignment horizontal="center"/>
    </xf>
    <xf numFmtId="0" fontId="35" fillId="6" borderId="18" xfId="7" applyFont="1" applyFill="1" applyBorder="1" applyAlignment="1">
      <alignment horizontal="center" wrapText="1"/>
    </xf>
    <xf numFmtId="0" fontId="3" fillId="0" borderId="18" xfId="7" applyBorder="1" applyAlignment="1">
      <alignment horizontal="center"/>
    </xf>
    <xf numFmtId="0" fontId="36" fillId="0" borderId="18" xfId="7" applyFont="1" applyBorder="1" applyAlignment="1">
      <alignment horizontal="center"/>
    </xf>
    <xf numFmtId="0" fontId="12" fillId="2" borderId="13" xfId="6" applyFont="1" applyFill="1" applyBorder="1" applyAlignment="1">
      <alignment horizontal="center" vertical="top" wrapText="1"/>
    </xf>
    <xf numFmtId="0" fontId="18" fillId="2" borderId="14" xfId="6" applyFill="1" applyBorder="1" applyAlignment="1">
      <alignment horizontal="center" vertical="top" wrapText="1"/>
    </xf>
    <xf numFmtId="0" fontId="18" fillId="2" borderId="15" xfId="6" applyFill="1" applyBorder="1" applyAlignment="1">
      <alignment horizontal="center" vertical="top" wrapText="1"/>
    </xf>
    <xf numFmtId="0" fontId="22" fillId="3" borderId="13" xfId="6" applyFont="1" applyFill="1" applyBorder="1" applyAlignment="1">
      <alignment horizontal="left" vertical="top" wrapText="1" indent="1"/>
    </xf>
    <xf numFmtId="0" fontId="22" fillId="3" borderId="15" xfId="6" applyFont="1" applyFill="1" applyBorder="1" applyAlignment="1">
      <alignment horizontal="left" vertical="top" wrapText="1" indent="1"/>
    </xf>
    <xf numFmtId="0" fontId="22" fillId="3" borderId="13" xfId="6" applyFont="1" applyFill="1" applyBorder="1" applyAlignment="1">
      <alignment horizontal="left" vertical="top" wrapText="1" indent="5"/>
    </xf>
    <xf numFmtId="0" fontId="22" fillId="3" borderId="14" xfId="6" applyFont="1" applyFill="1" applyBorder="1" applyAlignment="1">
      <alignment horizontal="left" vertical="top" wrapText="1" indent="5"/>
    </xf>
    <xf numFmtId="0" fontId="22" fillId="3" borderId="15" xfId="6" applyFont="1" applyFill="1" applyBorder="1" applyAlignment="1">
      <alignment horizontal="left" vertical="top" wrapText="1" indent="5"/>
    </xf>
  </cellXfs>
  <cellStyles count="13">
    <cellStyle name="Comma 2" xfId="9" xr:uid="{2488CC36-A42D-6A45-9260-8B9645483876}"/>
    <cellStyle name="Normal" xfId="0" builtinId="0"/>
    <cellStyle name="Normal 2" xfId="4" xr:uid="{69B3B7DE-5788-9444-958B-94749ADBC43E}"/>
    <cellStyle name="Normal 3" xfId="2" xr:uid="{1EDD5DED-88E5-9141-8BD8-ED4F39947E35}"/>
    <cellStyle name="Normal 4" xfId="6" xr:uid="{43C278BE-FBDC-1146-B9E5-C7B3B91B34CF}"/>
    <cellStyle name="Normal 4 3" xfId="12" xr:uid="{C47FCD6B-987B-43BA-980B-755D93B5E78C}"/>
    <cellStyle name="Normal 5" xfId="3" xr:uid="{E875816B-0BD9-9B4A-B2B6-1BCBD9E38794}"/>
    <cellStyle name="Normal 6" xfId="7" xr:uid="{AE6F1721-69B4-43E9-A66F-2E4339739148}"/>
    <cellStyle name="Normal 7" xfId="11" xr:uid="{B2506B89-D108-4BF8-8F6A-F504249A1C68}"/>
    <cellStyle name="Normal_Sheet1" xfId="10" xr:uid="{1F01BB90-56A4-E14F-99B8-7B327139809E}"/>
    <cellStyle name="Percent" xfId="1" builtinId="5"/>
    <cellStyle name="Percent 2" xfId="5" xr:uid="{EC8FA27F-4DD4-D544-A297-97BC021457C9}"/>
    <cellStyle name="Percent 3" xfId="8" xr:uid="{FA8171C1-AAA6-F54B-B2D7-E0EE9D4C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118533</xdr:colOff>
      <xdr:row>43</xdr:row>
      <xdr:rowOff>50800</xdr:rowOff>
    </xdr:from>
    <xdr:to>
      <xdr:col>8</xdr:col>
      <xdr:colOff>372533</xdr:colOff>
      <xdr:row>55</xdr:row>
      <xdr:rowOff>152400</xdr:rowOff>
    </xdr:to>
    <xdr:sp macro="" textlink="">
      <xdr:nvSpPr>
        <xdr:cNvPr id="2" name="TextBox 1">
          <a:extLst>
            <a:ext uri="{FF2B5EF4-FFF2-40B4-BE49-F238E27FC236}">
              <a16:creationId xmlns:a16="http://schemas.microsoft.com/office/drawing/2014/main" id="{224642CF-4631-A54D-B644-85531E900AA0}"/>
            </a:ext>
          </a:extLst>
        </xdr:cNvPr>
        <xdr:cNvSpPr txBox="1"/>
      </xdr:nvSpPr>
      <xdr:spPr>
        <a:xfrm>
          <a:off x="118533" y="7772400"/>
          <a:ext cx="9245600" cy="223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Notes &amp; References:</a:t>
          </a:r>
        </a:p>
        <a:p>
          <a:endParaRPr lang="en-US" sz="1100"/>
        </a:p>
        <a:p>
          <a:r>
            <a:rPr lang="en-US" sz="1100"/>
            <a:t>The "LDAR"</a:t>
          </a:r>
          <a:r>
            <a:rPr lang="en-US" sz="1100" baseline="0"/>
            <a:t> grouping consists of the vapor service components that are subject to ECL's Leak Detection and Repair program.  The emission factors for these components are from "Emissions Estimation Protocol for Petroleum Refineries, Version 3,  Table 2-2 Equipment Leak Rate for Petroleum and SOCMI Equipment Components" for "Default Zero Emission Rate".</a:t>
          </a:r>
        </a:p>
        <a:p>
          <a:endParaRPr lang="en-US" sz="1100" baseline="0"/>
        </a:p>
        <a:p>
          <a:r>
            <a:rPr lang="en-US" sz="1100" baseline="0"/>
            <a:t>All other components are in liquid service and emission factors are from "Emissions Estimation Protocol for Petroleum Refineries, Version 3,  Table 2-6 Refinery and SOCMI Average Componenet Emission Factors."</a:t>
          </a:r>
        </a:p>
        <a:p>
          <a:endParaRPr lang="en-US" sz="1100" baseline="0"/>
        </a:p>
        <a:p>
          <a:r>
            <a:rPr lang="en-US" sz="1100" baseline="0"/>
            <a:t>The LPS (also referred to as OPS or the Oil Polishing System) is only "in service" 50% of the time.  During a system regeneration the equipment components are in vaccum service without any potential for leaks.  The adjustment has been made for estimating annual emissions but as a conservative measure the calculations assume the equipment could be "in service" for a full 24 hour period.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15876</xdr:colOff>
      <xdr:row>32</xdr:row>
      <xdr:rowOff>47624</xdr:rowOff>
    </xdr:from>
    <xdr:to>
      <xdr:col>5</xdr:col>
      <xdr:colOff>857250</xdr:colOff>
      <xdr:row>34</xdr:row>
      <xdr:rowOff>139699</xdr:rowOff>
    </xdr:to>
    <xdr:sp macro="" textlink="">
      <xdr:nvSpPr>
        <xdr:cNvPr id="2" name="TextBox 1">
          <a:extLst>
            <a:ext uri="{FF2B5EF4-FFF2-40B4-BE49-F238E27FC236}">
              <a16:creationId xmlns:a16="http://schemas.microsoft.com/office/drawing/2014/main" id="{053642E0-7AD2-1046-9B7E-79F622706B91}"/>
            </a:ext>
          </a:extLst>
        </xdr:cNvPr>
        <xdr:cNvSpPr txBox="1"/>
      </xdr:nvSpPr>
      <xdr:spPr>
        <a:xfrm>
          <a:off x="15876" y="5724524"/>
          <a:ext cx="8474074" cy="498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***Flux is a heavy viscous liquid similar </a:t>
          </a:r>
          <a:r>
            <a:rPr lang="en-US" sz="1100" baseline="0"/>
            <a:t>and it is loaded at a temperature of 250F. The following equation was used to estimate the Flux vapor pressure at this elevated temperature.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6858</xdr:colOff>
      <xdr:row>2</xdr:row>
      <xdr:rowOff>5956</xdr:rowOff>
    </xdr:from>
    <xdr:to>
      <xdr:col>0</xdr:col>
      <xdr:colOff>454532</xdr:colOff>
      <xdr:row>2</xdr:row>
      <xdr:rowOff>934326</xdr:rowOff>
    </xdr:to>
    <xdr:pic>
      <xdr:nvPicPr>
        <xdr:cNvPr id="2" name="image1.jpeg">
          <a:extLst>
            <a:ext uri="{FF2B5EF4-FFF2-40B4-BE49-F238E27FC236}">
              <a16:creationId xmlns:a16="http://schemas.microsoft.com/office/drawing/2014/main" id="{6A8BA282-8BB3-AB41-A5EC-D475E3C224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 y="437756"/>
          <a:ext cx="447674" cy="928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ne%20Mascitelli/Shane's%20Ultimate%20Excel%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jbrowning/Documents/Was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Users/jbrowning/Bridgewater%20Group%20Dropbox/John%20Browning/Zenith%20Energy-Confidential/CAO_Level_3_RA_WIP/Tank_Calcs_Other_From_Andrew_Zenith/110tpy_set/110%20TPY%20-%20Refining%20Tank%20Emissions_8_14_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rojects%202012/12032%20Shell%20Exploration%20(Discoverer-Kulluk)/12032.4%20Discoverer%20Compliance/spreadsheets/FD-6/12032.4%20Shell%20Discoverer%20-%20Generator%20FD-6%20-%20High%20Loa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imesheet"/>
      <sheetName val="Project_Budgeting"/>
      <sheetName val="Timesheets"/>
      <sheetName val="Expense_Reports"/>
      <sheetName val="Goal_Relationship_Graph"/>
      <sheetName val="Incentive_Plan"/>
      <sheetName val="PM_Fiscal_Year_Budget"/>
      <sheetName val="Periodic_Table"/>
      <sheetName val="EPA_Method_1"/>
      <sheetName val="Office_Budget"/>
      <sheetName val="Old_Calculations"/>
      <sheetName val="Calculations"/>
      <sheetName val="RATA_Calculation"/>
      <sheetName val="Molecular_Weights"/>
      <sheetName val="Example_Calculations"/>
      <sheetName val="Equations"/>
      <sheetName val="EPA_Region_Map"/>
      <sheetName val="Particulate_Runs_1-3"/>
      <sheetName val="RATA Analysis"/>
      <sheetName val="RATA_Runs_(1-15)"/>
      <sheetName val="Compliance"/>
      <sheetName val="Missing"/>
      <sheetName val="Disciplinary_Action"/>
      <sheetName val="Sheet1"/>
      <sheetName val="Sales by Rep"/>
      <sheetName val="Billable Ratio"/>
      <sheetName val="Profit Goal"/>
    </sheetNames>
    <sheetDataSet>
      <sheetData sheetId="0"/>
      <sheetData sheetId="1">
        <row r="12">
          <cell r="R12" t="str">
            <v>California</v>
          </cell>
          <cell r="S12" t="str">
            <v>Project management</v>
          </cell>
          <cell r="T12" t="str">
            <v>Consultant</v>
          </cell>
          <cell r="U12" t="str">
            <v>Administration</v>
          </cell>
          <cell r="V12" t="str">
            <v>Office tasks, timesheet, SOPs, policy</v>
          </cell>
          <cell r="W12">
            <v>40545</v>
          </cell>
          <cell r="AA12" t="str">
            <v>Yes</v>
          </cell>
        </row>
        <row r="13">
          <cell r="R13" t="str">
            <v>Medford</v>
          </cell>
          <cell r="S13" t="str">
            <v>Analytical</v>
          </cell>
          <cell r="T13" t="str">
            <v>Client Account Manager</v>
          </cell>
          <cell r="U13" t="str">
            <v>Bereavement</v>
          </cell>
          <cell r="V13" t="str">
            <v>-</v>
          </cell>
          <cell r="W13">
            <v>40552</v>
          </cell>
          <cell r="AA13" t="str">
            <v>No</v>
          </cell>
        </row>
        <row r="14">
          <cell r="R14" t="str">
            <v>Phoenix</v>
          </cell>
          <cell r="S14" t="str">
            <v>Consulting</v>
          </cell>
          <cell r="T14" t="str">
            <v>Senior Project Manager</v>
          </cell>
          <cell r="U14" t="str">
            <v>Business development</v>
          </cell>
          <cell r="V14" t="str">
            <v>Pre-proposal activities, marketing</v>
          </cell>
          <cell r="W14">
            <v>40559</v>
          </cell>
        </row>
        <row r="15">
          <cell r="R15" t="str">
            <v>Portland</v>
          </cell>
          <cell r="S15" t="str">
            <v>Test plan</v>
          </cell>
          <cell r="T15" t="str">
            <v>Project Manager</v>
          </cell>
          <cell r="U15" t="str">
            <v>Equipment</v>
          </cell>
          <cell r="V15" t="str">
            <v>Repairs, maintenance, calibrations</v>
          </cell>
          <cell r="W15">
            <v>40566</v>
          </cell>
        </row>
        <row r="16">
          <cell r="S16" t="str">
            <v>Prep</v>
          </cell>
          <cell r="T16" t="str">
            <v>Test Team Leader</v>
          </cell>
          <cell r="U16" t="str">
            <v>Facilities</v>
          </cell>
          <cell r="V16" t="str">
            <v>Shop, scheduling, ordering, inventory</v>
          </cell>
          <cell r="W16">
            <v>40573</v>
          </cell>
        </row>
        <row r="17">
          <cell r="S17" t="str">
            <v>Travel</v>
          </cell>
          <cell r="T17" t="str">
            <v>Senior Technician</v>
          </cell>
          <cell r="U17" t="str">
            <v>Holiday</v>
          </cell>
          <cell r="V17" t="str">
            <v>-</v>
          </cell>
          <cell r="W17">
            <v>40580</v>
          </cell>
        </row>
        <row r="18">
          <cell r="S18" t="str">
            <v>Setup / teardown</v>
          </cell>
          <cell r="T18" t="str">
            <v>Technician</v>
          </cell>
          <cell r="U18" t="str">
            <v>Information Technology (IT)</v>
          </cell>
          <cell r="V18" t="str">
            <v>Computer, network, e-mail, phones</v>
          </cell>
          <cell r="W18">
            <v>40587</v>
          </cell>
        </row>
        <row r="19">
          <cell r="S19" t="str">
            <v>Testing</v>
          </cell>
          <cell r="T19" t="str">
            <v>Senior Office Worker</v>
          </cell>
          <cell r="U19" t="str">
            <v>Laboratory</v>
          </cell>
          <cell r="V19" t="str">
            <v>General non-billable lab tasks</v>
          </cell>
          <cell r="W19">
            <v>40594</v>
          </cell>
        </row>
        <row r="20">
          <cell r="S20" t="str">
            <v>De-prep</v>
          </cell>
          <cell r="T20" t="str">
            <v>Office Worker</v>
          </cell>
          <cell r="U20" t="str">
            <v>Mentoring / training</v>
          </cell>
          <cell r="V20" t="str">
            <v>Coaching, educating as trainer</v>
          </cell>
          <cell r="W20">
            <v>40601</v>
          </cell>
        </row>
        <row r="21">
          <cell r="S21" t="str">
            <v>Report</v>
          </cell>
          <cell r="T21" t="str">
            <v>Director</v>
          </cell>
          <cell r="U21" t="str">
            <v>Non-Specified Time</v>
          </cell>
          <cell r="V21" t="str">
            <v xml:space="preserve">Miscellaneous time spent </v>
          </cell>
          <cell r="W21">
            <v>40608</v>
          </cell>
        </row>
        <row r="22">
          <cell r="S22" t="str">
            <v>Proposal</v>
          </cell>
          <cell r="U22" t="str">
            <v>Proposal</v>
          </cell>
          <cell r="V22" t="str">
            <v>-</v>
          </cell>
          <cell r="W22">
            <v>40615</v>
          </cell>
        </row>
        <row r="23">
          <cell r="S23" t="str">
            <v>T&amp;M - Standby</v>
          </cell>
          <cell r="U23" t="str">
            <v>Safety (admin / training)</v>
          </cell>
          <cell r="V23" t="str">
            <v>Safety - admin / training / meetings</v>
          </cell>
          <cell r="W23">
            <v>40622</v>
          </cell>
        </row>
        <row r="24">
          <cell r="S24" t="str">
            <v>T&amp;M - Out of scope</v>
          </cell>
          <cell r="U24" t="str">
            <v>Sick Leave</v>
          </cell>
          <cell r="V24" t="str">
            <v>-</v>
          </cell>
          <cell r="W24">
            <v>40629</v>
          </cell>
        </row>
        <row r="25">
          <cell r="U25" t="str">
            <v>Training (recipient)</v>
          </cell>
          <cell r="V25" t="str">
            <v>Classroom, conference, seminar</v>
          </cell>
          <cell r="W25">
            <v>40636</v>
          </cell>
        </row>
        <row r="26">
          <cell r="U26" t="str">
            <v>Travel (inter-office)</v>
          </cell>
          <cell r="V26" t="str">
            <v>Non-billable travel</v>
          </cell>
          <cell r="W26">
            <v>40643</v>
          </cell>
        </row>
        <row r="27">
          <cell r="U27" t="str">
            <v>Vacation</v>
          </cell>
          <cell r="V27" t="str">
            <v>-</v>
          </cell>
          <cell r="W27">
            <v>40650</v>
          </cell>
        </row>
        <row r="28">
          <cell r="W28">
            <v>40657</v>
          </cell>
        </row>
        <row r="29">
          <cell r="W29">
            <v>40664</v>
          </cell>
        </row>
        <row r="30">
          <cell r="W30">
            <v>40671</v>
          </cell>
        </row>
        <row r="31">
          <cell r="W31">
            <v>40678</v>
          </cell>
        </row>
        <row r="32">
          <cell r="W32">
            <v>40685</v>
          </cell>
        </row>
        <row r="33">
          <cell r="W33">
            <v>40692</v>
          </cell>
        </row>
        <row r="34">
          <cell r="W34">
            <v>40699</v>
          </cell>
        </row>
        <row r="35">
          <cell r="W35">
            <v>40706</v>
          </cell>
        </row>
        <row r="36">
          <cell r="W36">
            <v>40713</v>
          </cell>
        </row>
        <row r="37">
          <cell r="W37">
            <v>40720</v>
          </cell>
        </row>
        <row r="38">
          <cell r="W38">
            <v>40727</v>
          </cell>
        </row>
        <row r="39">
          <cell r="W39">
            <v>40734</v>
          </cell>
        </row>
        <row r="40">
          <cell r="W40">
            <v>40741</v>
          </cell>
        </row>
        <row r="41">
          <cell r="W41">
            <v>40748</v>
          </cell>
        </row>
        <row r="42">
          <cell r="W42">
            <v>40755</v>
          </cell>
        </row>
        <row r="43">
          <cell r="W43">
            <v>40762</v>
          </cell>
        </row>
        <row r="44">
          <cell r="W44">
            <v>40769</v>
          </cell>
        </row>
        <row r="45">
          <cell r="W45">
            <v>40776</v>
          </cell>
        </row>
        <row r="46">
          <cell r="W46">
            <v>40783</v>
          </cell>
        </row>
        <row r="47">
          <cell r="W47">
            <v>40790</v>
          </cell>
        </row>
        <row r="48">
          <cell r="W48">
            <v>40797</v>
          </cell>
        </row>
        <row r="49">
          <cell r="W49">
            <v>40804</v>
          </cell>
        </row>
        <row r="50">
          <cell r="W50">
            <v>40811</v>
          </cell>
        </row>
        <row r="51">
          <cell r="W51">
            <v>40818</v>
          </cell>
        </row>
        <row r="52">
          <cell r="W52">
            <v>40825</v>
          </cell>
        </row>
        <row r="53">
          <cell r="W53">
            <v>40832</v>
          </cell>
        </row>
        <row r="54">
          <cell r="W54">
            <v>40839</v>
          </cell>
        </row>
        <row r="55">
          <cell r="W55">
            <v>40846</v>
          </cell>
        </row>
        <row r="56">
          <cell r="W56">
            <v>40853</v>
          </cell>
        </row>
        <row r="57">
          <cell r="W57">
            <v>40860</v>
          </cell>
        </row>
        <row r="58">
          <cell r="W58">
            <v>40867</v>
          </cell>
        </row>
        <row r="59">
          <cell r="W59">
            <v>40874</v>
          </cell>
        </row>
        <row r="60">
          <cell r="W60">
            <v>40881</v>
          </cell>
        </row>
        <row r="61">
          <cell r="W61">
            <v>40888</v>
          </cell>
        </row>
        <row r="62">
          <cell r="W62">
            <v>40895</v>
          </cell>
        </row>
        <row r="63">
          <cell r="W63">
            <v>40902</v>
          </cell>
        </row>
        <row r="64">
          <cell r="W64">
            <v>40909</v>
          </cell>
        </row>
      </sheetData>
      <sheetData sheetId="2"/>
      <sheetData sheetId="3"/>
      <sheetData sheetId="4"/>
      <sheetData sheetId="5"/>
      <sheetData sheetId="6"/>
      <sheetData sheetId="7"/>
      <sheetData sheetId="8"/>
      <sheetData sheetId="9"/>
      <sheetData sheetId="10"/>
      <sheetData sheetId="11"/>
      <sheetData sheetId="12">
        <row r="140">
          <cell r="I140" t="str">
            <v>mg</v>
          </cell>
        </row>
        <row r="141">
          <cell r="I141" t="str">
            <v>µg</v>
          </cell>
        </row>
        <row r="142">
          <cell r="I142" t="str">
            <v>ng</v>
          </cell>
        </row>
        <row r="143">
          <cell r="I143" t="str">
            <v>pg</v>
          </cell>
        </row>
        <row r="158">
          <cell r="I158" t="str">
            <v>CO</v>
          </cell>
        </row>
        <row r="159">
          <cell r="I159" t="str">
            <v>NH3</v>
          </cell>
        </row>
        <row r="160">
          <cell r="I160" t="str">
            <v>NOX</v>
          </cell>
        </row>
        <row r="161">
          <cell r="I161" t="str">
            <v>C</v>
          </cell>
        </row>
        <row r="162">
          <cell r="I162" t="str">
            <v>SOX</v>
          </cell>
        </row>
        <row r="163">
          <cell r="I163" t="str">
            <v>CH4</v>
          </cell>
        </row>
        <row r="164">
          <cell r="I164" t="str">
            <v>N/A</v>
          </cell>
        </row>
      </sheetData>
      <sheetData sheetId="13"/>
      <sheetData sheetId="14">
        <row r="4">
          <cell r="A4" t="str">
            <v>(NH4)2SO4</v>
          </cell>
          <cell r="B4">
            <v>132.13999999999999</v>
          </cell>
        </row>
        <row r="5">
          <cell r="A5" t="str">
            <v>Ba</v>
          </cell>
          <cell r="B5">
            <v>137.327</v>
          </cell>
        </row>
        <row r="6">
          <cell r="A6" t="str">
            <v>BaCl2</v>
          </cell>
          <cell r="B6">
            <v>208.233</v>
          </cell>
        </row>
        <row r="7">
          <cell r="A7" t="str">
            <v>BaCl2•2H2O</v>
          </cell>
          <cell r="B7">
            <v>244.26300000000001</v>
          </cell>
        </row>
        <row r="8">
          <cell r="A8" t="str">
            <v>BaSO4</v>
          </cell>
          <cell r="B8">
            <v>233.38900000000001</v>
          </cell>
        </row>
        <row r="9">
          <cell r="A9" t="str">
            <v>C</v>
          </cell>
          <cell r="B9">
            <v>12.01</v>
          </cell>
        </row>
        <row r="10">
          <cell r="A10" t="str">
            <v>C2H6</v>
          </cell>
          <cell r="B10">
            <v>30.07</v>
          </cell>
        </row>
        <row r="11">
          <cell r="A11" t="str">
            <v>C3H8</v>
          </cell>
          <cell r="B11">
            <v>44.09</v>
          </cell>
        </row>
        <row r="12">
          <cell r="A12" t="str">
            <v>CH4</v>
          </cell>
          <cell r="B12">
            <v>16.04</v>
          </cell>
        </row>
        <row r="13">
          <cell r="A13" t="str">
            <v>Cl</v>
          </cell>
          <cell r="B13">
            <v>35.453000000000003</v>
          </cell>
        </row>
        <row r="14">
          <cell r="A14" t="str">
            <v>CO</v>
          </cell>
          <cell r="B14">
            <v>28.01</v>
          </cell>
        </row>
        <row r="15">
          <cell r="A15" t="str">
            <v>CO2</v>
          </cell>
          <cell r="B15">
            <v>44.01</v>
          </cell>
        </row>
        <row r="16">
          <cell r="A16" t="str">
            <v>H</v>
          </cell>
          <cell r="B16">
            <v>1.008</v>
          </cell>
        </row>
        <row r="17">
          <cell r="A17" t="str">
            <v>H2SO4</v>
          </cell>
          <cell r="B17">
            <v>98.08</v>
          </cell>
        </row>
        <row r="18">
          <cell r="A18" t="str">
            <v>H2SO4•2H2O</v>
          </cell>
          <cell r="B18">
            <v>134.11000000000001</v>
          </cell>
        </row>
        <row r="19">
          <cell r="A19" t="str">
            <v>N</v>
          </cell>
          <cell r="B19">
            <v>14.007</v>
          </cell>
        </row>
        <row r="20">
          <cell r="A20" t="str">
            <v>N2O</v>
          </cell>
          <cell r="B20">
            <v>44.01</v>
          </cell>
        </row>
        <row r="21">
          <cell r="A21" t="str">
            <v>NH3</v>
          </cell>
          <cell r="B21">
            <v>17.03</v>
          </cell>
        </row>
        <row r="22">
          <cell r="A22" t="str">
            <v>NH4+</v>
          </cell>
          <cell r="B22">
            <v>18.04</v>
          </cell>
        </row>
        <row r="23">
          <cell r="A23" t="str">
            <v>NO2</v>
          </cell>
          <cell r="B23">
            <v>46.01</v>
          </cell>
        </row>
        <row r="24">
          <cell r="A24" t="str">
            <v>O</v>
          </cell>
          <cell r="B24">
            <v>15.999000000000001</v>
          </cell>
        </row>
        <row r="25">
          <cell r="A25" t="str">
            <v>S</v>
          </cell>
          <cell r="B25">
            <v>32.064999999999998</v>
          </cell>
        </row>
        <row r="26">
          <cell r="A26" t="str">
            <v>SO2</v>
          </cell>
          <cell r="B26">
            <v>64.063000000000002</v>
          </cell>
        </row>
        <row r="27">
          <cell r="A27" t="str">
            <v>SO3-</v>
          </cell>
          <cell r="B27">
            <v>80.061999999999998</v>
          </cell>
        </row>
        <row r="28">
          <cell r="A28" t="str">
            <v>SO4-2</v>
          </cell>
          <cell r="B28">
            <v>96.06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P Conten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Tanks Fixed Roof Monthly"/>
      <sheetName val="CALC-Floating Roof Monthly"/>
      <sheetName val="Floating Roof Inputs"/>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
      <sheetName val="1-FD-6-100%-NH3"/>
      <sheetName val="1-FD-6-100%-PM"/>
      <sheetName val="2-FD-6-100%-NH3"/>
      <sheetName val="2-FD-6-100%-PM"/>
      <sheetName val="3-FD-6-100%-NH3"/>
      <sheetName val="3-FD-6-100%-PM"/>
      <sheetName val="Process Data"/>
      <sheetName val="ISOSET"/>
      <sheetName val="12032"/>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8865-F669-924E-8E35-40D14A929FFF}">
  <sheetPr codeName="Sheet1"/>
  <dimension ref="A1:J15"/>
  <sheetViews>
    <sheetView workbookViewId="0"/>
  </sheetViews>
  <sheetFormatPr baseColWidth="10" defaultColWidth="11" defaultRowHeight="16"/>
  <cols>
    <col min="1" max="1" width="30.5" customWidth="1"/>
    <col min="3" max="3" width="26.83203125" customWidth="1"/>
    <col min="4" max="4" width="18" customWidth="1"/>
    <col min="5" max="5" width="36.33203125" customWidth="1"/>
    <col min="6" max="8" width="11.83203125" customWidth="1"/>
    <col min="9" max="9" width="18.6640625" customWidth="1"/>
    <col min="10" max="10" width="26.83203125" customWidth="1"/>
  </cols>
  <sheetData>
    <row r="1" spans="1:10" ht="51" customHeight="1">
      <c r="A1" s="1" t="s">
        <v>0</v>
      </c>
      <c r="B1" s="1" t="s">
        <v>1</v>
      </c>
      <c r="C1" s="1" t="s">
        <v>2</v>
      </c>
      <c r="D1" s="1" t="s">
        <v>3</v>
      </c>
      <c r="E1" s="1" t="s">
        <v>4</v>
      </c>
      <c r="F1" s="1" t="s">
        <v>5</v>
      </c>
      <c r="G1" s="1" t="s">
        <v>6</v>
      </c>
      <c r="H1" s="1" t="s">
        <v>7</v>
      </c>
      <c r="I1" s="1" t="s">
        <v>12</v>
      </c>
      <c r="J1" s="1" t="s">
        <v>8</v>
      </c>
    </row>
    <row r="2" spans="1:10">
      <c r="A2" t="s">
        <v>9</v>
      </c>
      <c r="B2" s="252" t="s">
        <v>1398</v>
      </c>
      <c r="C2" s="252" t="s">
        <v>13</v>
      </c>
      <c r="D2" s="252" t="s">
        <v>1398</v>
      </c>
      <c r="E2" s="252"/>
      <c r="F2" s="252"/>
      <c r="G2" s="252">
        <f>19.125</f>
        <v>19.125</v>
      </c>
      <c r="H2" s="252">
        <v>595</v>
      </c>
      <c r="I2" s="252">
        <v>6460</v>
      </c>
      <c r="J2" s="252"/>
    </row>
    <row r="3" spans="1:10">
      <c r="A3" t="s">
        <v>10</v>
      </c>
      <c r="B3" s="252"/>
      <c r="C3" s="252"/>
      <c r="D3" s="252"/>
      <c r="E3" s="252"/>
      <c r="F3" s="252"/>
      <c r="G3" s="252"/>
      <c r="H3" s="252"/>
      <c r="I3" s="252"/>
      <c r="J3" s="252"/>
    </row>
    <row r="4" spans="1:10">
      <c r="A4" t="s">
        <v>11</v>
      </c>
      <c r="B4" s="252"/>
      <c r="C4" s="252"/>
      <c r="D4" s="252"/>
      <c r="E4" s="252"/>
      <c r="F4" s="252"/>
      <c r="G4" s="252"/>
      <c r="H4" s="252"/>
      <c r="I4" s="252"/>
      <c r="J4" s="252"/>
    </row>
    <row r="5" spans="1:10">
      <c r="A5" t="s">
        <v>1509</v>
      </c>
      <c r="B5" t="s">
        <v>15</v>
      </c>
      <c r="C5" t="s">
        <v>1510</v>
      </c>
      <c r="D5" t="s">
        <v>15</v>
      </c>
      <c r="E5" t="s">
        <v>16</v>
      </c>
      <c r="F5" s="253" t="s">
        <v>17</v>
      </c>
      <c r="G5" s="253"/>
      <c r="H5" s="253"/>
      <c r="I5" s="253"/>
      <c r="J5" s="253"/>
    </row>
    <row r="6" spans="1:10">
      <c r="A6" t="s">
        <v>1512</v>
      </c>
      <c r="B6" t="s">
        <v>1513</v>
      </c>
      <c r="C6" t="s">
        <v>1511</v>
      </c>
      <c r="D6" t="s">
        <v>1513</v>
      </c>
      <c r="E6" t="s">
        <v>16</v>
      </c>
      <c r="F6" s="253" t="s">
        <v>17</v>
      </c>
      <c r="G6" s="253"/>
      <c r="H6" s="253"/>
      <c r="I6" s="253"/>
      <c r="J6" s="253"/>
    </row>
    <row r="7" spans="1:10">
      <c r="A7" t="s">
        <v>18</v>
      </c>
      <c r="B7" t="s">
        <v>15</v>
      </c>
      <c r="C7" t="s">
        <v>19</v>
      </c>
      <c r="D7" t="s">
        <v>15</v>
      </c>
      <c r="F7" s="253" t="s">
        <v>20</v>
      </c>
      <c r="G7" s="253"/>
      <c r="H7" s="253"/>
      <c r="I7" s="253"/>
      <c r="J7" s="253"/>
    </row>
    <row r="8" spans="1:10">
      <c r="A8" t="s">
        <v>1514</v>
      </c>
      <c r="B8" t="s">
        <v>1401</v>
      </c>
      <c r="D8" t="s">
        <v>1401</v>
      </c>
      <c r="F8" s="15"/>
      <c r="G8" s="15"/>
      <c r="H8" s="15"/>
      <c r="I8" s="15"/>
      <c r="J8" s="15"/>
    </row>
    <row r="9" spans="1:10">
      <c r="A9" t="s">
        <v>9</v>
      </c>
      <c r="B9" t="s">
        <v>1508</v>
      </c>
      <c r="C9" t="s">
        <v>1451</v>
      </c>
      <c r="D9" t="s">
        <v>1508</v>
      </c>
    </row>
    <row r="14" spans="1:10">
      <c r="A14" t="s">
        <v>21</v>
      </c>
    </row>
    <row r="15" spans="1:10">
      <c r="A15" t="s">
        <v>1397</v>
      </c>
    </row>
  </sheetData>
  <mergeCells count="12">
    <mergeCell ref="H2:H4"/>
    <mergeCell ref="I2:I4"/>
    <mergeCell ref="J2:J4"/>
    <mergeCell ref="F5:J5"/>
    <mergeCell ref="F7:J7"/>
    <mergeCell ref="G2:G4"/>
    <mergeCell ref="F6:J6"/>
    <mergeCell ref="B2:B4"/>
    <mergeCell ref="C2:C4"/>
    <mergeCell ref="D2:D4"/>
    <mergeCell ref="E2:E4"/>
    <mergeCell ref="F2:F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C2BA7-637D-DF4D-8051-0C98D6C80297}">
  <sheetPr codeName="Sheet10"/>
  <dimension ref="A1:H29"/>
  <sheetViews>
    <sheetView topLeftCell="A2" workbookViewId="0">
      <selection activeCell="I11" sqref="I11"/>
    </sheetView>
  </sheetViews>
  <sheetFormatPr baseColWidth="10" defaultColWidth="8.83203125" defaultRowHeight="15"/>
  <cols>
    <col min="1" max="1" width="44.83203125" style="155" customWidth="1"/>
    <col min="2" max="2" width="10.5" style="155" customWidth="1"/>
    <col min="3" max="16384" width="8.83203125" style="155"/>
  </cols>
  <sheetData>
    <row r="1" spans="1:7" s="43" customFormat="1" ht="19">
      <c r="A1" s="188" t="s">
        <v>1528</v>
      </c>
      <c r="D1" s="44"/>
    </row>
    <row r="2" spans="1:7" s="22" customFormat="1" ht="19">
      <c r="A2" s="188" t="s">
        <v>1541</v>
      </c>
      <c r="B2" s="45"/>
      <c r="F2" s="46"/>
      <c r="G2" s="46"/>
    </row>
    <row r="3" spans="1:7" customFormat="1" ht="16">
      <c r="A3" s="4" t="s">
        <v>28</v>
      </c>
      <c r="B3" t="s">
        <v>1508</v>
      </c>
    </row>
    <row r="4" spans="1:7" customFormat="1" ht="16">
      <c r="A4" s="4" t="s">
        <v>29</v>
      </c>
      <c r="B4" t="s">
        <v>1508</v>
      </c>
    </row>
    <row r="5" spans="1:7" customFormat="1" ht="16">
      <c r="A5" s="4" t="s">
        <v>30</v>
      </c>
      <c r="B5" t="s">
        <v>1432</v>
      </c>
    </row>
    <row r="6" spans="1:7" customFormat="1" ht="16"/>
    <row r="7" spans="1:7" customFormat="1" ht="16">
      <c r="A7" s="5" t="s">
        <v>1433</v>
      </c>
      <c r="G7" t="s">
        <v>1245</v>
      </c>
    </row>
    <row r="8" spans="1:7" customFormat="1" ht="16">
      <c r="G8" t="s">
        <v>1570</v>
      </c>
    </row>
    <row r="9" spans="1:7" customFormat="1" ht="16">
      <c r="A9" t="s">
        <v>1438</v>
      </c>
      <c r="B9">
        <v>8</v>
      </c>
      <c r="C9" t="s">
        <v>1444</v>
      </c>
    </row>
    <row r="10" spans="1:7" customFormat="1" ht="16">
      <c r="A10" t="s">
        <v>33</v>
      </c>
      <c r="B10">
        <v>92</v>
      </c>
      <c r="C10" t="s">
        <v>35</v>
      </c>
      <c r="D10" t="s">
        <v>1439</v>
      </c>
    </row>
    <row r="11" spans="1:7" customFormat="1" ht="16"/>
    <row r="12" spans="1:7" customFormat="1" ht="16">
      <c r="A12" t="s">
        <v>1252</v>
      </c>
      <c r="B12" s="12">
        <v>57</v>
      </c>
      <c r="C12" t="s">
        <v>1254</v>
      </c>
    </row>
    <row r="13" spans="1:7" customFormat="1" ht="16">
      <c r="A13" t="s">
        <v>1253</v>
      </c>
      <c r="B13" s="12">
        <v>140</v>
      </c>
      <c r="C13" t="s">
        <v>1256</v>
      </c>
    </row>
    <row r="14" spans="1:7" customFormat="1" ht="16">
      <c r="B14" s="12">
        <f>CONVERT(B13,"F","K")</f>
        <v>333.15</v>
      </c>
      <c r="C14" t="s">
        <v>1435</v>
      </c>
    </row>
    <row r="16" spans="1:7">
      <c r="A16" s="155" t="s">
        <v>1434</v>
      </c>
      <c r="B16" s="159">
        <f>22.4*(B14/273.18)</f>
        <v>27.317373160553476</v>
      </c>
      <c r="C16" s="155" t="s">
        <v>1436</v>
      </c>
    </row>
    <row r="17" spans="1:8">
      <c r="A17" s="155" t="s">
        <v>1437</v>
      </c>
      <c r="B17" s="161">
        <v>0.9</v>
      </c>
    </row>
    <row r="19" spans="1:8" ht="30" customHeight="1">
      <c r="G19" s="273" t="s">
        <v>1443</v>
      </c>
      <c r="H19" s="273"/>
    </row>
    <row r="20" spans="1:8" ht="32">
      <c r="A20" s="162" t="s">
        <v>1269</v>
      </c>
      <c r="B20" s="162" t="s">
        <v>24</v>
      </c>
      <c r="C20" s="162" t="s">
        <v>1453</v>
      </c>
      <c r="D20" s="162" t="s">
        <v>1429</v>
      </c>
      <c r="E20" s="162" t="s">
        <v>1454</v>
      </c>
      <c r="F20" s="162" t="s">
        <v>1440</v>
      </c>
      <c r="G20" s="162" t="s">
        <v>1441</v>
      </c>
      <c r="H20" s="162" t="s">
        <v>1442</v>
      </c>
    </row>
    <row r="21" spans="1:8" ht="19" customHeight="1">
      <c r="A21" s="155" t="s">
        <v>1430</v>
      </c>
      <c r="B21" s="155" t="s">
        <v>225</v>
      </c>
      <c r="C21" s="242">
        <f>(42+51)/2</f>
        <v>46.5</v>
      </c>
      <c r="D21" s="155">
        <v>76.138999999999996</v>
      </c>
      <c r="E21" s="157">
        <f>C21/1000000*$B$12*60/$B$16*D21/453.59*28.32</f>
        <v>2.7674327103167824E-2</v>
      </c>
      <c r="F21" s="155">
        <f>E21*(1-$B$17)</f>
        <v>2.7674327103167817E-3</v>
      </c>
      <c r="G21" s="215">
        <f>F21*$B$9</f>
        <v>2.2139461682534254E-2</v>
      </c>
      <c r="H21" s="215">
        <f>F21*$B$10</f>
        <v>0.25460380934914389</v>
      </c>
    </row>
    <row r="22" spans="1:8" ht="19" customHeight="1">
      <c r="A22" s="155" t="s">
        <v>1431</v>
      </c>
      <c r="B22" s="155" t="s">
        <v>229</v>
      </c>
      <c r="C22" s="155">
        <v>510</v>
      </c>
      <c r="D22" s="155">
        <v>60.07</v>
      </c>
      <c r="E22" s="156">
        <f t="shared" ref="E22:E28" si="0">C22/1000000*$B$12*60/$B$16*D22/453.59*28.32</f>
        <v>0.23946649438259099</v>
      </c>
      <c r="F22" s="157">
        <f t="shared" ref="F22:F28" si="1">E22*(1-$B$17)</f>
        <v>2.3946649438259093E-2</v>
      </c>
      <c r="G22" s="215">
        <f t="shared" ref="G22:G28" si="2">F22*$B$9</f>
        <v>0.19157319550607274</v>
      </c>
      <c r="H22" s="215">
        <f t="shared" ref="H22:H28" si="3">F22*$B$10</f>
        <v>2.2030917483198365</v>
      </c>
    </row>
    <row r="23" spans="1:8" ht="19" customHeight="1">
      <c r="A23" s="155" t="s">
        <v>1262</v>
      </c>
      <c r="B23" s="155" t="s">
        <v>590</v>
      </c>
      <c r="C23" s="155">
        <v>7500</v>
      </c>
      <c r="D23" s="155">
        <v>34.1</v>
      </c>
      <c r="E23" s="156">
        <f t="shared" si="0"/>
        <v>1.9990911237003772</v>
      </c>
      <c r="F23" s="156">
        <f t="shared" si="1"/>
        <v>0.19990911237003767</v>
      </c>
      <c r="G23" s="215">
        <f t="shared" si="2"/>
        <v>1.5992728989603013</v>
      </c>
      <c r="H23" s="215">
        <f t="shared" si="3"/>
        <v>18.391638338043464</v>
      </c>
    </row>
    <row r="24" spans="1:8" ht="19" customHeight="1">
      <c r="A24" s="155" t="s">
        <v>47</v>
      </c>
      <c r="B24" s="155" t="s">
        <v>46</v>
      </c>
      <c r="C24" s="155">
        <v>390</v>
      </c>
      <c r="D24" s="155">
        <v>58.08</v>
      </c>
      <c r="E24" s="156">
        <f t="shared" si="0"/>
        <v>0.17705498674941147</v>
      </c>
      <c r="F24" s="157">
        <f t="shared" si="1"/>
        <v>1.7705498674941145E-2</v>
      </c>
      <c r="G24" s="215">
        <f t="shared" si="2"/>
        <v>0.14164398939952916</v>
      </c>
      <c r="H24" s="215">
        <f t="shared" si="3"/>
        <v>1.6289058780945853</v>
      </c>
    </row>
    <row r="25" spans="1:8" ht="19" customHeight="1">
      <c r="A25" s="155" t="s">
        <v>148</v>
      </c>
      <c r="B25" s="155" t="s">
        <v>147</v>
      </c>
      <c r="C25" s="155">
        <v>87</v>
      </c>
      <c r="D25" s="155">
        <v>78.11</v>
      </c>
      <c r="E25" s="157">
        <f t="shared" si="0"/>
        <v>5.3118137507271047E-2</v>
      </c>
      <c r="F25" s="158">
        <f t="shared" si="1"/>
        <v>5.3118137507271032E-3</v>
      </c>
      <c r="G25" s="215">
        <f t="shared" si="2"/>
        <v>4.2494510005816825E-2</v>
      </c>
      <c r="H25" s="215">
        <f t="shared" si="3"/>
        <v>0.48868686506689352</v>
      </c>
    </row>
    <row r="26" spans="1:8" ht="19" customHeight="1">
      <c r="A26" s="155" t="s">
        <v>196</v>
      </c>
      <c r="B26" s="155" t="s">
        <v>195</v>
      </c>
      <c r="C26" s="155">
        <v>37</v>
      </c>
      <c r="D26" s="155">
        <v>72.11</v>
      </c>
      <c r="E26" s="157">
        <f t="shared" si="0"/>
        <v>2.0855190828587548E-2</v>
      </c>
      <c r="F26" s="158">
        <f t="shared" si="1"/>
        <v>2.0855190828587542E-3</v>
      </c>
      <c r="G26" s="215">
        <f t="shared" si="2"/>
        <v>1.6684152662870034E-2</v>
      </c>
      <c r="H26" s="215">
        <f t="shared" si="3"/>
        <v>0.1918677556230054</v>
      </c>
    </row>
    <row r="27" spans="1:8" ht="19" customHeight="1">
      <c r="A27" s="155" t="s">
        <v>271</v>
      </c>
      <c r="B27" s="155" t="s">
        <v>270</v>
      </c>
      <c r="C27" s="155">
        <v>13</v>
      </c>
      <c r="D27" s="155">
        <v>64.510000000000005</v>
      </c>
      <c r="E27" s="158">
        <f t="shared" si="0"/>
        <v>6.5552210716279457E-3</v>
      </c>
      <c r="F27" s="160">
        <f t="shared" si="1"/>
        <v>6.5552210716279444E-4</v>
      </c>
      <c r="G27" s="215">
        <f t="shared" si="2"/>
        <v>5.2441768573023555E-3</v>
      </c>
      <c r="H27" s="215">
        <f t="shared" si="3"/>
        <v>6.0308033858977088E-2</v>
      </c>
    </row>
    <row r="28" spans="1:8" ht="19" customHeight="1">
      <c r="A28" s="155" t="s">
        <v>1223</v>
      </c>
      <c r="B28" s="155" t="s">
        <v>1222</v>
      </c>
      <c r="C28" s="155">
        <v>21</v>
      </c>
      <c r="D28" s="155">
        <v>106.16</v>
      </c>
      <c r="E28" s="157">
        <f t="shared" si="0"/>
        <v>1.7425977663861867E-2</v>
      </c>
      <c r="F28" s="158">
        <f t="shared" si="1"/>
        <v>1.7425977663861863E-3</v>
      </c>
      <c r="G28" s="215">
        <f t="shared" si="2"/>
        <v>1.394078213108949E-2</v>
      </c>
      <c r="H28" s="215">
        <f t="shared" si="3"/>
        <v>0.16031899450752915</v>
      </c>
    </row>
    <row r="29" spans="1:8">
      <c r="G29" s="157"/>
      <c r="H29" s="157"/>
    </row>
  </sheetData>
  <mergeCells count="1">
    <mergeCell ref="G19:H1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2DA1-78C4-6043-B564-31722D4D83BB}">
  <sheetPr codeName="Sheet11"/>
  <dimension ref="A1:C7"/>
  <sheetViews>
    <sheetView workbookViewId="0"/>
  </sheetViews>
  <sheetFormatPr baseColWidth="10" defaultColWidth="11" defaultRowHeight="16"/>
  <cols>
    <col min="1" max="1" width="26.83203125" customWidth="1"/>
  </cols>
  <sheetData>
    <row r="1" spans="1:3" ht="33" customHeight="1">
      <c r="A1" s="147" t="s">
        <v>1455</v>
      </c>
      <c r="B1" s="147" t="s">
        <v>1442</v>
      </c>
      <c r="C1" s="147" t="s">
        <v>1441</v>
      </c>
    </row>
    <row r="2" spans="1:3" ht="22" customHeight="1">
      <c r="A2" t="s">
        <v>1456</v>
      </c>
      <c r="B2" s="40">
        <f>Tabl_B1_RTO!D206</f>
        <v>6134.8519367993867</v>
      </c>
      <c r="C2" s="40">
        <f>Tabl_B1_RTO!E206</f>
        <v>16.807813525477769</v>
      </c>
    </row>
    <row r="3" spans="1:3" ht="22" customHeight="1">
      <c r="A3" t="s">
        <v>1457</v>
      </c>
      <c r="B3" s="40">
        <f>Tabl_B6_Carbon_BU!H29</f>
        <v>0</v>
      </c>
      <c r="C3" s="40">
        <f>Tabl_B6_Carbon_BU!G29</f>
        <v>0</v>
      </c>
    </row>
    <row r="4" spans="1:3" ht="22" customHeight="1">
      <c r="A4" t="s">
        <v>14</v>
      </c>
      <c r="B4" s="40" t="e">
        <f>Tabl_B4_Tanks!#REF!</f>
        <v>#REF!</v>
      </c>
      <c r="C4" s="40" t="e">
        <f>Tabl_B4_Tanks!#REF!</f>
        <v>#REF!</v>
      </c>
    </row>
    <row r="5" spans="1:3" ht="22" customHeight="1">
      <c r="A5" t="s">
        <v>1458</v>
      </c>
      <c r="B5" s="40">
        <f>Tabl_B2_Fug!B75</f>
        <v>0</v>
      </c>
      <c r="C5" s="40">
        <f>Tabl_B2_Fug!B76</f>
        <v>0</v>
      </c>
    </row>
    <row r="6" spans="1:3" ht="22" customHeight="1">
      <c r="A6" t="s">
        <v>1459</v>
      </c>
      <c r="B6" s="40">
        <f>Tabl_B5_TLoad!E58</f>
        <v>46.016864045126269</v>
      </c>
      <c r="C6" s="40">
        <f>Tabl_B5_TLoad!D58</f>
        <v>0.12607360012363361</v>
      </c>
    </row>
    <row r="7" spans="1:3" ht="22" customHeight="1">
      <c r="A7" s="146" t="s">
        <v>1460</v>
      </c>
      <c r="B7" s="168" t="e">
        <f>SUM(B2:B6)</f>
        <v>#REF!</v>
      </c>
      <c r="C7" s="168" t="e">
        <f>SUM(C2:C6)</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DC1BC-3595-9047-8B20-037F2EBBA3FC}">
  <sheetPr codeName="Sheet6"/>
  <dimension ref="A1:I611"/>
  <sheetViews>
    <sheetView workbookViewId="0"/>
  </sheetViews>
  <sheetFormatPr baseColWidth="10" defaultColWidth="11" defaultRowHeight="16"/>
  <cols>
    <col min="1" max="1" width="18.1640625" customWidth="1"/>
    <col min="2" max="2" width="55.1640625" customWidth="1"/>
    <col min="3" max="3" width="18.1640625" customWidth="1"/>
    <col min="5" max="5" width="30.5" customWidth="1"/>
    <col min="6" max="6" width="19.33203125" customWidth="1"/>
    <col min="8" max="8" width="16.5" customWidth="1"/>
  </cols>
  <sheetData>
    <row r="1" spans="1:9">
      <c r="D1" s="7"/>
      <c r="E1" s="7"/>
      <c r="F1" s="7"/>
      <c r="G1" s="7"/>
      <c r="H1" s="7"/>
    </row>
    <row r="2" spans="1:9">
      <c r="D2" s="7"/>
      <c r="E2" s="7"/>
      <c r="F2" s="7"/>
      <c r="G2" s="7"/>
      <c r="H2" s="7"/>
    </row>
    <row r="3" spans="1:9" ht="34">
      <c r="A3" t="s">
        <v>36</v>
      </c>
      <c r="B3" t="s">
        <v>37</v>
      </c>
      <c r="C3" t="s">
        <v>36</v>
      </c>
      <c r="D3" s="7"/>
      <c r="E3" s="8" t="s">
        <v>1244</v>
      </c>
      <c r="F3" s="9" t="s">
        <v>38</v>
      </c>
      <c r="G3" s="8"/>
      <c r="H3" s="9" t="s">
        <v>39</v>
      </c>
    </row>
    <row r="4" spans="1:9">
      <c r="A4" t="s">
        <v>40</v>
      </c>
      <c r="B4" t="s">
        <v>41</v>
      </c>
      <c r="C4" t="s">
        <v>40</v>
      </c>
      <c r="D4" s="7"/>
      <c r="E4" s="7" t="s">
        <v>88</v>
      </c>
      <c r="F4" s="7" t="str">
        <f t="shared" ref="F4:F48" si="0">VLOOKUP(E4,$B$4:$C$611,2,FALSE)</f>
        <v>91-57-6</v>
      </c>
      <c r="G4" s="7"/>
      <c r="H4" s="7" t="s">
        <v>195</v>
      </c>
      <c r="I4" t="str">
        <f t="shared" ref="I4:I12" si="1">VLOOKUP(H4,$A$4:$B$524,2,FALSE)</f>
        <v>2-Butanone (Methyl ethyl ketone)</v>
      </c>
    </row>
    <row r="5" spans="1:9">
      <c r="A5" t="s">
        <v>43</v>
      </c>
      <c r="B5" t="s">
        <v>44</v>
      </c>
      <c r="C5" t="s">
        <v>43</v>
      </c>
      <c r="D5" s="7"/>
      <c r="E5" s="7" t="s">
        <v>693</v>
      </c>
      <c r="F5" s="7" t="str">
        <f t="shared" si="0"/>
        <v>91-20-3</v>
      </c>
      <c r="G5" s="7"/>
      <c r="H5" s="7" t="s">
        <v>604</v>
      </c>
      <c r="I5" t="str">
        <f t="shared" si="1"/>
        <v>Isopropylbenzene (Cumene)</v>
      </c>
    </row>
    <row r="6" spans="1:9">
      <c r="A6" t="s">
        <v>46</v>
      </c>
      <c r="B6" t="s">
        <v>47</v>
      </c>
      <c r="C6" t="s">
        <v>46</v>
      </c>
      <c r="D6" s="7"/>
      <c r="E6" s="7" t="s">
        <v>814</v>
      </c>
      <c r="F6" s="7" t="str">
        <f t="shared" si="0"/>
        <v>108-95-2</v>
      </c>
      <c r="G6" s="7"/>
      <c r="H6" s="7"/>
      <c r="I6" t="e">
        <f t="shared" si="1"/>
        <v>#N/A</v>
      </c>
    </row>
    <row r="7" spans="1:9">
      <c r="A7" t="s">
        <v>49</v>
      </c>
      <c r="B7" t="s">
        <v>50</v>
      </c>
      <c r="C7" t="s">
        <v>49</v>
      </c>
      <c r="D7" s="7"/>
      <c r="E7" s="7" t="s">
        <v>313</v>
      </c>
      <c r="F7" s="7" t="str">
        <f t="shared" si="0"/>
        <v>1319-77-3</v>
      </c>
      <c r="G7" s="7"/>
      <c r="H7" s="7"/>
      <c r="I7" t="e">
        <f t="shared" si="1"/>
        <v>#N/A</v>
      </c>
    </row>
    <row r="8" spans="1:9">
      <c r="A8" t="s">
        <v>52</v>
      </c>
      <c r="B8" t="s">
        <v>53</v>
      </c>
      <c r="C8" t="s">
        <v>52</v>
      </c>
      <c r="D8" s="7"/>
      <c r="E8" s="7" t="s">
        <v>148</v>
      </c>
      <c r="F8" s="7" t="str">
        <f t="shared" si="0"/>
        <v>71-43-2</v>
      </c>
      <c r="G8" s="7"/>
      <c r="H8" s="7"/>
      <c r="I8" t="e">
        <f t="shared" si="1"/>
        <v>#N/A</v>
      </c>
    </row>
    <row r="9" spans="1:9">
      <c r="A9" t="s">
        <v>55</v>
      </c>
      <c r="B9" t="s">
        <v>56</v>
      </c>
      <c r="C9" t="s">
        <v>55</v>
      </c>
      <c r="D9" s="7"/>
      <c r="E9" s="7" t="s">
        <v>499</v>
      </c>
      <c r="F9" s="7" t="str">
        <f t="shared" si="0"/>
        <v>100-41-4</v>
      </c>
      <c r="G9" s="7"/>
      <c r="H9" s="7"/>
      <c r="I9" t="e">
        <f t="shared" si="1"/>
        <v>#N/A</v>
      </c>
    </row>
    <row r="10" spans="1:9">
      <c r="A10" t="s">
        <v>58</v>
      </c>
      <c r="B10" t="s">
        <v>59</v>
      </c>
      <c r="C10" t="s">
        <v>58</v>
      </c>
      <c r="D10" s="7"/>
      <c r="E10" s="152" t="s">
        <v>605</v>
      </c>
      <c r="F10" s="7" t="str">
        <f t="shared" si="0"/>
        <v>98-82-8</v>
      </c>
      <c r="G10" s="7"/>
      <c r="H10" s="7"/>
      <c r="I10" t="e">
        <f t="shared" si="1"/>
        <v>#N/A</v>
      </c>
    </row>
    <row r="11" spans="1:9">
      <c r="A11" t="s">
        <v>61</v>
      </c>
      <c r="B11" t="s">
        <v>62</v>
      </c>
      <c r="C11" t="s">
        <v>61</v>
      </c>
      <c r="D11" s="7"/>
      <c r="E11" s="7" t="s">
        <v>1129</v>
      </c>
      <c r="F11" s="7" t="str">
        <f t="shared" si="0"/>
        <v>108-88-3</v>
      </c>
      <c r="G11" s="7"/>
      <c r="H11" s="7"/>
      <c r="I11" t="e">
        <f t="shared" si="1"/>
        <v>#N/A</v>
      </c>
    </row>
    <row r="12" spans="1:9">
      <c r="A12" t="s">
        <v>64</v>
      </c>
      <c r="B12" t="s">
        <v>65</v>
      </c>
      <c r="C12" t="s">
        <v>64</v>
      </c>
      <c r="D12" s="7"/>
      <c r="E12" s="7" t="s">
        <v>579</v>
      </c>
      <c r="F12" s="7" t="str">
        <f t="shared" si="0"/>
        <v>110-54-3</v>
      </c>
      <c r="G12" s="7"/>
      <c r="H12" s="7"/>
      <c r="I12" t="e">
        <f t="shared" si="1"/>
        <v>#N/A</v>
      </c>
    </row>
    <row r="13" spans="1:9">
      <c r="A13" t="s">
        <v>67</v>
      </c>
      <c r="B13" t="s">
        <v>68</v>
      </c>
      <c r="C13" t="s">
        <v>67</v>
      </c>
      <c r="D13" s="7"/>
      <c r="E13" s="7" t="s">
        <v>1223</v>
      </c>
      <c r="F13" s="7" t="str">
        <f t="shared" si="0"/>
        <v>1330-20-7</v>
      </c>
      <c r="G13" s="7"/>
      <c r="H13" s="7"/>
      <c r="I13" t="e">
        <f>VLOOKUP(H13,$A$4:$B$524,2,FALSE)</f>
        <v>#N/A</v>
      </c>
    </row>
    <row r="14" spans="1:9">
      <c r="A14" t="s">
        <v>71</v>
      </c>
      <c r="B14" t="s">
        <v>72</v>
      </c>
      <c r="C14" t="s">
        <v>71</v>
      </c>
      <c r="D14" s="7"/>
      <c r="E14" s="7" t="s">
        <v>591</v>
      </c>
      <c r="F14" s="7" t="str">
        <f t="shared" si="0"/>
        <v>7783-06-4</v>
      </c>
      <c r="G14" s="7"/>
      <c r="H14" s="7"/>
      <c r="I14" t="e">
        <f t="shared" ref="I14:I35" si="2">VLOOKUP(H14,$A$4:$B$524,2,FALSE)</f>
        <v>#N/A</v>
      </c>
    </row>
    <row r="15" spans="1:9">
      <c r="A15" t="s">
        <v>74</v>
      </c>
      <c r="B15" t="s">
        <v>75</v>
      </c>
      <c r="C15" t="s">
        <v>74</v>
      </c>
      <c r="D15" s="7"/>
      <c r="E15" s="7"/>
      <c r="F15" s="7" t="e">
        <f t="shared" si="0"/>
        <v>#N/A</v>
      </c>
      <c r="G15" s="7"/>
      <c r="H15" s="7"/>
      <c r="I15" t="e">
        <f t="shared" si="2"/>
        <v>#N/A</v>
      </c>
    </row>
    <row r="16" spans="1:9">
      <c r="A16" t="s">
        <v>77</v>
      </c>
      <c r="B16" t="s">
        <v>78</v>
      </c>
      <c r="C16" t="s">
        <v>77</v>
      </c>
      <c r="D16" s="7"/>
      <c r="E16" s="7"/>
      <c r="F16" s="7" t="e">
        <f t="shared" si="0"/>
        <v>#N/A</v>
      </c>
      <c r="G16" s="7"/>
      <c r="H16" s="7"/>
      <c r="I16" t="e">
        <f t="shared" si="2"/>
        <v>#N/A</v>
      </c>
    </row>
    <row r="17" spans="1:9">
      <c r="A17" t="s">
        <v>80</v>
      </c>
      <c r="B17" t="s">
        <v>81</v>
      </c>
      <c r="C17" t="s">
        <v>80</v>
      </c>
      <c r="D17" s="7"/>
      <c r="E17" s="7"/>
      <c r="F17" s="7" t="e">
        <f t="shared" si="0"/>
        <v>#N/A</v>
      </c>
      <c r="G17" s="7"/>
      <c r="H17" s="7"/>
      <c r="I17" t="e">
        <f t="shared" si="2"/>
        <v>#N/A</v>
      </c>
    </row>
    <row r="18" spans="1:9">
      <c r="A18" t="s">
        <v>83</v>
      </c>
      <c r="B18" t="s">
        <v>84</v>
      </c>
      <c r="C18" t="s">
        <v>83</v>
      </c>
      <c r="D18" s="7"/>
      <c r="E18" s="7"/>
      <c r="F18" s="7" t="e">
        <f t="shared" si="0"/>
        <v>#N/A</v>
      </c>
      <c r="G18" s="7"/>
      <c r="H18" s="7"/>
      <c r="I18" t="e">
        <f t="shared" si="2"/>
        <v>#N/A</v>
      </c>
    </row>
    <row r="19" spans="1:9">
      <c r="A19" t="s">
        <v>86</v>
      </c>
      <c r="B19" t="s">
        <v>87</v>
      </c>
      <c r="C19" t="s">
        <v>86</v>
      </c>
      <c r="D19" s="7"/>
      <c r="E19" s="7"/>
      <c r="F19" s="7" t="e">
        <f t="shared" si="0"/>
        <v>#N/A</v>
      </c>
      <c r="G19" s="7"/>
      <c r="H19" s="7"/>
      <c r="I19" t="e">
        <f t="shared" si="2"/>
        <v>#N/A</v>
      </c>
    </row>
    <row r="20" spans="1:9">
      <c r="A20" t="s">
        <v>89</v>
      </c>
      <c r="B20" t="s">
        <v>90</v>
      </c>
      <c r="C20" t="s">
        <v>89</v>
      </c>
      <c r="D20" s="7"/>
      <c r="E20" s="7"/>
      <c r="F20" s="7" t="e">
        <f t="shared" si="0"/>
        <v>#N/A</v>
      </c>
      <c r="G20" s="7"/>
      <c r="H20" s="7"/>
      <c r="I20" t="e">
        <f t="shared" si="2"/>
        <v>#N/A</v>
      </c>
    </row>
    <row r="21" spans="1:9">
      <c r="A21" t="s">
        <v>92</v>
      </c>
      <c r="B21" t="s">
        <v>93</v>
      </c>
      <c r="C21" t="s">
        <v>92</v>
      </c>
      <c r="D21" s="7"/>
      <c r="E21" s="7"/>
      <c r="F21" s="7" t="e">
        <f t="shared" si="0"/>
        <v>#N/A</v>
      </c>
      <c r="G21" s="7"/>
      <c r="H21" s="7"/>
      <c r="I21" t="e">
        <f t="shared" si="2"/>
        <v>#N/A</v>
      </c>
    </row>
    <row r="22" spans="1:9">
      <c r="A22" t="s">
        <v>95</v>
      </c>
      <c r="B22" t="s">
        <v>96</v>
      </c>
      <c r="C22" t="s">
        <v>95</v>
      </c>
      <c r="D22" s="7"/>
      <c r="E22" s="7"/>
      <c r="F22" s="7" t="e">
        <f t="shared" si="0"/>
        <v>#N/A</v>
      </c>
      <c r="G22" s="7"/>
      <c r="H22" s="7"/>
      <c r="I22" t="e">
        <f t="shared" si="2"/>
        <v>#N/A</v>
      </c>
    </row>
    <row r="23" spans="1:9">
      <c r="A23" t="s">
        <v>98</v>
      </c>
      <c r="B23" t="s">
        <v>99</v>
      </c>
      <c r="C23" t="s">
        <v>98</v>
      </c>
      <c r="D23" s="7"/>
      <c r="E23" s="7"/>
      <c r="F23" s="7" t="e">
        <f t="shared" si="0"/>
        <v>#N/A</v>
      </c>
      <c r="G23" s="7"/>
      <c r="H23" s="7"/>
      <c r="I23" t="e">
        <f t="shared" si="2"/>
        <v>#N/A</v>
      </c>
    </row>
    <row r="24" spans="1:9">
      <c r="A24" t="s">
        <v>100</v>
      </c>
      <c r="B24" t="s">
        <v>101</v>
      </c>
      <c r="C24" t="s">
        <v>100</v>
      </c>
      <c r="D24" s="7"/>
      <c r="E24" s="7"/>
      <c r="F24" s="7" t="e">
        <f t="shared" si="0"/>
        <v>#N/A</v>
      </c>
      <c r="G24" s="7"/>
      <c r="H24" s="7"/>
      <c r="I24" t="e">
        <f t="shared" si="2"/>
        <v>#N/A</v>
      </c>
    </row>
    <row r="25" spans="1:9">
      <c r="A25" t="s">
        <v>102</v>
      </c>
      <c r="B25" t="s">
        <v>103</v>
      </c>
      <c r="C25" t="s">
        <v>102</v>
      </c>
      <c r="D25" s="7"/>
      <c r="E25" s="7"/>
      <c r="F25" s="7" t="e">
        <f t="shared" si="0"/>
        <v>#N/A</v>
      </c>
      <c r="G25" s="7"/>
      <c r="H25" s="7"/>
      <c r="I25" t="e">
        <f t="shared" si="2"/>
        <v>#N/A</v>
      </c>
    </row>
    <row r="26" spans="1:9">
      <c r="A26" t="s">
        <v>104</v>
      </c>
      <c r="B26" t="s">
        <v>105</v>
      </c>
      <c r="C26" t="s">
        <v>104</v>
      </c>
      <c r="D26" s="7"/>
      <c r="E26" s="7"/>
      <c r="F26" s="7" t="e">
        <f t="shared" si="0"/>
        <v>#N/A</v>
      </c>
      <c r="G26" s="7"/>
      <c r="H26" s="7"/>
      <c r="I26" t="e">
        <f t="shared" si="2"/>
        <v>#N/A</v>
      </c>
    </row>
    <row r="27" spans="1:9">
      <c r="A27" t="s">
        <v>107</v>
      </c>
      <c r="B27" t="s">
        <v>108</v>
      </c>
      <c r="C27" t="s">
        <v>107</v>
      </c>
      <c r="D27" s="7"/>
      <c r="E27" s="7"/>
      <c r="F27" s="7" t="e">
        <f t="shared" si="0"/>
        <v>#N/A</v>
      </c>
      <c r="G27" s="7"/>
      <c r="H27" s="7"/>
      <c r="I27" t="e">
        <f t="shared" si="2"/>
        <v>#N/A</v>
      </c>
    </row>
    <row r="28" spans="1:9">
      <c r="A28" t="s">
        <v>109</v>
      </c>
      <c r="B28" t="s">
        <v>110</v>
      </c>
      <c r="C28" t="s">
        <v>109</v>
      </c>
      <c r="D28" s="7"/>
      <c r="E28" s="7"/>
      <c r="F28" s="7" t="e">
        <f t="shared" si="0"/>
        <v>#N/A</v>
      </c>
      <c r="G28" s="7"/>
      <c r="H28" s="7"/>
      <c r="I28" t="e">
        <f t="shared" si="2"/>
        <v>#N/A</v>
      </c>
    </row>
    <row r="29" spans="1:9">
      <c r="A29" t="s">
        <v>111</v>
      </c>
      <c r="B29" t="s">
        <v>112</v>
      </c>
      <c r="C29" t="s">
        <v>111</v>
      </c>
      <c r="D29" s="7"/>
      <c r="F29" t="e">
        <f t="shared" si="0"/>
        <v>#N/A</v>
      </c>
      <c r="G29" s="7"/>
      <c r="H29" s="7"/>
      <c r="I29" t="e">
        <f t="shared" si="2"/>
        <v>#N/A</v>
      </c>
    </row>
    <row r="30" spans="1:9">
      <c r="A30" t="s">
        <v>113</v>
      </c>
      <c r="B30" t="s">
        <v>114</v>
      </c>
      <c r="C30" t="s">
        <v>113</v>
      </c>
      <c r="D30" s="7"/>
      <c r="F30" t="e">
        <f t="shared" si="0"/>
        <v>#N/A</v>
      </c>
      <c r="G30" s="7"/>
      <c r="H30" s="7"/>
      <c r="I30" t="e">
        <f t="shared" si="2"/>
        <v>#N/A</v>
      </c>
    </row>
    <row r="31" spans="1:9">
      <c r="A31" t="s">
        <v>115</v>
      </c>
      <c r="B31" t="s">
        <v>116</v>
      </c>
      <c r="C31" t="s">
        <v>115</v>
      </c>
      <c r="F31" t="e">
        <f t="shared" si="0"/>
        <v>#N/A</v>
      </c>
      <c r="I31" t="e">
        <f t="shared" si="2"/>
        <v>#N/A</v>
      </c>
    </row>
    <row r="32" spans="1:9">
      <c r="A32" t="s">
        <v>117</v>
      </c>
      <c r="B32" t="s">
        <v>118</v>
      </c>
      <c r="C32" t="s">
        <v>117</v>
      </c>
      <c r="F32" t="e">
        <f t="shared" si="0"/>
        <v>#N/A</v>
      </c>
      <c r="I32" t="e">
        <f t="shared" si="2"/>
        <v>#N/A</v>
      </c>
    </row>
    <row r="33" spans="1:9">
      <c r="A33" t="s">
        <v>119</v>
      </c>
      <c r="B33" t="s">
        <v>120</v>
      </c>
      <c r="C33" t="s">
        <v>119</v>
      </c>
      <c r="F33" t="e">
        <f t="shared" si="0"/>
        <v>#N/A</v>
      </c>
      <c r="I33" t="e">
        <f t="shared" si="2"/>
        <v>#N/A</v>
      </c>
    </row>
    <row r="34" spans="1:9">
      <c r="A34" t="s">
        <v>121</v>
      </c>
      <c r="B34" t="s">
        <v>122</v>
      </c>
      <c r="C34" t="s">
        <v>121</v>
      </c>
      <c r="F34" t="e">
        <f t="shared" si="0"/>
        <v>#N/A</v>
      </c>
      <c r="I34" t="e">
        <f t="shared" si="2"/>
        <v>#N/A</v>
      </c>
    </row>
    <row r="35" spans="1:9">
      <c r="A35" t="s">
        <v>123</v>
      </c>
      <c r="B35" t="s">
        <v>124</v>
      </c>
      <c r="C35" t="s">
        <v>123</v>
      </c>
      <c r="F35" t="e">
        <f t="shared" si="0"/>
        <v>#N/A</v>
      </c>
      <c r="I35" t="e">
        <f t="shared" si="2"/>
        <v>#N/A</v>
      </c>
    </row>
    <row r="36" spans="1:9">
      <c r="A36" t="s">
        <v>125</v>
      </c>
      <c r="B36" t="s">
        <v>126</v>
      </c>
      <c r="C36" t="s">
        <v>125</v>
      </c>
      <c r="F36" t="e">
        <f t="shared" si="0"/>
        <v>#N/A</v>
      </c>
    </row>
    <row r="37" spans="1:9">
      <c r="A37" t="s">
        <v>127</v>
      </c>
      <c r="B37" t="s">
        <v>128</v>
      </c>
      <c r="C37" t="s">
        <v>127</v>
      </c>
      <c r="F37" t="e">
        <f t="shared" si="0"/>
        <v>#N/A</v>
      </c>
    </row>
    <row r="38" spans="1:9">
      <c r="A38" t="s">
        <v>129</v>
      </c>
      <c r="B38" t="s">
        <v>130</v>
      </c>
      <c r="C38" t="s">
        <v>129</v>
      </c>
      <c r="F38" t="e">
        <f t="shared" si="0"/>
        <v>#N/A</v>
      </c>
    </row>
    <row r="39" spans="1:9">
      <c r="A39" t="s">
        <v>131</v>
      </c>
      <c r="B39" t="s">
        <v>132</v>
      </c>
      <c r="C39" t="s">
        <v>131</v>
      </c>
      <c r="F39" t="e">
        <f t="shared" si="0"/>
        <v>#N/A</v>
      </c>
    </row>
    <row r="40" spans="1:9">
      <c r="A40" t="s">
        <v>133</v>
      </c>
      <c r="B40" t="s">
        <v>134</v>
      </c>
      <c r="C40" t="s">
        <v>133</v>
      </c>
      <c r="F40" t="e">
        <f t="shared" si="0"/>
        <v>#N/A</v>
      </c>
    </row>
    <row r="41" spans="1:9">
      <c r="A41" t="s">
        <v>135</v>
      </c>
      <c r="B41" t="s">
        <v>136</v>
      </c>
      <c r="C41" t="s">
        <v>135</v>
      </c>
      <c r="F41" t="e">
        <f t="shared" si="0"/>
        <v>#N/A</v>
      </c>
    </row>
    <row r="42" spans="1:9">
      <c r="A42" t="s">
        <v>137</v>
      </c>
      <c r="B42" t="s">
        <v>138</v>
      </c>
      <c r="C42" t="s">
        <v>137</v>
      </c>
      <c r="F42" t="e">
        <f t="shared" si="0"/>
        <v>#N/A</v>
      </c>
    </row>
    <row r="43" spans="1:9">
      <c r="A43" t="s">
        <v>139</v>
      </c>
      <c r="B43" t="s">
        <v>140</v>
      </c>
      <c r="C43" t="s">
        <v>139</v>
      </c>
      <c r="F43" t="e">
        <f t="shared" si="0"/>
        <v>#N/A</v>
      </c>
    </row>
    <row r="44" spans="1:9">
      <c r="A44" t="s">
        <v>141</v>
      </c>
      <c r="B44" t="s">
        <v>142</v>
      </c>
      <c r="C44" t="s">
        <v>141</v>
      </c>
      <c r="F44" t="e">
        <f t="shared" si="0"/>
        <v>#N/A</v>
      </c>
    </row>
    <row r="45" spans="1:9">
      <c r="A45" t="s">
        <v>143</v>
      </c>
      <c r="B45" t="s">
        <v>144</v>
      </c>
      <c r="C45" t="s">
        <v>143</v>
      </c>
      <c r="F45" t="e">
        <f t="shared" si="0"/>
        <v>#N/A</v>
      </c>
    </row>
    <row r="46" spans="1:9">
      <c r="A46" t="s">
        <v>145</v>
      </c>
      <c r="B46" t="s">
        <v>146</v>
      </c>
      <c r="C46" t="s">
        <v>145</v>
      </c>
      <c r="F46" t="e">
        <f t="shared" si="0"/>
        <v>#N/A</v>
      </c>
    </row>
    <row r="47" spans="1:9">
      <c r="A47" t="s">
        <v>147</v>
      </c>
      <c r="B47" t="s">
        <v>148</v>
      </c>
      <c r="C47" t="s">
        <v>147</v>
      </c>
      <c r="F47" t="e">
        <f t="shared" si="0"/>
        <v>#N/A</v>
      </c>
    </row>
    <row r="48" spans="1:9">
      <c r="A48" t="s">
        <v>149</v>
      </c>
      <c r="B48" t="s">
        <v>150</v>
      </c>
      <c r="C48" t="s">
        <v>149</v>
      </c>
      <c r="F48" t="e">
        <f t="shared" si="0"/>
        <v>#N/A</v>
      </c>
    </row>
    <row r="49" spans="1:3">
      <c r="A49" t="s">
        <v>151</v>
      </c>
      <c r="B49" t="s">
        <v>152</v>
      </c>
      <c r="C49" t="s">
        <v>151</v>
      </c>
    </row>
    <row r="50" spans="1:3">
      <c r="A50" t="s">
        <v>153</v>
      </c>
      <c r="B50" t="s">
        <v>154</v>
      </c>
      <c r="C50" t="s">
        <v>153</v>
      </c>
    </row>
    <row r="51" spans="1:3">
      <c r="A51" t="s">
        <v>155</v>
      </c>
      <c r="B51" t="s">
        <v>156</v>
      </c>
      <c r="C51" t="s">
        <v>155</v>
      </c>
    </row>
    <row r="52" spans="1:3">
      <c r="A52" t="s">
        <v>157</v>
      </c>
      <c r="B52" t="s">
        <v>158</v>
      </c>
      <c r="C52" t="s">
        <v>157</v>
      </c>
    </row>
    <row r="53" spans="1:3">
      <c r="A53" t="s">
        <v>159</v>
      </c>
      <c r="B53" t="s">
        <v>160</v>
      </c>
      <c r="C53" t="s">
        <v>159</v>
      </c>
    </row>
    <row r="54" spans="1:3">
      <c r="A54" t="s">
        <v>161</v>
      </c>
      <c r="B54" t="s">
        <v>162</v>
      </c>
      <c r="C54" t="s">
        <v>161</v>
      </c>
    </row>
    <row r="55" spans="1:3">
      <c r="A55" t="s">
        <v>163</v>
      </c>
      <c r="B55" t="s">
        <v>164</v>
      </c>
      <c r="C55" t="s">
        <v>163</v>
      </c>
    </row>
    <row r="56" spans="1:3">
      <c r="A56" t="s">
        <v>165</v>
      </c>
      <c r="B56" t="s">
        <v>166</v>
      </c>
      <c r="C56" t="s">
        <v>165</v>
      </c>
    </row>
    <row r="57" spans="1:3">
      <c r="A57" t="s">
        <v>167</v>
      </c>
      <c r="B57" t="s">
        <v>168</v>
      </c>
      <c r="C57" t="s">
        <v>167</v>
      </c>
    </row>
    <row r="58" spans="1:3">
      <c r="A58" t="s">
        <v>169</v>
      </c>
      <c r="B58" t="s">
        <v>170</v>
      </c>
      <c r="C58" t="s">
        <v>169</v>
      </c>
    </row>
    <row r="59" spans="1:3">
      <c r="A59" t="s">
        <v>171</v>
      </c>
      <c r="B59" t="s">
        <v>172</v>
      </c>
      <c r="C59" t="s">
        <v>171</v>
      </c>
    </row>
    <row r="60" spans="1:3">
      <c r="A60" t="s">
        <v>173</v>
      </c>
      <c r="B60" t="s">
        <v>174</v>
      </c>
      <c r="C60" t="s">
        <v>173</v>
      </c>
    </row>
    <row r="61" spans="1:3">
      <c r="A61" t="s">
        <v>175</v>
      </c>
      <c r="B61" t="s">
        <v>176</v>
      </c>
      <c r="C61" t="s">
        <v>175</v>
      </c>
    </row>
    <row r="62" spans="1:3">
      <c r="A62" t="s">
        <v>177</v>
      </c>
      <c r="B62" t="s">
        <v>178</v>
      </c>
      <c r="C62" t="s">
        <v>177</v>
      </c>
    </row>
    <row r="63" spans="1:3">
      <c r="A63" t="s">
        <v>179</v>
      </c>
      <c r="B63" t="s">
        <v>180</v>
      </c>
      <c r="C63" t="s">
        <v>179</v>
      </c>
    </row>
    <row r="64" spans="1:3">
      <c r="A64" t="s">
        <v>181</v>
      </c>
      <c r="B64" t="s">
        <v>182</v>
      </c>
      <c r="C64" t="s">
        <v>181</v>
      </c>
    </row>
    <row r="65" spans="1:3">
      <c r="A65" t="s">
        <v>183</v>
      </c>
      <c r="B65" t="s">
        <v>184</v>
      </c>
      <c r="C65" t="s">
        <v>183</v>
      </c>
    </row>
    <row r="66" spans="1:3">
      <c r="A66" t="s">
        <v>185</v>
      </c>
      <c r="B66" t="s">
        <v>186</v>
      </c>
      <c r="C66" t="s">
        <v>185</v>
      </c>
    </row>
    <row r="67" spans="1:3">
      <c r="A67" t="s">
        <v>187</v>
      </c>
      <c r="B67" t="s">
        <v>188</v>
      </c>
      <c r="C67" t="s">
        <v>187</v>
      </c>
    </row>
    <row r="68" spans="1:3">
      <c r="A68" t="s">
        <v>189</v>
      </c>
      <c r="B68" t="s">
        <v>190</v>
      </c>
      <c r="C68" t="s">
        <v>189</v>
      </c>
    </row>
    <row r="69" spans="1:3">
      <c r="A69" t="s">
        <v>191</v>
      </c>
      <c r="B69" t="s">
        <v>192</v>
      </c>
      <c r="C69" t="s">
        <v>191</v>
      </c>
    </row>
    <row r="70" spans="1:3">
      <c r="A70" t="s">
        <v>193</v>
      </c>
      <c r="B70" t="s">
        <v>194</v>
      </c>
      <c r="C70" t="s">
        <v>193</v>
      </c>
    </row>
    <row r="71" spans="1:3">
      <c r="A71" t="s">
        <v>195</v>
      </c>
      <c r="B71" t="s">
        <v>196</v>
      </c>
      <c r="C71" t="s">
        <v>195</v>
      </c>
    </row>
    <row r="72" spans="1:3">
      <c r="A72" t="s">
        <v>197</v>
      </c>
      <c r="B72" t="s">
        <v>198</v>
      </c>
      <c r="C72" t="s">
        <v>197</v>
      </c>
    </row>
    <row r="73" spans="1:3">
      <c r="A73" t="s">
        <v>199</v>
      </c>
      <c r="B73" t="s">
        <v>200</v>
      </c>
      <c r="C73" t="s">
        <v>199</v>
      </c>
    </row>
    <row r="74" spans="1:3">
      <c r="A74" t="s">
        <v>201</v>
      </c>
      <c r="B74" t="s">
        <v>202</v>
      </c>
      <c r="C74" t="s">
        <v>201</v>
      </c>
    </row>
    <row r="75" spans="1:3">
      <c r="A75" t="s">
        <v>203</v>
      </c>
      <c r="B75" t="s">
        <v>204</v>
      </c>
      <c r="C75" t="s">
        <v>203</v>
      </c>
    </row>
    <row r="76" spans="1:3">
      <c r="A76" t="s">
        <v>205</v>
      </c>
      <c r="B76" t="s">
        <v>206</v>
      </c>
      <c r="C76" t="s">
        <v>205</v>
      </c>
    </row>
    <row r="77" spans="1:3">
      <c r="A77" t="s">
        <v>207</v>
      </c>
      <c r="B77" t="s">
        <v>208</v>
      </c>
      <c r="C77" t="s">
        <v>207</v>
      </c>
    </row>
    <row r="78" spans="1:3">
      <c r="A78" t="s">
        <v>209</v>
      </c>
      <c r="B78" t="s">
        <v>210</v>
      </c>
      <c r="C78" t="s">
        <v>209</v>
      </c>
    </row>
    <row r="79" spans="1:3">
      <c r="A79" t="s">
        <v>211</v>
      </c>
      <c r="B79" t="s">
        <v>212</v>
      </c>
      <c r="C79" t="s">
        <v>211</v>
      </c>
    </row>
    <row r="80" spans="1:3">
      <c r="A80" t="s">
        <v>213</v>
      </c>
      <c r="B80" t="s">
        <v>214</v>
      </c>
      <c r="C80" t="s">
        <v>213</v>
      </c>
    </row>
    <row r="81" spans="1:3">
      <c r="A81" t="s">
        <v>215</v>
      </c>
      <c r="B81" t="s">
        <v>216</v>
      </c>
      <c r="C81" t="s">
        <v>215</v>
      </c>
    </row>
    <row r="82" spans="1:3">
      <c r="A82" t="s">
        <v>217</v>
      </c>
      <c r="B82" t="s">
        <v>218</v>
      </c>
      <c r="C82" t="s">
        <v>217</v>
      </c>
    </row>
    <row r="83" spans="1:3">
      <c r="A83" t="s">
        <v>219</v>
      </c>
      <c r="B83" t="s">
        <v>220</v>
      </c>
      <c r="C83" t="s">
        <v>219</v>
      </c>
    </row>
    <row r="84" spans="1:3">
      <c r="A84" t="s">
        <v>221</v>
      </c>
      <c r="B84" t="s">
        <v>222</v>
      </c>
      <c r="C84" t="s">
        <v>221</v>
      </c>
    </row>
    <row r="85" spans="1:3">
      <c r="A85" t="s">
        <v>1464</v>
      </c>
      <c r="B85" t="s">
        <v>224</v>
      </c>
      <c r="C85" t="s">
        <v>1464</v>
      </c>
    </row>
    <row r="86" spans="1:3">
      <c r="A86" t="s">
        <v>225</v>
      </c>
      <c r="B86" t="s">
        <v>226</v>
      </c>
      <c r="C86" t="s">
        <v>225</v>
      </c>
    </row>
    <row r="87" spans="1:3">
      <c r="A87" t="s">
        <v>227</v>
      </c>
      <c r="B87" t="s">
        <v>228</v>
      </c>
      <c r="C87" t="s">
        <v>227</v>
      </c>
    </row>
    <row r="88" spans="1:3">
      <c r="A88" t="s">
        <v>229</v>
      </c>
      <c r="B88" t="s">
        <v>230</v>
      </c>
      <c r="C88" t="s">
        <v>229</v>
      </c>
    </row>
    <row r="89" spans="1:3">
      <c r="A89" t="s">
        <v>231</v>
      </c>
      <c r="B89" t="s">
        <v>232</v>
      </c>
      <c r="C89" t="s">
        <v>231</v>
      </c>
    </row>
    <row r="90" spans="1:3">
      <c r="A90" t="s">
        <v>233</v>
      </c>
      <c r="B90" t="s">
        <v>234</v>
      </c>
      <c r="C90" t="s">
        <v>233</v>
      </c>
    </row>
    <row r="91" spans="1:3">
      <c r="A91" t="s">
        <v>1465</v>
      </c>
      <c r="B91" t="s">
        <v>235</v>
      </c>
      <c r="C91" t="s">
        <v>1465</v>
      </c>
    </row>
    <row r="92" spans="1:3">
      <c r="A92" t="s">
        <v>236</v>
      </c>
      <c r="B92" t="s">
        <v>237</v>
      </c>
      <c r="C92" t="s">
        <v>236</v>
      </c>
    </row>
    <row r="93" spans="1:3">
      <c r="A93" t="s">
        <v>238</v>
      </c>
      <c r="B93" t="s">
        <v>239</v>
      </c>
      <c r="C93" t="s">
        <v>238</v>
      </c>
    </row>
    <row r="94" spans="1:3">
      <c r="A94" t="s">
        <v>240</v>
      </c>
      <c r="B94" t="s">
        <v>241</v>
      </c>
      <c r="C94" t="s">
        <v>240</v>
      </c>
    </row>
    <row r="95" spans="1:3">
      <c r="A95" t="s">
        <v>242</v>
      </c>
      <c r="B95" t="s">
        <v>243</v>
      </c>
      <c r="C95" t="s">
        <v>242</v>
      </c>
    </row>
    <row r="96" spans="1:3">
      <c r="A96" t="s">
        <v>244</v>
      </c>
      <c r="B96" t="s">
        <v>245</v>
      </c>
      <c r="C96" t="s">
        <v>244</v>
      </c>
    </row>
    <row r="97" spans="1:3">
      <c r="A97" t="s">
        <v>246</v>
      </c>
      <c r="B97" t="s">
        <v>247</v>
      </c>
      <c r="C97" t="s">
        <v>246</v>
      </c>
    </row>
    <row r="98" spans="1:3">
      <c r="A98" t="s">
        <v>248</v>
      </c>
      <c r="B98" t="s">
        <v>249</v>
      </c>
      <c r="C98" t="s">
        <v>248</v>
      </c>
    </row>
    <row r="99" spans="1:3">
      <c r="A99" t="s">
        <v>250</v>
      </c>
      <c r="B99" t="s">
        <v>251</v>
      </c>
      <c r="C99" t="s">
        <v>250</v>
      </c>
    </row>
    <row r="100" spans="1:3">
      <c r="A100" t="s">
        <v>252</v>
      </c>
      <c r="B100" t="s">
        <v>253</v>
      </c>
      <c r="C100" t="s">
        <v>252</v>
      </c>
    </row>
    <row r="101" spans="1:3">
      <c r="A101" t="s">
        <v>254</v>
      </c>
      <c r="B101" t="s">
        <v>255</v>
      </c>
      <c r="C101" t="s">
        <v>254</v>
      </c>
    </row>
    <row r="102" spans="1:3">
      <c r="A102" t="s">
        <v>256</v>
      </c>
      <c r="B102" t="s">
        <v>257</v>
      </c>
      <c r="C102" t="s">
        <v>256</v>
      </c>
    </row>
    <row r="103" spans="1:3">
      <c r="A103" t="s">
        <v>258</v>
      </c>
      <c r="B103" t="s">
        <v>259</v>
      </c>
      <c r="C103" t="s">
        <v>258</v>
      </c>
    </row>
    <row r="104" spans="1:3">
      <c r="A104" t="s">
        <v>260</v>
      </c>
      <c r="B104" t="s">
        <v>261</v>
      </c>
      <c r="C104" t="s">
        <v>260</v>
      </c>
    </row>
    <row r="105" spans="1:3">
      <c r="A105" t="s">
        <v>262</v>
      </c>
      <c r="B105" t="s">
        <v>263</v>
      </c>
      <c r="C105" t="s">
        <v>262</v>
      </c>
    </row>
    <row r="106" spans="1:3">
      <c r="A106" t="s">
        <v>264</v>
      </c>
      <c r="B106" t="s">
        <v>265</v>
      </c>
      <c r="C106" t="s">
        <v>264</v>
      </c>
    </row>
    <row r="107" spans="1:3">
      <c r="A107" t="s">
        <v>266</v>
      </c>
      <c r="B107" t="s">
        <v>267</v>
      </c>
      <c r="C107" t="s">
        <v>266</v>
      </c>
    </row>
    <row r="108" spans="1:3">
      <c r="A108" t="s">
        <v>268</v>
      </c>
      <c r="B108" t="s">
        <v>269</v>
      </c>
      <c r="C108" t="s">
        <v>268</v>
      </c>
    </row>
    <row r="109" spans="1:3">
      <c r="A109" t="s">
        <v>270</v>
      </c>
      <c r="B109" t="s">
        <v>271</v>
      </c>
      <c r="C109" t="s">
        <v>270</v>
      </c>
    </row>
    <row r="110" spans="1:3">
      <c r="A110" t="s">
        <v>272</v>
      </c>
      <c r="B110" t="s">
        <v>273</v>
      </c>
      <c r="C110" t="s">
        <v>272</v>
      </c>
    </row>
    <row r="111" spans="1:3">
      <c r="A111" t="s">
        <v>274</v>
      </c>
      <c r="B111" t="s">
        <v>275</v>
      </c>
      <c r="C111" t="s">
        <v>274</v>
      </c>
    </row>
    <row r="112" spans="1:3">
      <c r="A112" t="s">
        <v>276</v>
      </c>
      <c r="B112" t="s">
        <v>277</v>
      </c>
      <c r="C112" t="s">
        <v>276</v>
      </c>
    </row>
    <row r="113" spans="1:3">
      <c r="A113" t="s">
        <v>278</v>
      </c>
      <c r="B113" t="s">
        <v>279</v>
      </c>
      <c r="C113" t="s">
        <v>278</v>
      </c>
    </row>
    <row r="114" spans="1:3">
      <c r="A114" t="s">
        <v>280</v>
      </c>
      <c r="B114" t="s">
        <v>281</v>
      </c>
      <c r="C114" t="s">
        <v>280</v>
      </c>
    </row>
    <row r="115" spans="1:3">
      <c r="A115" t="s">
        <v>282</v>
      </c>
      <c r="B115" t="s">
        <v>283</v>
      </c>
      <c r="C115" t="s">
        <v>282</v>
      </c>
    </row>
    <row r="116" spans="1:3">
      <c r="A116" t="s">
        <v>284</v>
      </c>
      <c r="B116" t="s">
        <v>285</v>
      </c>
      <c r="C116" t="s">
        <v>284</v>
      </c>
    </row>
    <row r="117" spans="1:3">
      <c r="A117" t="s">
        <v>286</v>
      </c>
      <c r="B117" t="s">
        <v>287</v>
      </c>
      <c r="C117" t="s">
        <v>286</v>
      </c>
    </row>
    <row r="118" spans="1:3">
      <c r="A118" t="s">
        <v>288</v>
      </c>
      <c r="B118" t="s">
        <v>289</v>
      </c>
      <c r="C118" t="s">
        <v>288</v>
      </c>
    </row>
    <row r="119" spans="1:3">
      <c r="A119" t="s">
        <v>290</v>
      </c>
      <c r="B119" t="s">
        <v>291</v>
      </c>
      <c r="C119" t="s">
        <v>290</v>
      </c>
    </row>
    <row r="120" spans="1:3">
      <c r="A120" t="s">
        <v>292</v>
      </c>
      <c r="B120" t="s">
        <v>293</v>
      </c>
      <c r="C120" t="s">
        <v>292</v>
      </c>
    </row>
    <row r="121" spans="1:3">
      <c r="A121" t="s">
        <v>294</v>
      </c>
      <c r="B121" t="s">
        <v>295</v>
      </c>
      <c r="C121" t="s">
        <v>294</v>
      </c>
    </row>
    <row r="122" spans="1:3">
      <c r="A122" t="s">
        <v>296</v>
      </c>
      <c r="B122" t="s">
        <v>297</v>
      </c>
      <c r="C122" t="s">
        <v>296</v>
      </c>
    </row>
    <row r="123" spans="1:3">
      <c r="A123" t="s">
        <v>298</v>
      </c>
      <c r="B123" t="s">
        <v>299</v>
      </c>
      <c r="C123" t="s">
        <v>298</v>
      </c>
    </row>
    <row r="124" spans="1:3">
      <c r="A124" t="s">
        <v>300</v>
      </c>
      <c r="B124" t="s">
        <v>301</v>
      </c>
      <c r="C124" t="s">
        <v>300</v>
      </c>
    </row>
    <row r="125" spans="1:3">
      <c r="A125" t="s">
        <v>302</v>
      </c>
      <c r="B125" t="s">
        <v>303</v>
      </c>
      <c r="C125" t="s">
        <v>302</v>
      </c>
    </row>
    <row r="126" spans="1:3">
      <c r="A126" t="s">
        <v>304</v>
      </c>
      <c r="B126" t="s">
        <v>305</v>
      </c>
      <c r="C126" t="s">
        <v>304</v>
      </c>
    </row>
    <row r="127" spans="1:3">
      <c r="A127" t="s">
        <v>1466</v>
      </c>
      <c r="B127" t="s">
        <v>306</v>
      </c>
      <c r="C127" t="s">
        <v>1466</v>
      </c>
    </row>
    <row r="128" spans="1:3">
      <c r="A128" t="s">
        <v>307</v>
      </c>
      <c r="B128" t="s">
        <v>308</v>
      </c>
      <c r="C128" t="s">
        <v>307</v>
      </c>
    </row>
    <row r="129" spans="1:3">
      <c r="A129" t="s">
        <v>1467</v>
      </c>
      <c r="B129" t="s">
        <v>309</v>
      </c>
      <c r="C129" t="s">
        <v>1467</v>
      </c>
    </row>
    <row r="130" spans="1:3">
      <c r="A130" t="s">
        <v>310</v>
      </c>
      <c r="B130" t="s">
        <v>311</v>
      </c>
      <c r="C130" t="s">
        <v>310</v>
      </c>
    </row>
    <row r="131" spans="1:3">
      <c r="A131" t="s">
        <v>312</v>
      </c>
      <c r="B131" t="s">
        <v>313</v>
      </c>
      <c r="C131" t="s">
        <v>312</v>
      </c>
    </row>
    <row r="132" spans="1:3">
      <c r="A132" t="s">
        <v>314</v>
      </c>
      <c r="B132" t="s">
        <v>315</v>
      </c>
      <c r="C132" t="s">
        <v>314</v>
      </c>
    </row>
    <row r="133" spans="1:3">
      <c r="A133" t="s">
        <v>316</v>
      </c>
      <c r="B133" t="s">
        <v>317</v>
      </c>
      <c r="C133" t="s">
        <v>316</v>
      </c>
    </row>
    <row r="134" spans="1:3">
      <c r="A134" t="s">
        <v>318</v>
      </c>
      <c r="B134" t="s">
        <v>319</v>
      </c>
      <c r="C134" t="s">
        <v>318</v>
      </c>
    </row>
    <row r="135" spans="1:3">
      <c r="A135" t="s">
        <v>320</v>
      </c>
      <c r="B135" t="s">
        <v>321</v>
      </c>
      <c r="C135" t="s">
        <v>320</v>
      </c>
    </row>
    <row r="136" spans="1:3">
      <c r="A136" t="s">
        <v>322</v>
      </c>
      <c r="B136" t="s">
        <v>323</v>
      </c>
      <c r="C136" t="s">
        <v>322</v>
      </c>
    </row>
    <row r="137" spans="1:3">
      <c r="A137" t="s">
        <v>324</v>
      </c>
      <c r="B137" t="s">
        <v>325</v>
      </c>
      <c r="C137" t="s">
        <v>324</v>
      </c>
    </row>
    <row r="138" spans="1:3">
      <c r="A138" t="s">
        <v>326</v>
      </c>
      <c r="B138" t="s">
        <v>327</v>
      </c>
      <c r="C138" t="s">
        <v>326</v>
      </c>
    </row>
    <row r="139" spans="1:3">
      <c r="A139" t="s">
        <v>328</v>
      </c>
      <c r="B139" t="s">
        <v>329</v>
      </c>
      <c r="C139" t="s">
        <v>328</v>
      </c>
    </row>
    <row r="140" spans="1:3">
      <c r="A140" t="s">
        <v>330</v>
      </c>
      <c r="B140" t="s">
        <v>331</v>
      </c>
      <c r="C140" t="s">
        <v>330</v>
      </c>
    </row>
    <row r="141" spans="1:3">
      <c r="A141" t="s">
        <v>332</v>
      </c>
      <c r="B141" t="s">
        <v>333</v>
      </c>
      <c r="C141" t="s">
        <v>332</v>
      </c>
    </row>
    <row r="142" spans="1:3">
      <c r="A142" t="s">
        <v>334</v>
      </c>
      <c r="B142" t="s">
        <v>335</v>
      </c>
      <c r="C142" t="s">
        <v>334</v>
      </c>
    </row>
    <row r="143" spans="1:3">
      <c r="A143" t="s">
        <v>336</v>
      </c>
      <c r="B143" t="s">
        <v>337</v>
      </c>
      <c r="C143" t="s">
        <v>336</v>
      </c>
    </row>
    <row r="144" spans="1:3">
      <c r="A144" t="s">
        <v>338</v>
      </c>
      <c r="B144" t="s">
        <v>339</v>
      </c>
      <c r="C144" t="s">
        <v>338</v>
      </c>
    </row>
    <row r="145" spans="1:3">
      <c r="A145" t="s">
        <v>340</v>
      </c>
      <c r="B145" t="s">
        <v>341</v>
      </c>
      <c r="C145" t="s">
        <v>340</v>
      </c>
    </row>
    <row r="146" spans="1:3">
      <c r="A146" t="s">
        <v>342</v>
      </c>
      <c r="B146" t="s">
        <v>343</v>
      </c>
      <c r="C146" t="s">
        <v>342</v>
      </c>
    </row>
    <row r="147" spans="1:3">
      <c r="A147" t="s">
        <v>344</v>
      </c>
      <c r="B147" t="s">
        <v>345</v>
      </c>
      <c r="C147" t="s">
        <v>344</v>
      </c>
    </row>
    <row r="148" spans="1:3">
      <c r="A148" t="s">
        <v>346</v>
      </c>
      <c r="B148" t="s">
        <v>347</v>
      </c>
      <c r="C148" t="s">
        <v>346</v>
      </c>
    </row>
    <row r="149" spans="1:3">
      <c r="A149" t="s">
        <v>348</v>
      </c>
      <c r="B149" t="s">
        <v>349</v>
      </c>
      <c r="C149" t="s">
        <v>348</v>
      </c>
    </row>
    <row r="150" spans="1:3">
      <c r="A150" t="s">
        <v>350</v>
      </c>
      <c r="B150" t="s">
        <v>351</v>
      </c>
      <c r="C150" t="s">
        <v>350</v>
      </c>
    </row>
    <row r="151" spans="1:3">
      <c r="A151" t="s">
        <v>352</v>
      </c>
      <c r="B151" t="s">
        <v>353</v>
      </c>
      <c r="C151" t="s">
        <v>352</v>
      </c>
    </row>
    <row r="152" spans="1:3">
      <c r="A152" t="s">
        <v>354</v>
      </c>
      <c r="B152" t="s">
        <v>355</v>
      </c>
      <c r="C152" t="s">
        <v>354</v>
      </c>
    </row>
    <row r="153" spans="1:3">
      <c r="A153" t="s">
        <v>356</v>
      </c>
      <c r="B153" t="s">
        <v>357</v>
      </c>
      <c r="C153" t="s">
        <v>356</v>
      </c>
    </row>
    <row r="154" spans="1:3">
      <c r="A154" t="s">
        <v>358</v>
      </c>
      <c r="B154" t="s">
        <v>359</v>
      </c>
      <c r="C154" t="s">
        <v>358</v>
      </c>
    </row>
    <row r="155" spans="1:3">
      <c r="A155" t="s">
        <v>360</v>
      </c>
      <c r="B155" t="s">
        <v>361</v>
      </c>
      <c r="C155" t="s">
        <v>360</v>
      </c>
    </row>
    <row r="156" spans="1:3">
      <c r="A156" t="s">
        <v>362</v>
      </c>
      <c r="B156" t="s">
        <v>363</v>
      </c>
      <c r="C156" t="s">
        <v>362</v>
      </c>
    </row>
    <row r="157" spans="1:3">
      <c r="A157" t="s">
        <v>364</v>
      </c>
      <c r="B157" t="s">
        <v>365</v>
      </c>
      <c r="C157" t="s">
        <v>364</v>
      </c>
    </row>
    <row r="158" spans="1:3">
      <c r="A158" t="s">
        <v>366</v>
      </c>
      <c r="B158" t="s">
        <v>367</v>
      </c>
      <c r="C158" t="s">
        <v>366</v>
      </c>
    </row>
    <row r="159" spans="1:3">
      <c r="A159" t="s">
        <v>368</v>
      </c>
      <c r="B159" t="s">
        <v>369</v>
      </c>
      <c r="C159" t="s">
        <v>368</v>
      </c>
    </row>
    <row r="160" spans="1:3">
      <c r="A160" t="s">
        <v>370</v>
      </c>
      <c r="B160" t="s">
        <v>371</v>
      </c>
      <c r="C160" t="s">
        <v>370</v>
      </c>
    </row>
    <row r="161" spans="1:3">
      <c r="A161" t="s">
        <v>372</v>
      </c>
      <c r="B161" t="s">
        <v>373</v>
      </c>
      <c r="C161" t="s">
        <v>372</v>
      </c>
    </row>
    <row r="162" spans="1:3">
      <c r="A162" t="s">
        <v>374</v>
      </c>
      <c r="B162" t="s">
        <v>375</v>
      </c>
      <c r="C162" t="s">
        <v>374</v>
      </c>
    </row>
    <row r="163" spans="1:3">
      <c r="A163" t="s">
        <v>376</v>
      </c>
      <c r="B163" t="s">
        <v>377</v>
      </c>
      <c r="C163" t="s">
        <v>376</v>
      </c>
    </row>
    <row r="164" spans="1:3">
      <c r="A164" t="s">
        <v>378</v>
      </c>
      <c r="B164" t="s">
        <v>379</v>
      </c>
      <c r="C164" t="s">
        <v>378</v>
      </c>
    </row>
    <row r="165" spans="1:3">
      <c r="A165" t="s">
        <v>380</v>
      </c>
      <c r="B165" t="s">
        <v>381</v>
      </c>
      <c r="C165" t="s">
        <v>380</v>
      </c>
    </row>
    <row r="166" spans="1:3">
      <c r="A166" t="s">
        <v>382</v>
      </c>
      <c r="B166" t="s">
        <v>383</v>
      </c>
      <c r="C166" t="s">
        <v>382</v>
      </c>
    </row>
    <row r="167" spans="1:3">
      <c r="A167" t="s">
        <v>384</v>
      </c>
      <c r="B167" t="s">
        <v>385</v>
      </c>
      <c r="C167" t="s">
        <v>384</v>
      </c>
    </row>
    <row r="168" spans="1:3">
      <c r="A168" t="s">
        <v>386</v>
      </c>
      <c r="B168" t="s">
        <v>387</v>
      </c>
      <c r="C168" t="s">
        <v>386</v>
      </c>
    </row>
    <row r="169" spans="1:3">
      <c r="A169" t="s">
        <v>388</v>
      </c>
      <c r="B169" t="s">
        <v>389</v>
      </c>
      <c r="C169" t="s">
        <v>388</v>
      </c>
    </row>
    <row r="170" spans="1:3">
      <c r="A170" t="s">
        <v>390</v>
      </c>
      <c r="B170" t="s">
        <v>391</v>
      </c>
      <c r="C170" t="s">
        <v>390</v>
      </c>
    </row>
    <row r="171" spans="1:3">
      <c r="A171" t="s">
        <v>392</v>
      </c>
      <c r="B171" t="s">
        <v>393</v>
      </c>
      <c r="C171" t="s">
        <v>392</v>
      </c>
    </row>
    <row r="172" spans="1:3">
      <c r="A172" t="s">
        <v>394</v>
      </c>
      <c r="B172" t="s">
        <v>395</v>
      </c>
      <c r="C172" t="s">
        <v>394</v>
      </c>
    </row>
    <row r="173" spans="1:3">
      <c r="A173" t="s">
        <v>396</v>
      </c>
      <c r="B173" t="s">
        <v>397</v>
      </c>
      <c r="C173" t="s">
        <v>396</v>
      </c>
    </row>
    <row r="174" spans="1:3">
      <c r="A174" t="s">
        <v>398</v>
      </c>
      <c r="B174" t="s">
        <v>399</v>
      </c>
      <c r="C174" t="s">
        <v>398</v>
      </c>
    </row>
    <row r="175" spans="1:3">
      <c r="A175" t="s">
        <v>400</v>
      </c>
      <c r="B175" t="s">
        <v>401</v>
      </c>
      <c r="C175" t="s">
        <v>400</v>
      </c>
    </row>
    <row r="176" spans="1:3">
      <c r="A176" t="s">
        <v>402</v>
      </c>
      <c r="B176" t="s">
        <v>403</v>
      </c>
      <c r="C176" t="s">
        <v>402</v>
      </c>
    </row>
    <row r="177" spans="1:3">
      <c r="A177" t="s">
        <v>404</v>
      </c>
      <c r="B177" t="s">
        <v>405</v>
      </c>
      <c r="C177" t="s">
        <v>404</v>
      </c>
    </row>
    <row r="178" spans="1:3">
      <c r="A178" t="s">
        <v>406</v>
      </c>
      <c r="B178" t="s">
        <v>407</v>
      </c>
      <c r="C178" t="s">
        <v>406</v>
      </c>
    </row>
    <row r="179" spans="1:3">
      <c r="A179" t="s">
        <v>408</v>
      </c>
      <c r="B179" t="s">
        <v>409</v>
      </c>
      <c r="C179" t="s">
        <v>408</v>
      </c>
    </row>
    <row r="180" spans="1:3">
      <c r="A180" t="s">
        <v>410</v>
      </c>
      <c r="B180" t="s">
        <v>411</v>
      </c>
      <c r="C180" t="s">
        <v>410</v>
      </c>
    </row>
    <row r="181" spans="1:3">
      <c r="A181" t="s">
        <v>412</v>
      </c>
      <c r="B181" t="s">
        <v>413</v>
      </c>
      <c r="C181" t="s">
        <v>412</v>
      </c>
    </row>
    <row r="182" spans="1:3">
      <c r="A182" t="s">
        <v>414</v>
      </c>
      <c r="B182" t="s">
        <v>415</v>
      </c>
      <c r="C182" t="s">
        <v>414</v>
      </c>
    </row>
    <row r="183" spans="1:3">
      <c r="A183" t="s">
        <v>1468</v>
      </c>
      <c r="B183" t="s">
        <v>416</v>
      </c>
      <c r="C183" t="s">
        <v>1468</v>
      </c>
    </row>
    <row r="184" spans="1:3">
      <c r="A184" t="s">
        <v>417</v>
      </c>
      <c r="B184" t="s">
        <v>418</v>
      </c>
      <c r="C184" t="s">
        <v>417</v>
      </c>
    </row>
    <row r="185" spans="1:3">
      <c r="A185" t="s">
        <v>419</v>
      </c>
      <c r="B185" t="s">
        <v>420</v>
      </c>
      <c r="C185" t="s">
        <v>419</v>
      </c>
    </row>
    <row r="186" spans="1:3">
      <c r="A186" t="s">
        <v>421</v>
      </c>
      <c r="B186" t="s">
        <v>422</v>
      </c>
      <c r="C186" t="s">
        <v>421</v>
      </c>
    </row>
    <row r="187" spans="1:3">
      <c r="A187" t="s">
        <v>423</v>
      </c>
      <c r="B187" t="s">
        <v>424</v>
      </c>
      <c r="C187" t="s">
        <v>423</v>
      </c>
    </row>
    <row r="188" spans="1:3">
      <c r="A188" t="s">
        <v>425</v>
      </c>
      <c r="B188" t="s">
        <v>426</v>
      </c>
      <c r="C188" t="s">
        <v>425</v>
      </c>
    </row>
    <row r="189" spans="1:3">
      <c r="A189" t="s">
        <v>427</v>
      </c>
      <c r="B189" t="s">
        <v>428</v>
      </c>
      <c r="C189" t="s">
        <v>427</v>
      </c>
    </row>
    <row r="190" spans="1:3">
      <c r="A190" t="s">
        <v>429</v>
      </c>
      <c r="B190" t="s">
        <v>430</v>
      </c>
      <c r="C190" t="s">
        <v>429</v>
      </c>
    </row>
    <row r="191" spans="1:3">
      <c r="A191" t="s">
        <v>431</v>
      </c>
      <c r="B191" t="s">
        <v>432</v>
      </c>
      <c r="C191" t="s">
        <v>431</v>
      </c>
    </row>
    <row r="192" spans="1:3">
      <c r="A192" t="s">
        <v>433</v>
      </c>
      <c r="B192" t="s">
        <v>434</v>
      </c>
      <c r="C192" t="s">
        <v>433</v>
      </c>
    </row>
    <row r="193" spans="1:3">
      <c r="A193" t="s">
        <v>435</v>
      </c>
      <c r="B193" t="s">
        <v>436</v>
      </c>
      <c r="C193" t="s">
        <v>435</v>
      </c>
    </row>
    <row r="194" spans="1:3">
      <c r="A194" t="s">
        <v>437</v>
      </c>
      <c r="B194" t="s">
        <v>438</v>
      </c>
      <c r="C194" t="s">
        <v>437</v>
      </c>
    </row>
    <row r="195" spans="1:3">
      <c r="A195" t="s">
        <v>439</v>
      </c>
      <c r="B195" t="s">
        <v>440</v>
      </c>
      <c r="C195" t="s">
        <v>439</v>
      </c>
    </row>
    <row r="196" spans="1:3">
      <c r="A196" t="s">
        <v>441</v>
      </c>
      <c r="B196" t="s">
        <v>442</v>
      </c>
      <c r="C196" t="s">
        <v>441</v>
      </c>
    </row>
    <row r="197" spans="1:3">
      <c r="A197" t="s">
        <v>443</v>
      </c>
      <c r="B197" t="s">
        <v>444</v>
      </c>
      <c r="C197" t="s">
        <v>443</v>
      </c>
    </row>
    <row r="198" spans="1:3">
      <c r="A198" t="s">
        <v>445</v>
      </c>
      <c r="B198" t="s">
        <v>446</v>
      </c>
      <c r="C198" t="s">
        <v>445</v>
      </c>
    </row>
    <row r="199" spans="1:3">
      <c r="A199" t="s">
        <v>447</v>
      </c>
      <c r="B199" t="s">
        <v>448</v>
      </c>
      <c r="C199" t="s">
        <v>447</v>
      </c>
    </row>
    <row r="200" spans="1:3">
      <c r="A200" t="s">
        <v>449</v>
      </c>
      <c r="B200" t="s">
        <v>450</v>
      </c>
      <c r="C200" t="s">
        <v>449</v>
      </c>
    </row>
    <row r="201" spans="1:3">
      <c r="A201" t="s">
        <v>451</v>
      </c>
      <c r="B201" t="s">
        <v>452</v>
      </c>
      <c r="C201" t="s">
        <v>451</v>
      </c>
    </row>
    <row r="202" spans="1:3">
      <c r="A202" t="s">
        <v>453</v>
      </c>
      <c r="B202" t="s">
        <v>454</v>
      </c>
      <c r="C202" t="s">
        <v>453</v>
      </c>
    </row>
    <row r="203" spans="1:3">
      <c r="A203" t="s">
        <v>455</v>
      </c>
      <c r="B203" t="s">
        <v>456</v>
      </c>
      <c r="C203" t="s">
        <v>455</v>
      </c>
    </row>
    <row r="204" spans="1:3">
      <c r="A204" t="s">
        <v>457</v>
      </c>
      <c r="B204" t="s">
        <v>458</v>
      </c>
      <c r="C204" t="s">
        <v>457</v>
      </c>
    </row>
    <row r="205" spans="1:3">
      <c r="A205" t="s">
        <v>459</v>
      </c>
      <c r="B205" t="s">
        <v>460</v>
      </c>
      <c r="C205" t="s">
        <v>459</v>
      </c>
    </row>
    <row r="206" spans="1:3">
      <c r="A206" t="s">
        <v>461</v>
      </c>
      <c r="B206" t="s">
        <v>462</v>
      </c>
      <c r="C206" t="s">
        <v>461</v>
      </c>
    </row>
    <row r="207" spans="1:3">
      <c r="A207" t="s">
        <v>463</v>
      </c>
      <c r="B207" t="s">
        <v>464</v>
      </c>
      <c r="C207" t="s">
        <v>463</v>
      </c>
    </row>
    <row r="208" spans="1:3">
      <c r="A208" t="s">
        <v>465</v>
      </c>
      <c r="B208" t="s">
        <v>466</v>
      </c>
      <c r="C208" t="s">
        <v>465</v>
      </c>
    </row>
    <row r="209" spans="1:3">
      <c r="A209" t="s">
        <v>467</v>
      </c>
      <c r="B209" t="s">
        <v>468</v>
      </c>
      <c r="C209" t="s">
        <v>467</v>
      </c>
    </row>
    <row r="210" spans="1:3">
      <c r="A210" t="s">
        <v>469</v>
      </c>
      <c r="B210" t="s">
        <v>470</v>
      </c>
      <c r="C210" t="s">
        <v>469</v>
      </c>
    </row>
    <row r="211" spans="1:3">
      <c r="A211" t="s">
        <v>471</v>
      </c>
      <c r="B211" t="s">
        <v>472</v>
      </c>
      <c r="C211" t="s">
        <v>471</v>
      </c>
    </row>
    <row r="212" spans="1:3">
      <c r="A212" t="s">
        <v>473</v>
      </c>
      <c r="B212" t="s">
        <v>474</v>
      </c>
      <c r="C212" t="s">
        <v>473</v>
      </c>
    </row>
    <row r="213" spans="1:3">
      <c r="A213" t="s">
        <v>475</v>
      </c>
      <c r="B213" t="s">
        <v>476</v>
      </c>
      <c r="C213" t="s">
        <v>475</v>
      </c>
    </row>
    <row r="214" spans="1:3">
      <c r="A214" t="s">
        <v>477</v>
      </c>
      <c r="B214" t="s">
        <v>478</v>
      </c>
      <c r="C214" t="s">
        <v>477</v>
      </c>
    </row>
    <row r="215" spans="1:3">
      <c r="A215" t="s">
        <v>479</v>
      </c>
      <c r="B215" t="s">
        <v>480</v>
      </c>
      <c r="C215" t="s">
        <v>479</v>
      </c>
    </row>
    <row r="216" spans="1:3">
      <c r="A216" t="s">
        <v>481</v>
      </c>
      <c r="B216" t="s">
        <v>482</v>
      </c>
      <c r="C216" t="s">
        <v>481</v>
      </c>
    </row>
    <row r="217" spans="1:3">
      <c r="A217" t="s">
        <v>483</v>
      </c>
      <c r="B217" t="s">
        <v>484</v>
      </c>
      <c r="C217" t="s">
        <v>483</v>
      </c>
    </row>
    <row r="218" spans="1:3">
      <c r="A218" t="s">
        <v>485</v>
      </c>
      <c r="B218" t="s">
        <v>486</v>
      </c>
      <c r="C218" t="s">
        <v>485</v>
      </c>
    </row>
    <row r="219" spans="1:3">
      <c r="A219" t="s">
        <v>487</v>
      </c>
      <c r="B219" t="s">
        <v>488</v>
      </c>
      <c r="C219" t="s">
        <v>487</v>
      </c>
    </row>
    <row r="220" spans="1:3">
      <c r="A220" t="s">
        <v>489</v>
      </c>
      <c r="B220" t="s">
        <v>490</v>
      </c>
      <c r="C220" t="s">
        <v>489</v>
      </c>
    </row>
    <row r="221" spans="1:3">
      <c r="A221" t="s">
        <v>491</v>
      </c>
      <c r="B221" t="s">
        <v>492</v>
      </c>
      <c r="C221" t="s">
        <v>491</v>
      </c>
    </row>
    <row r="222" spans="1:3">
      <c r="A222" t="s">
        <v>1469</v>
      </c>
      <c r="B222" t="s">
        <v>493</v>
      </c>
      <c r="C222" t="s">
        <v>1469</v>
      </c>
    </row>
    <row r="223" spans="1:3">
      <c r="A223" t="s">
        <v>494</v>
      </c>
      <c r="B223" t="s">
        <v>495</v>
      </c>
      <c r="C223" t="s">
        <v>494</v>
      </c>
    </row>
    <row r="224" spans="1:3">
      <c r="A224" t="s">
        <v>496</v>
      </c>
      <c r="B224" t="s">
        <v>497</v>
      </c>
      <c r="C224" t="s">
        <v>496</v>
      </c>
    </row>
    <row r="225" spans="1:3">
      <c r="A225" t="s">
        <v>498</v>
      </c>
      <c r="B225" t="s">
        <v>499</v>
      </c>
      <c r="C225" t="s">
        <v>498</v>
      </c>
    </row>
    <row r="226" spans="1:3">
      <c r="A226" t="s">
        <v>500</v>
      </c>
      <c r="B226" t="s">
        <v>501</v>
      </c>
      <c r="C226" t="s">
        <v>500</v>
      </c>
    </row>
    <row r="227" spans="1:3">
      <c r="A227" t="s">
        <v>502</v>
      </c>
      <c r="B227" t="s">
        <v>503</v>
      </c>
      <c r="C227" t="s">
        <v>502</v>
      </c>
    </row>
    <row r="228" spans="1:3">
      <c r="A228" t="s">
        <v>504</v>
      </c>
      <c r="B228" t="s">
        <v>505</v>
      </c>
      <c r="C228" t="s">
        <v>504</v>
      </c>
    </row>
    <row r="229" spans="1:3">
      <c r="A229" t="s">
        <v>506</v>
      </c>
      <c r="B229" t="s">
        <v>507</v>
      </c>
      <c r="C229" t="s">
        <v>506</v>
      </c>
    </row>
    <row r="230" spans="1:3">
      <c r="A230" t="s">
        <v>508</v>
      </c>
      <c r="B230" t="s">
        <v>509</v>
      </c>
      <c r="C230" t="s">
        <v>508</v>
      </c>
    </row>
    <row r="231" spans="1:3">
      <c r="A231" t="s">
        <v>510</v>
      </c>
      <c r="B231" t="s">
        <v>511</v>
      </c>
      <c r="C231" t="s">
        <v>510</v>
      </c>
    </row>
    <row r="232" spans="1:3">
      <c r="A232" t="s">
        <v>512</v>
      </c>
      <c r="B232" t="s">
        <v>513</v>
      </c>
      <c r="C232" t="s">
        <v>512</v>
      </c>
    </row>
    <row r="233" spans="1:3">
      <c r="A233" t="s">
        <v>514</v>
      </c>
      <c r="B233" t="s">
        <v>515</v>
      </c>
      <c r="C233" t="s">
        <v>514</v>
      </c>
    </row>
    <row r="234" spans="1:3">
      <c r="A234" t="s">
        <v>516</v>
      </c>
      <c r="B234" t="s">
        <v>517</v>
      </c>
      <c r="C234" t="s">
        <v>516</v>
      </c>
    </row>
    <row r="235" spans="1:3">
      <c r="A235" t="s">
        <v>518</v>
      </c>
      <c r="B235" t="s">
        <v>519</v>
      </c>
      <c r="C235" t="s">
        <v>518</v>
      </c>
    </row>
    <row r="236" spans="1:3">
      <c r="A236" t="s">
        <v>520</v>
      </c>
      <c r="B236" t="s">
        <v>521</v>
      </c>
      <c r="C236" t="s">
        <v>520</v>
      </c>
    </row>
    <row r="237" spans="1:3">
      <c r="A237" t="s">
        <v>522</v>
      </c>
      <c r="B237" t="s">
        <v>523</v>
      </c>
      <c r="C237" t="s">
        <v>522</v>
      </c>
    </row>
    <row r="238" spans="1:3">
      <c r="A238" t="s">
        <v>524</v>
      </c>
      <c r="B238" t="s">
        <v>525</v>
      </c>
      <c r="C238" t="s">
        <v>524</v>
      </c>
    </row>
    <row r="239" spans="1:3">
      <c r="A239" t="s">
        <v>526</v>
      </c>
      <c r="B239" t="s">
        <v>527</v>
      </c>
      <c r="C239" t="s">
        <v>526</v>
      </c>
    </row>
    <row r="240" spans="1:3">
      <c r="A240" t="s">
        <v>528</v>
      </c>
      <c r="B240" t="s">
        <v>529</v>
      </c>
      <c r="C240" t="s">
        <v>528</v>
      </c>
    </row>
    <row r="241" spans="1:3">
      <c r="A241" t="s">
        <v>530</v>
      </c>
      <c r="B241" t="s">
        <v>531</v>
      </c>
      <c r="C241" t="s">
        <v>530</v>
      </c>
    </row>
    <row r="242" spans="1:3">
      <c r="A242" t="s">
        <v>1470</v>
      </c>
      <c r="B242" t="s">
        <v>532</v>
      </c>
      <c r="C242" t="s">
        <v>1470</v>
      </c>
    </row>
    <row r="243" spans="1:3">
      <c r="A243" t="s">
        <v>533</v>
      </c>
      <c r="B243" t="s">
        <v>534</v>
      </c>
      <c r="C243" t="s">
        <v>533</v>
      </c>
    </row>
    <row r="244" spans="1:3">
      <c r="A244" t="s">
        <v>535</v>
      </c>
      <c r="B244" t="s">
        <v>536</v>
      </c>
      <c r="C244" t="s">
        <v>535</v>
      </c>
    </row>
    <row r="245" spans="1:3">
      <c r="A245" t="s">
        <v>537</v>
      </c>
      <c r="B245" t="s">
        <v>538</v>
      </c>
      <c r="C245" t="s">
        <v>537</v>
      </c>
    </row>
    <row r="246" spans="1:3">
      <c r="A246" t="s">
        <v>539</v>
      </c>
      <c r="B246" t="s">
        <v>540</v>
      </c>
      <c r="C246" t="s">
        <v>539</v>
      </c>
    </row>
    <row r="247" spans="1:3">
      <c r="A247" t="s">
        <v>541</v>
      </c>
      <c r="B247" t="s">
        <v>542</v>
      </c>
      <c r="C247" t="s">
        <v>541</v>
      </c>
    </row>
    <row r="248" spans="1:3">
      <c r="A248" t="s">
        <v>1471</v>
      </c>
      <c r="B248" t="s">
        <v>543</v>
      </c>
      <c r="C248" t="s">
        <v>1471</v>
      </c>
    </row>
    <row r="249" spans="1:3">
      <c r="A249" t="s">
        <v>544</v>
      </c>
      <c r="B249" t="s">
        <v>545</v>
      </c>
      <c r="C249" t="s">
        <v>544</v>
      </c>
    </row>
    <row r="250" spans="1:3">
      <c r="A250" t="s">
        <v>546</v>
      </c>
      <c r="B250" t="s">
        <v>547</v>
      </c>
      <c r="C250" t="s">
        <v>546</v>
      </c>
    </row>
    <row r="251" spans="1:3">
      <c r="A251" t="s">
        <v>548</v>
      </c>
      <c r="B251" t="s">
        <v>549</v>
      </c>
      <c r="C251" t="s">
        <v>548</v>
      </c>
    </row>
    <row r="252" spans="1:3">
      <c r="A252" t="s">
        <v>550</v>
      </c>
      <c r="B252" t="s">
        <v>551</v>
      </c>
      <c r="C252" t="s">
        <v>550</v>
      </c>
    </row>
    <row r="253" spans="1:3">
      <c r="A253" t="s">
        <v>552</v>
      </c>
      <c r="B253" t="s">
        <v>553</v>
      </c>
      <c r="C253" t="s">
        <v>552</v>
      </c>
    </row>
    <row r="254" spans="1:3">
      <c r="A254" t="s">
        <v>554</v>
      </c>
      <c r="B254" t="s">
        <v>555</v>
      </c>
      <c r="C254" t="s">
        <v>554</v>
      </c>
    </row>
    <row r="255" spans="1:3">
      <c r="A255" t="s">
        <v>556</v>
      </c>
      <c r="B255" t="s">
        <v>557</v>
      </c>
      <c r="C255" t="s">
        <v>556</v>
      </c>
    </row>
    <row r="256" spans="1:3">
      <c r="A256" t="s">
        <v>558</v>
      </c>
      <c r="B256" t="s">
        <v>559</v>
      </c>
      <c r="C256" t="s">
        <v>558</v>
      </c>
    </row>
    <row r="257" spans="1:3">
      <c r="A257" t="s">
        <v>560</v>
      </c>
      <c r="B257" t="s">
        <v>561</v>
      </c>
      <c r="C257" t="s">
        <v>560</v>
      </c>
    </row>
    <row r="258" spans="1:3">
      <c r="A258" t="s">
        <v>562</v>
      </c>
      <c r="B258" t="s">
        <v>563</v>
      </c>
      <c r="C258" t="s">
        <v>562</v>
      </c>
    </row>
    <row r="259" spans="1:3">
      <c r="A259" t="s">
        <v>564</v>
      </c>
      <c r="B259" t="s">
        <v>565</v>
      </c>
      <c r="C259" t="s">
        <v>564</v>
      </c>
    </row>
    <row r="260" spans="1:3">
      <c r="A260" t="s">
        <v>566</v>
      </c>
      <c r="B260" t="s">
        <v>567</v>
      </c>
      <c r="C260" t="s">
        <v>566</v>
      </c>
    </row>
    <row r="261" spans="1:3">
      <c r="A261" t="s">
        <v>568</v>
      </c>
      <c r="B261" t="s">
        <v>569</v>
      </c>
      <c r="C261" t="s">
        <v>568</v>
      </c>
    </row>
    <row r="262" spans="1:3">
      <c r="A262" t="s">
        <v>570</v>
      </c>
      <c r="B262" t="s">
        <v>571</v>
      </c>
      <c r="C262" t="s">
        <v>570</v>
      </c>
    </row>
    <row r="263" spans="1:3">
      <c r="A263" t="s">
        <v>572</v>
      </c>
      <c r="B263" t="s">
        <v>573</v>
      </c>
      <c r="C263" t="s">
        <v>572</v>
      </c>
    </row>
    <row r="264" spans="1:3">
      <c r="A264" t="s">
        <v>574</v>
      </c>
      <c r="B264" t="s">
        <v>575</v>
      </c>
      <c r="C264" t="s">
        <v>574</v>
      </c>
    </row>
    <row r="265" spans="1:3">
      <c r="A265" t="s">
        <v>576</v>
      </c>
      <c r="B265" t="s">
        <v>577</v>
      </c>
      <c r="C265" t="s">
        <v>576</v>
      </c>
    </row>
    <row r="266" spans="1:3">
      <c r="A266" t="s">
        <v>578</v>
      </c>
      <c r="B266" t="s">
        <v>579</v>
      </c>
      <c r="C266" t="s">
        <v>578</v>
      </c>
    </row>
    <row r="267" spans="1:3">
      <c r="A267" t="s">
        <v>580</v>
      </c>
      <c r="B267" t="s">
        <v>581</v>
      </c>
      <c r="C267" t="s">
        <v>580</v>
      </c>
    </row>
    <row r="268" spans="1:3">
      <c r="A268" t="s">
        <v>582</v>
      </c>
      <c r="B268" t="s">
        <v>583</v>
      </c>
      <c r="C268" t="s">
        <v>582</v>
      </c>
    </row>
    <row r="269" spans="1:3">
      <c r="A269" t="s">
        <v>584</v>
      </c>
      <c r="B269" t="s">
        <v>585</v>
      </c>
      <c r="C269" t="s">
        <v>584</v>
      </c>
    </row>
    <row r="270" spans="1:3">
      <c r="A270" t="s">
        <v>586</v>
      </c>
      <c r="B270" t="s">
        <v>587</v>
      </c>
      <c r="C270" t="s">
        <v>586</v>
      </c>
    </row>
    <row r="271" spans="1:3">
      <c r="A271" t="s">
        <v>588</v>
      </c>
      <c r="B271" t="s">
        <v>589</v>
      </c>
      <c r="C271" t="s">
        <v>588</v>
      </c>
    </row>
    <row r="272" spans="1:3">
      <c r="A272" t="s">
        <v>590</v>
      </c>
      <c r="B272" t="s">
        <v>591</v>
      </c>
      <c r="C272" t="s">
        <v>590</v>
      </c>
    </row>
    <row r="273" spans="1:3">
      <c r="A273" t="s">
        <v>592</v>
      </c>
      <c r="B273" t="s">
        <v>593</v>
      </c>
      <c r="C273" t="s">
        <v>592</v>
      </c>
    </row>
    <row r="274" spans="1:3">
      <c r="A274" t="s">
        <v>594</v>
      </c>
      <c r="B274" t="s">
        <v>595</v>
      </c>
      <c r="C274" t="s">
        <v>594</v>
      </c>
    </row>
    <row r="275" spans="1:3">
      <c r="A275" t="s">
        <v>596</v>
      </c>
      <c r="B275" t="s">
        <v>597</v>
      </c>
      <c r="C275" t="s">
        <v>596</v>
      </c>
    </row>
    <row r="276" spans="1:3">
      <c r="A276" t="s">
        <v>598</v>
      </c>
      <c r="B276" t="s">
        <v>599</v>
      </c>
      <c r="C276" t="s">
        <v>598</v>
      </c>
    </row>
    <row r="277" spans="1:3">
      <c r="A277" t="s">
        <v>600</v>
      </c>
      <c r="B277" t="s">
        <v>601</v>
      </c>
      <c r="C277" t="s">
        <v>600</v>
      </c>
    </row>
    <row r="278" spans="1:3">
      <c r="A278" t="s">
        <v>602</v>
      </c>
      <c r="B278" t="s">
        <v>603</v>
      </c>
      <c r="C278" t="s">
        <v>602</v>
      </c>
    </row>
    <row r="279" spans="1:3">
      <c r="A279" t="s">
        <v>604</v>
      </c>
      <c r="B279" t="s">
        <v>605</v>
      </c>
      <c r="C279" t="s">
        <v>604</v>
      </c>
    </row>
    <row r="280" spans="1:3">
      <c r="A280" t="s">
        <v>606</v>
      </c>
      <c r="B280" t="s">
        <v>607</v>
      </c>
      <c r="C280" t="s">
        <v>606</v>
      </c>
    </row>
    <row r="281" spans="1:3">
      <c r="A281" t="s">
        <v>608</v>
      </c>
      <c r="B281" t="s">
        <v>609</v>
      </c>
      <c r="C281" t="s">
        <v>608</v>
      </c>
    </row>
    <row r="282" spans="1:3">
      <c r="A282" t="s">
        <v>610</v>
      </c>
      <c r="B282" t="s">
        <v>611</v>
      </c>
      <c r="C282" t="s">
        <v>610</v>
      </c>
    </row>
    <row r="283" spans="1:3">
      <c r="A283" t="s">
        <v>612</v>
      </c>
      <c r="B283" t="s">
        <v>613</v>
      </c>
      <c r="C283" t="s">
        <v>612</v>
      </c>
    </row>
    <row r="284" spans="1:3">
      <c r="A284" t="s">
        <v>614</v>
      </c>
      <c r="B284" t="s">
        <v>615</v>
      </c>
      <c r="C284" t="s">
        <v>614</v>
      </c>
    </row>
    <row r="285" spans="1:3">
      <c r="A285" t="s">
        <v>616</v>
      </c>
      <c r="B285" t="s">
        <v>617</v>
      </c>
      <c r="C285" t="s">
        <v>616</v>
      </c>
    </row>
    <row r="286" spans="1:3">
      <c r="A286" t="s">
        <v>618</v>
      </c>
      <c r="B286" t="s">
        <v>619</v>
      </c>
      <c r="C286" t="s">
        <v>618</v>
      </c>
    </row>
    <row r="287" spans="1:3">
      <c r="A287" t="s">
        <v>620</v>
      </c>
      <c r="B287" t="s">
        <v>621</v>
      </c>
      <c r="C287" t="s">
        <v>620</v>
      </c>
    </row>
    <row r="288" spans="1:3">
      <c r="A288" t="s">
        <v>622</v>
      </c>
      <c r="B288" t="s">
        <v>623</v>
      </c>
      <c r="C288" t="s">
        <v>622</v>
      </c>
    </row>
    <row r="289" spans="1:3">
      <c r="A289" t="s">
        <v>624</v>
      </c>
      <c r="B289" t="s">
        <v>625</v>
      </c>
      <c r="C289" t="s">
        <v>624</v>
      </c>
    </row>
    <row r="290" spans="1:3">
      <c r="A290" t="s">
        <v>626</v>
      </c>
      <c r="B290" t="s">
        <v>627</v>
      </c>
      <c r="C290" t="s">
        <v>626</v>
      </c>
    </row>
    <row r="291" spans="1:3">
      <c r="A291" t="s">
        <v>628</v>
      </c>
      <c r="B291" t="s">
        <v>629</v>
      </c>
      <c r="C291" t="s">
        <v>628</v>
      </c>
    </row>
    <row r="292" spans="1:3">
      <c r="A292" t="s">
        <v>630</v>
      </c>
      <c r="B292" t="s">
        <v>631</v>
      </c>
      <c r="C292" t="s">
        <v>630</v>
      </c>
    </row>
    <row r="293" spans="1:3">
      <c r="A293" t="s">
        <v>632</v>
      </c>
      <c r="B293" t="s">
        <v>633</v>
      </c>
      <c r="C293" t="s">
        <v>632</v>
      </c>
    </row>
    <row r="294" spans="1:3">
      <c r="A294" t="s">
        <v>634</v>
      </c>
      <c r="B294" t="s">
        <v>635</v>
      </c>
      <c r="C294" t="s">
        <v>634</v>
      </c>
    </row>
    <row r="295" spans="1:3">
      <c r="A295" t="s">
        <v>636</v>
      </c>
      <c r="B295" t="s">
        <v>637</v>
      </c>
      <c r="C295" t="s">
        <v>636</v>
      </c>
    </row>
    <row r="296" spans="1:3">
      <c r="A296" t="s">
        <v>638</v>
      </c>
      <c r="B296" t="s">
        <v>639</v>
      </c>
      <c r="C296" t="s">
        <v>638</v>
      </c>
    </row>
    <row r="297" spans="1:3">
      <c r="A297" t="s">
        <v>640</v>
      </c>
      <c r="B297" t="s">
        <v>641</v>
      </c>
      <c r="C297" t="s">
        <v>640</v>
      </c>
    </row>
    <row r="298" spans="1:3">
      <c r="A298" t="s">
        <v>642</v>
      </c>
      <c r="B298" t="s">
        <v>643</v>
      </c>
      <c r="C298" t="s">
        <v>642</v>
      </c>
    </row>
    <row r="299" spans="1:3">
      <c r="A299" t="s">
        <v>644</v>
      </c>
      <c r="B299" t="s">
        <v>645</v>
      </c>
      <c r="C299" t="s">
        <v>644</v>
      </c>
    </row>
    <row r="300" spans="1:3">
      <c r="A300" t="s">
        <v>646</v>
      </c>
      <c r="B300" t="s">
        <v>647</v>
      </c>
      <c r="C300" t="s">
        <v>646</v>
      </c>
    </row>
    <row r="301" spans="1:3">
      <c r="A301" t="s">
        <v>648</v>
      </c>
      <c r="B301" t="s">
        <v>649</v>
      </c>
      <c r="C301" t="s">
        <v>648</v>
      </c>
    </row>
    <row r="302" spans="1:3">
      <c r="A302" t="s">
        <v>650</v>
      </c>
      <c r="B302" t="s">
        <v>651</v>
      </c>
      <c r="C302" t="s">
        <v>650</v>
      </c>
    </row>
    <row r="303" spans="1:3">
      <c r="A303" t="s">
        <v>652</v>
      </c>
      <c r="B303" t="s">
        <v>653</v>
      </c>
      <c r="C303" t="s">
        <v>652</v>
      </c>
    </row>
    <row r="304" spans="1:3">
      <c r="A304" t="s">
        <v>654</v>
      </c>
      <c r="B304" t="s">
        <v>655</v>
      </c>
      <c r="C304" t="s">
        <v>654</v>
      </c>
    </row>
    <row r="305" spans="1:3">
      <c r="A305" t="s">
        <v>656</v>
      </c>
      <c r="B305" t="s">
        <v>657</v>
      </c>
      <c r="C305" t="s">
        <v>656</v>
      </c>
    </row>
    <row r="306" spans="1:3">
      <c r="A306" t="s">
        <v>658</v>
      </c>
      <c r="B306" t="s">
        <v>659</v>
      </c>
      <c r="C306" t="s">
        <v>658</v>
      </c>
    </row>
    <row r="307" spans="1:3">
      <c r="A307" t="s">
        <v>660</v>
      </c>
      <c r="B307" t="s">
        <v>661</v>
      </c>
      <c r="C307" t="s">
        <v>660</v>
      </c>
    </row>
    <row r="308" spans="1:3">
      <c r="A308" t="s">
        <v>662</v>
      </c>
      <c r="B308" t="s">
        <v>663</v>
      </c>
      <c r="C308" t="s">
        <v>662</v>
      </c>
    </row>
    <row r="309" spans="1:3">
      <c r="A309" t="s">
        <v>664</v>
      </c>
      <c r="B309" t="s">
        <v>665</v>
      </c>
      <c r="C309" t="s">
        <v>664</v>
      </c>
    </row>
    <row r="310" spans="1:3">
      <c r="A310" t="s">
        <v>666</v>
      </c>
      <c r="B310" t="s">
        <v>667</v>
      </c>
      <c r="C310" t="s">
        <v>666</v>
      </c>
    </row>
    <row r="311" spans="1:3">
      <c r="A311" t="s">
        <v>668</v>
      </c>
      <c r="B311" t="s">
        <v>669</v>
      </c>
      <c r="C311" t="s">
        <v>668</v>
      </c>
    </row>
    <row r="312" spans="1:3">
      <c r="A312" t="s">
        <v>670</v>
      </c>
      <c r="B312" t="s">
        <v>671</v>
      </c>
      <c r="C312" t="s">
        <v>670</v>
      </c>
    </row>
    <row r="313" spans="1:3">
      <c r="A313" t="s">
        <v>672</v>
      </c>
      <c r="B313" t="s">
        <v>673</v>
      </c>
      <c r="C313" t="s">
        <v>672</v>
      </c>
    </row>
    <row r="314" spans="1:3">
      <c r="A314" t="s">
        <v>674</v>
      </c>
      <c r="B314" t="s">
        <v>675</v>
      </c>
      <c r="C314" t="s">
        <v>674</v>
      </c>
    </row>
    <row r="315" spans="1:3">
      <c r="A315" t="s">
        <v>676</v>
      </c>
      <c r="B315" t="s">
        <v>677</v>
      </c>
      <c r="C315" t="s">
        <v>676</v>
      </c>
    </row>
    <row r="316" spans="1:3">
      <c r="A316" t="s">
        <v>678</v>
      </c>
      <c r="B316" t="s">
        <v>679</v>
      </c>
      <c r="C316" t="s">
        <v>678</v>
      </c>
    </row>
    <row r="317" spans="1:3">
      <c r="A317" t="s">
        <v>1472</v>
      </c>
      <c r="B317" t="s">
        <v>680</v>
      </c>
      <c r="C317" t="s">
        <v>1472</v>
      </c>
    </row>
    <row r="318" spans="1:3">
      <c r="A318" t="s">
        <v>1473</v>
      </c>
      <c r="B318" t="s">
        <v>681</v>
      </c>
      <c r="C318" t="s">
        <v>1473</v>
      </c>
    </row>
    <row r="319" spans="1:3">
      <c r="A319" t="s">
        <v>682</v>
      </c>
      <c r="B319" t="s">
        <v>683</v>
      </c>
      <c r="C319" t="s">
        <v>682</v>
      </c>
    </row>
    <row r="320" spans="1:3">
      <c r="A320" t="s">
        <v>684</v>
      </c>
      <c r="B320" t="s">
        <v>685</v>
      </c>
      <c r="C320" t="s">
        <v>684</v>
      </c>
    </row>
    <row r="321" spans="1:3">
      <c r="A321" t="s">
        <v>686</v>
      </c>
      <c r="B321" t="s">
        <v>687</v>
      </c>
      <c r="C321" t="s">
        <v>686</v>
      </c>
    </row>
    <row r="322" spans="1:3">
      <c r="A322" t="s">
        <v>688</v>
      </c>
      <c r="B322" t="s">
        <v>689</v>
      </c>
      <c r="C322" t="s">
        <v>688</v>
      </c>
    </row>
    <row r="323" spans="1:3">
      <c r="A323" t="s">
        <v>690</v>
      </c>
      <c r="B323" t="s">
        <v>691</v>
      </c>
      <c r="C323" t="s">
        <v>690</v>
      </c>
    </row>
    <row r="324" spans="1:3">
      <c r="A324" t="s">
        <v>692</v>
      </c>
      <c r="B324" t="s">
        <v>693</v>
      </c>
      <c r="C324" t="s">
        <v>692</v>
      </c>
    </row>
    <row r="325" spans="1:3">
      <c r="A325" t="s">
        <v>694</v>
      </c>
      <c r="B325" t="s">
        <v>695</v>
      </c>
      <c r="C325" t="s">
        <v>694</v>
      </c>
    </row>
    <row r="326" spans="1:3">
      <c r="A326" t="s">
        <v>1474</v>
      </c>
      <c r="B326" t="s">
        <v>696</v>
      </c>
      <c r="C326" t="s">
        <v>1474</v>
      </c>
    </row>
    <row r="327" spans="1:3">
      <c r="A327" t="s">
        <v>697</v>
      </c>
      <c r="B327" t="s">
        <v>698</v>
      </c>
      <c r="C327" t="s">
        <v>697</v>
      </c>
    </row>
    <row r="328" spans="1:3">
      <c r="A328" t="s">
        <v>699</v>
      </c>
      <c r="B328" t="s">
        <v>700</v>
      </c>
      <c r="C328" t="s">
        <v>699</v>
      </c>
    </row>
    <row r="329" spans="1:3">
      <c r="A329" t="s">
        <v>701</v>
      </c>
      <c r="B329" t="s">
        <v>702</v>
      </c>
      <c r="C329" t="s">
        <v>701</v>
      </c>
    </row>
    <row r="330" spans="1:3">
      <c r="A330" t="s">
        <v>1475</v>
      </c>
      <c r="B330" t="s">
        <v>703</v>
      </c>
      <c r="C330" t="s">
        <v>1475</v>
      </c>
    </row>
    <row r="331" spans="1:3">
      <c r="A331" t="s">
        <v>704</v>
      </c>
      <c r="B331" t="s">
        <v>705</v>
      </c>
      <c r="C331" t="s">
        <v>704</v>
      </c>
    </row>
    <row r="332" spans="1:3">
      <c r="A332" t="s">
        <v>706</v>
      </c>
      <c r="B332" t="s">
        <v>707</v>
      </c>
      <c r="C332" t="s">
        <v>706</v>
      </c>
    </row>
    <row r="333" spans="1:3">
      <c r="A333" t="s">
        <v>708</v>
      </c>
      <c r="B333" t="s">
        <v>709</v>
      </c>
      <c r="C333" t="s">
        <v>708</v>
      </c>
    </row>
    <row r="334" spans="1:3">
      <c r="A334" t="s">
        <v>710</v>
      </c>
      <c r="B334" t="s">
        <v>711</v>
      </c>
      <c r="C334" t="s">
        <v>710</v>
      </c>
    </row>
    <row r="335" spans="1:3">
      <c r="A335" t="s">
        <v>712</v>
      </c>
      <c r="B335" t="s">
        <v>713</v>
      </c>
      <c r="C335" t="s">
        <v>712</v>
      </c>
    </row>
    <row r="336" spans="1:3">
      <c r="A336" t="s">
        <v>714</v>
      </c>
      <c r="B336" t="s">
        <v>715</v>
      </c>
      <c r="C336" t="s">
        <v>714</v>
      </c>
    </row>
    <row r="337" spans="1:3">
      <c r="A337" t="s">
        <v>716</v>
      </c>
      <c r="B337" t="s">
        <v>717</v>
      </c>
      <c r="C337" t="s">
        <v>716</v>
      </c>
    </row>
    <row r="338" spans="1:3">
      <c r="A338" t="s">
        <v>718</v>
      </c>
      <c r="B338" t="s">
        <v>719</v>
      </c>
      <c r="C338" t="s">
        <v>718</v>
      </c>
    </row>
    <row r="339" spans="1:3">
      <c r="A339" t="s">
        <v>720</v>
      </c>
      <c r="B339" t="s">
        <v>721</v>
      </c>
      <c r="C339" t="s">
        <v>720</v>
      </c>
    </row>
    <row r="340" spans="1:3">
      <c r="A340" t="s">
        <v>722</v>
      </c>
      <c r="B340" t="s">
        <v>723</v>
      </c>
      <c r="C340" t="s">
        <v>722</v>
      </c>
    </row>
    <row r="341" spans="1:3">
      <c r="A341" t="s">
        <v>724</v>
      </c>
      <c r="B341" t="s">
        <v>725</v>
      </c>
      <c r="C341" t="s">
        <v>724</v>
      </c>
    </row>
    <row r="342" spans="1:3">
      <c r="A342" t="s">
        <v>726</v>
      </c>
      <c r="B342" t="s">
        <v>727</v>
      </c>
      <c r="C342" t="s">
        <v>726</v>
      </c>
    </row>
    <row r="343" spans="1:3">
      <c r="A343" t="s">
        <v>728</v>
      </c>
      <c r="B343" t="s">
        <v>729</v>
      </c>
      <c r="C343" t="s">
        <v>728</v>
      </c>
    </row>
    <row r="344" spans="1:3">
      <c r="A344" t="s">
        <v>730</v>
      </c>
      <c r="B344" t="s">
        <v>731</v>
      </c>
      <c r="C344" t="s">
        <v>730</v>
      </c>
    </row>
    <row r="345" spans="1:3">
      <c r="A345" t="s">
        <v>732</v>
      </c>
      <c r="B345" t="s">
        <v>733</v>
      </c>
      <c r="C345" t="s">
        <v>732</v>
      </c>
    </row>
    <row r="346" spans="1:3">
      <c r="A346" t="s">
        <v>734</v>
      </c>
      <c r="B346" t="s">
        <v>735</v>
      </c>
      <c r="C346" t="s">
        <v>734</v>
      </c>
    </row>
    <row r="347" spans="1:3">
      <c r="A347" t="s">
        <v>736</v>
      </c>
      <c r="B347" t="s">
        <v>737</v>
      </c>
      <c r="C347" t="s">
        <v>736</v>
      </c>
    </row>
    <row r="348" spans="1:3">
      <c r="A348" t="s">
        <v>738</v>
      </c>
      <c r="B348" t="s">
        <v>739</v>
      </c>
      <c r="C348" t="s">
        <v>738</v>
      </c>
    </row>
    <row r="349" spans="1:3">
      <c r="A349" t="s">
        <v>740</v>
      </c>
      <c r="B349" t="s">
        <v>741</v>
      </c>
      <c r="C349" t="s">
        <v>740</v>
      </c>
    </row>
    <row r="350" spans="1:3">
      <c r="A350" t="s">
        <v>742</v>
      </c>
      <c r="B350" t="s">
        <v>743</v>
      </c>
      <c r="C350" t="s">
        <v>742</v>
      </c>
    </row>
    <row r="351" spans="1:3">
      <c r="A351" t="s">
        <v>744</v>
      </c>
      <c r="B351" t="s">
        <v>745</v>
      </c>
      <c r="C351" t="s">
        <v>744</v>
      </c>
    </row>
    <row r="352" spans="1:3">
      <c r="A352" t="s">
        <v>746</v>
      </c>
      <c r="B352" t="s">
        <v>747</v>
      </c>
      <c r="C352" t="s">
        <v>746</v>
      </c>
    </row>
    <row r="353" spans="1:3">
      <c r="A353" t="s">
        <v>748</v>
      </c>
      <c r="B353" t="s">
        <v>749</v>
      </c>
      <c r="C353" t="s">
        <v>748</v>
      </c>
    </row>
    <row r="354" spans="1:3">
      <c r="A354" t="s">
        <v>750</v>
      </c>
      <c r="B354" t="s">
        <v>751</v>
      </c>
      <c r="C354" t="s">
        <v>750</v>
      </c>
    </row>
    <row r="355" spans="1:3">
      <c r="A355" t="s">
        <v>752</v>
      </c>
      <c r="B355" t="s">
        <v>753</v>
      </c>
      <c r="C355" t="s">
        <v>752</v>
      </c>
    </row>
    <row r="356" spans="1:3">
      <c r="A356" t="s">
        <v>754</v>
      </c>
      <c r="B356" t="s">
        <v>755</v>
      </c>
      <c r="C356" t="s">
        <v>754</v>
      </c>
    </row>
    <row r="357" spans="1:3">
      <c r="A357" t="s">
        <v>756</v>
      </c>
      <c r="B357" t="s">
        <v>757</v>
      </c>
      <c r="C357" t="s">
        <v>756</v>
      </c>
    </row>
    <row r="358" spans="1:3">
      <c r="A358" t="s">
        <v>758</v>
      </c>
      <c r="B358" t="s">
        <v>759</v>
      </c>
      <c r="C358" t="s">
        <v>758</v>
      </c>
    </row>
    <row r="359" spans="1:3">
      <c r="A359" t="s">
        <v>760</v>
      </c>
      <c r="B359" t="s">
        <v>761</v>
      </c>
      <c r="C359" t="s">
        <v>760</v>
      </c>
    </row>
    <row r="360" spans="1:3">
      <c r="A360" t="s">
        <v>762</v>
      </c>
      <c r="B360" t="s">
        <v>763</v>
      </c>
      <c r="C360" t="s">
        <v>762</v>
      </c>
    </row>
    <row r="361" spans="1:3">
      <c r="A361" t="s">
        <v>764</v>
      </c>
      <c r="B361" t="s">
        <v>765</v>
      </c>
      <c r="C361" t="s">
        <v>764</v>
      </c>
    </row>
    <row r="362" spans="1:3">
      <c r="A362" t="s">
        <v>766</v>
      </c>
      <c r="B362" t="s">
        <v>767</v>
      </c>
      <c r="C362" t="s">
        <v>766</v>
      </c>
    </row>
    <row r="363" spans="1:3">
      <c r="A363" t="s">
        <v>768</v>
      </c>
      <c r="B363" t="s">
        <v>769</v>
      </c>
      <c r="C363" t="s">
        <v>768</v>
      </c>
    </row>
    <row r="364" spans="1:3">
      <c r="A364" t="s">
        <v>770</v>
      </c>
      <c r="B364" t="s">
        <v>771</v>
      </c>
      <c r="C364" t="s">
        <v>770</v>
      </c>
    </row>
    <row r="365" spans="1:3">
      <c r="A365" t="s">
        <v>772</v>
      </c>
      <c r="B365" t="s">
        <v>773</v>
      </c>
      <c r="C365" t="s">
        <v>772</v>
      </c>
    </row>
    <row r="366" spans="1:3">
      <c r="A366" t="s">
        <v>774</v>
      </c>
      <c r="B366" t="s">
        <v>775</v>
      </c>
      <c r="C366" t="s">
        <v>774</v>
      </c>
    </row>
    <row r="367" spans="1:3">
      <c r="A367" t="s">
        <v>776</v>
      </c>
      <c r="B367" t="s">
        <v>777</v>
      </c>
      <c r="C367" t="s">
        <v>776</v>
      </c>
    </row>
    <row r="368" spans="1:3">
      <c r="A368" t="s">
        <v>778</v>
      </c>
      <c r="B368" t="s">
        <v>779</v>
      </c>
      <c r="C368" t="s">
        <v>778</v>
      </c>
    </row>
    <row r="369" spans="1:3">
      <c r="A369" t="s">
        <v>780</v>
      </c>
      <c r="B369" t="s">
        <v>781</v>
      </c>
      <c r="C369" t="s">
        <v>780</v>
      </c>
    </row>
    <row r="370" spans="1:3">
      <c r="A370" t="s">
        <v>782</v>
      </c>
      <c r="B370" t="s">
        <v>783</v>
      </c>
      <c r="C370" t="s">
        <v>782</v>
      </c>
    </row>
    <row r="371" spans="1:3">
      <c r="A371" t="s">
        <v>784</v>
      </c>
      <c r="B371" t="s">
        <v>785</v>
      </c>
      <c r="C371" t="s">
        <v>784</v>
      </c>
    </row>
    <row r="372" spans="1:3">
      <c r="A372" t="s">
        <v>786</v>
      </c>
      <c r="B372" t="s">
        <v>787</v>
      </c>
      <c r="C372" t="s">
        <v>786</v>
      </c>
    </row>
    <row r="373" spans="1:3">
      <c r="A373" t="s">
        <v>788</v>
      </c>
      <c r="B373" t="s">
        <v>789</v>
      </c>
      <c r="C373" t="s">
        <v>788</v>
      </c>
    </row>
    <row r="374" spans="1:3">
      <c r="A374" t="s">
        <v>790</v>
      </c>
      <c r="B374" t="s">
        <v>791</v>
      </c>
      <c r="C374" t="s">
        <v>790</v>
      </c>
    </row>
    <row r="375" spans="1:3">
      <c r="A375" t="s">
        <v>792</v>
      </c>
      <c r="B375" t="s">
        <v>793</v>
      </c>
      <c r="C375" t="s">
        <v>792</v>
      </c>
    </row>
    <row r="376" spans="1:3">
      <c r="A376" t="s">
        <v>794</v>
      </c>
      <c r="B376" t="s">
        <v>795</v>
      </c>
      <c r="C376" t="s">
        <v>794</v>
      </c>
    </row>
    <row r="377" spans="1:3">
      <c r="A377" t="s">
        <v>796</v>
      </c>
      <c r="B377" t="s">
        <v>797</v>
      </c>
      <c r="C377" t="s">
        <v>796</v>
      </c>
    </row>
    <row r="378" spans="1:3">
      <c r="A378" t="s">
        <v>1476</v>
      </c>
      <c r="B378" t="s">
        <v>798</v>
      </c>
      <c r="C378" t="s">
        <v>1476</v>
      </c>
    </row>
    <row r="379" spans="1:3">
      <c r="A379" t="s">
        <v>799</v>
      </c>
      <c r="B379" t="s">
        <v>800</v>
      </c>
      <c r="C379" t="s">
        <v>799</v>
      </c>
    </row>
    <row r="380" spans="1:3">
      <c r="A380" t="s">
        <v>801</v>
      </c>
      <c r="B380" t="s">
        <v>802</v>
      </c>
      <c r="C380" t="s">
        <v>801</v>
      </c>
    </row>
    <row r="381" spans="1:3">
      <c r="A381" t="s">
        <v>803</v>
      </c>
      <c r="B381" t="s">
        <v>804</v>
      </c>
      <c r="C381" t="s">
        <v>803</v>
      </c>
    </row>
    <row r="382" spans="1:3">
      <c r="A382" t="s">
        <v>805</v>
      </c>
      <c r="B382" t="s">
        <v>806</v>
      </c>
      <c r="C382" t="s">
        <v>805</v>
      </c>
    </row>
    <row r="383" spans="1:3">
      <c r="A383" t="s">
        <v>807</v>
      </c>
      <c r="B383" t="s">
        <v>808</v>
      </c>
      <c r="C383" t="s">
        <v>807</v>
      </c>
    </row>
    <row r="384" spans="1:3">
      <c r="A384" t="s">
        <v>809</v>
      </c>
      <c r="B384" t="s">
        <v>810</v>
      </c>
      <c r="C384" t="s">
        <v>809</v>
      </c>
    </row>
    <row r="385" spans="1:3">
      <c r="A385" t="s">
        <v>811</v>
      </c>
      <c r="B385" t="s">
        <v>812</v>
      </c>
      <c r="C385" t="s">
        <v>811</v>
      </c>
    </row>
    <row r="386" spans="1:3">
      <c r="A386" t="s">
        <v>813</v>
      </c>
      <c r="B386" t="s">
        <v>814</v>
      </c>
      <c r="C386" t="s">
        <v>813</v>
      </c>
    </row>
    <row r="387" spans="1:3">
      <c r="A387" t="s">
        <v>815</v>
      </c>
      <c r="B387" t="s">
        <v>816</v>
      </c>
      <c r="C387" t="s">
        <v>815</v>
      </c>
    </row>
    <row r="388" spans="1:3">
      <c r="A388" t="s">
        <v>817</v>
      </c>
      <c r="B388" t="s">
        <v>818</v>
      </c>
      <c r="C388" t="s">
        <v>817</v>
      </c>
    </row>
    <row r="389" spans="1:3">
      <c r="A389" t="s">
        <v>819</v>
      </c>
      <c r="B389" t="s">
        <v>820</v>
      </c>
      <c r="C389" t="s">
        <v>819</v>
      </c>
    </row>
    <row r="390" spans="1:3">
      <c r="A390" t="s">
        <v>821</v>
      </c>
      <c r="B390" t="s">
        <v>822</v>
      </c>
      <c r="C390" t="s">
        <v>821</v>
      </c>
    </row>
    <row r="391" spans="1:3">
      <c r="A391" t="s">
        <v>823</v>
      </c>
      <c r="B391" t="s">
        <v>824</v>
      </c>
      <c r="C391" t="s">
        <v>823</v>
      </c>
    </row>
    <row r="392" spans="1:3">
      <c r="A392" t="s">
        <v>825</v>
      </c>
      <c r="B392" t="s">
        <v>826</v>
      </c>
      <c r="C392" t="s">
        <v>825</v>
      </c>
    </row>
    <row r="393" spans="1:3">
      <c r="A393" t="s">
        <v>827</v>
      </c>
      <c r="B393" t="s">
        <v>828</v>
      </c>
      <c r="C393" t="s">
        <v>827</v>
      </c>
    </row>
    <row r="394" spans="1:3">
      <c r="A394" t="s">
        <v>829</v>
      </c>
      <c r="B394" t="s">
        <v>830</v>
      </c>
      <c r="C394" t="s">
        <v>829</v>
      </c>
    </row>
    <row r="395" spans="1:3">
      <c r="A395" t="s">
        <v>831</v>
      </c>
      <c r="B395" t="s">
        <v>832</v>
      </c>
      <c r="C395" t="s">
        <v>831</v>
      </c>
    </row>
    <row r="396" spans="1:3">
      <c r="A396" t="s">
        <v>833</v>
      </c>
      <c r="B396" t="s">
        <v>834</v>
      </c>
      <c r="C396" t="s">
        <v>833</v>
      </c>
    </row>
    <row r="397" spans="1:3">
      <c r="A397" t="s">
        <v>835</v>
      </c>
      <c r="B397" t="s">
        <v>836</v>
      </c>
      <c r="C397" t="s">
        <v>835</v>
      </c>
    </row>
    <row r="398" spans="1:3">
      <c r="A398" t="s">
        <v>837</v>
      </c>
      <c r="B398" t="s">
        <v>838</v>
      </c>
      <c r="C398" t="s">
        <v>837</v>
      </c>
    </row>
    <row r="399" spans="1:3">
      <c r="A399" t="s">
        <v>839</v>
      </c>
      <c r="B399" t="s">
        <v>840</v>
      </c>
      <c r="C399" t="s">
        <v>839</v>
      </c>
    </row>
    <row r="400" spans="1:3">
      <c r="A400" t="s">
        <v>841</v>
      </c>
      <c r="B400" t="s">
        <v>842</v>
      </c>
      <c r="C400" t="s">
        <v>841</v>
      </c>
    </row>
    <row r="401" spans="1:3">
      <c r="A401" t="s">
        <v>1477</v>
      </c>
      <c r="B401" t="s">
        <v>843</v>
      </c>
      <c r="C401" t="s">
        <v>1477</v>
      </c>
    </row>
    <row r="402" spans="1:3">
      <c r="A402" t="s">
        <v>844</v>
      </c>
      <c r="B402" t="s">
        <v>845</v>
      </c>
      <c r="C402" t="s">
        <v>844</v>
      </c>
    </row>
    <row r="403" spans="1:3">
      <c r="A403" t="s">
        <v>1478</v>
      </c>
      <c r="B403" t="s">
        <v>846</v>
      </c>
      <c r="C403" t="s">
        <v>1478</v>
      </c>
    </row>
    <row r="404" spans="1:3">
      <c r="A404" t="s">
        <v>847</v>
      </c>
      <c r="B404" t="s">
        <v>848</v>
      </c>
      <c r="C404" t="s">
        <v>847</v>
      </c>
    </row>
    <row r="405" spans="1:3">
      <c r="A405" t="s">
        <v>849</v>
      </c>
      <c r="B405" t="s">
        <v>850</v>
      </c>
      <c r="C405" t="s">
        <v>849</v>
      </c>
    </row>
    <row r="406" spans="1:3">
      <c r="A406" t="s">
        <v>851</v>
      </c>
      <c r="B406" t="s">
        <v>852</v>
      </c>
      <c r="C406" t="s">
        <v>851</v>
      </c>
    </row>
    <row r="407" spans="1:3">
      <c r="A407" t="s">
        <v>853</v>
      </c>
      <c r="B407" t="s">
        <v>854</v>
      </c>
      <c r="C407" t="s">
        <v>853</v>
      </c>
    </row>
    <row r="408" spans="1:3">
      <c r="A408" t="s">
        <v>855</v>
      </c>
      <c r="B408" t="s">
        <v>856</v>
      </c>
      <c r="C408" t="s">
        <v>855</v>
      </c>
    </row>
    <row r="409" spans="1:3">
      <c r="A409" t="s">
        <v>857</v>
      </c>
      <c r="B409" t="s">
        <v>858</v>
      </c>
      <c r="C409" t="s">
        <v>857</v>
      </c>
    </row>
    <row r="410" spans="1:3">
      <c r="A410" t="s">
        <v>859</v>
      </c>
      <c r="B410" t="s">
        <v>860</v>
      </c>
      <c r="C410" t="s">
        <v>859</v>
      </c>
    </row>
    <row r="411" spans="1:3">
      <c r="A411" t="s">
        <v>861</v>
      </c>
      <c r="B411" t="s">
        <v>862</v>
      </c>
      <c r="C411" t="s">
        <v>861</v>
      </c>
    </row>
    <row r="412" spans="1:3">
      <c r="A412" t="s">
        <v>863</v>
      </c>
      <c r="B412" t="s">
        <v>864</v>
      </c>
      <c r="C412" t="s">
        <v>863</v>
      </c>
    </row>
    <row r="413" spans="1:3">
      <c r="A413" t="s">
        <v>1479</v>
      </c>
      <c r="B413" t="s">
        <v>865</v>
      </c>
      <c r="C413" t="s">
        <v>1479</v>
      </c>
    </row>
    <row r="414" spans="1:3">
      <c r="A414" t="s">
        <v>866</v>
      </c>
      <c r="B414" t="s">
        <v>867</v>
      </c>
      <c r="C414" t="s">
        <v>866</v>
      </c>
    </row>
    <row r="415" spans="1:3">
      <c r="A415" t="s">
        <v>868</v>
      </c>
      <c r="B415" t="s">
        <v>869</v>
      </c>
      <c r="C415" t="s">
        <v>868</v>
      </c>
    </row>
    <row r="416" spans="1:3">
      <c r="A416" t="s">
        <v>870</v>
      </c>
      <c r="B416" t="s">
        <v>871</v>
      </c>
      <c r="C416" t="s">
        <v>870</v>
      </c>
    </row>
    <row r="417" spans="1:3">
      <c r="A417" t="s">
        <v>872</v>
      </c>
      <c r="B417" t="s">
        <v>873</v>
      </c>
      <c r="C417" t="s">
        <v>872</v>
      </c>
    </row>
    <row r="418" spans="1:3">
      <c r="A418" t="s">
        <v>874</v>
      </c>
      <c r="B418" t="s">
        <v>875</v>
      </c>
      <c r="C418" t="s">
        <v>874</v>
      </c>
    </row>
    <row r="419" spans="1:3">
      <c r="A419" t="s">
        <v>876</v>
      </c>
      <c r="B419" t="s">
        <v>877</v>
      </c>
      <c r="C419" t="s">
        <v>876</v>
      </c>
    </row>
    <row r="420" spans="1:3">
      <c r="A420" t="s">
        <v>878</v>
      </c>
      <c r="B420" t="s">
        <v>879</v>
      </c>
      <c r="C420" t="s">
        <v>878</v>
      </c>
    </row>
    <row r="421" spans="1:3">
      <c r="A421" t="s">
        <v>880</v>
      </c>
      <c r="B421" t="s">
        <v>881</v>
      </c>
      <c r="C421" t="s">
        <v>880</v>
      </c>
    </row>
    <row r="422" spans="1:3">
      <c r="A422" t="s">
        <v>882</v>
      </c>
      <c r="B422" t="s">
        <v>883</v>
      </c>
      <c r="C422" t="s">
        <v>882</v>
      </c>
    </row>
    <row r="423" spans="1:3">
      <c r="A423" t="s">
        <v>884</v>
      </c>
      <c r="B423" t="s">
        <v>885</v>
      </c>
      <c r="C423" t="s">
        <v>884</v>
      </c>
    </row>
    <row r="424" spans="1:3">
      <c r="A424" t="s">
        <v>886</v>
      </c>
      <c r="B424" t="s">
        <v>887</v>
      </c>
      <c r="C424" t="s">
        <v>886</v>
      </c>
    </row>
    <row r="425" spans="1:3">
      <c r="A425" t="s">
        <v>888</v>
      </c>
      <c r="B425" t="s">
        <v>889</v>
      </c>
      <c r="C425" t="s">
        <v>888</v>
      </c>
    </row>
    <row r="426" spans="1:3">
      <c r="A426" t="s">
        <v>890</v>
      </c>
      <c r="B426" t="s">
        <v>891</v>
      </c>
      <c r="C426" t="s">
        <v>890</v>
      </c>
    </row>
    <row r="427" spans="1:3">
      <c r="A427" t="s">
        <v>892</v>
      </c>
      <c r="B427" t="s">
        <v>893</v>
      </c>
      <c r="C427" t="s">
        <v>892</v>
      </c>
    </row>
    <row r="428" spans="1:3">
      <c r="A428" t="s">
        <v>894</v>
      </c>
      <c r="B428" t="s">
        <v>895</v>
      </c>
      <c r="C428" t="s">
        <v>894</v>
      </c>
    </row>
    <row r="429" spans="1:3">
      <c r="A429" t="s">
        <v>896</v>
      </c>
      <c r="B429" t="s">
        <v>897</v>
      </c>
      <c r="C429" t="s">
        <v>896</v>
      </c>
    </row>
    <row r="430" spans="1:3">
      <c r="A430" t="s">
        <v>898</v>
      </c>
      <c r="B430" t="s">
        <v>899</v>
      </c>
      <c r="C430" t="s">
        <v>898</v>
      </c>
    </row>
    <row r="431" spans="1:3">
      <c r="A431" t="s">
        <v>900</v>
      </c>
      <c r="B431" t="s">
        <v>901</v>
      </c>
      <c r="C431" t="s">
        <v>900</v>
      </c>
    </row>
    <row r="432" spans="1:3">
      <c r="A432" t="s">
        <v>902</v>
      </c>
      <c r="B432" t="s">
        <v>903</v>
      </c>
      <c r="C432" t="s">
        <v>902</v>
      </c>
    </row>
    <row r="433" spans="1:3">
      <c r="A433" t="s">
        <v>904</v>
      </c>
      <c r="B433" t="s">
        <v>905</v>
      </c>
      <c r="C433" t="s">
        <v>904</v>
      </c>
    </row>
    <row r="434" spans="1:3">
      <c r="A434" t="s">
        <v>906</v>
      </c>
      <c r="B434" t="s">
        <v>907</v>
      </c>
      <c r="C434" t="s">
        <v>906</v>
      </c>
    </row>
    <row r="435" spans="1:3">
      <c r="A435" t="s">
        <v>908</v>
      </c>
      <c r="B435" t="s">
        <v>909</v>
      </c>
      <c r="C435" t="s">
        <v>908</v>
      </c>
    </row>
    <row r="436" spans="1:3">
      <c r="A436" t="s">
        <v>910</v>
      </c>
      <c r="B436" t="s">
        <v>911</v>
      </c>
      <c r="C436" t="s">
        <v>910</v>
      </c>
    </row>
    <row r="437" spans="1:3">
      <c r="A437" t="s">
        <v>912</v>
      </c>
      <c r="B437" t="s">
        <v>913</v>
      </c>
      <c r="C437" t="s">
        <v>912</v>
      </c>
    </row>
    <row r="438" spans="1:3">
      <c r="A438" t="s">
        <v>914</v>
      </c>
      <c r="B438" t="s">
        <v>915</v>
      </c>
      <c r="C438" t="s">
        <v>914</v>
      </c>
    </row>
    <row r="439" spans="1:3">
      <c r="A439" t="s">
        <v>916</v>
      </c>
      <c r="B439" t="s">
        <v>917</v>
      </c>
      <c r="C439" t="s">
        <v>916</v>
      </c>
    </row>
    <row r="440" spans="1:3">
      <c r="A440" t="s">
        <v>918</v>
      </c>
      <c r="B440" t="s">
        <v>919</v>
      </c>
      <c r="C440" t="s">
        <v>918</v>
      </c>
    </row>
    <row r="441" spans="1:3">
      <c r="A441" t="s">
        <v>920</v>
      </c>
      <c r="B441" t="s">
        <v>921</v>
      </c>
      <c r="C441" t="s">
        <v>920</v>
      </c>
    </row>
    <row r="442" spans="1:3">
      <c r="A442" t="s">
        <v>1480</v>
      </c>
      <c r="B442" t="s">
        <v>922</v>
      </c>
      <c r="C442" t="s">
        <v>1480</v>
      </c>
    </row>
    <row r="443" spans="1:3">
      <c r="A443" t="s">
        <v>923</v>
      </c>
      <c r="B443" t="s">
        <v>924</v>
      </c>
      <c r="C443" t="s">
        <v>923</v>
      </c>
    </row>
    <row r="444" spans="1:3">
      <c r="A444" t="s">
        <v>925</v>
      </c>
      <c r="B444" t="s">
        <v>926</v>
      </c>
      <c r="C444" t="s">
        <v>925</v>
      </c>
    </row>
    <row r="445" spans="1:3">
      <c r="A445" t="s">
        <v>927</v>
      </c>
      <c r="B445" t="s">
        <v>928</v>
      </c>
      <c r="C445" t="s">
        <v>927</v>
      </c>
    </row>
    <row r="446" spans="1:3">
      <c r="A446" t="s">
        <v>929</v>
      </c>
      <c r="B446" t="s">
        <v>930</v>
      </c>
      <c r="C446" t="s">
        <v>929</v>
      </c>
    </row>
    <row r="447" spans="1:3">
      <c r="A447" t="s">
        <v>931</v>
      </c>
      <c r="B447" t="s">
        <v>932</v>
      </c>
      <c r="C447" t="s">
        <v>931</v>
      </c>
    </row>
    <row r="448" spans="1:3">
      <c r="A448" t="s">
        <v>933</v>
      </c>
      <c r="B448" t="s">
        <v>934</v>
      </c>
      <c r="C448" t="s">
        <v>933</v>
      </c>
    </row>
    <row r="449" spans="1:3">
      <c r="A449" t="s">
        <v>935</v>
      </c>
      <c r="B449" t="s">
        <v>936</v>
      </c>
      <c r="C449" t="s">
        <v>935</v>
      </c>
    </row>
    <row r="450" spans="1:3">
      <c r="A450" t="s">
        <v>937</v>
      </c>
      <c r="B450" t="s">
        <v>938</v>
      </c>
      <c r="C450" t="s">
        <v>937</v>
      </c>
    </row>
    <row r="451" spans="1:3">
      <c r="A451" t="s">
        <v>939</v>
      </c>
      <c r="B451" t="s">
        <v>940</v>
      </c>
      <c r="C451" t="s">
        <v>939</v>
      </c>
    </row>
    <row r="452" spans="1:3">
      <c r="A452" t="s">
        <v>941</v>
      </c>
      <c r="B452" t="s">
        <v>942</v>
      </c>
      <c r="C452" t="s">
        <v>941</v>
      </c>
    </row>
    <row r="453" spans="1:3">
      <c r="A453" t="s">
        <v>943</v>
      </c>
      <c r="B453" t="s">
        <v>944</v>
      </c>
      <c r="C453" t="s">
        <v>943</v>
      </c>
    </row>
    <row r="454" spans="1:3">
      <c r="A454" t="s">
        <v>945</v>
      </c>
      <c r="B454" t="s">
        <v>946</v>
      </c>
      <c r="C454" t="s">
        <v>945</v>
      </c>
    </row>
    <row r="455" spans="1:3">
      <c r="A455" t="s">
        <v>947</v>
      </c>
      <c r="B455" t="s">
        <v>948</v>
      </c>
      <c r="C455" t="s">
        <v>947</v>
      </c>
    </row>
    <row r="456" spans="1:3">
      <c r="A456" t="s">
        <v>949</v>
      </c>
      <c r="B456" t="s">
        <v>950</v>
      </c>
      <c r="C456" t="s">
        <v>949</v>
      </c>
    </row>
    <row r="457" spans="1:3">
      <c r="A457" t="s">
        <v>951</v>
      </c>
      <c r="B457" t="s">
        <v>952</v>
      </c>
      <c r="C457" t="s">
        <v>951</v>
      </c>
    </row>
    <row r="458" spans="1:3">
      <c r="A458" t="s">
        <v>953</v>
      </c>
      <c r="B458" t="s">
        <v>954</v>
      </c>
      <c r="C458" t="s">
        <v>953</v>
      </c>
    </row>
    <row r="459" spans="1:3">
      <c r="A459" t="s">
        <v>955</v>
      </c>
      <c r="B459" t="s">
        <v>956</v>
      </c>
      <c r="C459" t="s">
        <v>955</v>
      </c>
    </row>
    <row r="460" spans="1:3">
      <c r="A460" t="s">
        <v>1481</v>
      </c>
      <c r="B460" t="s">
        <v>957</v>
      </c>
      <c r="C460" t="s">
        <v>1481</v>
      </c>
    </row>
    <row r="461" spans="1:3">
      <c r="A461" t="s">
        <v>958</v>
      </c>
      <c r="B461" t="s">
        <v>42</v>
      </c>
      <c r="C461" t="s">
        <v>958</v>
      </c>
    </row>
    <row r="462" spans="1:3">
      <c r="A462" t="s">
        <v>959</v>
      </c>
      <c r="B462" t="s">
        <v>45</v>
      </c>
      <c r="C462" t="s">
        <v>959</v>
      </c>
    </row>
    <row r="463" spans="1:3">
      <c r="A463" t="s">
        <v>960</v>
      </c>
      <c r="B463" t="s">
        <v>48</v>
      </c>
      <c r="C463" t="s">
        <v>960</v>
      </c>
    </row>
    <row r="464" spans="1:3">
      <c r="A464" t="s">
        <v>961</v>
      </c>
      <c r="B464" t="s">
        <v>962</v>
      </c>
      <c r="C464" t="s">
        <v>961</v>
      </c>
    </row>
    <row r="465" spans="1:3">
      <c r="A465" t="s">
        <v>963</v>
      </c>
      <c r="B465" t="s">
        <v>51</v>
      </c>
      <c r="C465" t="s">
        <v>963</v>
      </c>
    </row>
    <row r="466" spans="1:3">
      <c r="A466" t="s">
        <v>964</v>
      </c>
      <c r="B466" t="s">
        <v>54</v>
      </c>
      <c r="C466" t="s">
        <v>964</v>
      </c>
    </row>
    <row r="467" spans="1:3">
      <c r="A467" t="s">
        <v>965</v>
      </c>
      <c r="B467" t="s">
        <v>57</v>
      </c>
      <c r="C467" t="s">
        <v>965</v>
      </c>
    </row>
    <row r="468" spans="1:3">
      <c r="A468" t="s">
        <v>966</v>
      </c>
      <c r="B468" t="s">
        <v>967</v>
      </c>
      <c r="C468" t="s">
        <v>966</v>
      </c>
    </row>
    <row r="469" spans="1:3">
      <c r="A469" t="s">
        <v>968</v>
      </c>
      <c r="B469" t="s">
        <v>60</v>
      </c>
      <c r="C469" t="s">
        <v>968</v>
      </c>
    </row>
    <row r="470" spans="1:3">
      <c r="A470" t="s">
        <v>969</v>
      </c>
      <c r="B470" t="s">
        <v>63</v>
      </c>
      <c r="C470" t="s">
        <v>969</v>
      </c>
    </row>
    <row r="471" spans="1:3">
      <c r="A471" t="s">
        <v>970</v>
      </c>
      <c r="B471" t="s">
        <v>971</v>
      </c>
      <c r="C471" t="s">
        <v>970</v>
      </c>
    </row>
    <row r="472" spans="1:3">
      <c r="A472" t="s">
        <v>972</v>
      </c>
      <c r="B472" t="s">
        <v>66</v>
      </c>
      <c r="C472" t="s">
        <v>972</v>
      </c>
    </row>
    <row r="473" spans="1:3">
      <c r="A473" t="s">
        <v>973</v>
      </c>
      <c r="B473" t="s">
        <v>974</v>
      </c>
      <c r="C473" t="s">
        <v>973</v>
      </c>
    </row>
    <row r="474" spans="1:3">
      <c r="A474" t="s">
        <v>975</v>
      </c>
      <c r="B474" t="s">
        <v>73</v>
      </c>
      <c r="C474" t="s">
        <v>975</v>
      </c>
    </row>
    <row r="475" spans="1:3">
      <c r="A475" t="s">
        <v>976</v>
      </c>
      <c r="B475" t="s">
        <v>977</v>
      </c>
      <c r="C475" t="s">
        <v>976</v>
      </c>
    </row>
    <row r="476" spans="1:3">
      <c r="A476" t="s">
        <v>978</v>
      </c>
      <c r="B476" t="s">
        <v>979</v>
      </c>
      <c r="C476" t="s">
        <v>978</v>
      </c>
    </row>
    <row r="477" spans="1:3">
      <c r="A477" t="s">
        <v>980</v>
      </c>
      <c r="B477" t="s">
        <v>981</v>
      </c>
      <c r="C477" t="s">
        <v>980</v>
      </c>
    </row>
    <row r="478" spans="1:3">
      <c r="A478" t="s">
        <v>982</v>
      </c>
      <c r="B478" t="s">
        <v>983</v>
      </c>
      <c r="C478" t="s">
        <v>982</v>
      </c>
    </row>
    <row r="479" spans="1:3">
      <c r="A479" t="s">
        <v>984</v>
      </c>
      <c r="B479" t="s">
        <v>76</v>
      </c>
      <c r="C479" t="s">
        <v>984</v>
      </c>
    </row>
    <row r="480" spans="1:3">
      <c r="A480" t="s">
        <v>985</v>
      </c>
      <c r="B480" t="s">
        <v>986</v>
      </c>
      <c r="C480" t="s">
        <v>985</v>
      </c>
    </row>
    <row r="481" spans="1:3">
      <c r="A481" t="s">
        <v>987</v>
      </c>
      <c r="B481" t="s">
        <v>988</v>
      </c>
      <c r="C481" t="s">
        <v>987</v>
      </c>
    </row>
    <row r="482" spans="1:3">
      <c r="A482" t="s">
        <v>989</v>
      </c>
      <c r="B482" t="s">
        <v>990</v>
      </c>
      <c r="C482" t="s">
        <v>989</v>
      </c>
    </row>
    <row r="483" spans="1:3">
      <c r="A483" t="s">
        <v>991</v>
      </c>
      <c r="B483" t="s">
        <v>992</v>
      </c>
      <c r="C483" t="s">
        <v>991</v>
      </c>
    </row>
    <row r="484" spans="1:3">
      <c r="A484" t="s">
        <v>993</v>
      </c>
      <c r="B484" t="s">
        <v>994</v>
      </c>
      <c r="C484" t="s">
        <v>993</v>
      </c>
    </row>
    <row r="485" spans="1:3">
      <c r="A485" t="s">
        <v>995</v>
      </c>
      <c r="B485" t="s">
        <v>79</v>
      </c>
      <c r="C485" t="s">
        <v>995</v>
      </c>
    </row>
    <row r="486" spans="1:3">
      <c r="A486" t="s">
        <v>996</v>
      </c>
      <c r="B486" t="s">
        <v>82</v>
      </c>
      <c r="C486" t="s">
        <v>996</v>
      </c>
    </row>
    <row r="487" spans="1:3">
      <c r="A487" t="s">
        <v>997</v>
      </c>
      <c r="B487" t="s">
        <v>85</v>
      </c>
      <c r="C487" t="s">
        <v>997</v>
      </c>
    </row>
    <row r="488" spans="1:3">
      <c r="A488" t="s">
        <v>998</v>
      </c>
      <c r="B488" t="s">
        <v>88</v>
      </c>
      <c r="C488" t="s">
        <v>998</v>
      </c>
    </row>
    <row r="489" spans="1:3">
      <c r="A489" t="s">
        <v>999</v>
      </c>
      <c r="B489" t="s">
        <v>91</v>
      </c>
      <c r="C489" t="s">
        <v>999</v>
      </c>
    </row>
    <row r="490" spans="1:3">
      <c r="A490" t="s">
        <v>1000</v>
      </c>
      <c r="B490" t="s">
        <v>94</v>
      </c>
      <c r="C490" t="s">
        <v>1000</v>
      </c>
    </row>
    <row r="491" spans="1:3">
      <c r="A491" t="s">
        <v>1001</v>
      </c>
      <c r="B491" t="s">
        <v>97</v>
      </c>
      <c r="C491" t="s">
        <v>1001</v>
      </c>
    </row>
    <row r="492" spans="1:3">
      <c r="A492" t="s">
        <v>1482</v>
      </c>
      <c r="B492" t="s">
        <v>1002</v>
      </c>
      <c r="C492" t="s">
        <v>1482</v>
      </c>
    </row>
    <row r="493" spans="1:3">
      <c r="A493" t="s">
        <v>1003</v>
      </c>
      <c r="B493" t="s">
        <v>1004</v>
      </c>
      <c r="C493" t="s">
        <v>1003</v>
      </c>
    </row>
    <row r="494" spans="1:3">
      <c r="A494" t="s">
        <v>1005</v>
      </c>
      <c r="B494" t="s">
        <v>1006</v>
      </c>
      <c r="C494" t="s">
        <v>1005</v>
      </c>
    </row>
    <row r="495" spans="1:3">
      <c r="A495" t="s">
        <v>1007</v>
      </c>
      <c r="B495" t="s">
        <v>1008</v>
      </c>
      <c r="C495" t="s">
        <v>1007</v>
      </c>
    </row>
    <row r="496" spans="1:3">
      <c r="A496" t="s">
        <v>1009</v>
      </c>
      <c r="B496" t="s">
        <v>1010</v>
      </c>
      <c r="C496" t="s">
        <v>1009</v>
      </c>
    </row>
    <row r="497" spans="1:3">
      <c r="A497" t="s">
        <v>1011</v>
      </c>
      <c r="B497" t="s">
        <v>1012</v>
      </c>
      <c r="C497" t="s">
        <v>1011</v>
      </c>
    </row>
    <row r="498" spans="1:3">
      <c r="A498" t="s">
        <v>1013</v>
      </c>
      <c r="B498" t="s">
        <v>1014</v>
      </c>
      <c r="C498" t="s">
        <v>1013</v>
      </c>
    </row>
    <row r="499" spans="1:3">
      <c r="A499" t="s">
        <v>1015</v>
      </c>
      <c r="B499" t="s">
        <v>106</v>
      </c>
      <c r="C499" t="s">
        <v>1015</v>
      </c>
    </row>
    <row r="500" spans="1:3">
      <c r="A500" t="s">
        <v>1016</v>
      </c>
      <c r="B500" t="s">
        <v>1017</v>
      </c>
      <c r="C500" t="s">
        <v>1016</v>
      </c>
    </row>
    <row r="501" spans="1:3">
      <c r="A501" t="s">
        <v>1018</v>
      </c>
      <c r="B501" t="s">
        <v>1019</v>
      </c>
      <c r="C501" t="s">
        <v>1018</v>
      </c>
    </row>
    <row r="502" spans="1:3">
      <c r="A502" t="s">
        <v>1020</v>
      </c>
      <c r="B502" t="s">
        <v>1021</v>
      </c>
      <c r="C502" t="s">
        <v>1020</v>
      </c>
    </row>
    <row r="503" spans="1:3">
      <c r="A503" t="s">
        <v>1022</v>
      </c>
      <c r="B503" t="s">
        <v>1023</v>
      </c>
      <c r="C503" t="s">
        <v>1022</v>
      </c>
    </row>
    <row r="504" spans="1:3">
      <c r="A504" t="s">
        <v>1024</v>
      </c>
      <c r="B504" t="s">
        <v>1025</v>
      </c>
      <c r="C504" t="s">
        <v>1024</v>
      </c>
    </row>
    <row r="505" spans="1:3">
      <c r="A505" t="s">
        <v>1026</v>
      </c>
      <c r="B505" t="s">
        <v>1027</v>
      </c>
      <c r="C505" t="s">
        <v>1026</v>
      </c>
    </row>
    <row r="506" spans="1:3">
      <c r="A506" t="s">
        <v>1028</v>
      </c>
      <c r="B506" t="s">
        <v>1029</v>
      </c>
      <c r="C506" t="s">
        <v>1028</v>
      </c>
    </row>
    <row r="507" spans="1:3">
      <c r="A507" t="s">
        <v>1030</v>
      </c>
      <c r="B507" t="s">
        <v>1031</v>
      </c>
      <c r="C507" t="s">
        <v>1030</v>
      </c>
    </row>
    <row r="508" spans="1:3">
      <c r="A508" t="s">
        <v>1032</v>
      </c>
      <c r="B508" t="s">
        <v>1033</v>
      </c>
      <c r="C508" t="s">
        <v>1032</v>
      </c>
    </row>
    <row r="509" spans="1:3">
      <c r="A509" t="s">
        <v>1034</v>
      </c>
      <c r="B509" t="s">
        <v>1035</v>
      </c>
      <c r="C509" t="s">
        <v>1034</v>
      </c>
    </row>
    <row r="510" spans="1:3">
      <c r="A510" t="s">
        <v>1036</v>
      </c>
      <c r="B510" t="s">
        <v>1037</v>
      </c>
      <c r="C510" t="s">
        <v>1036</v>
      </c>
    </row>
    <row r="511" spans="1:3">
      <c r="A511" t="s">
        <v>1038</v>
      </c>
      <c r="B511" t="s">
        <v>1039</v>
      </c>
      <c r="C511" t="s">
        <v>1038</v>
      </c>
    </row>
    <row r="512" spans="1:3">
      <c r="A512" t="s">
        <v>1040</v>
      </c>
      <c r="B512" t="s">
        <v>1041</v>
      </c>
      <c r="C512" t="s">
        <v>1040</v>
      </c>
    </row>
    <row r="513" spans="1:3">
      <c r="A513" t="s">
        <v>1042</v>
      </c>
      <c r="B513" t="s">
        <v>1043</v>
      </c>
      <c r="C513" t="s">
        <v>1042</v>
      </c>
    </row>
    <row r="514" spans="1:3">
      <c r="A514" t="s">
        <v>1044</v>
      </c>
      <c r="B514" t="s">
        <v>1045</v>
      </c>
      <c r="C514" t="s">
        <v>1044</v>
      </c>
    </row>
    <row r="515" spans="1:3">
      <c r="A515" t="s">
        <v>1046</v>
      </c>
      <c r="B515" t="s">
        <v>1047</v>
      </c>
      <c r="C515" t="s">
        <v>1046</v>
      </c>
    </row>
    <row r="516" spans="1:3">
      <c r="A516" t="s">
        <v>1048</v>
      </c>
      <c r="B516" t="s">
        <v>1049</v>
      </c>
      <c r="C516" t="s">
        <v>1048</v>
      </c>
    </row>
    <row r="517" spans="1:3">
      <c r="A517" t="s">
        <v>1050</v>
      </c>
      <c r="B517" t="s">
        <v>1051</v>
      </c>
      <c r="C517" t="s">
        <v>1050</v>
      </c>
    </row>
    <row r="518" spans="1:3">
      <c r="A518" t="s">
        <v>1052</v>
      </c>
      <c r="B518" t="s">
        <v>1053</v>
      </c>
      <c r="C518" t="s">
        <v>1052</v>
      </c>
    </row>
    <row r="519" spans="1:3">
      <c r="A519" t="s">
        <v>1054</v>
      </c>
      <c r="B519" t="s">
        <v>1055</v>
      </c>
      <c r="C519" t="s">
        <v>1054</v>
      </c>
    </row>
    <row r="520" spans="1:3">
      <c r="A520" t="s">
        <v>1056</v>
      </c>
      <c r="B520" t="s">
        <v>1057</v>
      </c>
      <c r="C520" t="s">
        <v>1056</v>
      </c>
    </row>
    <row r="521" spans="1:3">
      <c r="A521" t="s">
        <v>1058</v>
      </c>
      <c r="B521" t="s">
        <v>1059</v>
      </c>
      <c r="C521" t="s">
        <v>1058</v>
      </c>
    </row>
    <row r="522" spans="1:3">
      <c r="A522" t="s">
        <v>1060</v>
      </c>
      <c r="B522" t="s">
        <v>1061</v>
      </c>
      <c r="C522" t="s">
        <v>1060</v>
      </c>
    </row>
    <row r="523" spans="1:3">
      <c r="A523" t="s">
        <v>1062</v>
      </c>
      <c r="B523" t="s">
        <v>1063</v>
      </c>
      <c r="C523" t="s">
        <v>1062</v>
      </c>
    </row>
    <row r="524" spans="1:3">
      <c r="A524" t="s">
        <v>1064</v>
      </c>
      <c r="B524" t="s">
        <v>1065</v>
      </c>
      <c r="C524" t="s">
        <v>1064</v>
      </c>
    </row>
    <row r="525" spans="1:3">
      <c r="A525" t="s">
        <v>1483</v>
      </c>
      <c r="B525" t="s">
        <v>1066</v>
      </c>
      <c r="C525" t="s">
        <v>1483</v>
      </c>
    </row>
    <row r="526" spans="1:3">
      <c r="A526" t="s">
        <v>1484</v>
      </c>
      <c r="B526" t="s">
        <v>1067</v>
      </c>
      <c r="C526" t="s">
        <v>1484</v>
      </c>
    </row>
    <row r="527" spans="1:3">
      <c r="A527" t="s">
        <v>1485</v>
      </c>
      <c r="B527" t="s">
        <v>1068</v>
      </c>
      <c r="C527" t="s">
        <v>1485</v>
      </c>
    </row>
    <row r="528" spans="1:3">
      <c r="A528" t="s">
        <v>1069</v>
      </c>
      <c r="B528" t="s">
        <v>1070</v>
      </c>
      <c r="C528" t="s">
        <v>1069</v>
      </c>
    </row>
    <row r="529" spans="1:3">
      <c r="A529" t="s">
        <v>1486</v>
      </c>
      <c r="B529" t="s">
        <v>1071</v>
      </c>
      <c r="C529" t="s">
        <v>1486</v>
      </c>
    </row>
    <row r="530" spans="1:3">
      <c r="A530" t="s">
        <v>1072</v>
      </c>
      <c r="B530" t="s">
        <v>1073</v>
      </c>
      <c r="C530" t="s">
        <v>1072</v>
      </c>
    </row>
    <row r="531" spans="1:3">
      <c r="A531" t="s">
        <v>1074</v>
      </c>
      <c r="B531" t="s">
        <v>1075</v>
      </c>
      <c r="C531" t="s">
        <v>1074</v>
      </c>
    </row>
    <row r="532" spans="1:3">
      <c r="A532" t="s">
        <v>1076</v>
      </c>
      <c r="B532" t="s">
        <v>1077</v>
      </c>
      <c r="C532" t="s">
        <v>1076</v>
      </c>
    </row>
    <row r="533" spans="1:3">
      <c r="A533" t="s">
        <v>1078</v>
      </c>
      <c r="B533" t="s">
        <v>1079</v>
      </c>
      <c r="C533" t="s">
        <v>1078</v>
      </c>
    </row>
    <row r="534" spans="1:3">
      <c r="A534" t="s">
        <v>1080</v>
      </c>
      <c r="B534" t="s">
        <v>1081</v>
      </c>
      <c r="C534" t="s">
        <v>1080</v>
      </c>
    </row>
    <row r="535" spans="1:3">
      <c r="A535" t="s">
        <v>1082</v>
      </c>
      <c r="B535" t="s">
        <v>1083</v>
      </c>
      <c r="C535" t="s">
        <v>1082</v>
      </c>
    </row>
    <row r="536" spans="1:3">
      <c r="A536" t="s">
        <v>1487</v>
      </c>
      <c r="B536" t="s">
        <v>1084</v>
      </c>
      <c r="C536" t="s">
        <v>1487</v>
      </c>
    </row>
    <row r="537" spans="1:3">
      <c r="A537" t="s">
        <v>1085</v>
      </c>
      <c r="B537" t="s">
        <v>1086</v>
      </c>
      <c r="C537" t="s">
        <v>1085</v>
      </c>
    </row>
    <row r="538" spans="1:3">
      <c r="A538" t="s">
        <v>1087</v>
      </c>
      <c r="B538" t="s">
        <v>1088</v>
      </c>
      <c r="C538" t="s">
        <v>1087</v>
      </c>
    </row>
    <row r="539" spans="1:3">
      <c r="A539" t="s">
        <v>1089</v>
      </c>
      <c r="B539" t="s">
        <v>1090</v>
      </c>
      <c r="C539" t="s">
        <v>1089</v>
      </c>
    </row>
    <row r="540" spans="1:3">
      <c r="A540" t="s">
        <v>1091</v>
      </c>
      <c r="B540" t="s">
        <v>1092</v>
      </c>
      <c r="C540" t="s">
        <v>1091</v>
      </c>
    </row>
    <row r="541" spans="1:3">
      <c r="A541" t="s">
        <v>1093</v>
      </c>
      <c r="B541" t="s">
        <v>1094</v>
      </c>
      <c r="C541" t="s">
        <v>1093</v>
      </c>
    </row>
    <row r="542" spans="1:3">
      <c r="A542" t="s">
        <v>1095</v>
      </c>
      <c r="B542" t="s">
        <v>1096</v>
      </c>
      <c r="C542" t="s">
        <v>1095</v>
      </c>
    </row>
    <row r="543" spans="1:3">
      <c r="A543" t="s">
        <v>1097</v>
      </c>
      <c r="B543" t="s">
        <v>1098</v>
      </c>
      <c r="C543" t="s">
        <v>1097</v>
      </c>
    </row>
    <row r="544" spans="1:3">
      <c r="A544" t="s">
        <v>1099</v>
      </c>
      <c r="B544" t="s">
        <v>1100</v>
      </c>
      <c r="C544" t="s">
        <v>1099</v>
      </c>
    </row>
    <row r="545" spans="1:3">
      <c r="A545" t="s">
        <v>1101</v>
      </c>
      <c r="B545" t="s">
        <v>1102</v>
      </c>
      <c r="C545" t="s">
        <v>1101</v>
      </c>
    </row>
    <row r="546" spans="1:3">
      <c r="A546" t="s">
        <v>1488</v>
      </c>
      <c r="B546" t="s">
        <v>1103</v>
      </c>
      <c r="C546" t="s">
        <v>1488</v>
      </c>
    </row>
    <row r="547" spans="1:3">
      <c r="A547" t="s">
        <v>1104</v>
      </c>
      <c r="B547" t="s">
        <v>1105</v>
      </c>
      <c r="C547" t="s">
        <v>1104</v>
      </c>
    </row>
    <row r="548" spans="1:3">
      <c r="A548" t="s">
        <v>1106</v>
      </c>
      <c r="B548" t="s">
        <v>1107</v>
      </c>
      <c r="C548" t="s">
        <v>1106</v>
      </c>
    </row>
    <row r="549" spans="1:3">
      <c r="A549" t="s">
        <v>1108</v>
      </c>
      <c r="B549" t="s">
        <v>1109</v>
      </c>
      <c r="C549" t="s">
        <v>1108</v>
      </c>
    </row>
    <row r="550" spans="1:3">
      <c r="A550" t="s">
        <v>1110</v>
      </c>
      <c r="B550" t="s">
        <v>1111</v>
      </c>
      <c r="C550" t="s">
        <v>1110</v>
      </c>
    </row>
    <row r="551" spans="1:3">
      <c r="A551" t="s">
        <v>1112</v>
      </c>
      <c r="B551" t="s">
        <v>1113</v>
      </c>
      <c r="C551" t="s">
        <v>1112</v>
      </c>
    </row>
    <row r="552" spans="1:3">
      <c r="A552" t="s">
        <v>1114</v>
      </c>
      <c r="B552" t="s">
        <v>1115</v>
      </c>
      <c r="C552" t="s">
        <v>1114</v>
      </c>
    </row>
    <row r="553" spans="1:3">
      <c r="A553" t="s">
        <v>1116</v>
      </c>
      <c r="B553" t="s">
        <v>1117</v>
      </c>
      <c r="C553" t="s">
        <v>1116</v>
      </c>
    </row>
    <row r="554" spans="1:3">
      <c r="A554" t="s">
        <v>1118</v>
      </c>
      <c r="B554" t="s">
        <v>1119</v>
      </c>
      <c r="C554" t="s">
        <v>1118</v>
      </c>
    </row>
    <row r="555" spans="1:3">
      <c r="A555" t="s">
        <v>1120</v>
      </c>
      <c r="B555" t="s">
        <v>1121</v>
      </c>
      <c r="C555" t="s">
        <v>1120</v>
      </c>
    </row>
    <row r="556" spans="1:3">
      <c r="A556" t="s">
        <v>1122</v>
      </c>
      <c r="B556" t="s">
        <v>1123</v>
      </c>
      <c r="C556" t="s">
        <v>1122</v>
      </c>
    </row>
    <row r="557" spans="1:3">
      <c r="A557" t="s">
        <v>1124</v>
      </c>
      <c r="B557" t="s">
        <v>1125</v>
      </c>
      <c r="C557" t="s">
        <v>1124</v>
      </c>
    </row>
    <row r="558" spans="1:3">
      <c r="A558" t="s">
        <v>1126</v>
      </c>
      <c r="B558" t="s">
        <v>1127</v>
      </c>
      <c r="C558" t="s">
        <v>1126</v>
      </c>
    </row>
    <row r="559" spans="1:3">
      <c r="A559" t="s">
        <v>1128</v>
      </c>
      <c r="B559" t="s">
        <v>1129</v>
      </c>
      <c r="C559" t="s">
        <v>1128</v>
      </c>
    </row>
    <row r="560" spans="1:3">
      <c r="A560" t="s">
        <v>1130</v>
      </c>
      <c r="B560" t="s">
        <v>1131</v>
      </c>
      <c r="C560" t="s">
        <v>1130</v>
      </c>
    </row>
    <row r="561" spans="1:3">
      <c r="A561" t="s">
        <v>1132</v>
      </c>
      <c r="B561" t="s">
        <v>1133</v>
      </c>
      <c r="C561" t="s">
        <v>1132</v>
      </c>
    </row>
    <row r="562" spans="1:3">
      <c r="A562" t="s">
        <v>1134</v>
      </c>
      <c r="B562" t="s">
        <v>1135</v>
      </c>
      <c r="C562" t="s">
        <v>1134</v>
      </c>
    </row>
    <row r="563" spans="1:3">
      <c r="A563" t="s">
        <v>1136</v>
      </c>
      <c r="B563" t="s">
        <v>1137</v>
      </c>
      <c r="C563" t="s">
        <v>1136</v>
      </c>
    </row>
    <row r="564" spans="1:3">
      <c r="A564" t="s">
        <v>1138</v>
      </c>
      <c r="B564" t="s">
        <v>1139</v>
      </c>
      <c r="C564" t="s">
        <v>1138</v>
      </c>
    </row>
    <row r="565" spans="1:3">
      <c r="A565" t="s">
        <v>1140</v>
      </c>
      <c r="B565" t="s">
        <v>1141</v>
      </c>
      <c r="C565" t="s">
        <v>1140</v>
      </c>
    </row>
    <row r="566" spans="1:3">
      <c r="A566" t="s">
        <v>1142</v>
      </c>
      <c r="B566" t="s">
        <v>1143</v>
      </c>
      <c r="C566" t="s">
        <v>1142</v>
      </c>
    </row>
    <row r="567" spans="1:3">
      <c r="A567" t="s">
        <v>1144</v>
      </c>
      <c r="B567" t="s">
        <v>1145</v>
      </c>
      <c r="C567" t="s">
        <v>1144</v>
      </c>
    </row>
    <row r="568" spans="1:3">
      <c r="A568" t="s">
        <v>1146</v>
      </c>
      <c r="B568" t="s">
        <v>1147</v>
      </c>
      <c r="C568" t="s">
        <v>1146</v>
      </c>
    </row>
    <row r="569" spans="1:3">
      <c r="A569" t="s">
        <v>1148</v>
      </c>
      <c r="B569" t="s">
        <v>1149</v>
      </c>
      <c r="C569" t="s">
        <v>1148</v>
      </c>
    </row>
    <row r="570" spans="1:3">
      <c r="A570" t="s">
        <v>1150</v>
      </c>
      <c r="B570" t="s">
        <v>1151</v>
      </c>
      <c r="C570" t="s">
        <v>1150</v>
      </c>
    </row>
    <row r="571" spans="1:3">
      <c r="A571" t="s">
        <v>1152</v>
      </c>
      <c r="B571" t="s">
        <v>1153</v>
      </c>
      <c r="C571" t="s">
        <v>1152</v>
      </c>
    </row>
    <row r="572" spans="1:3">
      <c r="A572" t="s">
        <v>1154</v>
      </c>
      <c r="B572" t="s">
        <v>1155</v>
      </c>
      <c r="C572" t="s">
        <v>1154</v>
      </c>
    </row>
    <row r="573" spans="1:3">
      <c r="A573" t="s">
        <v>1156</v>
      </c>
      <c r="B573" t="s">
        <v>1157</v>
      </c>
      <c r="C573" t="s">
        <v>1156</v>
      </c>
    </row>
    <row r="574" spans="1:3">
      <c r="A574" t="s">
        <v>1158</v>
      </c>
      <c r="B574" t="s">
        <v>1159</v>
      </c>
      <c r="C574" t="s">
        <v>1158</v>
      </c>
    </row>
    <row r="575" spans="1:3">
      <c r="A575" t="s">
        <v>1160</v>
      </c>
      <c r="B575" t="s">
        <v>1161</v>
      </c>
      <c r="C575" t="s">
        <v>1160</v>
      </c>
    </row>
    <row r="576" spans="1:3">
      <c r="A576" t="s">
        <v>1162</v>
      </c>
      <c r="B576" t="s">
        <v>1163</v>
      </c>
      <c r="C576" t="s">
        <v>1162</v>
      </c>
    </row>
    <row r="577" spans="1:3">
      <c r="A577" t="s">
        <v>1164</v>
      </c>
      <c r="B577" t="s">
        <v>1165</v>
      </c>
      <c r="C577" t="s">
        <v>1164</v>
      </c>
    </row>
    <row r="578" spans="1:3">
      <c r="A578" t="s">
        <v>1166</v>
      </c>
      <c r="B578" t="s">
        <v>1167</v>
      </c>
      <c r="C578" t="s">
        <v>1166</v>
      </c>
    </row>
    <row r="579" spans="1:3">
      <c r="A579" t="s">
        <v>1168</v>
      </c>
      <c r="B579" t="s">
        <v>1169</v>
      </c>
      <c r="C579" t="s">
        <v>1168</v>
      </c>
    </row>
    <row r="580" spans="1:3">
      <c r="A580" t="s">
        <v>1170</v>
      </c>
      <c r="B580" t="s">
        <v>1171</v>
      </c>
      <c r="C580" t="s">
        <v>1170</v>
      </c>
    </row>
    <row r="581" spans="1:3">
      <c r="A581" t="s">
        <v>1172</v>
      </c>
      <c r="B581" t="s">
        <v>1173</v>
      </c>
      <c r="C581" t="s">
        <v>1172</v>
      </c>
    </row>
    <row r="582" spans="1:3">
      <c r="A582" t="s">
        <v>1174</v>
      </c>
      <c r="B582" t="s">
        <v>1175</v>
      </c>
      <c r="C582" t="s">
        <v>1174</v>
      </c>
    </row>
    <row r="583" spans="1:3">
      <c r="A583" t="s">
        <v>1176</v>
      </c>
      <c r="B583" t="s">
        <v>1177</v>
      </c>
      <c r="C583" t="s">
        <v>1176</v>
      </c>
    </row>
    <row r="584" spans="1:3">
      <c r="A584" t="s">
        <v>1178</v>
      </c>
      <c r="B584" t="s">
        <v>1179</v>
      </c>
      <c r="C584" t="s">
        <v>1178</v>
      </c>
    </row>
    <row r="585" spans="1:3">
      <c r="A585" t="s">
        <v>1180</v>
      </c>
      <c r="B585" t="s">
        <v>1181</v>
      </c>
      <c r="C585" t="s">
        <v>1180</v>
      </c>
    </row>
    <row r="586" spans="1:3">
      <c r="A586" t="s">
        <v>1182</v>
      </c>
      <c r="B586" t="s">
        <v>1183</v>
      </c>
      <c r="C586" t="s">
        <v>1182</v>
      </c>
    </row>
    <row r="587" spans="1:3">
      <c r="A587" t="s">
        <v>1184</v>
      </c>
      <c r="B587" t="s">
        <v>1185</v>
      </c>
      <c r="C587" t="s">
        <v>1184</v>
      </c>
    </row>
    <row r="588" spans="1:3">
      <c r="A588" t="s">
        <v>1186</v>
      </c>
      <c r="B588" t="s">
        <v>1187</v>
      </c>
      <c r="C588" t="s">
        <v>1186</v>
      </c>
    </row>
    <row r="589" spans="1:3">
      <c r="A589" t="s">
        <v>1188</v>
      </c>
      <c r="B589" t="s">
        <v>1189</v>
      </c>
      <c r="C589" t="s">
        <v>1188</v>
      </c>
    </row>
    <row r="590" spans="1:3">
      <c r="A590" t="s">
        <v>1190</v>
      </c>
      <c r="B590" t="s">
        <v>1191</v>
      </c>
      <c r="C590" t="s">
        <v>1190</v>
      </c>
    </row>
    <row r="591" spans="1:3">
      <c r="A591" t="s">
        <v>1192</v>
      </c>
      <c r="B591" t="s">
        <v>1193</v>
      </c>
      <c r="C591" t="s">
        <v>1192</v>
      </c>
    </row>
    <row r="592" spans="1:3">
      <c r="A592" t="s">
        <v>1194</v>
      </c>
      <c r="B592" t="s">
        <v>1195</v>
      </c>
      <c r="C592" t="s">
        <v>1194</v>
      </c>
    </row>
    <row r="593" spans="1:3">
      <c r="A593" t="s">
        <v>1196</v>
      </c>
      <c r="B593" t="s">
        <v>1197</v>
      </c>
      <c r="C593" t="s">
        <v>1196</v>
      </c>
    </row>
    <row r="594" spans="1:3">
      <c r="A594" t="s">
        <v>1198</v>
      </c>
      <c r="B594" t="s">
        <v>1199</v>
      </c>
      <c r="C594" t="s">
        <v>1198</v>
      </c>
    </row>
    <row r="595" spans="1:3">
      <c r="A595" t="s">
        <v>1200</v>
      </c>
      <c r="B595" t="s">
        <v>1201</v>
      </c>
      <c r="C595" t="s">
        <v>1200</v>
      </c>
    </row>
    <row r="596" spans="1:3">
      <c r="A596" t="s">
        <v>1202</v>
      </c>
      <c r="B596" t="s">
        <v>1203</v>
      </c>
      <c r="C596" t="s">
        <v>1202</v>
      </c>
    </row>
    <row r="597" spans="1:3">
      <c r="A597" t="s">
        <v>1204</v>
      </c>
      <c r="B597" t="s">
        <v>1205</v>
      </c>
      <c r="C597" t="s">
        <v>1204</v>
      </c>
    </row>
    <row r="598" spans="1:3">
      <c r="A598" t="s">
        <v>1206</v>
      </c>
      <c r="B598" t="s">
        <v>1207</v>
      </c>
      <c r="C598" t="s">
        <v>1206</v>
      </c>
    </row>
    <row r="599" spans="1:3">
      <c r="A599" t="s">
        <v>1208</v>
      </c>
      <c r="B599" t="s">
        <v>1209</v>
      </c>
      <c r="C599" t="s">
        <v>1208</v>
      </c>
    </row>
    <row r="600" spans="1:3">
      <c r="A600" t="s">
        <v>1210</v>
      </c>
      <c r="B600" t="s">
        <v>1211</v>
      </c>
      <c r="C600" t="s">
        <v>1210</v>
      </c>
    </row>
    <row r="601" spans="1:3">
      <c r="A601" t="s">
        <v>1212</v>
      </c>
      <c r="B601" t="s">
        <v>1213</v>
      </c>
      <c r="C601" t="s">
        <v>1212</v>
      </c>
    </row>
    <row r="602" spans="1:3">
      <c r="A602" t="s">
        <v>1214</v>
      </c>
      <c r="B602" t="s">
        <v>1215</v>
      </c>
      <c r="C602" t="s">
        <v>1214</v>
      </c>
    </row>
    <row r="603" spans="1:3">
      <c r="A603" t="s">
        <v>1216</v>
      </c>
      <c r="B603" t="s">
        <v>1217</v>
      </c>
      <c r="C603" t="s">
        <v>1216</v>
      </c>
    </row>
    <row r="604" spans="1:3">
      <c r="A604" t="s">
        <v>1218</v>
      </c>
      <c r="B604" t="s">
        <v>1219</v>
      </c>
      <c r="C604" t="s">
        <v>1218</v>
      </c>
    </row>
    <row r="605" spans="1:3">
      <c r="A605" t="s">
        <v>1220</v>
      </c>
      <c r="B605" t="s">
        <v>1221</v>
      </c>
      <c r="C605" t="s">
        <v>1220</v>
      </c>
    </row>
    <row r="606" spans="1:3">
      <c r="A606" t="s">
        <v>1222</v>
      </c>
      <c r="B606" t="s">
        <v>1223</v>
      </c>
      <c r="C606" t="s">
        <v>1222</v>
      </c>
    </row>
    <row r="607" spans="1:3">
      <c r="A607" t="s">
        <v>1224</v>
      </c>
      <c r="B607" t="s">
        <v>1225</v>
      </c>
      <c r="C607" t="s">
        <v>1224</v>
      </c>
    </row>
    <row r="608" spans="1:3">
      <c r="A608" t="s">
        <v>1226</v>
      </c>
      <c r="B608" t="s">
        <v>1227</v>
      </c>
      <c r="C608" t="s">
        <v>1226</v>
      </c>
    </row>
    <row r="609" spans="1:3">
      <c r="A609" t="s">
        <v>1228</v>
      </c>
      <c r="B609" t="s">
        <v>1229</v>
      </c>
      <c r="C609" t="s">
        <v>1228</v>
      </c>
    </row>
    <row r="610" spans="1:3">
      <c r="A610" t="s">
        <v>1230</v>
      </c>
      <c r="B610" t="s">
        <v>1231</v>
      </c>
      <c r="C610" t="s">
        <v>1230</v>
      </c>
    </row>
    <row r="611" spans="1:3">
      <c r="A611" t="s">
        <v>1232</v>
      </c>
      <c r="B611" t="s">
        <v>1233</v>
      </c>
      <c r="C611" t="s">
        <v>1232</v>
      </c>
    </row>
  </sheetData>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E831E-8008-374B-98DC-76D00B50FE8A}">
  <sheetPr codeName="Sheet7"/>
  <dimension ref="A1:C13"/>
  <sheetViews>
    <sheetView workbookViewId="0"/>
  </sheetViews>
  <sheetFormatPr baseColWidth="10" defaultColWidth="11" defaultRowHeight="16"/>
  <cols>
    <col min="1" max="1" width="41.33203125" customWidth="1"/>
  </cols>
  <sheetData>
    <row r="1" spans="1:3" ht="40" customHeight="1">
      <c r="A1" s="14" t="s">
        <v>1269</v>
      </c>
      <c r="B1" s="14" t="s">
        <v>36</v>
      </c>
      <c r="C1" s="14" t="s">
        <v>1270</v>
      </c>
    </row>
    <row r="2" spans="1:3">
      <c r="A2" t="s">
        <v>148</v>
      </c>
      <c r="B2" t="s">
        <v>147</v>
      </c>
      <c r="C2">
        <v>8.0000000000000002E-3</v>
      </c>
    </row>
    <row r="3" spans="1:3">
      <c r="A3" t="s">
        <v>536</v>
      </c>
      <c r="B3" t="s">
        <v>535</v>
      </c>
      <c r="C3">
        <v>1.7000000000000001E-2</v>
      </c>
    </row>
    <row r="4" spans="1:3">
      <c r="A4" t="s">
        <v>1240</v>
      </c>
      <c r="B4" t="s">
        <v>964</v>
      </c>
      <c r="C4">
        <v>1E-4</v>
      </c>
    </row>
    <row r="5" spans="1:3">
      <c r="A5" t="s">
        <v>693</v>
      </c>
      <c r="B5" t="s">
        <v>692</v>
      </c>
      <c r="C5">
        <v>2.9999999999999997E-4</v>
      </c>
    </row>
    <row r="6" spans="1:3">
      <c r="A6" t="s">
        <v>41</v>
      </c>
      <c r="B6" t="s">
        <v>40</v>
      </c>
      <c r="C6">
        <v>4.3E-3</v>
      </c>
    </row>
    <row r="7" spans="1:3">
      <c r="A7" t="s">
        <v>56</v>
      </c>
      <c r="B7" t="s">
        <v>55</v>
      </c>
      <c r="C7">
        <v>2.7000000000000001E-3</v>
      </c>
    </row>
    <row r="8" spans="1:3">
      <c r="A8" t="s">
        <v>110</v>
      </c>
      <c r="B8" t="s">
        <v>109</v>
      </c>
      <c r="C8">
        <v>3.2</v>
      </c>
    </row>
    <row r="9" spans="1:3">
      <c r="A9" t="s">
        <v>1238</v>
      </c>
      <c r="B9" t="s">
        <v>498</v>
      </c>
      <c r="C9">
        <v>9.4999999999999998E-3</v>
      </c>
    </row>
    <row r="10" spans="1:3">
      <c r="A10" t="s">
        <v>579</v>
      </c>
      <c r="B10" t="s">
        <v>578</v>
      </c>
      <c r="C10">
        <v>6.3E-3</v>
      </c>
    </row>
    <row r="11" spans="1:3">
      <c r="A11" t="s">
        <v>1129</v>
      </c>
      <c r="B11" t="s">
        <v>1128</v>
      </c>
      <c r="C11">
        <v>3.6600000000000001E-2</v>
      </c>
    </row>
    <row r="12" spans="1:3">
      <c r="A12" t="s">
        <v>1223</v>
      </c>
      <c r="B12" t="s">
        <v>1222</v>
      </c>
      <c r="C12">
        <v>2.7199999999999998E-2</v>
      </c>
    </row>
    <row r="13" spans="1:3">
      <c r="A13" t="s">
        <v>1231</v>
      </c>
      <c r="B13" t="s">
        <v>1230</v>
      </c>
      <c r="C13">
        <v>2.9000000000000001E-2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164E-0AA5-AD4A-B075-C023AE62F432}">
  <sheetPr codeName="Sheet13"/>
  <dimension ref="B2:K268"/>
  <sheetViews>
    <sheetView workbookViewId="0"/>
  </sheetViews>
  <sheetFormatPr baseColWidth="10" defaultColWidth="9.1640625" defaultRowHeight="15"/>
  <cols>
    <col min="1" max="1" width="2.1640625" style="173" customWidth="1"/>
    <col min="2" max="2" width="11.5" style="173" bestFit="1" customWidth="1"/>
    <col min="3" max="3" width="47.33203125" style="173" customWidth="1"/>
    <col min="4" max="10" width="12.1640625" style="173" customWidth="1"/>
    <col min="11" max="11" width="19.5" style="185" customWidth="1"/>
    <col min="12" max="16384" width="9.1640625" style="173"/>
  </cols>
  <sheetData>
    <row r="2" spans="2:11" ht="19">
      <c r="B2" s="274" t="s">
        <v>1489</v>
      </c>
      <c r="C2" s="274"/>
      <c r="D2" s="274"/>
      <c r="E2" s="274"/>
      <c r="F2" s="274"/>
      <c r="G2" s="274"/>
      <c r="H2" s="274"/>
      <c r="I2" s="274"/>
      <c r="J2" s="274"/>
      <c r="K2" s="274"/>
    </row>
    <row r="3" spans="2:11" ht="19">
      <c r="B3" s="174"/>
      <c r="C3" s="174"/>
      <c r="D3" s="174"/>
      <c r="E3" s="174"/>
      <c r="F3" s="174"/>
      <c r="G3" s="174"/>
      <c r="H3" s="174"/>
      <c r="I3" s="174"/>
      <c r="J3" s="174"/>
      <c r="K3" s="174"/>
    </row>
    <row r="4" spans="2:11">
      <c r="B4" s="275" t="s">
        <v>1490</v>
      </c>
      <c r="C4" s="276" t="s">
        <v>1491</v>
      </c>
      <c r="D4" s="275" t="s">
        <v>1492</v>
      </c>
      <c r="E4" s="275"/>
      <c r="F4" s="275"/>
      <c r="G4" s="275"/>
      <c r="H4" s="275"/>
      <c r="I4" s="275"/>
      <c r="J4" s="275"/>
      <c r="K4" s="276" t="s">
        <v>1493</v>
      </c>
    </row>
    <row r="5" spans="2:11" ht="15" customHeight="1">
      <c r="B5" s="275"/>
      <c r="C5" s="276"/>
      <c r="D5" s="275" t="s">
        <v>1494</v>
      </c>
      <c r="E5" s="277"/>
      <c r="F5" s="275" t="s">
        <v>1495</v>
      </c>
      <c r="G5" s="278"/>
      <c r="H5" s="278"/>
      <c r="I5" s="277"/>
      <c r="J5" s="276" t="s">
        <v>1496</v>
      </c>
      <c r="K5" s="276"/>
    </row>
    <row r="6" spans="2:11" ht="31">
      <c r="B6" s="275"/>
      <c r="C6" s="276"/>
      <c r="D6" s="175" t="s">
        <v>1497</v>
      </c>
      <c r="E6" s="175" t="s">
        <v>1498</v>
      </c>
      <c r="F6" s="175" t="s">
        <v>1499</v>
      </c>
      <c r="G6" s="175" t="s">
        <v>1500</v>
      </c>
      <c r="H6" s="175" t="s">
        <v>1501</v>
      </c>
      <c r="I6" s="175" t="s">
        <v>1502</v>
      </c>
      <c r="J6" s="276"/>
      <c r="K6" s="276"/>
    </row>
    <row r="7" spans="2:11" ht="16">
      <c r="B7" s="275"/>
      <c r="C7" s="276"/>
      <c r="D7" s="176" t="s">
        <v>1503</v>
      </c>
      <c r="E7" s="176" t="s">
        <v>1503</v>
      </c>
      <c r="F7" s="176" t="s">
        <v>1503</v>
      </c>
      <c r="G7" s="176" t="s">
        <v>1503</v>
      </c>
      <c r="H7" s="176" t="s">
        <v>1503</v>
      </c>
      <c r="I7" s="176" t="s">
        <v>1503</v>
      </c>
      <c r="J7" s="177" t="s">
        <v>1503</v>
      </c>
      <c r="K7" s="276"/>
    </row>
    <row r="8" spans="2:11" ht="16">
      <c r="B8" s="178" t="s">
        <v>40</v>
      </c>
      <c r="C8" s="179" t="s">
        <v>41</v>
      </c>
      <c r="D8" s="180">
        <v>0.45</v>
      </c>
      <c r="E8" s="181">
        <v>140</v>
      </c>
      <c r="F8" s="180">
        <v>12</v>
      </c>
      <c r="G8" s="181">
        <v>620</v>
      </c>
      <c r="H8" s="180">
        <v>5.5</v>
      </c>
      <c r="I8" s="181">
        <v>620</v>
      </c>
      <c r="J8" s="182">
        <v>470</v>
      </c>
      <c r="K8" s="183" t="s">
        <v>1504</v>
      </c>
    </row>
    <row r="9" spans="2:11" ht="16">
      <c r="B9" s="178" t="s">
        <v>43</v>
      </c>
      <c r="C9" s="179" t="s">
        <v>44</v>
      </c>
      <c r="D9" s="180">
        <v>0.05</v>
      </c>
      <c r="E9" s="181" t="s">
        <v>1505</v>
      </c>
      <c r="F9" s="180">
        <v>1.3</v>
      </c>
      <c r="G9" s="181" t="s">
        <v>1505</v>
      </c>
      <c r="H9" s="180">
        <v>0.6</v>
      </c>
      <c r="I9" s="181" t="s">
        <v>1505</v>
      </c>
      <c r="J9" s="182" t="s">
        <v>1505</v>
      </c>
      <c r="K9" s="183" t="s">
        <v>1505</v>
      </c>
    </row>
    <row r="10" spans="2:11" ht="16">
      <c r="B10" s="178" t="s">
        <v>46</v>
      </c>
      <c r="C10" s="179" t="s">
        <v>47</v>
      </c>
      <c r="D10" s="180" t="s">
        <v>1505</v>
      </c>
      <c r="E10" s="181">
        <v>31000</v>
      </c>
      <c r="F10" s="180" t="s">
        <v>1505</v>
      </c>
      <c r="G10" s="181">
        <v>140000</v>
      </c>
      <c r="H10" s="180" t="s">
        <v>1505</v>
      </c>
      <c r="I10" s="181">
        <v>140000</v>
      </c>
      <c r="J10" s="182">
        <v>62000</v>
      </c>
      <c r="K10" s="183" t="s">
        <v>1504</v>
      </c>
    </row>
    <row r="11" spans="2:11" ht="16">
      <c r="B11" s="178" t="s">
        <v>49</v>
      </c>
      <c r="C11" s="179" t="s">
        <v>50</v>
      </c>
      <c r="D11" s="180" t="s">
        <v>1505</v>
      </c>
      <c r="E11" s="181">
        <v>60</v>
      </c>
      <c r="F11" s="180" t="s">
        <v>1505</v>
      </c>
      <c r="G11" s="181">
        <v>260</v>
      </c>
      <c r="H11" s="180" t="s">
        <v>1505</v>
      </c>
      <c r="I11" s="181">
        <v>260</v>
      </c>
      <c r="J11" s="182" t="s">
        <v>1505</v>
      </c>
      <c r="K11" s="183" t="s">
        <v>1504</v>
      </c>
    </row>
    <row r="12" spans="2:11" ht="16">
      <c r="B12" s="178" t="s">
        <v>55</v>
      </c>
      <c r="C12" s="179" t="s">
        <v>56</v>
      </c>
      <c r="D12" s="180" t="s">
        <v>1505</v>
      </c>
      <c r="E12" s="181">
        <v>0.35</v>
      </c>
      <c r="F12" s="180" t="s">
        <v>1505</v>
      </c>
      <c r="G12" s="181">
        <v>1.5</v>
      </c>
      <c r="H12" s="180" t="s">
        <v>1505</v>
      </c>
      <c r="I12" s="181">
        <v>1.5</v>
      </c>
      <c r="J12" s="182">
        <v>6.9</v>
      </c>
      <c r="K12" s="183" t="s">
        <v>1506</v>
      </c>
    </row>
    <row r="13" spans="2:11" ht="16">
      <c r="B13" s="178" t="s">
        <v>58</v>
      </c>
      <c r="C13" s="179" t="s">
        <v>59</v>
      </c>
      <c r="D13" s="180">
        <v>5.8999999999999999E-3</v>
      </c>
      <c r="E13" s="181">
        <v>6</v>
      </c>
      <c r="F13" s="180">
        <v>6.2E-2</v>
      </c>
      <c r="G13" s="181">
        <v>26</v>
      </c>
      <c r="H13" s="180">
        <v>0.12</v>
      </c>
      <c r="I13" s="181">
        <v>26</v>
      </c>
      <c r="J13" s="182" t="s">
        <v>1505</v>
      </c>
      <c r="K13" s="183" t="s">
        <v>1504</v>
      </c>
    </row>
    <row r="14" spans="2:11" ht="16">
      <c r="B14" s="178" t="s">
        <v>61</v>
      </c>
      <c r="C14" s="179" t="s">
        <v>62</v>
      </c>
      <c r="D14" s="180" t="s">
        <v>1505</v>
      </c>
      <c r="E14" s="181">
        <v>1</v>
      </c>
      <c r="F14" s="180" t="s">
        <v>1505</v>
      </c>
      <c r="G14" s="181">
        <v>4.4000000000000004</v>
      </c>
      <c r="H14" s="180" t="s">
        <v>1505</v>
      </c>
      <c r="I14" s="181">
        <v>4.4000000000000004</v>
      </c>
      <c r="J14" s="182">
        <v>6000</v>
      </c>
      <c r="K14" s="183" t="s">
        <v>1504</v>
      </c>
    </row>
    <row r="15" spans="2:11" ht="16">
      <c r="B15" s="178" t="s">
        <v>64</v>
      </c>
      <c r="C15" s="179" t="s">
        <v>65</v>
      </c>
      <c r="D15" s="180">
        <v>1.4999999999999999E-2</v>
      </c>
      <c r="E15" s="181">
        <v>5</v>
      </c>
      <c r="F15" s="180">
        <v>0.38</v>
      </c>
      <c r="G15" s="181">
        <v>22</v>
      </c>
      <c r="H15" s="180">
        <v>0.18</v>
      </c>
      <c r="I15" s="181">
        <v>22</v>
      </c>
      <c r="J15" s="182">
        <v>220</v>
      </c>
      <c r="K15" s="183" t="s">
        <v>1504</v>
      </c>
    </row>
    <row r="16" spans="2:11" ht="16">
      <c r="B16" s="178" t="s">
        <v>74</v>
      </c>
      <c r="C16" s="179" t="s">
        <v>75</v>
      </c>
      <c r="D16" s="180">
        <v>2.0000000000000001E-4</v>
      </c>
      <c r="E16" s="181" t="s">
        <v>1505</v>
      </c>
      <c r="F16" s="180">
        <v>5.3E-3</v>
      </c>
      <c r="G16" s="181" t="s">
        <v>1505</v>
      </c>
      <c r="H16" s="180">
        <v>2.3999999999999998E-3</v>
      </c>
      <c r="I16" s="181" t="s">
        <v>1505</v>
      </c>
      <c r="J16" s="182" t="s">
        <v>1505</v>
      </c>
      <c r="K16" s="183" t="s">
        <v>1505</v>
      </c>
    </row>
    <row r="17" spans="2:11" ht="16">
      <c r="B17" s="178" t="s">
        <v>77</v>
      </c>
      <c r="C17" s="179" t="s">
        <v>78</v>
      </c>
      <c r="D17" s="180">
        <v>0.17</v>
      </c>
      <c r="E17" s="181">
        <v>1</v>
      </c>
      <c r="F17" s="180">
        <v>4.3</v>
      </c>
      <c r="G17" s="181">
        <v>4.4000000000000004</v>
      </c>
      <c r="H17" s="180">
        <v>2</v>
      </c>
      <c r="I17" s="181">
        <v>4.4000000000000004</v>
      </c>
      <c r="J17" s="182" t="s">
        <v>1505</v>
      </c>
      <c r="K17" s="183" t="s">
        <v>1504</v>
      </c>
    </row>
    <row r="18" spans="2:11" ht="16">
      <c r="B18" s="178" t="s">
        <v>80</v>
      </c>
      <c r="C18" s="179" t="s">
        <v>81</v>
      </c>
      <c r="D18" s="180" t="s">
        <v>1505</v>
      </c>
      <c r="E18" s="181">
        <v>5</v>
      </c>
      <c r="F18" s="180" t="s">
        <v>1505</v>
      </c>
      <c r="G18" s="181">
        <v>22</v>
      </c>
      <c r="H18" s="180" t="s">
        <v>1505</v>
      </c>
      <c r="I18" s="181">
        <v>22</v>
      </c>
      <c r="J18" s="182" t="s">
        <v>1505</v>
      </c>
      <c r="K18" s="183" t="s">
        <v>1506</v>
      </c>
    </row>
    <row r="19" spans="2:11" ht="16">
      <c r="B19" s="178" t="s">
        <v>109</v>
      </c>
      <c r="C19" s="179" t="s">
        <v>110</v>
      </c>
      <c r="D19" s="180" t="s">
        <v>1505</v>
      </c>
      <c r="E19" s="181">
        <v>500</v>
      </c>
      <c r="F19" s="180" t="s">
        <v>1505</v>
      </c>
      <c r="G19" s="181">
        <v>2200</v>
      </c>
      <c r="H19" s="180" t="s">
        <v>1505</v>
      </c>
      <c r="I19" s="181">
        <v>2200</v>
      </c>
      <c r="J19" s="182">
        <v>1200</v>
      </c>
      <c r="K19" s="183" t="s">
        <v>1504</v>
      </c>
    </row>
    <row r="20" spans="2:11" ht="16">
      <c r="B20" s="178" t="s">
        <v>117</v>
      </c>
      <c r="C20" s="179" t="s">
        <v>118</v>
      </c>
      <c r="D20" s="180">
        <v>0.63</v>
      </c>
      <c r="E20" s="181">
        <v>1</v>
      </c>
      <c r="F20" s="180">
        <v>16</v>
      </c>
      <c r="G20" s="181">
        <v>4.4000000000000004</v>
      </c>
      <c r="H20" s="180">
        <v>7.5</v>
      </c>
      <c r="I20" s="181">
        <v>4.4000000000000004</v>
      </c>
      <c r="J20" s="182" t="s">
        <v>1505</v>
      </c>
      <c r="K20" s="183" t="s">
        <v>1506</v>
      </c>
    </row>
    <row r="21" spans="2:11" ht="16">
      <c r="B21" s="178" t="s">
        <v>123</v>
      </c>
      <c r="C21" s="179" t="s">
        <v>124</v>
      </c>
      <c r="D21" s="180" t="s">
        <v>1505</v>
      </c>
      <c r="E21" s="181">
        <v>0.3</v>
      </c>
      <c r="F21" s="180" t="s">
        <v>1505</v>
      </c>
      <c r="G21" s="181">
        <v>1.3</v>
      </c>
      <c r="H21" s="180" t="s">
        <v>1505</v>
      </c>
      <c r="I21" s="181">
        <v>1.3</v>
      </c>
      <c r="J21" s="182">
        <v>1</v>
      </c>
      <c r="K21" s="183" t="s">
        <v>1504</v>
      </c>
    </row>
    <row r="22" spans="2:11" ht="16">
      <c r="B22" s="178" t="s">
        <v>127</v>
      </c>
      <c r="C22" s="179" t="s">
        <v>128</v>
      </c>
      <c r="D22" s="180">
        <v>0.14000000000000001</v>
      </c>
      <c r="E22" s="181" t="s">
        <v>1505</v>
      </c>
      <c r="F22" s="180">
        <v>3.7</v>
      </c>
      <c r="G22" s="181" t="s">
        <v>1505</v>
      </c>
      <c r="H22" s="180">
        <v>1.7</v>
      </c>
      <c r="I22" s="181" t="s">
        <v>1505</v>
      </c>
      <c r="J22" s="182" t="s">
        <v>1505</v>
      </c>
      <c r="K22" s="183" t="s">
        <v>1505</v>
      </c>
    </row>
    <row r="23" spans="2:11" ht="16">
      <c r="B23" s="178" t="s">
        <v>129</v>
      </c>
      <c r="C23" s="179" t="s">
        <v>130</v>
      </c>
      <c r="D23" s="180">
        <v>2.4000000000000001E-5</v>
      </c>
      <c r="E23" s="181">
        <v>1.7000000000000001E-4</v>
      </c>
      <c r="F23" s="180">
        <v>1.2999999999999999E-3</v>
      </c>
      <c r="G23" s="181">
        <v>2.3999999999999998E-3</v>
      </c>
      <c r="H23" s="180">
        <v>6.2E-4</v>
      </c>
      <c r="I23" s="181">
        <v>2.3999999999999998E-3</v>
      </c>
      <c r="J23" s="182">
        <v>0.2</v>
      </c>
      <c r="K23" s="183" t="s">
        <v>1504</v>
      </c>
    </row>
    <row r="24" spans="2:11" ht="16">
      <c r="B24" s="178" t="s">
        <v>131</v>
      </c>
      <c r="C24" s="179" t="s">
        <v>132</v>
      </c>
      <c r="D24" s="180" t="s">
        <v>1505</v>
      </c>
      <c r="E24" s="181">
        <v>1.4999999999999999E-2</v>
      </c>
      <c r="F24" s="180" t="s">
        <v>1505</v>
      </c>
      <c r="G24" s="181">
        <v>6.6000000000000003E-2</v>
      </c>
      <c r="H24" s="180" t="s">
        <v>1505</v>
      </c>
      <c r="I24" s="181">
        <v>6.6000000000000003E-2</v>
      </c>
      <c r="J24" s="182">
        <v>0.2</v>
      </c>
      <c r="K24" s="183" t="s">
        <v>1504</v>
      </c>
    </row>
    <row r="25" spans="2:11" ht="16">
      <c r="B25" s="178" t="s">
        <v>133</v>
      </c>
      <c r="C25" s="179" t="s">
        <v>134</v>
      </c>
      <c r="D25" s="180">
        <v>4.3000000000000003E-6</v>
      </c>
      <c r="E25" s="181" t="s">
        <v>1505</v>
      </c>
      <c r="F25" s="180">
        <v>1.1E-4</v>
      </c>
      <c r="G25" s="181" t="s">
        <v>1505</v>
      </c>
      <c r="H25" s="180">
        <v>5.1999999999999997E-5</v>
      </c>
      <c r="I25" s="181" t="s">
        <v>1505</v>
      </c>
      <c r="J25" s="182" t="s">
        <v>1505</v>
      </c>
      <c r="K25" s="183" t="s">
        <v>1505</v>
      </c>
    </row>
    <row r="26" spans="2:11" ht="16">
      <c r="B26" s="178" t="s">
        <v>143</v>
      </c>
      <c r="C26" s="179" t="s">
        <v>144</v>
      </c>
      <c r="D26" s="180">
        <v>3.2000000000000001E-2</v>
      </c>
      <c r="E26" s="181" t="s">
        <v>1505</v>
      </c>
      <c r="F26" s="180">
        <v>0.84</v>
      </c>
      <c r="G26" s="181" t="s">
        <v>1505</v>
      </c>
      <c r="H26" s="180">
        <v>0.39</v>
      </c>
      <c r="I26" s="181" t="s">
        <v>1505</v>
      </c>
      <c r="J26" s="182" t="s">
        <v>1505</v>
      </c>
      <c r="K26" s="183" t="s">
        <v>1505</v>
      </c>
    </row>
    <row r="27" spans="2:11" ht="16">
      <c r="B27" s="178" t="s">
        <v>147</v>
      </c>
      <c r="C27" s="179" t="s">
        <v>148</v>
      </c>
      <c r="D27" s="180">
        <v>0.13</v>
      </c>
      <c r="E27" s="181">
        <v>3</v>
      </c>
      <c r="F27" s="180">
        <v>3.3</v>
      </c>
      <c r="G27" s="181">
        <v>13</v>
      </c>
      <c r="H27" s="180">
        <v>1.5</v>
      </c>
      <c r="I27" s="181">
        <v>13</v>
      </c>
      <c r="J27" s="182">
        <v>29</v>
      </c>
      <c r="K27" s="183" t="s">
        <v>1504</v>
      </c>
    </row>
    <row r="28" spans="2:11" ht="16">
      <c r="B28" s="178" t="s">
        <v>149</v>
      </c>
      <c r="C28" s="179" t="s">
        <v>150</v>
      </c>
      <c r="D28" s="180">
        <v>4.1999999999999996E-6</v>
      </c>
      <c r="E28" s="181" t="s">
        <v>1505</v>
      </c>
      <c r="F28" s="180">
        <v>4.3999999999999999E-5</v>
      </c>
      <c r="G28" s="181" t="s">
        <v>1505</v>
      </c>
      <c r="H28" s="180">
        <v>8.6000000000000003E-5</v>
      </c>
      <c r="I28" s="181" t="s">
        <v>1505</v>
      </c>
      <c r="J28" s="182" t="s">
        <v>1505</v>
      </c>
      <c r="K28" s="183" t="s">
        <v>1505</v>
      </c>
    </row>
    <row r="29" spans="2:11" ht="16">
      <c r="B29" s="178" t="s">
        <v>159</v>
      </c>
      <c r="C29" s="179" t="s">
        <v>160</v>
      </c>
      <c r="D29" s="180">
        <v>0.02</v>
      </c>
      <c r="E29" s="181">
        <v>1</v>
      </c>
      <c r="F29" s="180">
        <v>0.53</v>
      </c>
      <c r="G29" s="181">
        <v>4.4000000000000004</v>
      </c>
      <c r="H29" s="180">
        <v>0.24</v>
      </c>
      <c r="I29" s="181">
        <v>4.4000000000000004</v>
      </c>
      <c r="J29" s="182">
        <v>240</v>
      </c>
      <c r="K29" s="183" t="s">
        <v>1504</v>
      </c>
    </row>
    <row r="30" spans="2:11" ht="16">
      <c r="B30" s="178" t="s">
        <v>163</v>
      </c>
      <c r="C30" s="179" t="s">
        <v>164</v>
      </c>
      <c r="D30" s="180">
        <v>4.2000000000000002E-4</v>
      </c>
      <c r="E30" s="181">
        <v>7.0000000000000001E-3</v>
      </c>
      <c r="F30" s="180">
        <v>1.0999999999999999E-2</v>
      </c>
      <c r="G30" s="181">
        <v>3.1E-2</v>
      </c>
      <c r="H30" s="180">
        <v>5.0000000000000001E-3</v>
      </c>
      <c r="I30" s="181">
        <v>3.1E-2</v>
      </c>
      <c r="J30" s="182">
        <v>0.02</v>
      </c>
      <c r="K30" s="183" t="s">
        <v>1504</v>
      </c>
    </row>
    <row r="31" spans="2:11" ht="16">
      <c r="B31" s="178" t="s">
        <v>171</v>
      </c>
      <c r="C31" s="179" t="s">
        <v>1507</v>
      </c>
      <c r="D31" s="180">
        <v>1.4E-3</v>
      </c>
      <c r="E31" s="181" t="s">
        <v>1505</v>
      </c>
      <c r="F31" s="180">
        <v>3.6999999999999998E-2</v>
      </c>
      <c r="G31" s="181" t="s">
        <v>1505</v>
      </c>
      <c r="H31" s="180">
        <v>1.7000000000000001E-2</v>
      </c>
      <c r="I31" s="181" t="s">
        <v>1505</v>
      </c>
      <c r="J31" s="182">
        <v>120</v>
      </c>
      <c r="K31" s="183" t="s">
        <v>1504</v>
      </c>
    </row>
    <row r="32" spans="2:11" ht="16">
      <c r="B32" s="178" t="s">
        <v>173</v>
      </c>
      <c r="C32" s="179" t="s">
        <v>174</v>
      </c>
      <c r="D32" s="180">
        <v>7.7000000000000001E-5</v>
      </c>
      <c r="E32" s="181" t="s">
        <v>1505</v>
      </c>
      <c r="F32" s="180">
        <v>2E-3</v>
      </c>
      <c r="G32" s="181" t="s">
        <v>1505</v>
      </c>
      <c r="H32" s="180">
        <v>9.2000000000000003E-4</v>
      </c>
      <c r="I32" s="181" t="s">
        <v>1505</v>
      </c>
      <c r="J32" s="182">
        <v>1.4</v>
      </c>
      <c r="K32" s="183" t="s">
        <v>1506</v>
      </c>
    </row>
    <row r="33" spans="2:11" ht="16">
      <c r="B33" s="178" t="s">
        <v>177</v>
      </c>
      <c r="C33" s="179" t="s">
        <v>178</v>
      </c>
      <c r="D33" s="180">
        <v>0.08</v>
      </c>
      <c r="E33" s="181" t="s">
        <v>1505</v>
      </c>
      <c r="F33" s="180">
        <v>11</v>
      </c>
      <c r="G33" s="181" t="s">
        <v>1505</v>
      </c>
      <c r="H33" s="180">
        <v>5</v>
      </c>
      <c r="I33" s="181" t="s">
        <v>1505</v>
      </c>
      <c r="J33" s="182" t="s">
        <v>1505</v>
      </c>
      <c r="K33" s="183" t="s">
        <v>1505</v>
      </c>
    </row>
    <row r="34" spans="2:11" ht="16">
      <c r="B34" s="178" t="s">
        <v>185</v>
      </c>
      <c r="C34" s="179" t="s">
        <v>186</v>
      </c>
      <c r="D34" s="180">
        <v>0.91</v>
      </c>
      <c r="E34" s="181" t="s">
        <v>1505</v>
      </c>
      <c r="F34" s="180">
        <v>24</v>
      </c>
      <c r="G34" s="181" t="s">
        <v>1505</v>
      </c>
      <c r="H34" s="180">
        <v>11</v>
      </c>
      <c r="I34" s="181" t="s">
        <v>1505</v>
      </c>
      <c r="J34" s="182" t="s">
        <v>1505</v>
      </c>
      <c r="K34" s="183" t="s">
        <v>1505</v>
      </c>
    </row>
    <row r="35" spans="2:11" ht="16">
      <c r="B35" s="178" t="s">
        <v>187</v>
      </c>
      <c r="C35" s="179" t="s">
        <v>188</v>
      </c>
      <c r="D35" s="180" t="s">
        <v>1505</v>
      </c>
      <c r="E35" s="181">
        <v>5</v>
      </c>
      <c r="F35" s="180" t="s">
        <v>1505</v>
      </c>
      <c r="G35" s="181">
        <v>22</v>
      </c>
      <c r="H35" s="180" t="s">
        <v>1505</v>
      </c>
      <c r="I35" s="181">
        <v>22</v>
      </c>
      <c r="J35" s="182">
        <v>3900</v>
      </c>
      <c r="K35" s="183" t="s">
        <v>1504</v>
      </c>
    </row>
    <row r="36" spans="2:11" ht="16">
      <c r="B36" s="178" t="s">
        <v>189</v>
      </c>
      <c r="C36" s="179" t="s">
        <v>190</v>
      </c>
      <c r="D36" s="180">
        <v>0.48</v>
      </c>
      <c r="E36" s="181">
        <v>33</v>
      </c>
      <c r="F36" s="180">
        <v>12</v>
      </c>
      <c r="G36" s="181">
        <v>150</v>
      </c>
      <c r="H36" s="180">
        <v>5.7</v>
      </c>
      <c r="I36" s="181">
        <v>150</v>
      </c>
      <c r="J36" s="182">
        <v>1700</v>
      </c>
      <c r="K36" s="183" t="s">
        <v>1504</v>
      </c>
    </row>
    <row r="37" spans="2:11" ht="16">
      <c r="B37" s="178" t="s">
        <v>193</v>
      </c>
      <c r="C37" s="179" t="s">
        <v>194</v>
      </c>
      <c r="D37" s="180">
        <v>3.3000000000000002E-2</v>
      </c>
      <c r="E37" s="181">
        <v>2</v>
      </c>
      <c r="F37" s="180">
        <v>0.86</v>
      </c>
      <c r="G37" s="181">
        <v>8.8000000000000007</v>
      </c>
      <c r="H37" s="180">
        <v>0.4</v>
      </c>
      <c r="I37" s="181">
        <v>8.8000000000000007</v>
      </c>
      <c r="J37" s="182">
        <v>660</v>
      </c>
      <c r="K37" s="183" t="s">
        <v>1504</v>
      </c>
    </row>
    <row r="38" spans="2:11" ht="16">
      <c r="B38" s="178" t="s">
        <v>195</v>
      </c>
      <c r="C38" s="179" t="s">
        <v>196</v>
      </c>
      <c r="D38" s="180" t="s">
        <v>1505</v>
      </c>
      <c r="E38" s="181">
        <v>5000</v>
      </c>
      <c r="F38" s="180" t="s">
        <v>1505</v>
      </c>
      <c r="G38" s="181">
        <v>22000</v>
      </c>
      <c r="H38" s="180" t="s">
        <v>1505</v>
      </c>
      <c r="I38" s="181">
        <v>22000</v>
      </c>
      <c r="J38" s="182">
        <v>5000</v>
      </c>
      <c r="K38" s="183" t="s">
        <v>1504</v>
      </c>
    </row>
    <row r="39" spans="2:11" ht="16">
      <c r="B39" s="178" t="s">
        <v>203</v>
      </c>
      <c r="C39" s="179" t="s">
        <v>204</v>
      </c>
      <c r="D39" s="180" t="s">
        <v>1505</v>
      </c>
      <c r="E39" s="181">
        <v>30000</v>
      </c>
      <c r="F39" s="180" t="s">
        <v>1505</v>
      </c>
      <c r="G39" s="181">
        <v>130000</v>
      </c>
      <c r="H39" s="180" t="s">
        <v>1505</v>
      </c>
      <c r="I39" s="181">
        <v>130000</v>
      </c>
      <c r="J39" s="182" t="s">
        <v>1505</v>
      </c>
      <c r="K39" s="183" t="s">
        <v>1504</v>
      </c>
    </row>
    <row r="40" spans="2:11" ht="16">
      <c r="B40" s="178" t="s">
        <v>213</v>
      </c>
      <c r="C40" s="179" t="s">
        <v>214</v>
      </c>
      <c r="D40" s="180">
        <v>5.5999999999999995E-4</v>
      </c>
      <c r="E40" s="181">
        <v>5.0000000000000001E-3</v>
      </c>
      <c r="F40" s="180">
        <v>1.4E-2</v>
      </c>
      <c r="G40" s="181">
        <v>3.6999999999999998E-2</v>
      </c>
      <c r="H40" s="180">
        <v>6.7000000000000002E-3</v>
      </c>
      <c r="I40" s="181">
        <v>3.6999999999999998E-2</v>
      </c>
      <c r="J40" s="182">
        <v>0.03</v>
      </c>
      <c r="K40" s="183" t="s">
        <v>1504</v>
      </c>
    </row>
    <row r="41" spans="2:11" ht="16">
      <c r="B41" s="178" t="s">
        <v>217</v>
      </c>
      <c r="C41" s="179" t="s">
        <v>218</v>
      </c>
      <c r="D41" s="180" t="s">
        <v>1505</v>
      </c>
      <c r="E41" s="181">
        <v>2.2000000000000002</v>
      </c>
      <c r="F41" s="180" t="s">
        <v>1505</v>
      </c>
      <c r="G41" s="181">
        <v>9.6999999999999993</v>
      </c>
      <c r="H41" s="180" t="s">
        <v>1505</v>
      </c>
      <c r="I41" s="181">
        <v>9.6999999999999993</v>
      </c>
      <c r="J41" s="182">
        <v>50</v>
      </c>
      <c r="K41" s="183" t="s">
        <v>1504</v>
      </c>
    </row>
    <row r="42" spans="2:11" ht="16">
      <c r="B42" s="178" t="s">
        <v>225</v>
      </c>
      <c r="C42" s="179" t="s">
        <v>226</v>
      </c>
      <c r="D42" s="180" t="s">
        <v>1505</v>
      </c>
      <c r="E42" s="181">
        <v>800</v>
      </c>
      <c r="F42" s="180" t="s">
        <v>1505</v>
      </c>
      <c r="G42" s="181">
        <v>3500</v>
      </c>
      <c r="H42" s="180" t="s">
        <v>1505</v>
      </c>
      <c r="I42" s="181">
        <v>3500</v>
      </c>
      <c r="J42" s="182">
        <v>6200</v>
      </c>
      <c r="K42" s="183" t="s">
        <v>1504</v>
      </c>
    </row>
    <row r="43" spans="2:11" ht="16">
      <c r="B43" s="178" t="s">
        <v>227</v>
      </c>
      <c r="C43" s="179" t="s">
        <v>228</v>
      </c>
      <c r="D43" s="180">
        <v>0.17</v>
      </c>
      <c r="E43" s="181">
        <v>100</v>
      </c>
      <c r="F43" s="180">
        <v>4.3</v>
      </c>
      <c r="G43" s="181">
        <v>440</v>
      </c>
      <c r="H43" s="180">
        <v>2</v>
      </c>
      <c r="I43" s="181">
        <v>440</v>
      </c>
      <c r="J43" s="182">
        <v>1900</v>
      </c>
      <c r="K43" s="183" t="s">
        <v>1504</v>
      </c>
    </row>
    <row r="44" spans="2:11" ht="16">
      <c r="B44" s="178" t="s">
        <v>229</v>
      </c>
      <c r="C44" s="179" t="s">
        <v>230</v>
      </c>
      <c r="D44" s="180" t="s">
        <v>1505</v>
      </c>
      <c r="E44" s="181">
        <v>10</v>
      </c>
      <c r="F44" s="180" t="s">
        <v>1505</v>
      </c>
      <c r="G44" s="181">
        <v>44</v>
      </c>
      <c r="H44" s="180" t="s">
        <v>1505</v>
      </c>
      <c r="I44" s="181">
        <v>44</v>
      </c>
      <c r="J44" s="182">
        <v>660</v>
      </c>
      <c r="K44" s="183" t="s">
        <v>1504</v>
      </c>
    </row>
    <row r="45" spans="2:11" ht="16">
      <c r="B45" s="178" t="s">
        <v>240</v>
      </c>
      <c r="C45" s="179" t="s">
        <v>241</v>
      </c>
      <c r="D45" s="180">
        <v>0.01</v>
      </c>
      <c r="E45" s="181">
        <v>0.02</v>
      </c>
      <c r="F45" s="180">
        <v>0.26</v>
      </c>
      <c r="G45" s="181">
        <v>8.7999999999999995E-2</v>
      </c>
      <c r="H45" s="180">
        <v>0.12</v>
      </c>
      <c r="I45" s="181">
        <v>8.7999999999999995E-2</v>
      </c>
      <c r="J45" s="182">
        <v>0.2</v>
      </c>
      <c r="K45" s="183" t="s">
        <v>1504</v>
      </c>
    </row>
    <row r="46" spans="2:11" ht="16">
      <c r="B46" s="178" t="s">
        <v>248</v>
      </c>
      <c r="C46" s="179" t="s">
        <v>249</v>
      </c>
      <c r="D46" s="180">
        <v>0.04</v>
      </c>
      <c r="E46" s="181" t="s">
        <v>1505</v>
      </c>
      <c r="F46" s="180">
        <v>1</v>
      </c>
      <c r="G46" s="181" t="s">
        <v>1505</v>
      </c>
      <c r="H46" s="180">
        <v>0.48</v>
      </c>
      <c r="I46" s="181" t="s">
        <v>1505</v>
      </c>
      <c r="J46" s="182" t="s">
        <v>1505</v>
      </c>
      <c r="K46" s="183" t="s">
        <v>1505</v>
      </c>
    </row>
    <row r="47" spans="2:11" ht="16">
      <c r="B47" s="178" t="s">
        <v>250</v>
      </c>
      <c r="C47" s="179" t="s">
        <v>251</v>
      </c>
      <c r="D47" s="180" t="s">
        <v>1505</v>
      </c>
      <c r="E47" s="181">
        <v>0.15</v>
      </c>
      <c r="F47" s="180" t="s">
        <v>1505</v>
      </c>
      <c r="G47" s="181">
        <v>0.66</v>
      </c>
      <c r="H47" s="180" t="s">
        <v>1505</v>
      </c>
      <c r="I47" s="181">
        <v>0.66</v>
      </c>
      <c r="J47" s="182">
        <v>170</v>
      </c>
      <c r="K47" s="183" t="s">
        <v>1504</v>
      </c>
    </row>
    <row r="48" spans="2:11" ht="16">
      <c r="B48" s="178" t="s">
        <v>252</v>
      </c>
      <c r="C48" s="179" t="s">
        <v>253</v>
      </c>
      <c r="D48" s="180" t="s">
        <v>1505</v>
      </c>
      <c r="E48" s="181">
        <v>0.6</v>
      </c>
      <c r="F48" s="180" t="s">
        <v>1505</v>
      </c>
      <c r="G48" s="181">
        <v>2.6</v>
      </c>
      <c r="H48" s="180" t="s">
        <v>1505</v>
      </c>
      <c r="I48" s="181">
        <v>2.6</v>
      </c>
      <c r="J48" s="182">
        <v>2.8</v>
      </c>
      <c r="K48" s="183" t="s">
        <v>1504</v>
      </c>
    </row>
    <row r="49" spans="2:11" ht="16">
      <c r="B49" s="178" t="s">
        <v>256</v>
      </c>
      <c r="C49" s="179" t="s">
        <v>257</v>
      </c>
      <c r="D49" s="180" t="s">
        <v>1505</v>
      </c>
      <c r="E49" s="181">
        <v>0.03</v>
      </c>
      <c r="F49" s="180" t="s">
        <v>1505</v>
      </c>
      <c r="G49" s="181">
        <v>0.13</v>
      </c>
      <c r="H49" s="180" t="s">
        <v>1505</v>
      </c>
      <c r="I49" s="181">
        <v>0.13</v>
      </c>
      <c r="J49" s="182" t="s">
        <v>1505</v>
      </c>
      <c r="K49" s="183" t="s">
        <v>1506</v>
      </c>
    </row>
    <row r="50" spans="2:11" ht="16">
      <c r="B50" s="178" t="s">
        <v>262</v>
      </c>
      <c r="C50" s="179" t="s">
        <v>263</v>
      </c>
      <c r="D50" s="180" t="s">
        <v>1505</v>
      </c>
      <c r="E50" s="181">
        <v>50</v>
      </c>
      <c r="F50" s="180" t="s">
        <v>1505</v>
      </c>
      <c r="G50" s="181">
        <v>220</v>
      </c>
      <c r="H50" s="180" t="s">
        <v>1505</v>
      </c>
      <c r="I50" s="181">
        <v>220</v>
      </c>
      <c r="J50" s="182" t="s">
        <v>1505</v>
      </c>
      <c r="K50" s="183" t="s">
        <v>1504</v>
      </c>
    </row>
    <row r="51" spans="2:11" ht="16">
      <c r="B51" s="178" t="s">
        <v>266</v>
      </c>
      <c r="C51" s="179" t="s">
        <v>267</v>
      </c>
      <c r="D51" s="180" t="s">
        <v>1505</v>
      </c>
      <c r="E51" s="181">
        <v>50000</v>
      </c>
      <c r="F51" s="180" t="s">
        <v>1505</v>
      </c>
      <c r="G51" s="181">
        <v>220000</v>
      </c>
      <c r="H51" s="180" t="s">
        <v>1505</v>
      </c>
      <c r="I51" s="181">
        <v>220000</v>
      </c>
      <c r="J51" s="182" t="s">
        <v>1505</v>
      </c>
      <c r="K51" s="183" t="s">
        <v>1504</v>
      </c>
    </row>
    <row r="52" spans="2:11" ht="16">
      <c r="B52" s="178" t="s">
        <v>268</v>
      </c>
      <c r="C52" s="179" t="s">
        <v>269</v>
      </c>
      <c r="D52" s="180" t="s">
        <v>1505</v>
      </c>
      <c r="E52" s="181">
        <v>50000</v>
      </c>
      <c r="F52" s="180" t="s">
        <v>1505</v>
      </c>
      <c r="G52" s="181">
        <v>220000</v>
      </c>
      <c r="H52" s="180" t="s">
        <v>1505</v>
      </c>
      <c r="I52" s="181">
        <v>220000</v>
      </c>
      <c r="J52" s="182" t="s">
        <v>1505</v>
      </c>
      <c r="K52" s="183" t="s">
        <v>1504</v>
      </c>
    </row>
    <row r="53" spans="2:11" ht="16">
      <c r="B53" s="178" t="s">
        <v>270</v>
      </c>
      <c r="C53" s="179" t="s">
        <v>271</v>
      </c>
      <c r="D53" s="180" t="s">
        <v>1505</v>
      </c>
      <c r="E53" s="181">
        <v>30000</v>
      </c>
      <c r="F53" s="180" t="s">
        <v>1505</v>
      </c>
      <c r="G53" s="181">
        <v>130000</v>
      </c>
      <c r="H53" s="180" t="s">
        <v>1505</v>
      </c>
      <c r="I53" s="181">
        <v>130000</v>
      </c>
      <c r="J53" s="182">
        <v>40000</v>
      </c>
      <c r="K53" s="183" t="s">
        <v>1504</v>
      </c>
    </row>
    <row r="54" spans="2:11" ht="16">
      <c r="B54" s="178" t="s">
        <v>272</v>
      </c>
      <c r="C54" s="179" t="s">
        <v>273</v>
      </c>
      <c r="D54" s="180" t="s">
        <v>1505</v>
      </c>
      <c r="E54" s="181">
        <v>300</v>
      </c>
      <c r="F54" s="180" t="s">
        <v>1505</v>
      </c>
      <c r="G54" s="181">
        <v>1300</v>
      </c>
      <c r="H54" s="180" t="s">
        <v>1505</v>
      </c>
      <c r="I54" s="181">
        <v>1300</v>
      </c>
      <c r="J54" s="182">
        <v>490</v>
      </c>
      <c r="K54" s="183" t="s">
        <v>1504</v>
      </c>
    </row>
    <row r="55" spans="2:11" ht="16">
      <c r="B55" s="178" t="s">
        <v>274</v>
      </c>
      <c r="C55" s="179" t="s">
        <v>275</v>
      </c>
      <c r="D55" s="180" t="s">
        <v>1505</v>
      </c>
      <c r="E55" s="181">
        <v>90</v>
      </c>
      <c r="F55" s="180" t="s">
        <v>1505</v>
      </c>
      <c r="G55" s="181">
        <v>400</v>
      </c>
      <c r="H55" s="180" t="s">
        <v>1505</v>
      </c>
      <c r="I55" s="181">
        <v>400</v>
      </c>
      <c r="J55" s="182">
        <v>1000</v>
      </c>
      <c r="K55" s="183" t="s">
        <v>1504</v>
      </c>
    </row>
    <row r="56" spans="2:11" ht="16">
      <c r="B56" s="178" t="s">
        <v>282</v>
      </c>
      <c r="C56" s="179" t="s">
        <v>283</v>
      </c>
      <c r="D56" s="180">
        <v>0.22</v>
      </c>
      <c r="E56" s="181" t="s">
        <v>1505</v>
      </c>
      <c r="F56" s="180">
        <v>5.7</v>
      </c>
      <c r="G56" s="181" t="s">
        <v>1505</v>
      </c>
      <c r="H56" s="180">
        <v>2.6</v>
      </c>
      <c r="I56" s="181" t="s">
        <v>1505</v>
      </c>
      <c r="J56" s="182" t="s">
        <v>1505</v>
      </c>
      <c r="K56" s="183" t="s">
        <v>1505</v>
      </c>
    </row>
    <row r="57" spans="2:11" ht="16">
      <c r="B57" s="178" t="s">
        <v>284</v>
      </c>
      <c r="C57" s="179" t="s">
        <v>285</v>
      </c>
      <c r="D57" s="180" t="s">
        <v>1505</v>
      </c>
      <c r="E57" s="181">
        <v>0.4</v>
      </c>
      <c r="F57" s="180" t="s">
        <v>1505</v>
      </c>
      <c r="G57" s="181">
        <v>1.8</v>
      </c>
      <c r="H57" s="180" t="s">
        <v>1505</v>
      </c>
      <c r="I57" s="181">
        <v>1.8</v>
      </c>
      <c r="J57" s="182">
        <v>29</v>
      </c>
      <c r="K57" s="183" t="s">
        <v>1504</v>
      </c>
    </row>
    <row r="58" spans="2:11" ht="16">
      <c r="B58" s="178" t="s">
        <v>286</v>
      </c>
      <c r="C58" s="179" t="s">
        <v>287</v>
      </c>
      <c r="D58" s="180">
        <v>3.3E-3</v>
      </c>
      <c r="E58" s="181">
        <v>20</v>
      </c>
      <c r="F58" s="180">
        <v>8.6999999999999994E-2</v>
      </c>
      <c r="G58" s="181">
        <v>88</v>
      </c>
      <c r="H58" s="180">
        <v>0.04</v>
      </c>
      <c r="I58" s="181">
        <v>88</v>
      </c>
      <c r="J58" s="182" t="s">
        <v>1505</v>
      </c>
      <c r="K58" s="183" t="s">
        <v>1504</v>
      </c>
    </row>
    <row r="59" spans="2:11" ht="16">
      <c r="B59" s="178" t="s">
        <v>290</v>
      </c>
      <c r="C59" s="179" t="s">
        <v>291</v>
      </c>
      <c r="D59" s="180">
        <v>1.2999999999999999E-2</v>
      </c>
      <c r="E59" s="181" t="s">
        <v>1505</v>
      </c>
      <c r="F59" s="180">
        <v>0.34</v>
      </c>
      <c r="G59" s="181" t="s">
        <v>1505</v>
      </c>
      <c r="H59" s="180">
        <v>0.16</v>
      </c>
      <c r="I59" s="181" t="s">
        <v>1505</v>
      </c>
      <c r="J59" s="182" t="s">
        <v>1505</v>
      </c>
      <c r="K59" s="183" t="s">
        <v>1505</v>
      </c>
    </row>
    <row r="60" spans="2:11" ht="16">
      <c r="B60" s="184" t="s">
        <v>296</v>
      </c>
      <c r="C60" s="179" t="s">
        <v>1377</v>
      </c>
      <c r="D60" s="180">
        <v>3.1000000000000001E-5</v>
      </c>
      <c r="E60" s="181">
        <v>8.3000000000000004E-2</v>
      </c>
      <c r="F60" s="180">
        <v>5.1999999999999995E-4</v>
      </c>
      <c r="G60" s="181">
        <v>0.88</v>
      </c>
      <c r="H60" s="180">
        <v>1E-3</v>
      </c>
      <c r="I60" s="181">
        <v>0.88</v>
      </c>
      <c r="J60" s="182">
        <v>0.3</v>
      </c>
      <c r="K60" s="183" t="s">
        <v>1504</v>
      </c>
    </row>
    <row r="61" spans="2:11" ht="16">
      <c r="B61" s="184" t="s">
        <v>294</v>
      </c>
      <c r="C61" s="179" t="s">
        <v>1379</v>
      </c>
      <c r="D61" s="180">
        <v>3.1000000000000001E-5</v>
      </c>
      <c r="E61" s="181">
        <v>2.0999999999999999E-3</v>
      </c>
      <c r="F61" s="180">
        <v>5.1999999999999995E-4</v>
      </c>
      <c r="G61" s="181">
        <v>2.1999999999999999E-2</v>
      </c>
      <c r="H61" s="180">
        <v>1E-3</v>
      </c>
      <c r="I61" s="181">
        <v>2.1999999999999999E-2</v>
      </c>
      <c r="J61" s="182">
        <v>5.0000000000000001E-3</v>
      </c>
      <c r="K61" s="183" t="s">
        <v>1504</v>
      </c>
    </row>
    <row r="62" spans="2:11" ht="16">
      <c r="B62" s="178" t="s">
        <v>304</v>
      </c>
      <c r="C62" s="179" t="s">
        <v>305</v>
      </c>
      <c r="D62" s="180" t="s">
        <v>1505</v>
      </c>
      <c r="E62" s="181">
        <v>0.1</v>
      </c>
      <c r="F62" s="180" t="s">
        <v>1505</v>
      </c>
      <c r="G62" s="181">
        <v>0.44</v>
      </c>
      <c r="H62" s="180" t="s">
        <v>1505</v>
      </c>
      <c r="I62" s="181">
        <v>0.44</v>
      </c>
      <c r="J62" s="182" t="s">
        <v>1505</v>
      </c>
      <c r="K62" s="183" t="s">
        <v>1504</v>
      </c>
    </row>
    <row r="63" spans="2:11" ht="16">
      <c r="B63" s="186" t="s">
        <v>1517</v>
      </c>
      <c r="C63" s="179" t="s">
        <v>306</v>
      </c>
      <c r="D63" s="180">
        <v>9.5E-4</v>
      </c>
      <c r="E63" s="181" t="s">
        <v>1505</v>
      </c>
      <c r="F63" s="180">
        <v>0.01</v>
      </c>
      <c r="G63" s="181" t="s">
        <v>1505</v>
      </c>
      <c r="H63" s="180">
        <v>1.9E-2</v>
      </c>
      <c r="I63" s="181" t="s">
        <v>1505</v>
      </c>
      <c r="J63" s="182" t="s">
        <v>1505</v>
      </c>
      <c r="K63" s="183" t="s">
        <v>1505</v>
      </c>
    </row>
    <row r="64" spans="2:11" ht="16">
      <c r="B64" s="178" t="s">
        <v>307</v>
      </c>
      <c r="C64" s="179" t="s">
        <v>308</v>
      </c>
      <c r="D64" s="180" t="s">
        <v>1505</v>
      </c>
      <c r="E64" s="181" t="s">
        <v>1505</v>
      </c>
      <c r="F64" s="180" t="s">
        <v>1505</v>
      </c>
      <c r="G64" s="181" t="s">
        <v>1505</v>
      </c>
      <c r="H64" s="180" t="s">
        <v>1505</v>
      </c>
      <c r="I64" s="181" t="s">
        <v>1505</v>
      </c>
      <c r="J64" s="182">
        <v>100</v>
      </c>
      <c r="K64" s="183" t="s">
        <v>1504</v>
      </c>
    </row>
    <row r="65" spans="2:11" ht="16">
      <c r="B65" s="178" t="s">
        <v>310</v>
      </c>
      <c r="C65" s="179" t="s">
        <v>311</v>
      </c>
      <c r="D65" s="180">
        <v>2.3E-2</v>
      </c>
      <c r="E65" s="181" t="s">
        <v>1505</v>
      </c>
      <c r="F65" s="180">
        <v>0.6</v>
      </c>
      <c r="G65" s="181" t="s">
        <v>1505</v>
      </c>
      <c r="H65" s="180">
        <v>0.28000000000000003</v>
      </c>
      <c r="I65" s="181" t="s">
        <v>1505</v>
      </c>
      <c r="J65" s="182" t="s">
        <v>1505</v>
      </c>
      <c r="K65" s="183" t="s">
        <v>1505</v>
      </c>
    </row>
    <row r="66" spans="2:11" ht="16">
      <c r="B66" s="178" t="s">
        <v>312</v>
      </c>
      <c r="C66" s="179" t="s">
        <v>313</v>
      </c>
      <c r="D66" s="180" t="s">
        <v>1505</v>
      </c>
      <c r="E66" s="181">
        <v>600</v>
      </c>
      <c r="F66" s="180" t="s">
        <v>1505</v>
      </c>
      <c r="G66" s="181">
        <v>2600</v>
      </c>
      <c r="H66" s="180" t="s">
        <v>1505</v>
      </c>
      <c r="I66" s="181">
        <v>2600</v>
      </c>
      <c r="J66" s="182" t="s">
        <v>1505</v>
      </c>
      <c r="K66" s="183" t="s">
        <v>1504</v>
      </c>
    </row>
    <row r="67" spans="2:11" ht="16">
      <c r="B67" s="178" t="s">
        <v>324</v>
      </c>
      <c r="C67" s="179" t="s">
        <v>325</v>
      </c>
      <c r="D67" s="180">
        <v>1.6E-2</v>
      </c>
      <c r="E67" s="181" t="s">
        <v>1505</v>
      </c>
      <c r="F67" s="180">
        <v>0.41</v>
      </c>
      <c r="G67" s="181" t="s">
        <v>1505</v>
      </c>
      <c r="H67" s="180">
        <v>0.19</v>
      </c>
      <c r="I67" s="181" t="s">
        <v>1505</v>
      </c>
      <c r="J67" s="182" t="s">
        <v>1505</v>
      </c>
      <c r="K67" s="183" t="s">
        <v>1505</v>
      </c>
    </row>
    <row r="68" spans="2:11" ht="16">
      <c r="B68" s="178" t="s">
        <v>328</v>
      </c>
      <c r="C68" s="179" t="s">
        <v>1381</v>
      </c>
      <c r="D68" s="180" t="s">
        <v>1505</v>
      </c>
      <c r="E68" s="181">
        <v>0.8</v>
      </c>
      <c r="F68" s="180" t="s">
        <v>1505</v>
      </c>
      <c r="G68" s="181">
        <v>3.5</v>
      </c>
      <c r="H68" s="180" t="s">
        <v>1505</v>
      </c>
      <c r="I68" s="181">
        <v>3.5</v>
      </c>
      <c r="J68" s="182">
        <v>340</v>
      </c>
      <c r="K68" s="183" t="s">
        <v>1504</v>
      </c>
    </row>
    <row r="69" spans="2:11" ht="16">
      <c r="B69" s="178" t="s">
        <v>330</v>
      </c>
      <c r="C69" s="179" t="s">
        <v>331</v>
      </c>
      <c r="D69" s="180" t="s">
        <v>1505</v>
      </c>
      <c r="E69" s="181">
        <v>6000</v>
      </c>
      <c r="F69" s="180" t="s">
        <v>1505</v>
      </c>
      <c r="G69" s="181">
        <v>26000</v>
      </c>
      <c r="H69" s="180" t="s">
        <v>1505</v>
      </c>
      <c r="I69" s="181">
        <v>26000</v>
      </c>
      <c r="J69" s="182" t="s">
        <v>1505</v>
      </c>
      <c r="K69" s="183" t="s">
        <v>1504</v>
      </c>
    </row>
    <row r="70" spans="2:11" ht="16">
      <c r="B70" s="178" t="s">
        <v>358</v>
      </c>
      <c r="C70" s="179" t="s">
        <v>359</v>
      </c>
      <c r="D70" s="180">
        <v>0.01</v>
      </c>
      <c r="E70" s="181" t="s">
        <v>1505</v>
      </c>
      <c r="F70" s="180">
        <v>0.27</v>
      </c>
      <c r="G70" s="181" t="s">
        <v>1505</v>
      </c>
      <c r="H70" s="180">
        <v>0.12</v>
      </c>
      <c r="I70" s="181" t="s">
        <v>1505</v>
      </c>
      <c r="J70" s="182" t="s">
        <v>1505</v>
      </c>
      <c r="K70" s="183" t="s">
        <v>1505</v>
      </c>
    </row>
    <row r="71" spans="2:11" ht="16">
      <c r="B71" s="178" t="s">
        <v>360</v>
      </c>
      <c r="C71" s="179" t="s">
        <v>361</v>
      </c>
      <c r="D71" s="180">
        <v>0.15</v>
      </c>
      <c r="E71" s="181" t="s">
        <v>1505</v>
      </c>
      <c r="F71" s="180">
        <v>3.9</v>
      </c>
      <c r="G71" s="181" t="s">
        <v>1505</v>
      </c>
      <c r="H71" s="180">
        <v>1.8</v>
      </c>
      <c r="I71" s="181" t="s">
        <v>1505</v>
      </c>
      <c r="J71" s="182" t="s">
        <v>1505</v>
      </c>
      <c r="K71" s="183" t="s">
        <v>1505</v>
      </c>
    </row>
    <row r="72" spans="2:11" ht="16">
      <c r="B72" s="178" t="s">
        <v>366</v>
      </c>
      <c r="C72" s="179" t="s">
        <v>367</v>
      </c>
      <c r="D72" s="180">
        <v>9.1E-4</v>
      </c>
      <c r="E72" s="181" t="s">
        <v>1505</v>
      </c>
      <c r="F72" s="180">
        <v>2.4E-2</v>
      </c>
      <c r="G72" s="181" t="s">
        <v>1505</v>
      </c>
      <c r="H72" s="180">
        <v>1.0999999999999999E-2</v>
      </c>
      <c r="I72" s="181" t="s">
        <v>1505</v>
      </c>
      <c r="J72" s="182" t="s">
        <v>1505</v>
      </c>
      <c r="K72" s="183" t="s">
        <v>1505</v>
      </c>
    </row>
    <row r="73" spans="2:11" ht="16">
      <c r="B73" s="178" t="s">
        <v>370</v>
      </c>
      <c r="C73" s="179" t="s">
        <v>371</v>
      </c>
      <c r="D73" s="180" t="s">
        <v>1505</v>
      </c>
      <c r="E73" s="181" t="s">
        <v>1505</v>
      </c>
      <c r="F73" s="180" t="s">
        <v>1505</v>
      </c>
      <c r="G73" s="181" t="s">
        <v>1505</v>
      </c>
      <c r="H73" s="180" t="s">
        <v>1505</v>
      </c>
      <c r="I73" s="181" t="s">
        <v>1505</v>
      </c>
      <c r="J73" s="182">
        <v>10</v>
      </c>
      <c r="K73" s="183" t="s">
        <v>1504</v>
      </c>
    </row>
    <row r="74" spans="2:11" ht="16">
      <c r="B74" s="178" t="s">
        <v>376</v>
      </c>
      <c r="C74" s="179" t="s">
        <v>377</v>
      </c>
      <c r="D74" s="180">
        <v>9.7999999999999997E-5</v>
      </c>
      <c r="E74" s="181">
        <v>0.2</v>
      </c>
      <c r="F74" s="180">
        <v>1E-3</v>
      </c>
      <c r="G74" s="181">
        <v>0.88</v>
      </c>
      <c r="H74" s="180">
        <v>2E-3</v>
      </c>
      <c r="I74" s="181">
        <v>0.88</v>
      </c>
      <c r="J74" s="182">
        <v>1.9</v>
      </c>
      <c r="K74" s="183" t="s">
        <v>1504</v>
      </c>
    </row>
    <row r="75" spans="2:11" ht="16">
      <c r="B75" s="178" t="s">
        <v>386</v>
      </c>
      <c r="C75" s="179" t="s">
        <v>387</v>
      </c>
      <c r="D75" s="180">
        <v>9.0999999999999998E-2</v>
      </c>
      <c r="E75" s="181">
        <v>60</v>
      </c>
      <c r="F75" s="180">
        <v>2.4</v>
      </c>
      <c r="G75" s="181">
        <v>260</v>
      </c>
      <c r="H75" s="180">
        <v>1.1000000000000001</v>
      </c>
      <c r="I75" s="181">
        <v>260</v>
      </c>
      <c r="J75" s="182">
        <v>12000</v>
      </c>
      <c r="K75" s="183" t="s">
        <v>1504</v>
      </c>
    </row>
    <row r="76" spans="2:11" ht="16">
      <c r="B76" s="178" t="s">
        <v>388</v>
      </c>
      <c r="C76" s="179" t="s">
        <v>389</v>
      </c>
      <c r="D76" s="180">
        <v>2.8999999999999998E-3</v>
      </c>
      <c r="E76" s="181" t="s">
        <v>1505</v>
      </c>
      <c r="F76" s="180">
        <v>7.5999999999999998E-2</v>
      </c>
      <c r="G76" s="181" t="s">
        <v>1505</v>
      </c>
      <c r="H76" s="180">
        <v>3.5000000000000003E-2</v>
      </c>
      <c r="I76" s="181" t="s">
        <v>1505</v>
      </c>
      <c r="J76" s="182" t="s">
        <v>1505</v>
      </c>
      <c r="K76" s="183" t="s">
        <v>1505</v>
      </c>
    </row>
    <row r="77" spans="2:11" ht="16">
      <c r="B77" s="178" t="s">
        <v>394</v>
      </c>
      <c r="C77" s="179" t="s">
        <v>395</v>
      </c>
      <c r="D77" s="180">
        <v>0.63</v>
      </c>
      <c r="E77" s="181" t="s">
        <v>1505</v>
      </c>
      <c r="F77" s="180">
        <v>16</v>
      </c>
      <c r="G77" s="181" t="s">
        <v>1505</v>
      </c>
      <c r="H77" s="180">
        <v>7.5</v>
      </c>
      <c r="I77" s="181" t="s">
        <v>1505</v>
      </c>
      <c r="J77" s="182" t="s">
        <v>1505</v>
      </c>
      <c r="K77" s="183" t="s">
        <v>1505</v>
      </c>
    </row>
    <row r="78" spans="2:11" ht="16">
      <c r="B78" s="178" t="s">
        <v>396</v>
      </c>
      <c r="C78" s="179" t="s">
        <v>397</v>
      </c>
      <c r="D78" s="180" t="s">
        <v>1505</v>
      </c>
      <c r="E78" s="181" t="s">
        <v>1505</v>
      </c>
      <c r="F78" s="180" t="s">
        <v>1505</v>
      </c>
      <c r="G78" s="181" t="s">
        <v>1505</v>
      </c>
      <c r="H78" s="180" t="s">
        <v>1505</v>
      </c>
      <c r="I78" s="181" t="s">
        <v>1505</v>
      </c>
      <c r="J78" s="182">
        <v>790</v>
      </c>
      <c r="K78" s="183" t="s">
        <v>1504</v>
      </c>
    </row>
    <row r="79" spans="2:11" ht="16">
      <c r="B79" s="178" t="s">
        <v>398</v>
      </c>
      <c r="C79" s="179" t="s">
        <v>399</v>
      </c>
      <c r="D79" s="180">
        <v>59</v>
      </c>
      <c r="E79" s="181">
        <v>600</v>
      </c>
      <c r="F79" s="180">
        <v>620</v>
      </c>
      <c r="G79" s="181">
        <v>2600</v>
      </c>
      <c r="H79" s="180">
        <v>1200</v>
      </c>
      <c r="I79" s="181">
        <v>2600</v>
      </c>
      <c r="J79" s="182">
        <v>2100</v>
      </c>
      <c r="K79" s="183" t="s">
        <v>1504</v>
      </c>
    </row>
    <row r="80" spans="2:11" ht="16">
      <c r="B80" s="178" t="s">
        <v>404</v>
      </c>
      <c r="C80" s="179" t="s">
        <v>405</v>
      </c>
      <c r="D80" s="180" t="s">
        <v>1505</v>
      </c>
      <c r="E80" s="181">
        <v>4</v>
      </c>
      <c r="F80" s="180" t="s">
        <v>1505</v>
      </c>
      <c r="G80" s="181">
        <v>18</v>
      </c>
      <c r="H80" s="180" t="s">
        <v>1505</v>
      </c>
      <c r="I80" s="181">
        <v>18</v>
      </c>
      <c r="J80" s="182">
        <v>230</v>
      </c>
      <c r="K80" s="183" t="s">
        <v>1504</v>
      </c>
    </row>
    <row r="81" spans="2:11" ht="16">
      <c r="B81" s="178" t="s">
        <v>406</v>
      </c>
      <c r="C81" s="179" t="s">
        <v>407</v>
      </c>
      <c r="D81" s="180">
        <v>0.25</v>
      </c>
      <c r="E81" s="181">
        <v>32</v>
      </c>
      <c r="F81" s="180">
        <v>6.5</v>
      </c>
      <c r="G81" s="181">
        <v>140</v>
      </c>
      <c r="H81" s="180">
        <v>3</v>
      </c>
      <c r="I81" s="181">
        <v>140</v>
      </c>
      <c r="J81" s="182">
        <v>36</v>
      </c>
      <c r="K81" s="183" t="s">
        <v>1504</v>
      </c>
    </row>
    <row r="82" spans="2:11" ht="16">
      <c r="B82" s="178" t="s">
        <v>408</v>
      </c>
      <c r="C82" s="179" t="s">
        <v>409</v>
      </c>
      <c r="D82" s="180" t="s">
        <v>1505</v>
      </c>
      <c r="E82" s="181">
        <v>0.54</v>
      </c>
      <c r="F82" s="180" t="s">
        <v>1505</v>
      </c>
      <c r="G82" s="181">
        <v>2.4</v>
      </c>
      <c r="H82" s="180" t="s">
        <v>1505</v>
      </c>
      <c r="I82" s="181">
        <v>2.4</v>
      </c>
      <c r="J82" s="182">
        <v>18</v>
      </c>
      <c r="K82" s="183" t="s">
        <v>1506</v>
      </c>
    </row>
    <row r="83" spans="2:11" ht="16">
      <c r="B83" s="178" t="s">
        <v>414</v>
      </c>
      <c r="C83" s="179" t="s">
        <v>415</v>
      </c>
      <c r="D83" s="180">
        <v>2.2000000000000001E-4</v>
      </c>
      <c r="E83" s="181" t="s">
        <v>1505</v>
      </c>
      <c r="F83" s="180">
        <v>5.7000000000000002E-3</v>
      </c>
      <c r="G83" s="181" t="s">
        <v>1505</v>
      </c>
      <c r="H83" s="180">
        <v>2.5999999999999999E-3</v>
      </c>
      <c r="I83" s="181" t="s">
        <v>1505</v>
      </c>
      <c r="J83" s="182" t="s">
        <v>1505</v>
      </c>
      <c r="K83" s="183" t="s">
        <v>1505</v>
      </c>
    </row>
    <row r="84" spans="2:11" ht="16">
      <c r="B84" s="186" t="s">
        <v>1518</v>
      </c>
      <c r="C84" s="179" t="s">
        <v>416</v>
      </c>
      <c r="D84" s="180">
        <v>0.1</v>
      </c>
      <c r="E84" s="181">
        <v>5</v>
      </c>
      <c r="F84" s="180">
        <v>2.6</v>
      </c>
      <c r="G84" s="181">
        <v>22</v>
      </c>
      <c r="H84" s="180">
        <v>1.2</v>
      </c>
      <c r="I84" s="181">
        <v>22</v>
      </c>
      <c r="J84" s="182" t="s">
        <v>1505</v>
      </c>
      <c r="K84" s="183" t="s">
        <v>1504</v>
      </c>
    </row>
    <row r="85" spans="2:11" ht="16">
      <c r="B85" s="178" t="s">
        <v>417</v>
      </c>
      <c r="C85" s="179" t="s">
        <v>418</v>
      </c>
      <c r="D85" s="180" t="s">
        <v>1505</v>
      </c>
      <c r="E85" s="181">
        <v>0.2</v>
      </c>
      <c r="F85" s="180" t="s">
        <v>1505</v>
      </c>
      <c r="G85" s="181">
        <v>0.88</v>
      </c>
      <c r="H85" s="180" t="s">
        <v>1505</v>
      </c>
      <c r="I85" s="181">
        <v>0.88</v>
      </c>
      <c r="J85" s="182" t="s">
        <v>1505</v>
      </c>
      <c r="K85" s="183" t="s">
        <v>1504</v>
      </c>
    </row>
    <row r="86" spans="2:11" ht="16">
      <c r="B86" s="178" t="s">
        <v>423</v>
      </c>
      <c r="C86" s="179" t="s">
        <v>424</v>
      </c>
      <c r="D86" s="180" t="s">
        <v>1505</v>
      </c>
      <c r="E86" s="181">
        <v>0.1</v>
      </c>
      <c r="F86" s="180" t="s">
        <v>1505</v>
      </c>
      <c r="G86" s="181">
        <v>0.44</v>
      </c>
      <c r="H86" s="180" t="s">
        <v>1505</v>
      </c>
      <c r="I86" s="181">
        <v>0.44</v>
      </c>
      <c r="J86" s="182" t="s">
        <v>1505</v>
      </c>
      <c r="K86" s="183" t="s">
        <v>1504</v>
      </c>
    </row>
    <row r="87" spans="2:11" ht="16">
      <c r="B87" s="178" t="s">
        <v>425</v>
      </c>
      <c r="C87" s="179" t="s">
        <v>426</v>
      </c>
      <c r="D87" s="180" t="s">
        <v>1505</v>
      </c>
      <c r="E87" s="181">
        <v>0.3</v>
      </c>
      <c r="F87" s="180" t="s">
        <v>1505</v>
      </c>
      <c r="G87" s="181">
        <v>1.3</v>
      </c>
      <c r="H87" s="180" t="s">
        <v>1505</v>
      </c>
      <c r="I87" s="181">
        <v>1.3</v>
      </c>
      <c r="J87" s="182" t="s">
        <v>1505</v>
      </c>
      <c r="K87" s="183" t="s">
        <v>1506</v>
      </c>
    </row>
    <row r="88" spans="2:11" ht="16">
      <c r="B88" s="178" t="s">
        <v>435</v>
      </c>
      <c r="C88" s="179" t="s">
        <v>436</v>
      </c>
      <c r="D88" s="180" t="s">
        <v>1505</v>
      </c>
      <c r="E88" s="181">
        <v>40000</v>
      </c>
      <c r="F88" s="180" t="s">
        <v>1505</v>
      </c>
      <c r="G88" s="181">
        <v>180000</v>
      </c>
      <c r="H88" s="180" t="s">
        <v>1505</v>
      </c>
      <c r="I88" s="181">
        <v>180000</v>
      </c>
      <c r="J88" s="182" t="s">
        <v>1505</v>
      </c>
      <c r="K88" s="183" t="s">
        <v>1506</v>
      </c>
    </row>
    <row r="89" spans="2:11" ht="16">
      <c r="B89" s="178" t="s">
        <v>443</v>
      </c>
      <c r="C89" s="179" t="s">
        <v>444</v>
      </c>
      <c r="D89" s="180">
        <v>7.6999999999999996E-4</v>
      </c>
      <c r="E89" s="181" t="s">
        <v>1505</v>
      </c>
      <c r="F89" s="180">
        <v>0.02</v>
      </c>
      <c r="G89" s="181" t="s">
        <v>1505</v>
      </c>
      <c r="H89" s="180">
        <v>9.1999999999999998E-3</v>
      </c>
      <c r="I89" s="181" t="s">
        <v>1505</v>
      </c>
      <c r="J89" s="182" t="s">
        <v>1505</v>
      </c>
      <c r="K89" s="183" t="s">
        <v>1505</v>
      </c>
    </row>
    <row r="90" spans="2:11" ht="16">
      <c r="B90" s="178" t="s">
        <v>451</v>
      </c>
      <c r="C90" s="179" t="s">
        <v>452</v>
      </c>
      <c r="D90" s="180" t="s">
        <v>1505</v>
      </c>
      <c r="E90" s="181">
        <v>80</v>
      </c>
      <c r="F90" s="180" t="s">
        <v>1505</v>
      </c>
      <c r="G90" s="181">
        <v>350</v>
      </c>
      <c r="H90" s="180" t="s">
        <v>1505</v>
      </c>
      <c r="I90" s="181">
        <v>350</v>
      </c>
      <c r="J90" s="182" t="s">
        <v>1505</v>
      </c>
      <c r="K90" s="183" t="s">
        <v>1504</v>
      </c>
    </row>
    <row r="91" spans="2:11" ht="16">
      <c r="B91" s="178" t="s">
        <v>453</v>
      </c>
      <c r="C91" s="179" t="s">
        <v>454</v>
      </c>
      <c r="D91" s="180" t="s">
        <v>1505</v>
      </c>
      <c r="E91" s="181" t="s">
        <v>1505</v>
      </c>
      <c r="F91" s="180" t="s">
        <v>1505</v>
      </c>
      <c r="G91" s="181" t="s">
        <v>1505</v>
      </c>
      <c r="H91" s="180" t="s">
        <v>1505</v>
      </c>
      <c r="I91" s="181" t="s">
        <v>1505</v>
      </c>
      <c r="J91" s="182">
        <v>0.49</v>
      </c>
      <c r="K91" s="183" t="s">
        <v>1504</v>
      </c>
    </row>
    <row r="92" spans="2:11" ht="16">
      <c r="B92" s="178" t="s">
        <v>465</v>
      </c>
      <c r="C92" s="179" t="s">
        <v>466</v>
      </c>
      <c r="D92" s="180">
        <v>1.0999999999999999E-2</v>
      </c>
      <c r="E92" s="181" t="s">
        <v>1505</v>
      </c>
      <c r="F92" s="180">
        <v>0.28999999999999998</v>
      </c>
      <c r="G92" s="181" t="s">
        <v>1505</v>
      </c>
      <c r="H92" s="180">
        <v>0.13</v>
      </c>
      <c r="I92" s="181" t="s">
        <v>1505</v>
      </c>
      <c r="J92" s="182" t="s">
        <v>1505</v>
      </c>
      <c r="K92" s="183" t="s">
        <v>1505</v>
      </c>
    </row>
    <row r="93" spans="2:11" ht="16">
      <c r="B93" s="178" t="s">
        <v>469</v>
      </c>
      <c r="C93" s="179" t="s">
        <v>470</v>
      </c>
      <c r="D93" s="180">
        <v>0.2</v>
      </c>
      <c r="E93" s="181">
        <v>30</v>
      </c>
      <c r="F93" s="180">
        <v>5.2</v>
      </c>
      <c r="G93" s="181">
        <v>130</v>
      </c>
      <c r="H93" s="180">
        <v>2.4</v>
      </c>
      <c r="I93" s="181">
        <v>130</v>
      </c>
      <c r="J93" s="182">
        <v>7200</v>
      </c>
      <c r="K93" s="183" t="s">
        <v>1504</v>
      </c>
    </row>
    <row r="94" spans="2:11" ht="16">
      <c r="B94" s="178" t="s">
        <v>473</v>
      </c>
      <c r="C94" s="179" t="s">
        <v>474</v>
      </c>
      <c r="D94" s="180">
        <v>4.4999999999999997E-3</v>
      </c>
      <c r="E94" s="181" t="s">
        <v>1505</v>
      </c>
      <c r="F94" s="180">
        <v>0.12</v>
      </c>
      <c r="G94" s="181" t="s">
        <v>1505</v>
      </c>
      <c r="H94" s="180">
        <v>5.5E-2</v>
      </c>
      <c r="I94" s="181" t="s">
        <v>1505</v>
      </c>
      <c r="J94" s="182" t="s">
        <v>1505</v>
      </c>
      <c r="K94" s="183" t="s">
        <v>1505</v>
      </c>
    </row>
    <row r="95" spans="2:11" ht="16">
      <c r="B95" s="178" t="s">
        <v>479</v>
      </c>
      <c r="C95" s="179" t="s">
        <v>480</v>
      </c>
      <c r="D95" s="180">
        <v>7.0999999999999998E-6</v>
      </c>
      <c r="E95" s="181" t="s">
        <v>1505</v>
      </c>
      <c r="F95" s="180">
        <v>1.9000000000000001E-4</v>
      </c>
      <c r="G95" s="181" t="s">
        <v>1505</v>
      </c>
      <c r="H95" s="180">
        <v>8.6000000000000003E-5</v>
      </c>
      <c r="I95" s="181" t="s">
        <v>1505</v>
      </c>
      <c r="J95" s="182" t="s">
        <v>1505</v>
      </c>
      <c r="K95" s="183" t="s">
        <v>1505</v>
      </c>
    </row>
    <row r="96" spans="2:11" ht="16">
      <c r="B96" s="178" t="s">
        <v>481</v>
      </c>
      <c r="C96" s="179" t="s">
        <v>482</v>
      </c>
      <c r="D96" s="180">
        <v>7.0999999999999998E-6</v>
      </c>
      <c r="E96" s="181" t="s">
        <v>1505</v>
      </c>
      <c r="F96" s="180">
        <v>1.9000000000000001E-4</v>
      </c>
      <c r="G96" s="181" t="s">
        <v>1505</v>
      </c>
      <c r="H96" s="180">
        <v>8.6000000000000003E-5</v>
      </c>
      <c r="I96" s="181" t="s">
        <v>1505</v>
      </c>
      <c r="J96" s="182" t="s">
        <v>1505</v>
      </c>
      <c r="K96" s="183" t="s">
        <v>1505</v>
      </c>
    </row>
    <row r="97" spans="2:11" ht="16">
      <c r="B97" s="178" t="s">
        <v>483</v>
      </c>
      <c r="C97" s="179" t="s">
        <v>484</v>
      </c>
      <c r="D97" s="180">
        <v>7.0999999999999998E-6</v>
      </c>
      <c r="E97" s="181" t="s">
        <v>1505</v>
      </c>
      <c r="F97" s="180">
        <v>1.9000000000000001E-4</v>
      </c>
      <c r="G97" s="181" t="s">
        <v>1505</v>
      </c>
      <c r="H97" s="180">
        <v>8.6000000000000003E-5</v>
      </c>
      <c r="I97" s="181" t="s">
        <v>1505</v>
      </c>
      <c r="J97" s="182" t="s">
        <v>1505</v>
      </c>
      <c r="K97" s="183" t="s">
        <v>1505</v>
      </c>
    </row>
    <row r="98" spans="2:11" ht="16">
      <c r="B98" s="178" t="s">
        <v>487</v>
      </c>
      <c r="C98" s="179" t="s">
        <v>488</v>
      </c>
      <c r="D98" s="180" t="s">
        <v>1505</v>
      </c>
      <c r="E98" s="181" t="s">
        <v>1505</v>
      </c>
      <c r="F98" s="180" t="s">
        <v>1505</v>
      </c>
      <c r="G98" s="181" t="s">
        <v>1505</v>
      </c>
      <c r="H98" s="180" t="s">
        <v>1505</v>
      </c>
      <c r="I98" s="181" t="s">
        <v>1505</v>
      </c>
      <c r="J98" s="182">
        <v>6</v>
      </c>
      <c r="K98" s="183" t="s">
        <v>1504</v>
      </c>
    </row>
    <row r="99" spans="2:11" ht="16">
      <c r="B99" s="178" t="s">
        <v>489</v>
      </c>
      <c r="C99" s="179" t="s">
        <v>490</v>
      </c>
      <c r="D99" s="180">
        <v>4.2999999999999997E-2</v>
      </c>
      <c r="E99" s="181">
        <v>3</v>
      </c>
      <c r="F99" s="180">
        <v>1.1000000000000001</v>
      </c>
      <c r="G99" s="181">
        <v>13</v>
      </c>
      <c r="H99" s="180">
        <v>0.52</v>
      </c>
      <c r="I99" s="181">
        <v>13</v>
      </c>
      <c r="J99" s="182">
        <v>1300</v>
      </c>
      <c r="K99" s="183" t="s">
        <v>1504</v>
      </c>
    </row>
    <row r="100" spans="2:11" ht="16">
      <c r="B100" s="178" t="s">
        <v>491</v>
      </c>
      <c r="C100" s="179" t="s">
        <v>492</v>
      </c>
      <c r="D100" s="180" t="s">
        <v>1505</v>
      </c>
      <c r="E100" s="181">
        <v>20</v>
      </c>
      <c r="F100" s="180" t="s">
        <v>1505</v>
      </c>
      <c r="G100" s="181">
        <v>88</v>
      </c>
      <c r="H100" s="180" t="s">
        <v>1505</v>
      </c>
      <c r="I100" s="181">
        <v>88</v>
      </c>
      <c r="J100" s="182" t="s">
        <v>1505</v>
      </c>
      <c r="K100" s="183" t="s">
        <v>1506</v>
      </c>
    </row>
    <row r="101" spans="2:11" ht="16">
      <c r="B101" s="178" t="s">
        <v>496</v>
      </c>
      <c r="C101" s="179" t="s">
        <v>497</v>
      </c>
      <c r="D101" s="180" t="s">
        <v>1505</v>
      </c>
      <c r="E101" s="181">
        <v>8</v>
      </c>
      <c r="F101" s="180" t="s">
        <v>1505</v>
      </c>
      <c r="G101" s="181">
        <v>35</v>
      </c>
      <c r="H101" s="180" t="s">
        <v>1505</v>
      </c>
      <c r="I101" s="181">
        <v>35</v>
      </c>
      <c r="J101" s="182" t="s">
        <v>1505</v>
      </c>
      <c r="K101" s="183" t="s">
        <v>1504</v>
      </c>
    </row>
    <row r="102" spans="2:11" ht="16">
      <c r="B102" s="178" t="s">
        <v>498</v>
      </c>
      <c r="C102" s="179" t="s">
        <v>499</v>
      </c>
      <c r="D102" s="180">
        <v>0.4</v>
      </c>
      <c r="E102" s="181">
        <v>260</v>
      </c>
      <c r="F102" s="180">
        <v>10</v>
      </c>
      <c r="G102" s="181">
        <v>1100</v>
      </c>
      <c r="H102" s="180">
        <v>4.8</v>
      </c>
      <c r="I102" s="181">
        <v>1100</v>
      </c>
      <c r="J102" s="182">
        <v>22000</v>
      </c>
      <c r="K102" s="183" t="s">
        <v>1504</v>
      </c>
    </row>
    <row r="103" spans="2:11" ht="16">
      <c r="B103" s="178" t="s">
        <v>502</v>
      </c>
      <c r="C103" s="179" t="s">
        <v>503</v>
      </c>
      <c r="D103" s="180">
        <v>1.6999999999999999E-3</v>
      </c>
      <c r="E103" s="181">
        <v>9</v>
      </c>
      <c r="F103" s="180">
        <v>4.2999999999999997E-2</v>
      </c>
      <c r="G103" s="181">
        <v>40</v>
      </c>
      <c r="H103" s="180">
        <v>0.02</v>
      </c>
      <c r="I103" s="181">
        <v>40</v>
      </c>
      <c r="J103" s="182" t="s">
        <v>1505</v>
      </c>
      <c r="K103" s="183" t="s">
        <v>1504</v>
      </c>
    </row>
    <row r="104" spans="2:11" ht="16">
      <c r="B104" s="178" t="s">
        <v>504</v>
      </c>
      <c r="C104" s="179" t="s">
        <v>505</v>
      </c>
      <c r="D104" s="180">
        <v>3.7999999999999999E-2</v>
      </c>
      <c r="E104" s="181">
        <v>7</v>
      </c>
      <c r="F104" s="180">
        <v>1</v>
      </c>
      <c r="G104" s="181">
        <v>31</v>
      </c>
      <c r="H104" s="180">
        <v>0.46</v>
      </c>
      <c r="I104" s="181">
        <v>31</v>
      </c>
      <c r="J104" s="182" t="s">
        <v>1505</v>
      </c>
      <c r="K104" s="183" t="s">
        <v>1504</v>
      </c>
    </row>
    <row r="105" spans="2:11" ht="16">
      <c r="B105" s="178" t="s">
        <v>506</v>
      </c>
      <c r="C105" s="179" t="s">
        <v>507</v>
      </c>
      <c r="D105" s="180" t="s">
        <v>1505</v>
      </c>
      <c r="E105" s="181">
        <v>400</v>
      </c>
      <c r="F105" s="180" t="s">
        <v>1505</v>
      </c>
      <c r="G105" s="181">
        <v>1800</v>
      </c>
      <c r="H105" s="180" t="s">
        <v>1505</v>
      </c>
      <c r="I105" s="181">
        <v>1800</v>
      </c>
      <c r="J105" s="182">
        <v>2000</v>
      </c>
      <c r="K105" s="183" t="s">
        <v>1504</v>
      </c>
    </row>
    <row r="106" spans="2:11" ht="16">
      <c r="B106" s="178" t="s">
        <v>512</v>
      </c>
      <c r="C106" s="179" t="s">
        <v>513</v>
      </c>
      <c r="D106" s="180" t="s">
        <v>1505</v>
      </c>
      <c r="E106" s="181">
        <v>82</v>
      </c>
      <c r="F106" s="180" t="s">
        <v>1505</v>
      </c>
      <c r="G106" s="181">
        <v>360</v>
      </c>
      <c r="H106" s="180" t="s">
        <v>1505</v>
      </c>
      <c r="I106" s="181">
        <v>360</v>
      </c>
      <c r="J106" s="182">
        <v>29000</v>
      </c>
      <c r="K106" s="183" t="s">
        <v>1504</v>
      </c>
    </row>
    <row r="107" spans="2:11" ht="16">
      <c r="B107" s="178" t="s">
        <v>514</v>
      </c>
      <c r="C107" s="179" t="s">
        <v>515</v>
      </c>
      <c r="D107" s="180" t="s">
        <v>1505</v>
      </c>
      <c r="E107" s="181">
        <v>70</v>
      </c>
      <c r="F107" s="180" t="s">
        <v>1505</v>
      </c>
      <c r="G107" s="181">
        <v>310</v>
      </c>
      <c r="H107" s="180" t="s">
        <v>1505</v>
      </c>
      <c r="I107" s="181">
        <v>310</v>
      </c>
      <c r="J107" s="182">
        <v>370</v>
      </c>
      <c r="K107" s="183" t="s">
        <v>1504</v>
      </c>
    </row>
    <row r="108" spans="2:11" ht="16">
      <c r="B108" s="178" t="s">
        <v>516</v>
      </c>
      <c r="C108" s="179" t="s">
        <v>517</v>
      </c>
      <c r="D108" s="180" t="s">
        <v>1505</v>
      </c>
      <c r="E108" s="181">
        <v>60</v>
      </c>
      <c r="F108" s="180" t="s">
        <v>1505</v>
      </c>
      <c r="G108" s="181">
        <v>260</v>
      </c>
      <c r="H108" s="180" t="s">
        <v>1505</v>
      </c>
      <c r="I108" s="181">
        <v>260</v>
      </c>
      <c r="J108" s="182">
        <v>140</v>
      </c>
      <c r="K108" s="183" t="s">
        <v>1504</v>
      </c>
    </row>
    <row r="109" spans="2:11" ht="16">
      <c r="B109" s="178" t="s">
        <v>518</v>
      </c>
      <c r="C109" s="179" t="s">
        <v>519</v>
      </c>
      <c r="D109" s="180" t="s">
        <v>1505</v>
      </c>
      <c r="E109" s="181">
        <v>60</v>
      </c>
      <c r="F109" s="180" t="s">
        <v>1505</v>
      </c>
      <c r="G109" s="181">
        <v>260</v>
      </c>
      <c r="H109" s="180" t="s">
        <v>1505</v>
      </c>
      <c r="I109" s="181">
        <v>260</v>
      </c>
      <c r="J109" s="182">
        <v>93</v>
      </c>
      <c r="K109" s="183" t="s">
        <v>1504</v>
      </c>
    </row>
    <row r="110" spans="2:11" ht="16">
      <c r="B110" s="178" t="s">
        <v>520</v>
      </c>
      <c r="C110" s="179" t="s">
        <v>521</v>
      </c>
      <c r="D110" s="180" t="s">
        <v>1505</v>
      </c>
      <c r="E110" s="181">
        <v>1</v>
      </c>
      <c r="F110" s="180" t="s">
        <v>1505</v>
      </c>
      <c r="G110" s="181">
        <v>4.4000000000000004</v>
      </c>
      <c r="H110" s="180" t="s">
        <v>1505</v>
      </c>
      <c r="I110" s="181">
        <v>4.4000000000000004</v>
      </c>
      <c r="J110" s="182" t="s">
        <v>1505</v>
      </c>
      <c r="K110" s="183" t="s">
        <v>1504</v>
      </c>
    </row>
    <row r="111" spans="2:11" ht="16">
      <c r="B111" s="178" t="s">
        <v>526</v>
      </c>
      <c r="C111" s="179" t="s">
        <v>527</v>
      </c>
      <c r="D111" s="180">
        <v>2.0000000000000001E-4</v>
      </c>
      <c r="E111" s="181">
        <v>30</v>
      </c>
      <c r="F111" s="180">
        <v>2.0999999999999999E-3</v>
      </c>
      <c r="G111" s="181">
        <v>130</v>
      </c>
      <c r="H111" s="180">
        <v>4.0000000000000001E-3</v>
      </c>
      <c r="I111" s="181">
        <v>130</v>
      </c>
      <c r="J111" s="182">
        <v>160</v>
      </c>
      <c r="K111" s="183" t="s">
        <v>1504</v>
      </c>
    </row>
    <row r="112" spans="2:11" ht="16">
      <c r="B112" s="178" t="s">
        <v>528</v>
      </c>
      <c r="C112" s="179" t="s">
        <v>529</v>
      </c>
      <c r="D112" s="180">
        <v>7.6999999999999999E-2</v>
      </c>
      <c r="E112" s="181" t="s">
        <v>1505</v>
      </c>
      <c r="F112" s="180">
        <v>2</v>
      </c>
      <c r="G112" s="181" t="s">
        <v>1505</v>
      </c>
      <c r="H112" s="180">
        <v>0.92</v>
      </c>
      <c r="I112" s="181" t="s">
        <v>1505</v>
      </c>
      <c r="J112" s="182" t="s">
        <v>1505</v>
      </c>
      <c r="K112" s="183" t="s">
        <v>1505</v>
      </c>
    </row>
    <row r="113" spans="2:11" ht="16">
      <c r="B113" s="186" t="s">
        <v>1519</v>
      </c>
      <c r="C113" s="179" t="s">
        <v>532</v>
      </c>
      <c r="D113" s="180" t="s">
        <v>1505</v>
      </c>
      <c r="E113" s="181">
        <v>2.2999999999999998</v>
      </c>
      <c r="F113" s="180" t="s">
        <v>1505</v>
      </c>
      <c r="G113" s="181">
        <v>20</v>
      </c>
      <c r="H113" s="180" t="s">
        <v>1505</v>
      </c>
      <c r="I113" s="181">
        <v>20</v>
      </c>
      <c r="J113" s="182">
        <v>240</v>
      </c>
      <c r="K113" s="183" t="s">
        <v>1504</v>
      </c>
    </row>
    <row r="114" spans="2:11" ht="16">
      <c r="B114" s="178" t="s">
        <v>533</v>
      </c>
      <c r="C114" s="179" t="s">
        <v>534</v>
      </c>
      <c r="D114" s="180" t="s">
        <v>1505</v>
      </c>
      <c r="E114" s="181" t="s">
        <v>1505</v>
      </c>
      <c r="F114" s="180" t="s">
        <v>1505</v>
      </c>
      <c r="G114" s="181" t="s">
        <v>1505</v>
      </c>
      <c r="H114" s="180" t="s">
        <v>1505</v>
      </c>
      <c r="I114" s="181" t="s">
        <v>1505</v>
      </c>
      <c r="J114" s="182">
        <v>16</v>
      </c>
      <c r="K114" s="183" t="s">
        <v>1504</v>
      </c>
    </row>
    <row r="115" spans="2:11" ht="16">
      <c r="B115" s="178" t="s">
        <v>535</v>
      </c>
      <c r="C115" s="179" t="s">
        <v>536</v>
      </c>
      <c r="D115" s="180">
        <v>0.17</v>
      </c>
      <c r="E115" s="181">
        <v>9</v>
      </c>
      <c r="F115" s="180">
        <v>4.3</v>
      </c>
      <c r="G115" s="181">
        <v>40</v>
      </c>
      <c r="H115" s="180">
        <v>2</v>
      </c>
      <c r="I115" s="181">
        <v>40</v>
      </c>
      <c r="J115" s="182">
        <v>49</v>
      </c>
      <c r="K115" s="183" t="s">
        <v>1504</v>
      </c>
    </row>
    <row r="116" spans="2:11" ht="16">
      <c r="B116" s="178" t="s">
        <v>544</v>
      </c>
      <c r="C116" s="179" t="s">
        <v>545</v>
      </c>
      <c r="D116" s="180" t="s">
        <v>1505</v>
      </c>
      <c r="E116" s="181">
        <v>0.08</v>
      </c>
      <c r="F116" s="180" t="s">
        <v>1505</v>
      </c>
      <c r="G116" s="181">
        <v>0.35</v>
      </c>
      <c r="H116" s="180" t="s">
        <v>1505</v>
      </c>
      <c r="I116" s="181">
        <v>0.35</v>
      </c>
      <c r="J116" s="182">
        <v>4.0999999999999996</v>
      </c>
      <c r="K116" s="183" t="s">
        <v>1506</v>
      </c>
    </row>
    <row r="117" spans="2:11" ht="16">
      <c r="B117" s="178" t="s">
        <v>554</v>
      </c>
      <c r="C117" s="179" t="s">
        <v>555</v>
      </c>
      <c r="D117" s="180">
        <v>7.6999999999999996E-4</v>
      </c>
      <c r="E117" s="181" t="s">
        <v>1505</v>
      </c>
      <c r="F117" s="180">
        <v>0.02</v>
      </c>
      <c r="G117" s="181" t="s">
        <v>1505</v>
      </c>
      <c r="H117" s="180">
        <v>9.1999999999999998E-3</v>
      </c>
      <c r="I117" s="181" t="s">
        <v>1505</v>
      </c>
      <c r="J117" s="182" t="s">
        <v>1505</v>
      </c>
      <c r="K117" s="183" t="s">
        <v>1505</v>
      </c>
    </row>
    <row r="118" spans="2:11" ht="16">
      <c r="B118" s="178" t="s">
        <v>556</v>
      </c>
      <c r="C118" s="179" t="s">
        <v>557</v>
      </c>
      <c r="D118" s="180">
        <v>3.8000000000000002E-4</v>
      </c>
      <c r="E118" s="181" t="s">
        <v>1505</v>
      </c>
      <c r="F118" s="180">
        <v>0.01</v>
      </c>
      <c r="G118" s="181" t="s">
        <v>1505</v>
      </c>
      <c r="H118" s="180">
        <v>4.5999999999999999E-3</v>
      </c>
      <c r="I118" s="181" t="s">
        <v>1505</v>
      </c>
      <c r="J118" s="182" t="s">
        <v>1505</v>
      </c>
      <c r="K118" s="183" t="s">
        <v>1505</v>
      </c>
    </row>
    <row r="119" spans="2:11" ht="16">
      <c r="B119" s="178" t="s">
        <v>558</v>
      </c>
      <c r="C119" s="179" t="s">
        <v>559</v>
      </c>
      <c r="D119" s="180">
        <v>2E-3</v>
      </c>
      <c r="E119" s="181" t="s">
        <v>1505</v>
      </c>
      <c r="F119" s="180">
        <v>5.0999999999999997E-2</v>
      </c>
      <c r="G119" s="181" t="s">
        <v>1505</v>
      </c>
      <c r="H119" s="180">
        <v>2.4E-2</v>
      </c>
      <c r="I119" s="181" t="s">
        <v>1505</v>
      </c>
      <c r="J119" s="182" t="s">
        <v>1505</v>
      </c>
      <c r="K119" s="183" t="s">
        <v>1505</v>
      </c>
    </row>
    <row r="120" spans="2:11" ht="16">
      <c r="B120" s="178" t="s">
        <v>560</v>
      </c>
      <c r="C120" s="179" t="s">
        <v>561</v>
      </c>
      <c r="D120" s="180">
        <v>4.4999999999999998E-2</v>
      </c>
      <c r="E120" s="181" t="s">
        <v>1505</v>
      </c>
      <c r="F120" s="180">
        <v>1.2</v>
      </c>
      <c r="G120" s="181" t="s">
        <v>1505</v>
      </c>
      <c r="H120" s="180">
        <v>0.55000000000000004</v>
      </c>
      <c r="I120" s="181" t="s">
        <v>1505</v>
      </c>
      <c r="J120" s="182" t="s">
        <v>1505</v>
      </c>
      <c r="K120" s="183" t="s">
        <v>1505</v>
      </c>
    </row>
    <row r="121" spans="2:11" ht="32">
      <c r="B121" s="178" t="s">
        <v>562</v>
      </c>
      <c r="C121" s="179" t="s">
        <v>563</v>
      </c>
      <c r="D121" s="180">
        <v>1.7000000000000001E-4</v>
      </c>
      <c r="E121" s="181" t="s">
        <v>1505</v>
      </c>
      <c r="F121" s="180">
        <v>1.7999999999999999E-2</v>
      </c>
      <c r="G121" s="181" t="s">
        <v>1505</v>
      </c>
      <c r="H121" s="180">
        <v>8.3999999999999995E-3</v>
      </c>
      <c r="I121" s="181" t="s">
        <v>1505</v>
      </c>
      <c r="J121" s="182" t="s">
        <v>1505</v>
      </c>
      <c r="K121" s="183" t="s">
        <v>1505</v>
      </c>
    </row>
    <row r="122" spans="2:11" ht="16">
      <c r="B122" s="178" t="s">
        <v>564</v>
      </c>
      <c r="C122" s="179" t="s">
        <v>565</v>
      </c>
      <c r="D122" s="180">
        <v>1.7000000000000001E-4</v>
      </c>
      <c r="E122" s="181" t="s">
        <v>1505</v>
      </c>
      <c r="F122" s="180">
        <v>1.7999999999999999E-2</v>
      </c>
      <c r="G122" s="181" t="s">
        <v>1505</v>
      </c>
      <c r="H122" s="180">
        <v>8.3999999999999995E-3</v>
      </c>
      <c r="I122" s="181" t="s">
        <v>1505</v>
      </c>
      <c r="J122" s="182" t="s">
        <v>1505</v>
      </c>
      <c r="K122" s="183" t="s">
        <v>1505</v>
      </c>
    </row>
    <row r="123" spans="2:11" ht="16">
      <c r="B123" s="178" t="s">
        <v>566</v>
      </c>
      <c r="C123" s="179" t="s">
        <v>567</v>
      </c>
      <c r="D123" s="180">
        <v>1.7000000000000001E-4</v>
      </c>
      <c r="E123" s="181" t="s">
        <v>1505</v>
      </c>
      <c r="F123" s="180">
        <v>1.7999999999999999E-2</v>
      </c>
      <c r="G123" s="181" t="s">
        <v>1505</v>
      </c>
      <c r="H123" s="180">
        <v>8.3999999999999995E-3</v>
      </c>
      <c r="I123" s="181" t="s">
        <v>1505</v>
      </c>
      <c r="J123" s="182" t="s">
        <v>1505</v>
      </c>
      <c r="K123" s="183" t="s">
        <v>1505</v>
      </c>
    </row>
    <row r="124" spans="2:11" ht="16">
      <c r="B124" s="178" t="s">
        <v>568</v>
      </c>
      <c r="C124" s="179" t="s">
        <v>569</v>
      </c>
      <c r="D124" s="180">
        <v>5.9999999999999995E-4</v>
      </c>
      <c r="E124" s="181" t="s">
        <v>1505</v>
      </c>
      <c r="F124" s="180">
        <v>6.5000000000000002E-2</v>
      </c>
      <c r="G124" s="181" t="s">
        <v>1505</v>
      </c>
      <c r="H124" s="180">
        <v>0.03</v>
      </c>
      <c r="I124" s="181" t="s">
        <v>1505</v>
      </c>
      <c r="J124" s="182" t="s">
        <v>1505</v>
      </c>
      <c r="K124" s="183" t="s">
        <v>1505</v>
      </c>
    </row>
    <row r="125" spans="2:11" ht="16">
      <c r="B125" s="178" t="s">
        <v>570</v>
      </c>
      <c r="C125" s="179" t="s">
        <v>571</v>
      </c>
      <c r="D125" s="180" t="s">
        <v>1505</v>
      </c>
      <c r="E125" s="181">
        <v>0.2</v>
      </c>
      <c r="F125" s="180" t="s">
        <v>1505</v>
      </c>
      <c r="G125" s="181">
        <v>0.88</v>
      </c>
      <c r="H125" s="180" t="s">
        <v>1505</v>
      </c>
      <c r="I125" s="181">
        <v>0.88</v>
      </c>
      <c r="J125" s="182">
        <v>110</v>
      </c>
      <c r="K125" s="183" t="s">
        <v>1504</v>
      </c>
    </row>
    <row r="126" spans="2:11" ht="16">
      <c r="B126" s="178" t="s">
        <v>572</v>
      </c>
      <c r="C126" s="179" t="s">
        <v>573</v>
      </c>
      <c r="D126" s="180" t="s">
        <v>1505</v>
      </c>
      <c r="E126" s="181">
        <v>30</v>
      </c>
      <c r="F126" s="180" t="s">
        <v>1505</v>
      </c>
      <c r="G126" s="181">
        <v>130</v>
      </c>
      <c r="H126" s="180" t="s">
        <v>1505</v>
      </c>
      <c r="I126" s="181">
        <v>130</v>
      </c>
      <c r="J126" s="182">
        <v>58000</v>
      </c>
      <c r="K126" s="183" t="s">
        <v>1504</v>
      </c>
    </row>
    <row r="127" spans="2:11" ht="16">
      <c r="B127" s="178" t="s">
        <v>576</v>
      </c>
      <c r="C127" s="179" t="s">
        <v>577</v>
      </c>
      <c r="D127" s="180" t="s">
        <v>1505</v>
      </c>
      <c r="E127" s="181">
        <v>6.9000000000000006E-2</v>
      </c>
      <c r="F127" s="180" t="s">
        <v>1505</v>
      </c>
      <c r="G127" s="181">
        <v>0.3</v>
      </c>
      <c r="H127" s="180" t="s">
        <v>1505</v>
      </c>
      <c r="I127" s="181">
        <v>0.3</v>
      </c>
      <c r="J127" s="182">
        <v>0.21</v>
      </c>
      <c r="K127" s="183" t="s">
        <v>1506</v>
      </c>
    </row>
    <row r="128" spans="2:11" ht="16">
      <c r="B128" s="178" t="s">
        <v>578</v>
      </c>
      <c r="C128" s="179" t="s">
        <v>579</v>
      </c>
      <c r="D128" s="180" t="s">
        <v>1505</v>
      </c>
      <c r="E128" s="181">
        <v>700</v>
      </c>
      <c r="F128" s="180" t="s">
        <v>1505</v>
      </c>
      <c r="G128" s="181">
        <v>3100</v>
      </c>
      <c r="H128" s="180" t="s">
        <v>1505</v>
      </c>
      <c r="I128" s="181">
        <v>3100</v>
      </c>
      <c r="J128" s="182" t="s">
        <v>1505</v>
      </c>
      <c r="K128" s="183" t="s">
        <v>1504</v>
      </c>
    </row>
    <row r="129" spans="2:11" ht="16">
      <c r="B129" s="178" t="s">
        <v>580</v>
      </c>
      <c r="C129" s="179" t="s">
        <v>581</v>
      </c>
      <c r="D129" s="180">
        <v>2.0000000000000001E-4</v>
      </c>
      <c r="E129" s="181">
        <v>0.03</v>
      </c>
      <c r="F129" s="180">
        <v>5.3E-3</v>
      </c>
      <c r="G129" s="181">
        <v>0.13</v>
      </c>
      <c r="H129" s="180">
        <v>2.3999999999999998E-3</v>
      </c>
      <c r="I129" s="181">
        <v>0.13</v>
      </c>
      <c r="J129" s="182">
        <v>5.2</v>
      </c>
      <c r="K129" s="183" t="s">
        <v>1504</v>
      </c>
    </row>
    <row r="130" spans="2:11" ht="16">
      <c r="B130" s="178" t="s">
        <v>584</v>
      </c>
      <c r="C130" s="179" t="s">
        <v>585</v>
      </c>
      <c r="D130" s="180" t="s">
        <v>1505</v>
      </c>
      <c r="E130" s="181">
        <v>20</v>
      </c>
      <c r="F130" s="180" t="s">
        <v>1505</v>
      </c>
      <c r="G130" s="181">
        <v>88</v>
      </c>
      <c r="H130" s="180" t="s">
        <v>1505</v>
      </c>
      <c r="I130" s="181">
        <v>88</v>
      </c>
      <c r="J130" s="182">
        <v>2100</v>
      </c>
      <c r="K130" s="183" t="s">
        <v>1504</v>
      </c>
    </row>
    <row r="131" spans="2:11" ht="16">
      <c r="B131" s="178" t="s">
        <v>588</v>
      </c>
      <c r="C131" s="179" t="s">
        <v>589</v>
      </c>
      <c r="D131" s="180" t="s">
        <v>1505</v>
      </c>
      <c r="E131" s="181">
        <v>2.1</v>
      </c>
      <c r="F131" s="180" t="s">
        <v>1505</v>
      </c>
      <c r="G131" s="181">
        <v>19</v>
      </c>
      <c r="H131" s="180" t="s">
        <v>1505</v>
      </c>
      <c r="I131" s="181">
        <v>19</v>
      </c>
      <c r="J131" s="182">
        <v>16</v>
      </c>
      <c r="K131" s="183" t="s">
        <v>1504</v>
      </c>
    </row>
    <row r="132" spans="2:11" ht="16">
      <c r="B132" s="178" t="s">
        <v>590</v>
      </c>
      <c r="C132" s="179" t="s">
        <v>591</v>
      </c>
      <c r="D132" s="180" t="s">
        <v>1505</v>
      </c>
      <c r="E132" s="181">
        <v>2</v>
      </c>
      <c r="F132" s="180" t="s">
        <v>1505</v>
      </c>
      <c r="G132" s="181">
        <v>8.8000000000000007</v>
      </c>
      <c r="H132" s="180" t="s">
        <v>1505</v>
      </c>
      <c r="I132" s="181">
        <v>8.8000000000000007</v>
      </c>
      <c r="J132" s="182">
        <v>98</v>
      </c>
      <c r="K132" s="183" t="s">
        <v>1504</v>
      </c>
    </row>
    <row r="133" spans="2:11" ht="16">
      <c r="B133" s="178" t="s">
        <v>598</v>
      </c>
      <c r="C133" s="179" t="s">
        <v>599</v>
      </c>
      <c r="D133" s="180" t="s">
        <v>1505</v>
      </c>
      <c r="E133" s="181">
        <v>2000</v>
      </c>
      <c r="F133" s="180" t="s">
        <v>1505</v>
      </c>
      <c r="G133" s="181">
        <v>8800</v>
      </c>
      <c r="H133" s="180" t="s">
        <v>1505</v>
      </c>
      <c r="I133" s="181">
        <v>8800</v>
      </c>
      <c r="J133" s="182" t="s">
        <v>1505</v>
      </c>
      <c r="K133" s="183" t="s">
        <v>1504</v>
      </c>
    </row>
    <row r="134" spans="2:11" ht="16">
      <c r="B134" s="178" t="s">
        <v>602</v>
      </c>
      <c r="C134" s="179" t="s">
        <v>603</v>
      </c>
      <c r="D134" s="180" t="s">
        <v>1505</v>
      </c>
      <c r="E134" s="181">
        <v>200</v>
      </c>
      <c r="F134" s="180" t="s">
        <v>1505</v>
      </c>
      <c r="G134" s="181">
        <v>880</v>
      </c>
      <c r="H134" s="180" t="s">
        <v>1505</v>
      </c>
      <c r="I134" s="181">
        <v>880</v>
      </c>
      <c r="J134" s="182">
        <v>3200</v>
      </c>
      <c r="K134" s="183" t="s">
        <v>1504</v>
      </c>
    </row>
    <row r="135" spans="2:11" ht="16">
      <c r="B135" s="178" t="s">
        <v>604</v>
      </c>
      <c r="C135" s="179" t="s">
        <v>605</v>
      </c>
      <c r="D135" s="180" t="s">
        <v>1505</v>
      </c>
      <c r="E135" s="181">
        <v>400</v>
      </c>
      <c r="F135" s="180" t="s">
        <v>1505</v>
      </c>
      <c r="G135" s="181">
        <v>1800</v>
      </c>
      <c r="H135" s="180" t="s">
        <v>1505</v>
      </c>
      <c r="I135" s="181">
        <v>1800</v>
      </c>
      <c r="J135" s="182" t="s">
        <v>1505</v>
      </c>
      <c r="K135" s="183" t="s">
        <v>1504</v>
      </c>
    </row>
    <row r="136" spans="2:11" ht="16">
      <c r="B136" s="178" t="s">
        <v>610</v>
      </c>
      <c r="C136" s="179" t="s">
        <v>611</v>
      </c>
      <c r="D136" s="180" t="s">
        <v>1505</v>
      </c>
      <c r="E136" s="181">
        <v>0.15</v>
      </c>
      <c r="F136" s="180" t="s">
        <v>1505</v>
      </c>
      <c r="G136" s="181">
        <v>0.66</v>
      </c>
      <c r="H136" s="180" t="s">
        <v>1505</v>
      </c>
      <c r="I136" s="181">
        <v>0.66</v>
      </c>
      <c r="J136" s="182">
        <v>0.15</v>
      </c>
      <c r="K136" s="183" t="s">
        <v>1504</v>
      </c>
    </row>
    <row r="137" spans="2:11" ht="16">
      <c r="B137" s="178" t="s">
        <v>614</v>
      </c>
      <c r="C137" s="179" t="s">
        <v>615</v>
      </c>
      <c r="D137" s="180" t="s">
        <v>1505</v>
      </c>
      <c r="E137" s="181">
        <v>0.7</v>
      </c>
      <c r="F137" s="180" t="s">
        <v>1505</v>
      </c>
      <c r="G137" s="181">
        <v>3.1</v>
      </c>
      <c r="H137" s="180" t="s">
        <v>1505</v>
      </c>
      <c r="I137" s="181">
        <v>3.1</v>
      </c>
      <c r="J137" s="182" t="s">
        <v>1505</v>
      </c>
      <c r="K137" s="183" t="s">
        <v>1506</v>
      </c>
    </row>
    <row r="138" spans="2:11" ht="16">
      <c r="B138" s="178" t="s">
        <v>616</v>
      </c>
      <c r="C138" s="179" t="s">
        <v>617</v>
      </c>
      <c r="D138" s="180" t="s">
        <v>1505</v>
      </c>
      <c r="E138" s="181">
        <v>0.09</v>
      </c>
      <c r="F138" s="180" t="s">
        <v>1505</v>
      </c>
      <c r="G138" s="181">
        <v>0.4</v>
      </c>
      <c r="H138" s="180" t="s">
        <v>1505</v>
      </c>
      <c r="I138" s="181">
        <v>0.4</v>
      </c>
      <c r="J138" s="182">
        <v>0.3</v>
      </c>
      <c r="K138" s="183" t="s">
        <v>1504</v>
      </c>
    </row>
    <row r="139" spans="2:11" ht="16">
      <c r="B139" s="178" t="s">
        <v>622</v>
      </c>
      <c r="C139" s="179" t="s">
        <v>623</v>
      </c>
      <c r="D139" s="180" t="s">
        <v>1505</v>
      </c>
      <c r="E139" s="181">
        <v>7.6999999999999999E-2</v>
      </c>
      <c r="F139" s="180" t="s">
        <v>1505</v>
      </c>
      <c r="G139" s="181">
        <v>0.63</v>
      </c>
      <c r="H139" s="180" t="s">
        <v>1505</v>
      </c>
      <c r="I139" s="181">
        <v>0.63</v>
      </c>
      <c r="J139" s="182">
        <v>0.6</v>
      </c>
      <c r="K139" s="183" t="s">
        <v>1504</v>
      </c>
    </row>
    <row r="140" spans="2:11" ht="16">
      <c r="B140" s="178" t="s">
        <v>630</v>
      </c>
      <c r="C140" s="179" t="s">
        <v>631</v>
      </c>
      <c r="D140" s="180" t="s">
        <v>1505</v>
      </c>
      <c r="E140" s="181">
        <v>4000</v>
      </c>
      <c r="F140" s="180" t="s">
        <v>1505</v>
      </c>
      <c r="G140" s="181">
        <v>18000</v>
      </c>
      <c r="H140" s="180" t="s">
        <v>1505</v>
      </c>
      <c r="I140" s="181">
        <v>18000</v>
      </c>
      <c r="J140" s="182">
        <v>28000</v>
      </c>
      <c r="K140" s="183" t="s">
        <v>1504</v>
      </c>
    </row>
    <row r="141" spans="2:11" ht="16">
      <c r="B141" s="178" t="s">
        <v>636</v>
      </c>
      <c r="C141" s="179" t="s">
        <v>637</v>
      </c>
      <c r="D141" s="180">
        <v>2.3E-3</v>
      </c>
      <c r="E141" s="181" t="s">
        <v>1505</v>
      </c>
      <c r="F141" s="180">
        <v>0.06</v>
      </c>
      <c r="G141" s="181" t="s">
        <v>1505</v>
      </c>
      <c r="H141" s="180">
        <v>2.8000000000000001E-2</v>
      </c>
      <c r="I141" s="181" t="s">
        <v>1505</v>
      </c>
      <c r="J141" s="182" t="s">
        <v>1505</v>
      </c>
      <c r="K141" s="183" t="s">
        <v>1505</v>
      </c>
    </row>
    <row r="142" spans="2:11" ht="16">
      <c r="B142" s="178" t="s">
        <v>638</v>
      </c>
      <c r="C142" s="179" t="s">
        <v>639</v>
      </c>
      <c r="D142" s="180">
        <v>2.9999999999999997E-4</v>
      </c>
      <c r="E142" s="181">
        <v>20</v>
      </c>
      <c r="F142" s="180">
        <v>2.3E-2</v>
      </c>
      <c r="G142" s="181">
        <v>88</v>
      </c>
      <c r="H142" s="180">
        <v>0.01</v>
      </c>
      <c r="I142" s="181">
        <v>88</v>
      </c>
      <c r="J142" s="182" t="s">
        <v>1505</v>
      </c>
      <c r="K142" s="183" t="s">
        <v>1506</v>
      </c>
    </row>
    <row r="143" spans="2:11" ht="16">
      <c r="B143" s="178" t="s">
        <v>646</v>
      </c>
      <c r="C143" s="179" t="s">
        <v>647</v>
      </c>
      <c r="D143" s="180" t="s">
        <v>1505</v>
      </c>
      <c r="E143" s="181">
        <v>0.08</v>
      </c>
      <c r="F143" s="180" t="s">
        <v>1505</v>
      </c>
      <c r="G143" s="181">
        <v>0.35</v>
      </c>
      <c r="H143" s="180" t="s">
        <v>1505</v>
      </c>
      <c r="I143" s="181">
        <v>0.35</v>
      </c>
      <c r="J143" s="182">
        <v>12</v>
      </c>
      <c r="K143" s="183" t="s">
        <v>1504</v>
      </c>
    </row>
    <row r="144" spans="2:11" ht="16">
      <c r="B144" s="178" t="s">
        <v>654</v>
      </c>
      <c r="C144" s="179" t="s">
        <v>655</v>
      </c>
      <c r="D144" s="180" t="s">
        <v>1505</v>
      </c>
      <c r="E144" s="181">
        <v>3000</v>
      </c>
      <c r="F144" s="180" t="s">
        <v>1505</v>
      </c>
      <c r="G144" s="181">
        <v>13000</v>
      </c>
      <c r="H144" s="180" t="s">
        <v>1505</v>
      </c>
      <c r="I144" s="181">
        <v>13000</v>
      </c>
      <c r="J144" s="182" t="s">
        <v>1505</v>
      </c>
      <c r="K144" s="183" t="s">
        <v>1504</v>
      </c>
    </row>
    <row r="145" spans="2:11" ht="16">
      <c r="B145" s="178" t="s">
        <v>656</v>
      </c>
      <c r="C145" s="179" t="s">
        <v>657</v>
      </c>
      <c r="D145" s="180" t="s">
        <v>1505</v>
      </c>
      <c r="E145" s="181">
        <v>1</v>
      </c>
      <c r="F145" s="180" t="s">
        <v>1505</v>
      </c>
      <c r="G145" s="181">
        <v>4.4000000000000004</v>
      </c>
      <c r="H145" s="180" t="s">
        <v>1505</v>
      </c>
      <c r="I145" s="181">
        <v>4.4000000000000004</v>
      </c>
      <c r="J145" s="182" t="s">
        <v>1505</v>
      </c>
      <c r="K145" s="183" t="s">
        <v>1504</v>
      </c>
    </row>
    <row r="146" spans="2:11" ht="16">
      <c r="B146" s="178" t="s">
        <v>660</v>
      </c>
      <c r="C146" s="179" t="s">
        <v>661</v>
      </c>
      <c r="D146" s="180" t="s">
        <v>1505</v>
      </c>
      <c r="E146" s="181">
        <v>700</v>
      </c>
      <c r="F146" s="180" t="s">
        <v>1505</v>
      </c>
      <c r="G146" s="181">
        <v>3100</v>
      </c>
      <c r="H146" s="180" t="s">
        <v>1505</v>
      </c>
      <c r="I146" s="181">
        <v>3100</v>
      </c>
      <c r="J146" s="182" t="s">
        <v>1505</v>
      </c>
      <c r="K146" s="183" t="s">
        <v>1506</v>
      </c>
    </row>
    <row r="147" spans="2:11" ht="16">
      <c r="B147" s="178" t="s">
        <v>674</v>
      </c>
      <c r="C147" s="179" t="s">
        <v>675</v>
      </c>
      <c r="D147" s="180">
        <v>3.8</v>
      </c>
      <c r="E147" s="181">
        <v>8000</v>
      </c>
      <c r="F147" s="180">
        <v>100</v>
      </c>
      <c r="G147" s="181">
        <v>35000</v>
      </c>
      <c r="H147" s="180">
        <v>46</v>
      </c>
      <c r="I147" s="181">
        <v>35000</v>
      </c>
      <c r="J147" s="182">
        <v>8000</v>
      </c>
      <c r="K147" s="183" t="s">
        <v>1504</v>
      </c>
    </row>
    <row r="148" spans="2:11" ht="16">
      <c r="B148" s="178" t="s">
        <v>678</v>
      </c>
      <c r="C148" s="179" t="s">
        <v>679</v>
      </c>
      <c r="D148" s="180">
        <v>4.0000000000000001E-3</v>
      </c>
      <c r="E148" s="181" t="s">
        <v>1505</v>
      </c>
      <c r="F148" s="180">
        <v>0.1</v>
      </c>
      <c r="G148" s="181" t="s">
        <v>1505</v>
      </c>
      <c r="H148" s="180">
        <v>4.8000000000000001E-2</v>
      </c>
      <c r="I148" s="181" t="s">
        <v>1505</v>
      </c>
      <c r="J148" s="182" t="s">
        <v>1505</v>
      </c>
      <c r="K148" s="183" t="s">
        <v>1505</v>
      </c>
    </row>
    <row r="149" spans="2:11" ht="16">
      <c r="B149" s="178" t="s">
        <v>692</v>
      </c>
      <c r="C149" s="179" t="s">
        <v>693</v>
      </c>
      <c r="D149" s="180">
        <v>2.9000000000000001E-2</v>
      </c>
      <c r="E149" s="181">
        <v>3.7</v>
      </c>
      <c r="F149" s="180">
        <v>0.76</v>
      </c>
      <c r="G149" s="181">
        <v>16</v>
      </c>
      <c r="H149" s="180">
        <v>0.35</v>
      </c>
      <c r="I149" s="181">
        <v>16</v>
      </c>
      <c r="J149" s="182">
        <v>200</v>
      </c>
      <c r="K149" s="183" t="s">
        <v>1504</v>
      </c>
    </row>
    <row r="150" spans="2:11" ht="16">
      <c r="B150" s="186" t="s">
        <v>1520</v>
      </c>
      <c r="C150" s="179" t="s">
        <v>696</v>
      </c>
      <c r="D150" s="180">
        <v>3.8E-3</v>
      </c>
      <c r="E150" s="181">
        <v>1.4E-2</v>
      </c>
      <c r="F150" s="180">
        <v>0.1</v>
      </c>
      <c r="G150" s="181">
        <v>6.2E-2</v>
      </c>
      <c r="H150" s="180">
        <v>4.5999999999999999E-2</v>
      </c>
      <c r="I150" s="181">
        <v>6.2E-2</v>
      </c>
      <c r="J150" s="182">
        <v>0.2</v>
      </c>
      <c r="K150" s="183" t="s">
        <v>1504</v>
      </c>
    </row>
    <row r="151" spans="2:11" ht="16">
      <c r="B151" s="186" t="s">
        <v>1521</v>
      </c>
      <c r="C151" s="179" t="s">
        <v>703</v>
      </c>
      <c r="D151" s="180" t="s">
        <v>1505</v>
      </c>
      <c r="E151" s="181">
        <v>1.4E-2</v>
      </c>
      <c r="F151" s="180" t="s">
        <v>1505</v>
      </c>
      <c r="G151" s="181">
        <v>6.2E-2</v>
      </c>
      <c r="H151" s="180" t="s">
        <v>1505</v>
      </c>
      <c r="I151" s="181">
        <v>6.2E-2</v>
      </c>
      <c r="J151" s="182">
        <v>0.2</v>
      </c>
      <c r="K151" s="183" t="s">
        <v>1504</v>
      </c>
    </row>
    <row r="152" spans="2:11" ht="16">
      <c r="B152" s="178" t="s">
        <v>726</v>
      </c>
      <c r="C152" s="179" t="s">
        <v>727</v>
      </c>
      <c r="D152" s="180" t="s">
        <v>1505</v>
      </c>
      <c r="E152" s="181" t="s">
        <v>1505</v>
      </c>
      <c r="F152" s="180" t="s">
        <v>1505</v>
      </c>
      <c r="G152" s="181" t="s">
        <v>1505</v>
      </c>
      <c r="H152" s="180" t="s">
        <v>1505</v>
      </c>
      <c r="I152" s="181" t="s">
        <v>1505</v>
      </c>
      <c r="J152" s="182">
        <v>86</v>
      </c>
      <c r="K152" s="183" t="s">
        <v>1506</v>
      </c>
    </row>
    <row r="153" spans="2:11" ht="16">
      <c r="B153" s="178" t="s">
        <v>734</v>
      </c>
      <c r="C153" s="179" t="s">
        <v>735</v>
      </c>
      <c r="D153" s="180">
        <v>2.5000000000000001E-2</v>
      </c>
      <c r="E153" s="181">
        <v>9</v>
      </c>
      <c r="F153" s="180">
        <v>0.65</v>
      </c>
      <c r="G153" s="181">
        <v>40</v>
      </c>
      <c r="H153" s="180">
        <v>0.3</v>
      </c>
      <c r="I153" s="181">
        <v>40</v>
      </c>
      <c r="J153" s="182" t="s">
        <v>1505</v>
      </c>
      <c r="K153" s="183" t="s">
        <v>1504</v>
      </c>
    </row>
    <row r="154" spans="2:11" ht="16">
      <c r="B154" s="178" t="s">
        <v>750</v>
      </c>
      <c r="C154" s="179" t="s">
        <v>751</v>
      </c>
      <c r="D154" s="180" t="s">
        <v>1505</v>
      </c>
      <c r="E154" s="181">
        <v>20</v>
      </c>
      <c r="F154" s="180" t="s">
        <v>1505</v>
      </c>
      <c r="G154" s="181">
        <v>88</v>
      </c>
      <c r="H154" s="180" t="s">
        <v>1505</v>
      </c>
      <c r="I154" s="181">
        <v>88</v>
      </c>
      <c r="J154" s="182" t="s">
        <v>1505</v>
      </c>
      <c r="K154" s="183" t="s">
        <v>1504</v>
      </c>
    </row>
    <row r="155" spans="2:11" ht="16">
      <c r="B155" s="178" t="s">
        <v>752</v>
      </c>
      <c r="C155" s="179" t="s">
        <v>753</v>
      </c>
      <c r="D155" s="180">
        <v>3.2000000000000003E-4</v>
      </c>
      <c r="E155" s="181" t="s">
        <v>1505</v>
      </c>
      <c r="F155" s="180">
        <v>8.3999999999999995E-3</v>
      </c>
      <c r="G155" s="181" t="s">
        <v>1505</v>
      </c>
      <c r="H155" s="180">
        <v>3.8999999999999998E-3</v>
      </c>
      <c r="I155" s="181" t="s">
        <v>1505</v>
      </c>
      <c r="J155" s="182" t="s">
        <v>1505</v>
      </c>
      <c r="K155" s="183" t="s">
        <v>1505</v>
      </c>
    </row>
    <row r="156" spans="2:11" ht="16">
      <c r="B156" s="178" t="s">
        <v>756</v>
      </c>
      <c r="C156" s="179" t="s">
        <v>757</v>
      </c>
      <c r="D156" s="180">
        <v>5.8999999999999998E-5</v>
      </c>
      <c r="E156" s="181" t="s">
        <v>1505</v>
      </c>
      <c r="F156" s="180">
        <v>6.2E-4</v>
      </c>
      <c r="G156" s="181" t="s">
        <v>1505</v>
      </c>
      <c r="H156" s="180">
        <v>1.1999999999999999E-3</v>
      </c>
      <c r="I156" s="181" t="s">
        <v>1505</v>
      </c>
      <c r="J156" s="182" t="s">
        <v>1505</v>
      </c>
      <c r="K156" s="183" t="s">
        <v>1505</v>
      </c>
    </row>
    <row r="157" spans="2:11" ht="16">
      <c r="B157" s="178" t="s">
        <v>758</v>
      </c>
      <c r="C157" s="179" t="s">
        <v>759</v>
      </c>
      <c r="D157" s="180">
        <v>1.2999999999999999E-4</v>
      </c>
      <c r="E157" s="181" t="s">
        <v>1505</v>
      </c>
      <c r="F157" s="180">
        <v>1.2999999999999999E-3</v>
      </c>
      <c r="G157" s="181" t="s">
        <v>1505</v>
      </c>
      <c r="H157" s="180">
        <v>2.5999999999999999E-3</v>
      </c>
      <c r="I157" s="181" t="s">
        <v>1505</v>
      </c>
      <c r="J157" s="182" t="s">
        <v>1505</v>
      </c>
      <c r="K157" s="183" t="s">
        <v>1505</v>
      </c>
    </row>
    <row r="158" spans="2:11" ht="16">
      <c r="B158" s="178" t="s">
        <v>760</v>
      </c>
      <c r="C158" s="179" t="s">
        <v>761</v>
      </c>
      <c r="D158" s="180">
        <v>0.38</v>
      </c>
      <c r="E158" s="181" t="s">
        <v>1505</v>
      </c>
      <c r="F158" s="180">
        <v>10</v>
      </c>
      <c r="G158" s="181" t="s">
        <v>1505</v>
      </c>
      <c r="H158" s="180">
        <v>4.5999999999999996</v>
      </c>
      <c r="I158" s="181" t="s">
        <v>1505</v>
      </c>
      <c r="J158" s="182" t="s">
        <v>1505</v>
      </c>
      <c r="K158" s="183" t="s">
        <v>1505</v>
      </c>
    </row>
    <row r="159" spans="2:11" ht="16">
      <c r="B159" s="178" t="s">
        <v>762</v>
      </c>
      <c r="C159" s="179" t="s">
        <v>763</v>
      </c>
      <c r="D159" s="180">
        <v>0.16</v>
      </c>
      <c r="E159" s="181" t="s">
        <v>1505</v>
      </c>
      <c r="F159" s="180">
        <v>4.0999999999999996</v>
      </c>
      <c r="G159" s="181" t="s">
        <v>1505</v>
      </c>
      <c r="H159" s="180">
        <v>1.9</v>
      </c>
      <c r="I159" s="181" t="s">
        <v>1505</v>
      </c>
      <c r="J159" s="182" t="s">
        <v>1505</v>
      </c>
      <c r="K159" s="183" t="s">
        <v>1505</v>
      </c>
    </row>
    <row r="160" spans="2:11" ht="16">
      <c r="B160" s="178" t="s">
        <v>764</v>
      </c>
      <c r="C160" s="179" t="s">
        <v>765</v>
      </c>
      <c r="D160" s="180">
        <v>5.0000000000000001E-4</v>
      </c>
      <c r="E160" s="181" t="s">
        <v>1505</v>
      </c>
      <c r="F160" s="180">
        <v>1.2999999999999999E-2</v>
      </c>
      <c r="G160" s="181" t="s">
        <v>1505</v>
      </c>
      <c r="H160" s="180">
        <v>6.0000000000000001E-3</v>
      </c>
      <c r="I160" s="181" t="s">
        <v>1505</v>
      </c>
      <c r="J160" s="182" t="s">
        <v>1505</v>
      </c>
      <c r="K160" s="183" t="s">
        <v>1505</v>
      </c>
    </row>
    <row r="161" spans="2:11" ht="16">
      <c r="B161" s="178" t="s">
        <v>766</v>
      </c>
      <c r="C161" s="179" t="s">
        <v>767</v>
      </c>
      <c r="D161" s="180">
        <v>1.6000000000000001E-4</v>
      </c>
      <c r="E161" s="181" t="s">
        <v>1505</v>
      </c>
      <c r="F161" s="180">
        <v>4.1000000000000003E-3</v>
      </c>
      <c r="G161" s="181" t="s">
        <v>1505</v>
      </c>
      <c r="H161" s="180">
        <v>1.9E-3</v>
      </c>
      <c r="I161" s="181" t="s">
        <v>1505</v>
      </c>
      <c r="J161" s="182" t="s">
        <v>1505</v>
      </c>
      <c r="K161" s="183" t="s">
        <v>1505</v>
      </c>
    </row>
    <row r="162" spans="2:11" ht="16">
      <c r="B162" s="178" t="s">
        <v>774</v>
      </c>
      <c r="C162" s="179" t="s">
        <v>775</v>
      </c>
      <c r="D162" s="180">
        <v>5.2999999999999998E-4</v>
      </c>
      <c r="E162" s="181" t="s">
        <v>1505</v>
      </c>
      <c r="F162" s="180">
        <v>1.4E-2</v>
      </c>
      <c r="G162" s="181" t="s">
        <v>1505</v>
      </c>
      <c r="H162" s="180">
        <v>6.3E-3</v>
      </c>
      <c r="I162" s="181" t="s">
        <v>1505</v>
      </c>
      <c r="J162" s="182" t="s">
        <v>1505</v>
      </c>
      <c r="K162" s="183" t="s">
        <v>1505</v>
      </c>
    </row>
    <row r="163" spans="2:11" ht="16">
      <c r="B163" s="178" t="s">
        <v>778</v>
      </c>
      <c r="C163" s="179" t="s">
        <v>779</v>
      </c>
      <c r="D163" s="180">
        <v>3.6999999999999999E-4</v>
      </c>
      <c r="E163" s="181" t="s">
        <v>1505</v>
      </c>
      <c r="F163" s="180">
        <v>9.5999999999999992E-3</v>
      </c>
      <c r="G163" s="181" t="s">
        <v>1505</v>
      </c>
      <c r="H163" s="180">
        <v>4.4000000000000003E-3</v>
      </c>
      <c r="I163" s="181" t="s">
        <v>1505</v>
      </c>
      <c r="J163" s="182" t="s">
        <v>1505</v>
      </c>
      <c r="K163" s="183" t="s">
        <v>1505</v>
      </c>
    </row>
    <row r="164" spans="2:11" ht="16">
      <c r="B164" s="178" t="s">
        <v>780</v>
      </c>
      <c r="C164" s="179" t="s">
        <v>781</v>
      </c>
      <c r="D164" s="180">
        <v>1.6999999999999999E-3</v>
      </c>
      <c r="E164" s="181" t="s">
        <v>1505</v>
      </c>
      <c r="F164" s="180">
        <v>4.2999999999999997E-2</v>
      </c>
      <c r="G164" s="181" t="s">
        <v>1505</v>
      </c>
      <c r="H164" s="180">
        <v>0.02</v>
      </c>
      <c r="I164" s="181" t="s">
        <v>1505</v>
      </c>
      <c r="J164" s="182" t="s">
        <v>1505</v>
      </c>
      <c r="K164" s="183" t="s">
        <v>1505</v>
      </c>
    </row>
    <row r="165" spans="2:11" ht="16">
      <c r="B165" s="178" t="s">
        <v>786</v>
      </c>
      <c r="C165" s="179" t="s">
        <v>787</v>
      </c>
      <c r="D165" s="180" t="s">
        <v>1505</v>
      </c>
      <c r="E165" s="181" t="s">
        <v>1505</v>
      </c>
      <c r="F165" s="180" t="s">
        <v>1505</v>
      </c>
      <c r="G165" s="181" t="s">
        <v>1505</v>
      </c>
      <c r="H165" s="180" t="s">
        <v>1505</v>
      </c>
      <c r="I165" s="181" t="s">
        <v>1505</v>
      </c>
      <c r="J165" s="182">
        <v>120</v>
      </c>
      <c r="K165" s="183" t="s">
        <v>1504</v>
      </c>
    </row>
    <row r="166" spans="2:11" ht="16">
      <c r="B166" s="178" t="s">
        <v>788</v>
      </c>
      <c r="C166" s="179" t="s">
        <v>789</v>
      </c>
      <c r="D166" s="180" t="s">
        <v>1505</v>
      </c>
      <c r="E166" s="181" t="s">
        <v>1505</v>
      </c>
      <c r="F166" s="180" t="s">
        <v>1505</v>
      </c>
      <c r="G166" s="181" t="s">
        <v>1505</v>
      </c>
      <c r="H166" s="180" t="s">
        <v>1505</v>
      </c>
      <c r="I166" s="181" t="s">
        <v>1505</v>
      </c>
      <c r="J166" s="182">
        <v>0.02</v>
      </c>
      <c r="K166" s="183" t="s">
        <v>1504</v>
      </c>
    </row>
    <row r="167" spans="2:11" ht="16">
      <c r="B167" s="178" t="s">
        <v>790</v>
      </c>
      <c r="C167" s="179" t="s">
        <v>791</v>
      </c>
      <c r="D167" s="180">
        <v>0.2</v>
      </c>
      <c r="E167" s="181" t="s">
        <v>1505</v>
      </c>
      <c r="F167" s="180">
        <v>5.0999999999999996</v>
      </c>
      <c r="G167" s="181" t="s">
        <v>1505</v>
      </c>
      <c r="H167" s="180">
        <v>2.4</v>
      </c>
      <c r="I167" s="181" t="s">
        <v>1505</v>
      </c>
      <c r="J167" s="182" t="s">
        <v>1505</v>
      </c>
      <c r="K167" s="183" t="s">
        <v>1505</v>
      </c>
    </row>
    <row r="168" spans="2:11" ht="16">
      <c r="B168" s="178" t="s">
        <v>813</v>
      </c>
      <c r="C168" s="179" t="s">
        <v>814</v>
      </c>
      <c r="D168" s="180" t="s">
        <v>1505</v>
      </c>
      <c r="E168" s="181">
        <v>200</v>
      </c>
      <c r="F168" s="180" t="s">
        <v>1505</v>
      </c>
      <c r="G168" s="181">
        <v>880</v>
      </c>
      <c r="H168" s="180" t="s">
        <v>1505</v>
      </c>
      <c r="I168" s="181">
        <v>880</v>
      </c>
      <c r="J168" s="182">
        <v>5800</v>
      </c>
      <c r="K168" s="183" t="s">
        <v>1504</v>
      </c>
    </row>
    <row r="169" spans="2:11" ht="16">
      <c r="B169" s="178" t="s">
        <v>825</v>
      </c>
      <c r="C169" s="179" t="s">
        <v>826</v>
      </c>
      <c r="D169" s="180" t="s">
        <v>1505</v>
      </c>
      <c r="E169" s="181">
        <v>0.3</v>
      </c>
      <c r="F169" s="180" t="s">
        <v>1505</v>
      </c>
      <c r="G169" s="181">
        <v>1.3</v>
      </c>
      <c r="H169" s="180" t="s">
        <v>1505</v>
      </c>
      <c r="I169" s="181">
        <v>1.3</v>
      </c>
      <c r="J169" s="182">
        <v>4</v>
      </c>
      <c r="K169" s="183" t="s">
        <v>1504</v>
      </c>
    </row>
    <row r="170" spans="2:11" ht="16">
      <c r="B170" s="178" t="s">
        <v>827</v>
      </c>
      <c r="C170" s="179" t="s">
        <v>828</v>
      </c>
      <c r="D170" s="180" t="s">
        <v>1505</v>
      </c>
      <c r="E170" s="181">
        <v>0.8</v>
      </c>
      <c r="F170" s="180" t="s">
        <v>1505</v>
      </c>
      <c r="G170" s="181">
        <v>3.5</v>
      </c>
      <c r="H170" s="180" t="s">
        <v>1505</v>
      </c>
      <c r="I170" s="181">
        <v>3.5</v>
      </c>
      <c r="J170" s="182" t="s">
        <v>1505</v>
      </c>
      <c r="K170" s="183" t="s">
        <v>1504</v>
      </c>
    </row>
    <row r="171" spans="2:11" ht="16">
      <c r="B171" s="178" t="s">
        <v>829</v>
      </c>
      <c r="C171" s="179" t="s">
        <v>830</v>
      </c>
      <c r="D171" s="180" t="s">
        <v>1505</v>
      </c>
      <c r="E171" s="181">
        <v>10</v>
      </c>
      <c r="F171" s="180" t="s">
        <v>1505</v>
      </c>
      <c r="G171" s="181">
        <v>44</v>
      </c>
      <c r="H171" s="180" t="s">
        <v>1505</v>
      </c>
      <c r="I171" s="181">
        <v>44</v>
      </c>
      <c r="J171" s="182" t="s">
        <v>1505</v>
      </c>
      <c r="K171" s="183" t="s">
        <v>1504</v>
      </c>
    </row>
    <row r="172" spans="2:11" ht="16">
      <c r="B172" s="178" t="s">
        <v>841</v>
      </c>
      <c r="C172" s="179" t="s">
        <v>842</v>
      </c>
      <c r="D172" s="180" t="s">
        <v>1505</v>
      </c>
      <c r="E172" s="181">
        <v>9</v>
      </c>
      <c r="F172" s="180" t="s">
        <v>1505</v>
      </c>
      <c r="G172" s="181">
        <v>40</v>
      </c>
      <c r="H172" s="180" t="s">
        <v>1505</v>
      </c>
      <c r="I172" s="181">
        <v>40</v>
      </c>
      <c r="J172" s="182">
        <v>20</v>
      </c>
      <c r="K172" s="183" t="s">
        <v>1504</v>
      </c>
    </row>
    <row r="173" spans="2:11" ht="16">
      <c r="B173" s="178" t="s">
        <v>844</v>
      </c>
      <c r="C173" s="179" t="s">
        <v>845</v>
      </c>
      <c r="D173" s="180" t="s">
        <v>1505</v>
      </c>
      <c r="E173" s="181">
        <v>20</v>
      </c>
      <c r="F173" s="180" t="s">
        <v>1505</v>
      </c>
      <c r="G173" s="181">
        <v>88</v>
      </c>
      <c r="H173" s="180" t="s">
        <v>1505</v>
      </c>
      <c r="I173" s="181">
        <v>88</v>
      </c>
      <c r="J173" s="182" t="s">
        <v>1505</v>
      </c>
      <c r="K173" s="183" t="s">
        <v>1504</v>
      </c>
    </row>
    <row r="174" spans="2:11" ht="16">
      <c r="B174" s="186" t="s">
        <v>1522</v>
      </c>
      <c r="C174" s="179" t="s">
        <v>846</v>
      </c>
      <c r="D174" s="180" t="s">
        <v>1505</v>
      </c>
      <c r="E174" s="181" t="s">
        <v>1505</v>
      </c>
      <c r="F174" s="180" t="s">
        <v>1505</v>
      </c>
      <c r="G174" s="181" t="s">
        <v>1505</v>
      </c>
      <c r="H174" s="180" t="s">
        <v>1505</v>
      </c>
      <c r="I174" s="181" t="s">
        <v>1505</v>
      </c>
      <c r="J174" s="182">
        <v>6</v>
      </c>
      <c r="K174" s="183" t="s">
        <v>1504</v>
      </c>
    </row>
    <row r="175" spans="2:11" ht="16">
      <c r="B175" s="178" t="s">
        <v>863</v>
      </c>
      <c r="C175" s="179" t="s">
        <v>864</v>
      </c>
      <c r="D175" s="180">
        <v>5.2999999999999998E-4</v>
      </c>
      <c r="E175" s="181" t="s">
        <v>1505</v>
      </c>
      <c r="F175" s="180">
        <v>0.02</v>
      </c>
      <c r="G175" s="181" t="s">
        <v>1505</v>
      </c>
      <c r="H175" s="180">
        <v>9.1999999999999998E-3</v>
      </c>
      <c r="I175" s="181" t="s">
        <v>1505</v>
      </c>
      <c r="J175" s="182" t="s">
        <v>1505</v>
      </c>
      <c r="K175" s="183" t="s">
        <v>1505</v>
      </c>
    </row>
    <row r="176" spans="2:11" ht="16">
      <c r="B176" s="186" t="s">
        <v>1523</v>
      </c>
      <c r="C176" s="179" t="s">
        <v>865</v>
      </c>
      <c r="D176" s="180">
        <v>1.0000000000000001E-9</v>
      </c>
      <c r="E176" s="181">
        <v>1.3E-7</v>
      </c>
      <c r="F176" s="180">
        <v>8.9999999999999999E-8</v>
      </c>
      <c r="G176" s="181">
        <v>2.5999999999999998E-5</v>
      </c>
      <c r="H176" s="180">
        <v>4.1999999999999999E-8</v>
      </c>
      <c r="I176" s="181">
        <v>2.5999999999999998E-5</v>
      </c>
      <c r="J176" s="182" t="s">
        <v>1505</v>
      </c>
      <c r="K176" s="183" t="s">
        <v>1504</v>
      </c>
    </row>
    <row r="177" spans="2:11" ht="16">
      <c r="B177" s="178" t="s">
        <v>878</v>
      </c>
      <c r="C177" s="179" t="s">
        <v>879</v>
      </c>
      <c r="D177" s="180">
        <v>1.0000000000000001E-5</v>
      </c>
      <c r="E177" s="181">
        <v>1.2999999999999999E-3</v>
      </c>
      <c r="F177" s="180">
        <v>8.9999999999999998E-4</v>
      </c>
      <c r="G177" s="181">
        <v>0.26</v>
      </c>
      <c r="H177" s="180">
        <v>4.2000000000000002E-4</v>
      </c>
      <c r="I177" s="181">
        <v>0.26</v>
      </c>
      <c r="J177" s="182" t="s">
        <v>1505</v>
      </c>
      <c r="K177" s="183" t="s">
        <v>1504</v>
      </c>
    </row>
    <row r="178" spans="2:11" ht="16">
      <c r="B178" s="178" t="s">
        <v>880</v>
      </c>
      <c r="C178" s="179" t="s">
        <v>881</v>
      </c>
      <c r="D178" s="180">
        <v>3.4000000000000001E-6</v>
      </c>
      <c r="E178" s="181">
        <v>4.2000000000000002E-4</v>
      </c>
      <c r="F178" s="180">
        <v>2.9999999999999997E-4</v>
      </c>
      <c r="G178" s="181">
        <v>8.5000000000000006E-2</v>
      </c>
      <c r="H178" s="180">
        <v>1.3999999999999999E-4</v>
      </c>
      <c r="I178" s="181">
        <v>8.5000000000000006E-2</v>
      </c>
      <c r="J178" s="182" t="s">
        <v>1505</v>
      </c>
      <c r="K178" s="183" t="s">
        <v>1504</v>
      </c>
    </row>
    <row r="179" spans="2:11" ht="16">
      <c r="B179" s="178" t="s">
        <v>884</v>
      </c>
      <c r="C179" s="179" t="s">
        <v>885</v>
      </c>
      <c r="D179" s="180">
        <v>3.4E-5</v>
      </c>
      <c r="E179" s="181">
        <v>4.1999999999999997E-3</v>
      </c>
      <c r="F179" s="180">
        <v>3.0000000000000001E-3</v>
      </c>
      <c r="G179" s="181">
        <v>0.85</v>
      </c>
      <c r="H179" s="180">
        <v>1.4E-3</v>
      </c>
      <c r="I179" s="181">
        <v>0.85</v>
      </c>
      <c r="J179" s="182" t="s">
        <v>1505</v>
      </c>
      <c r="K179" s="183" t="s">
        <v>1504</v>
      </c>
    </row>
    <row r="180" spans="2:11" ht="16">
      <c r="B180" s="178" t="s">
        <v>886</v>
      </c>
      <c r="C180" s="179" t="s">
        <v>887</v>
      </c>
      <c r="D180" s="180">
        <v>3.4E-5</v>
      </c>
      <c r="E180" s="181">
        <v>4.1999999999999997E-3</v>
      </c>
      <c r="F180" s="180">
        <v>3.0000000000000001E-3</v>
      </c>
      <c r="G180" s="181">
        <v>0.85</v>
      </c>
      <c r="H180" s="180">
        <v>1.4E-3</v>
      </c>
      <c r="I180" s="181">
        <v>0.85</v>
      </c>
      <c r="J180" s="182" t="s">
        <v>1505</v>
      </c>
      <c r="K180" s="183" t="s">
        <v>1504</v>
      </c>
    </row>
    <row r="181" spans="2:11" ht="16">
      <c r="B181" s="178" t="s">
        <v>888</v>
      </c>
      <c r="C181" s="179" t="s">
        <v>889</v>
      </c>
      <c r="D181" s="180">
        <v>3.4E-5</v>
      </c>
      <c r="E181" s="181">
        <v>4.1999999999999997E-3</v>
      </c>
      <c r="F181" s="180">
        <v>3.0000000000000001E-3</v>
      </c>
      <c r="G181" s="181">
        <v>0.85</v>
      </c>
      <c r="H181" s="180">
        <v>1.4E-3</v>
      </c>
      <c r="I181" s="181">
        <v>0.85</v>
      </c>
      <c r="J181" s="182" t="s">
        <v>1505</v>
      </c>
      <c r="K181" s="183" t="s">
        <v>1504</v>
      </c>
    </row>
    <row r="182" spans="2:11" ht="16">
      <c r="B182" s="178" t="s">
        <v>890</v>
      </c>
      <c r="C182" s="179" t="s">
        <v>891</v>
      </c>
      <c r="D182" s="180">
        <v>3.4E-5</v>
      </c>
      <c r="E182" s="181">
        <v>4.1999999999999997E-3</v>
      </c>
      <c r="F182" s="180">
        <v>3.0000000000000001E-3</v>
      </c>
      <c r="G182" s="181">
        <v>0.85</v>
      </c>
      <c r="H182" s="180">
        <v>1.4E-3</v>
      </c>
      <c r="I182" s="181">
        <v>0.85</v>
      </c>
      <c r="J182" s="182" t="s">
        <v>1505</v>
      </c>
      <c r="K182" s="183" t="s">
        <v>1504</v>
      </c>
    </row>
    <row r="183" spans="2:11" ht="16">
      <c r="B183" s="178" t="s">
        <v>892</v>
      </c>
      <c r="C183" s="179" t="s">
        <v>893</v>
      </c>
      <c r="D183" s="180">
        <v>1E-8</v>
      </c>
      <c r="E183" s="181">
        <v>1.3E-6</v>
      </c>
      <c r="F183" s="180">
        <v>8.9999999999999996E-7</v>
      </c>
      <c r="G183" s="181">
        <v>2.5999999999999998E-4</v>
      </c>
      <c r="H183" s="180">
        <v>4.2E-7</v>
      </c>
      <c r="I183" s="181">
        <v>2.5999999999999998E-4</v>
      </c>
      <c r="J183" s="182" t="s">
        <v>1505</v>
      </c>
      <c r="K183" s="183" t="s">
        <v>1504</v>
      </c>
    </row>
    <row r="184" spans="2:11" ht="16">
      <c r="B184" s="178" t="s">
        <v>900</v>
      </c>
      <c r="C184" s="179" t="s">
        <v>901</v>
      </c>
      <c r="D184" s="180">
        <v>3.4E-5</v>
      </c>
      <c r="E184" s="181">
        <v>4.1999999999999997E-3</v>
      </c>
      <c r="F184" s="180">
        <v>3.0000000000000001E-3</v>
      </c>
      <c r="G184" s="181">
        <v>0.85</v>
      </c>
      <c r="H184" s="180">
        <v>1.4E-3</v>
      </c>
      <c r="I184" s="181">
        <v>0.85</v>
      </c>
      <c r="J184" s="182" t="s">
        <v>1505</v>
      </c>
      <c r="K184" s="183" t="s">
        <v>1504</v>
      </c>
    </row>
    <row r="185" spans="2:11" ht="16">
      <c r="B185" s="178" t="s">
        <v>902</v>
      </c>
      <c r="C185" s="179" t="s">
        <v>903</v>
      </c>
      <c r="D185" s="180">
        <v>3.4E-5</v>
      </c>
      <c r="E185" s="181">
        <v>4.1999999999999997E-3</v>
      </c>
      <c r="F185" s="180">
        <v>3.0000000000000001E-3</v>
      </c>
      <c r="G185" s="181">
        <v>0.85</v>
      </c>
      <c r="H185" s="180">
        <v>1.4E-3</v>
      </c>
      <c r="I185" s="181">
        <v>0.85</v>
      </c>
      <c r="J185" s="182" t="s">
        <v>1505</v>
      </c>
      <c r="K185" s="183" t="s">
        <v>1504</v>
      </c>
    </row>
    <row r="186" spans="2:11" ht="16">
      <c r="B186" s="178" t="s">
        <v>904</v>
      </c>
      <c r="C186" s="179" t="s">
        <v>905</v>
      </c>
      <c r="D186" s="180">
        <v>3.4E-5</v>
      </c>
      <c r="E186" s="181">
        <v>4.1999999999999997E-3</v>
      </c>
      <c r="F186" s="180">
        <v>3.0000000000000001E-3</v>
      </c>
      <c r="G186" s="181">
        <v>0.85</v>
      </c>
      <c r="H186" s="180">
        <v>1.4E-3</v>
      </c>
      <c r="I186" s="181">
        <v>0.85</v>
      </c>
      <c r="J186" s="182" t="s">
        <v>1505</v>
      </c>
      <c r="K186" s="183" t="s">
        <v>1504</v>
      </c>
    </row>
    <row r="187" spans="2:11" ht="16">
      <c r="B187" s="178" t="s">
        <v>906</v>
      </c>
      <c r="C187" s="179" t="s">
        <v>907</v>
      </c>
      <c r="D187" s="180">
        <v>3.4E-8</v>
      </c>
      <c r="E187" s="181">
        <v>4.1999999999999996E-6</v>
      </c>
      <c r="F187" s="180">
        <v>3.0000000000000001E-6</v>
      </c>
      <c r="G187" s="181">
        <v>8.4999999999999995E-4</v>
      </c>
      <c r="H187" s="180">
        <v>1.3999999999999999E-6</v>
      </c>
      <c r="I187" s="181">
        <v>8.4999999999999995E-4</v>
      </c>
      <c r="J187" s="182" t="s">
        <v>1505</v>
      </c>
      <c r="K187" s="183" t="s">
        <v>1504</v>
      </c>
    </row>
    <row r="188" spans="2:11" ht="16">
      <c r="B188" s="178" t="s">
        <v>914</v>
      </c>
      <c r="C188" s="179" t="s">
        <v>915</v>
      </c>
      <c r="D188" s="180">
        <v>3.4E-5</v>
      </c>
      <c r="E188" s="181">
        <v>4.1999999999999997E-3</v>
      </c>
      <c r="F188" s="180">
        <v>3.0000000000000001E-3</v>
      </c>
      <c r="G188" s="181">
        <v>0.85</v>
      </c>
      <c r="H188" s="180">
        <v>1.4E-3</v>
      </c>
      <c r="I188" s="181">
        <v>0.85</v>
      </c>
      <c r="J188" s="182" t="s">
        <v>1505</v>
      </c>
      <c r="K188" s="183" t="s">
        <v>1504</v>
      </c>
    </row>
    <row r="189" spans="2:11" ht="32">
      <c r="B189" s="186" t="s">
        <v>1524</v>
      </c>
      <c r="C189" s="179" t="s">
        <v>922</v>
      </c>
      <c r="D189" s="180">
        <v>1.0000000000000001E-9</v>
      </c>
      <c r="E189" s="181">
        <v>1.3E-7</v>
      </c>
      <c r="F189" s="180">
        <v>8.9999999999999999E-8</v>
      </c>
      <c r="G189" s="181">
        <v>2.5999999999999998E-5</v>
      </c>
      <c r="H189" s="180">
        <v>4.1999999999999999E-8</v>
      </c>
      <c r="I189" s="181">
        <v>2.5999999999999998E-5</v>
      </c>
      <c r="J189" s="182" t="s">
        <v>1505</v>
      </c>
      <c r="K189" s="183" t="s">
        <v>1504</v>
      </c>
    </row>
    <row r="190" spans="2:11" ht="16">
      <c r="B190" s="178" t="s">
        <v>923</v>
      </c>
      <c r="C190" s="179" t="s">
        <v>924</v>
      </c>
      <c r="D190" s="180">
        <v>1.0000000000000001E-9</v>
      </c>
      <c r="E190" s="181">
        <v>1.3E-7</v>
      </c>
      <c r="F190" s="180">
        <v>8.9999999999999999E-8</v>
      </c>
      <c r="G190" s="181">
        <v>2.5999999999999998E-5</v>
      </c>
      <c r="H190" s="180">
        <v>4.1999999999999999E-8</v>
      </c>
      <c r="I190" s="181">
        <v>2.5999999999999998E-5</v>
      </c>
      <c r="J190" s="182" t="s">
        <v>1505</v>
      </c>
      <c r="K190" s="183" t="s">
        <v>1504</v>
      </c>
    </row>
    <row r="191" spans="2:11" ht="16">
      <c r="B191" s="178" t="s">
        <v>925</v>
      </c>
      <c r="C191" s="179" t="s">
        <v>926</v>
      </c>
      <c r="D191" s="180">
        <v>1.0000000000000001E-9</v>
      </c>
      <c r="E191" s="181">
        <v>1.3E-7</v>
      </c>
      <c r="F191" s="180">
        <v>8.9999999999999999E-8</v>
      </c>
      <c r="G191" s="181">
        <v>2.5999999999999998E-5</v>
      </c>
      <c r="H191" s="180">
        <v>4.1999999999999999E-8</v>
      </c>
      <c r="I191" s="181">
        <v>2.5999999999999998E-5</v>
      </c>
      <c r="J191" s="182" t="s">
        <v>1505</v>
      </c>
      <c r="K191" s="183" t="s">
        <v>1504</v>
      </c>
    </row>
    <row r="192" spans="2:11" ht="16">
      <c r="B192" s="178" t="s">
        <v>927</v>
      </c>
      <c r="C192" s="179" t="s">
        <v>928</v>
      </c>
      <c r="D192" s="180">
        <v>1E-8</v>
      </c>
      <c r="E192" s="181">
        <v>1.3E-6</v>
      </c>
      <c r="F192" s="180">
        <v>8.9999999999999996E-7</v>
      </c>
      <c r="G192" s="181">
        <v>2.5999999999999998E-4</v>
      </c>
      <c r="H192" s="180">
        <v>4.2E-7</v>
      </c>
      <c r="I192" s="181">
        <v>2.5999999999999998E-4</v>
      </c>
      <c r="J192" s="182" t="s">
        <v>1505</v>
      </c>
      <c r="K192" s="183" t="s">
        <v>1504</v>
      </c>
    </row>
    <row r="193" spans="2:11" ht="16">
      <c r="B193" s="178" t="s">
        <v>929</v>
      </c>
      <c r="C193" s="179" t="s">
        <v>930</v>
      </c>
      <c r="D193" s="180">
        <v>1E-8</v>
      </c>
      <c r="E193" s="181">
        <v>1.3E-6</v>
      </c>
      <c r="F193" s="180">
        <v>8.9999999999999996E-7</v>
      </c>
      <c r="G193" s="181">
        <v>2.5999999999999998E-4</v>
      </c>
      <c r="H193" s="180">
        <v>4.2E-7</v>
      </c>
      <c r="I193" s="181">
        <v>2.5999999999999998E-4</v>
      </c>
      <c r="J193" s="182" t="s">
        <v>1505</v>
      </c>
      <c r="K193" s="183" t="s">
        <v>1504</v>
      </c>
    </row>
    <row r="194" spans="2:11" ht="16">
      <c r="B194" s="178" t="s">
        <v>931</v>
      </c>
      <c r="C194" s="179" t="s">
        <v>932</v>
      </c>
      <c r="D194" s="180">
        <v>1E-8</v>
      </c>
      <c r="E194" s="181">
        <v>1.3E-6</v>
      </c>
      <c r="F194" s="180">
        <v>8.9999999999999996E-7</v>
      </c>
      <c r="G194" s="181">
        <v>2.5999999999999998E-4</v>
      </c>
      <c r="H194" s="180">
        <v>4.2E-7</v>
      </c>
      <c r="I194" s="181">
        <v>2.5999999999999998E-4</v>
      </c>
      <c r="J194" s="182" t="s">
        <v>1505</v>
      </c>
      <c r="K194" s="183" t="s">
        <v>1504</v>
      </c>
    </row>
    <row r="195" spans="2:11" ht="16">
      <c r="B195" s="178" t="s">
        <v>933</v>
      </c>
      <c r="C195" s="179" t="s">
        <v>934</v>
      </c>
      <c r="D195" s="180">
        <v>9.9999999999999995E-8</v>
      </c>
      <c r="E195" s="181">
        <v>1.2999999999999999E-5</v>
      </c>
      <c r="F195" s="180">
        <v>9.0000000000000002E-6</v>
      </c>
      <c r="G195" s="181">
        <v>2.5999999999999999E-3</v>
      </c>
      <c r="H195" s="180">
        <v>4.1999999999999996E-6</v>
      </c>
      <c r="I195" s="181">
        <v>2.5999999999999999E-3</v>
      </c>
      <c r="J195" s="182" t="s">
        <v>1505</v>
      </c>
      <c r="K195" s="183" t="s">
        <v>1504</v>
      </c>
    </row>
    <row r="196" spans="2:11" ht="16">
      <c r="B196" s="178" t="s">
        <v>935</v>
      </c>
      <c r="C196" s="179" t="s">
        <v>936</v>
      </c>
      <c r="D196" s="180">
        <v>3.4000000000000001E-6</v>
      </c>
      <c r="E196" s="181">
        <v>4.2000000000000002E-4</v>
      </c>
      <c r="F196" s="180">
        <v>2.9999999999999997E-4</v>
      </c>
      <c r="G196" s="181">
        <v>8.5000000000000006E-2</v>
      </c>
      <c r="H196" s="180">
        <v>1.3999999999999999E-4</v>
      </c>
      <c r="I196" s="181">
        <v>8.5000000000000006E-2</v>
      </c>
      <c r="J196" s="182" t="s">
        <v>1505</v>
      </c>
      <c r="K196" s="183" t="s">
        <v>1504</v>
      </c>
    </row>
    <row r="197" spans="2:11" ht="16">
      <c r="B197" s="178" t="s">
        <v>937</v>
      </c>
      <c r="C197" s="179" t="s">
        <v>938</v>
      </c>
      <c r="D197" s="180">
        <v>1E-8</v>
      </c>
      <c r="E197" s="181">
        <v>1.3E-6</v>
      </c>
      <c r="F197" s="180">
        <v>8.9999999999999996E-7</v>
      </c>
      <c r="G197" s="181">
        <v>2.5999999999999998E-4</v>
      </c>
      <c r="H197" s="180">
        <v>4.2E-7</v>
      </c>
      <c r="I197" s="181">
        <v>2.5999999999999998E-4</v>
      </c>
      <c r="J197" s="182" t="s">
        <v>1505</v>
      </c>
      <c r="K197" s="183" t="s">
        <v>1504</v>
      </c>
    </row>
    <row r="198" spans="2:11" ht="16">
      <c r="B198" s="178" t="s">
        <v>939</v>
      </c>
      <c r="C198" s="179" t="s">
        <v>940</v>
      </c>
      <c r="D198" s="180">
        <v>3.4E-8</v>
      </c>
      <c r="E198" s="181">
        <v>4.1999999999999996E-6</v>
      </c>
      <c r="F198" s="180">
        <v>3.0000000000000001E-6</v>
      </c>
      <c r="G198" s="181">
        <v>8.4999999999999995E-4</v>
      </c>
      <c r="H198" s="180">
        <v>1.3999999999999999E-6</v>
      </c>
      <c r="I198" s="181">
        <v>8.4999999999999995E-4</v>
      </c>
      <c r="J198" s="182" t="s">
        <v>1505</v>
      </c>
      <c r="K198" s="183" t="s">
        <v>1504</v>
      </c>
    </row>
    <row r="199" spans="2:11" ht="16">
      <c r="B199" s="178" t="s">
        <v>941</v>
      </c>
      <c r="C199" s="179" t="s">
        <v>942</v>
      </c>
      <c r="D199" s="180">
        <v>3.3999999999999998E-9</v>
      </c>
      <c r="E199" s="181">
        <v>4.2E-7</v>
      </c>
      <c r="F199" s="180">
        <v>2.9999999999999999E-7</v>
      </c>
      <c r="G199" s="181">
        <v>8.5000000000000006E-5</v>
      </c>
      <c r="H199" s="180">
        <v>1.4000000000000001E-7</v>
      </c>
      <c r="I199" s="181">
        <v>8.5000000000000006E-5</v>
      </c>
      <c r="J199" s="182" t="s">
        <v>1505</v>
      </c>
      <c r="K199" s="183" t="s">
        <v>1504</v>
      </c>
    </row>
    <row r="200" spans="2:11" ht="16">
      <c r="B200" s="178" t="s">
        <v>943</v>
      </c>
      <c r="C200" s="179" t="s">
        <v>944</v>
      </c>
      <c r="D200" s="180">
        <v>1E-8</v>
      </c>
      <c r="E200" s="181">
        <v>1.3E-6</v>
      </c>
      <c r="F200" s="180">
        <v>8.9999999999999996E-7</v>
      </c>
      <c r="G200" s="181">
        <v>2.5999999999999998E-4</v>
      </c>
      <c r="H200" s="180">
        <v>4.2E-7</v>
      </c>
      <c r="I200" s="181">
        <v>2.5999999999999998E-4</v>
      </c>
      <c r="J200" s="182" t="s">
        <v>1505</v>
      </c>
      <c r="K200" s="183" t="s">
        <v>1504</v>
      </c>
    </row>
    <row r="201" spans="2:11" ht="16">
      <c r="B201" s="178" t="s">
        <v>945</v>
      </c>
      <c r="C201" s="179" t="s">
        <v>946</v>
      </c>
      <c r="D201" s="180">
        <v>1E-8</v>
      </c>
      <c r="E201" s="181">
        <v>1.3E-6</v>
      </c>
      <c r="F201" s="180">
        <v>8.9999999999999996E-7</v>
      </c>
      <c r="G201" s="181">
        <v>2.5999999999999998E-4</v>
      </c>
      <c r="H201" s="180">
        <v>4.2E-7</v>
      </c>
      <c r="I201" s="181">
        <v>2.5999999999999998E-4</v>
      </c>
      <c r="J201" s="182" t="s">
        <v>1505</v>
      </c>
      <c r="K201" s="183" t="s">
        <v>1504</v>
      </c>
    </row>
    <row r="202" spans="2:11" ht="16">
      <c r="B202" s="178" t="s">
        <v>947</v>
      </c>
      <c r="C202" s="179" t="s">
        <v>948</v>
      </c>
      <c r="D202" s="180">
        <v>1E-8</v>
      </c>
      <c r="E202" s="181">
        <v>1.3E-6</v>
      </c>
      <c r="F202" s="180">
        <v>8.9999999999999996E-7</v>
      </c>
      <c r="G202" s="181">
        <v>2.5999999999999998E-4</v>
      </c>
      <c r="H202" s="180">
        <v>4.2E-7</v>
      </c>
      <c r="I202" s="181">
        <v>2.5999999999999998E-4</v>
      </c>
      <c r="J202" s="182" t="s">
        <v>1505</v>
      </c>
      <c r="K202" s="183" t="s">
        <v>1504</v>
      </c>
    </row>
    <row r="203" spans="2:11" ht="16">
      <c r="B203" s="184" t="s">
        <v>949</v>
      </c>
      <c r="C203" s="179" t="s">
        <v>1391</v>
      </c>
      <c r="D203" s="180">
        <v>1E-8</v>
      </c>
      <c r="E203" s="181">
        <v>1.3E-6</v>
      </c>
      <c r="F203" s="180">
        <v>8.9999999999999996E-7</v>
      </c>
      <c r="G203" s="181">
        <v>2.5999999999999998E-4</v>
      </c>
      <c r="H203" s="180">
        <v>4.2E-7</v>
      </c>
      <c r="I203" s="181">
        <v>2.5999999999999998E-4</v>
      </c>
      <c r="J203" s="182" t="s">
        <v>1505</v>
      </c>
      <c r="K203" s="183" t="s">
        <v>1504</v>
      </c>
    </row>
    <row r="204" spans="2:11" ht="16">
      <c r="B204" s="178" t="s">
        <v>951</v>
      </c>
      <c r="C204" s="179" t="s">
        <v>952</v>
      </c>
      <c r="D204" s="180">
        <v>9.9999999999999995E-8</v>
      </c>
      <c r="E204" s="181">
        <v>1.2999999999999999E-5</v>
      </c>
      <c r="F204" s="180">
        <v>9.0000000000000002E-6</v>
      </c>
      <c r="G204" s="181">
        <v>2.5999999999999999E-3</v>
      </c>
      <c r="H204" s="180">
        <v>4.1999999999999996E-6</v>
      </c>
      <c r="I204" s="181">
        <v>2.5999999999999999E-3</v>
      </c>
      <c r="J204" s="182" t="s">
        <v>1505</v>
      </c>
      <c r="K204" s="183" t="s">
        <v>1504</v>
      </c>
    </row>
    <row r="205" spans="2:11" ht="16">
      <c r="B205" s="178" t="s">
        <v>953</v>
      </c>
      <c r="C205" s="179" t="s">
        <v>954</v>
      </c>
      <c r="D205" s="180">
        <v>9.9999999999999995E-8</v>
      </c>
      <c r="E205" s="181">
        <v>1.2999999999999999E-5</v>
      </c>
      <c r="F205" s="180">
        <v>9.0000000000000002E-6</v>
      </c>
      <c r="G205" s="181">
        <v>2.5999999999999999E-3</v>
      </c>
      <c r="H205" s="180">
        <v>4.1999999999999996E-6</v>
      </c>
      <c r="I205" s="181">
        <v>2.5999999999999999E-3</v>
      </c>
      <c r="J205" s="182" t="s">
        <v>1505</v>
      </c>
      <c r="K205" s="183" t="s">
        <v>1504</v>
      </c>
    </row>
    <row r="206" spans="2:11" ht="16">
      <c r="B206" s="178" t="s">
        <v>955</v>
      </c>
      <c r="C206" s="179" t="s">
        <v>956</v>
      </c>
      <c r="D206" s="180">
        <v>3.4000000000000001E-6</v>
      </c>
      <c r="E206" s="181">
        <v>4.2000000000000002E-4</v>
      </c>
      <c r="F206" s="180">
        <v>2.9999999999999997E-4</v>
      </c>
      <c r="G206" s="181">
        <v>8.5000000000000006E-2</v>
      </c>
      <c r="H206" s="180">
        <v>1.3999999999999999E-4</v>
      </c>
      <c r="I206" s="181">
        <v>8.5000000000000006E-2</v>
      </c>
      <c r="J206" s="182" t="s">
        <v>1505</v>
      </c>
      <c r="K206" s="183" t="s">
        <v>1504</v>
      </c>
    </row>
    <row r="207" spans="2:11" ht="16">
      <c r="B207" s="186" t="s">
        <v>1525</v>
      </c>
      <c r="C207" s="179" t="s">
        <v>957</v>
      </c>
      <c r="D207" s="180">
        <v>4.3000000000000002E-5</v>
      </c>
      <c r="E207" s="181" t="s">
        <v>1505</v>
      </c>
      <c r="F207" s="180">
        <v>1.6000000000000001E-3</v>
      </c>
      <c r="G207" s="181" t="s">
        <v>1505</v>
      </c>
      <c r="H207" s="180">
        <v>3.0000000000000001E-3</v>
      </c>
      <c r="I207" s="181" t="s">
        <v>1505</v>
      </c>
      <c r="J207" s="182" t="s">
        <v>1505</v>
      </c>
      <c r="K207" s="183" t="s">
        <v>1505</v>
      </c>
    </row>
    <row r="208" spans="2:11" ht="16">
      <c r="B208" s="178" t="s">
        <v>961</v>
      </c>
      <c r="C208" s="179" t="s">
        <v>962</v>
      </c>
      <c r="D208" s="180">
        <v>1.1E-4</v>
      </c>
      <c r="E208" s="181" t="s">
        <v>1505</v>
      </c>
      <c r="F208" s="180">
        <v>3.8999999999999998E-3</v>
      </c>
      <c r="G208" s="181" t="s">
        <v>1505</v>
      </c>
      <c r="H208" s="180">
        <v>7.6E-3</v>
      </c>
      <c r="I208" s="181" t="s">
        <v>1505</v>
      </c>
      <c r="J208" s="182" t="s">
        <v>1505</v>
      </c>
      <c r="K208" s="183" t="s">
        <v>1505</v>
      </c>
    </row>
    <row r="209" spans="2:11" ht="16">
      <c r="B209" s="178" t="s">
        <v>963</v>
      </c>
      <c r="C209" s="179" t="s">
        <v>51</v>
      </c>
      <c r="D209" s="180">
        <v>2.1000000000000001E-4</v>
      </c>
      <c r="E209" s="181" t="s">
        <v>1505</v>
      </c>
      <c r="F209" s="180">
        <v>7.7999999999999996E-3</v>
      </c>
      <c r="G209" s="181" t="s">
        <v>1505</v>
      </c>
      <c r="H209" s="180">
        <v>1.4999999999999999E-2</v>
      </c>
      <c r="I209" s="181" t="s">
        <v>1505</v>
      </c>
      <c r="J209" s="182" t="s">
        <v>1505</v>
      </c>
      <c r="K209" s="183" t="s">
        <v>1505</v>
      </c>
    </row>
    <row r="210" spans="2:11" ht="16">
      <c r="B210" s="178" t="s">
        <v>964</v>
      </c>
      <c r="C210" s="179" t="s">
        <v>54</v>
      </c>
      <c r="D210" s="180">
        <v>4.3000000000000002E-5</v>
      </c>
      <c r="E210" s="181">
        <v>2E-3</v>
      </c>
      <c r="F210" s="180">
        <v>1.6000000000000001E-3</v>
      </c>
      <c r="G210" s="181">
        <v>8.8000000000000005E-3</v>
      </c>
      <c r="H210" s="180">
        <v>3.0000000000000001E-3</v>
      </c>
      <c r="I210" s="181">
        <v>8.8000000000000005E-3</v>
      </c>
      <c r="J210" s="182">
        <v>2E-3</v>
      </c>
      <c r="K210" s="183" t="s">
        <v>1504</v>
      </c>
    </row>
    <row r="211" spans="2:11" ht="16">
      <c r="B211" s="178" t="s">
        <v>965</v>
      </c>
      <c r="C211" s="179" t="s">
        <v>57</v>
      </c>
      <c r="D211" s="180">
        <v>5.3000000000000001E-5</v>
      </c>
      <c r="E211" s="181" t="s">
        <v>1505</v>
      </c>
      <c r="F211" s="180">
        <v>2E-3</v>
      </c>
      <c r="G211" s="181" t="s">
        <v>1505</v>
      </c>
      <c r="H211" s="180">
        <v>3.8E-3</v>
      </c>
      <c r="I211" s="181" t="s">
        <v>1505</v>
      </c>
      <c r="J211" s="182" t="s">
        <v>1505</v>
      </c>
      <c r="K211" s="183" t="s">
        <v>1505</v>
      </c>
    </row>
    <row r="212" spans="2:11" ht="16">
      <c r="B212" s="178" t="s">
        <v>966</v>
      </c>
      <c r="C212" s="179" t="s">
        <v>967</v>
      </c>
      <c r="D212" s="180">
        <v>2.0999999999999998E-6</v>
      </c>
      <c r="E212" s="181" t="s">
        <v>1505</v>
      </c>
      <c r="F212" s="180">
        <v>7.7999999999999999E-5</v>
      </c>
      <c r="G212" s="181" t="s">
        <v>1505</v>
      </c>
      <c r="H212" s="180">
        <v>1.4999999999999999E-4</v>
      </c>
      <c r="I212" s="181" t="s">
        <v>1505</v>
      </c>
      <c r="J212" s="182" t="s">
        <v>1505</v>
      </c>
      <c r="K212" s="183" t="s">
        <v>1505</v>
      </c>
    </row>
    <row r="213" spans="2:11" ht="16">
      <c r="B213" s="178" t="s">
        <v>969</v>
      </c>
      <c r="C213" s="179" t="s">
        <v>63</v>
      </c>
      <c r="D213" s="180">
        <v>4.7000000000000002E-3</v>
      </c>
      <c r="E213" s="181" t="s">
        <v>1505</v>
      </c>
      <c r="F213" s="180">
        <v>0.17</v>
      </c>
      <c r="G213" s="181" t="s">
        <v>1505</v>
      </c>
      <c r="H213" s="180">
        <v>0.34</v>
      </c>
      <c r="I213" s="181" t="s">
        <v>1505</v>
      </c>
      <c r="J213" s="182" t="s">
        <v>1505</v>
      </c>
      <c r="K213" s="183" t="s">
        <v>1505</v>
      </c>
    </row>
    <row r="214" spans="2:11" ht="16">
      <c r="B214" s="178" t="s">
        <v>970</v>
      </c>
      <c r="C214" s="179" t="s">
        <v>971</v>
      </c>
      <c r="D214" s="180">
        <v>1.3999999999999999E-4</v>
      </c>
      <c r="E214" s="181" t="s">
        <v>1505</v>
      </c>
      <c r="F214" s="180">
        <v>5.1999999999999998E-3</v>
      </c>
      <c r="G214" s="181" t="s">
        <v>1505</v>
      </c>
      <c r="H214" s="180">
        <v>0.01</v>
      </c>
      <c r="I214" s="181" t="s">
        <v>1505</v>
      </c>
      <c r="J214" s="182" t="s">
        <v>1505</v>
      </c>
      <c r="K214" s="183" t="s">
        <v>1505</v>
      </c>
    </row>
    <row r="215" spans="2:11" ht="16">
      <c r="B215" s="178" t="s">
        <v>972</v>
      </c>
      <c r="C215" s="179" t="s">
        <v>66</v>
      </c>
      <c r="D215" s="180">
        <v>1.4E-3</v>
      </c>
      <c r="E215" s="181" t="s">
        <v>1505</v>
      </c>
      <c r="F215" s="180">
        <v>5.1999999999999998E-2</v>
      </c>
      <c r="G215" s="181" t="s">
        <v>1505</v>
      </c>
      <c r="H215" s="180">
        <v>0.1</v>
      </c>
      <c r="I215" s="181" t="s">
        <v>1505</v>
      </c>
      <c r="J215" s="182" t="s">
        <v>1505</v>
      </c>
      <c r="K215" s="183" t="s">
        <v>1505</v>
      </c>
    </row>
    <row r="216" spans="2:11" ht="16">
      <c r="B216" s="178" t="s">
        <v>975</v>
      </c>
      <c r="C216" s="179" t="s">
        <v>73</v>
      </c>
      <c r="D216" s="180">
        <v>4.2999999999999999E-4</v>
      </c>
      <c r="E216" s="181" t="s">
        <v>1505</v>
      </c>
      <c r="F216" s="180">
        <v>1.6E-2</v>
      </c>
      <c r="G216" s="181" t="s">
        <v>1505</v>
      </c>
      <c r="H216" s="180">
        <v>0.03</v>
      </c>
      <c r="I216" s="181" t="s">
        <v>1505</v>
      </c>
      <c r="J216" s="182" t="s">
        <v>1505</v>
      </c>
      <c r="K216" s="183" t="s">
        <v>1505</v>
      </c>
    </row>
    <row r="217" spans="2:11" ht="16">
      <c r="B217" s="178" t="s">
        <v>976</v>
      </c>
      <c r="C217" s="179" t="s">
        <v>977</v>
      </c>
      <c r="D217" s="180">
        <v>1.1E-4</v>
      </c>
      <c r="E217" s="181" t="s">
        <v>1505</v>
      </c>
      <c r="F217" s="180">
        <v>3.8999999999999998E-3</v>
      </c>
      <c r="G217" s="181" t="s">
        <v>1505</v>
      </c>
      <c r="H217" s="180">
        <v>7.6E-3</v>
      </c>
      <c r="I217" s="181" t="s">
        <v>1505</v>
      </c>
      <c r="J217" s="182" t="s">
        <v>1505</v>
      </c>
      <c r="K217" s="183" t="s">
        <v>1505</v>
      </c>
    </row>
    <row r="218" spans="2:11" ht="16">
      <c r="B218" s="178" t="s">
        <v>984</v>
      </c>
      <c r="C218" s="179" t="s">
        <v>76</v>
      </c>
      <c r="D218" s="180">
        <v>4.3000000000000003E-6</v>
      </c>
      <c r="E218" s="181" t="s">
        <v>1505</v>
      </c>
      <c r="F218" s="180">
        <v>1.6000000000000001E-4</v>
      </c>
      <c r="G218" s="181" t="s">
        <v>1505</v>
      </c>
      <c r="H218" s="180">
        <v>2.9999999999999997E-4</v>
      </c>
      <c r="I218" s="181" t="s">
        <v>1505</v>
      </c>
      <c r="J218" s="182" t="s">
        <v>1505</v>
      </c>
      <c r="K218" s="183" t="s">
        <v>1505</v>
      </c>
    </row>
    <row r="219" spans="2:11" ht="16">
      <c r="B219" s="178" t="s">
        <v>987</v>
      </c>
      <c r="C219" s="179" t="s">
        <v>988</v>
      </c>
      <c r="D219" s="180">
        <v>1.1E-4</v>
      </c>
      <c r="E219" s="181" t="s">
        <v>1505</v>
      </c>
      <c r="F219" s="180">
        <v>3.8999999999999998E-3</v>
      </c>
      <c r="G219" s="181" t="s">
        <v>1505</v>
      </c>
      <c r="H219" s="180">
        <v>7.6E-3</v>
      </c>
      <c r="I219" s="181" t="s">
        <v>1505</v>
      </c>
      <c r="J219" s="182" t="s">
        <v>1505</v>
      </c>
      <c r="K219" s="183" t="s">
        <v>1505</v>
      </c>
    </row>
    <row r="220" spans="2:11" ht="16">
      <c r="B220" s="178" t="s">
        <v>989</v>
      </c>
      <c r="C220" s="179" t="s">
        <v>990</v>
      </c>
      <c r="D220" s="180">
        <v>4.6999999999999997E-5</v>
      </c>
      <c r="E220" s="181" t="s">
        <v>1505</v>
      </c>
      <c r="F220" s="180">
        <v>1.6999999999999999E-3</v>
      </c>
      <c r="G220" s="181" t="s">
        <v>1505</v>
      </c>
      <c r="H220" s="180">
        <v>3.3999999999999998E-3</v>
      </c>
      <c r="I220" s="181" t="s">
        <v>1505</v>
      </c>
      <c r="J220" s="182" t="s">
        <v>1505</v>
      </c>
      <c r="K220" s="183" t="s">
        <v>1505</v>
      </c>
    </row>
    <row r="221" spans="2:11" ht="16">
      <c r="B221" s="178" t="s">
        <v>991</v>
      </c>
      <c r="C221" s="179" t="s">
        <v>992</v>
      </c>
      <c r="D221" s="180">
        <v>7.1000000000000005E-5</v>
      </c>
      <c r="E221" s="181" t="s">
        <v>1505</v>
      </c>
      <c r="F221" s="180">
        <v>2.5999999999999999E-3</v>
      </c>
      <c r="G221" s="181" t="s">
        <v>1505</v>
      </c>
      <c r="H221" s="180">
        <v>5.1000000000000004E-3</v>
      </c>
      <c r="I221" s="181" t="s">
        <v>1505</v>
      </c>
      <c r="J221" s="182" t="s">
        <v>1505</v>
      </c>
      <c r="K221" s="183" t="s">
        <v>1505</v>
      </c>
    </row>
    <row r="222" spans="2:11" ht="16">
      <c r="B222" s="178" t="s">
        <v>993</v>
      </c>
      <c r="C222" s="179" t="s">
        <v>994</v>
      </c>
      <c r="D222" s="180">
        <v>1.3999999999999999E-6</v>
      </c>
      <c r="E222" s="181" t="s">
        <v>1505</v>
      </c>
      <c r="F222" s="180">
        <v>5.1999999999999997E-5</v>
      </c>
      <c r="G222" s="181" t="s">
        <v>1505</v>
      </c>
      <c r="H222" s="180">
        <v>1E-4</v>
      </c>
      <c r="I222" s="181" t="s">
        <v>1505</v>
      </c>
      <c r="J222" s="182" t="s">
        <v>1505</v>
      </c>
      <c r="K222" s="183" t="s">
        <v>1505</v>
      </c>
    </row>
    <row r="223" spans="2:11" ht="16">
      <c r="B223" s="178" t="s">
        <v>995</v>
      </c>
      <c r="C223" s="179" t="s">
        <v>79</v>
      </c>
      <c r="D223" s="180">
        <v>5.2999999999999998E-4</v>
      </c>
      <c r="E223" s="181" t="s">
        <v>1505</v>
      </c>
      <c r="F223" s="180">
        <v>0.02</v>
      </c>
      <c r="G223" s="181" t="s">
        <v>1505</v>
      </c>
      <c r="H223" s="180">
        <v>3.7999999999999999E-2</v>
      </c>
      <c r="I223" s="181" t="s">
        <v>1505</v>
      </c>
      <c r="J223" s="182" t="s">
        <v>1505</v>
      </c>
      <c r="K223" s="183" t="s">
        <v>1505</v>
      </c>
    </row>
    <row r="224" spans="2:11" ht="16">
      <c r="B224" s="178" t="s">
        <v>997</v>
      </c>
      <c r="C224" s="179" t="s">
        <v>85</v>
      </c>
      <c r="D224" s="180">
        <v>6.0999999999999997E-4</v>
      </c>
      <c r="E224" s="181" t="s">
        <v>1505</v>
      </c>
      <c r="F224" s="180">
        <v>2.1999999999999999E-2</v>
      </c>
      <c r="G224" s="181" t="s">
        <v>1505</v>
      </c>
      <c r="H224" s="180">
        <v>4.2999999999999997E-2</v>
      </c>
      <c r="I224" s="181" t="s">
        <v>1505</v>
      </c>
      <c r="J224" s="182" t="s">
        <v>1505</v>
      </c>
      <c r="K224" s="183" t="s">
        <v>1505</v>
      </c>
    </row>
    <row r="225" spans="2:11" ht="16">
      <c r="B225" s="178" t="s">
        <v>1016</v>
      </c>
      <c r="C225" s="179" t="s">
        <v>1017</v>
      </c>
      <c r="D225" s="180">
        <v>4.3000000000000002E-5</v>
      </c>
      <c r="E225" s="181" t="s">
        <v>1505</v>
      </c>
      <c r="F225" s="180">
        <v>1.6000000000000001E-3</v>
      </c>
      <c r="G225" s="181" t="s">
        <v>1505</v>
      </c>
      <c r="H225" s="180">
        <v>3.0000000000000001E-3</v>
      </c>
      <c r="I225" s="181" t="s">
        <v>1505</v>
      </c>
      <c r="J225" s="182" t="s">
        <v>1505</v>
      </c>
      <c r="K225" s="183" t="s">
        <v>1505</v>
      </c>
    </row>
    <row r="226" spans="2:11" ht="16">
      <c r="B226" s="178" t="s">
        <v>1020</v>
      </c>
      <c r="C226" s="179" t="s">
        <v>1021</v>
      </c>
      <c r="D226" s="180">
        <v>4.3000000000000003E-6</v>
      </c>
      <c r="E226" s="181" t="s">
        <v>1505</v>
      </c>
      <c r="F226" s="180">
        <v>1.6000000000000001E-4</v>
      </c>
      <c r="G226" s="181" t="s">
        <v>1505</v>
      </c>
      <c r="H226" s="180">
        <v>2.9999999999999997E-4</v>
      </c>
      <c r="I226" s="181" t="s">
        <v>1505</v>
      </c>
      <c r="J226" s="182" t="s">
        <v>1505</v>
      </c>
      <c r="K226" s="183" t="s">
        <v>1505</v>
      </c>
    </row>
    <row r="227" spans="2:11" ht="16">
      <c r="B227" s="178" t="s">
        <v>1032</v>
      </c>
      <c r="C227" s="179" t="s">
        <v>1033</v>
      </c>
      <c r="D227" s="180">
        <v>7.1000000000000004E-3</v>
      </c>
      <c r="E227" s="181" t="s">
        <v>1505</v>
      </c>
      <c r="F227" s="180">
        <v>0.19</v>
      </c>
      <c r="G227" s="181" t="s">
        <v>1505</v>
      </c>
      <c r="H227" s="180">
        <v>8.5999999999999993E-2</v>
      </c>
      <c r="I227" s="181" t="s">
        <v>1505</v>
      </c>
      <c r="J227" s="182" t="s">
        <v>1505</v>
      </c>
      <c r="K227" s="183" t="s">
        <v>1505</v>
      </c>
    </row>
    <row r="228" spans="2:11" ht="16">
      <c r="B228" s="178" t="s">
        <v>1038</v>
      </c>
      <c r="C228" s="179" t="s">
        <v>1039</v>
      </c>
      <c r="D228" s="180">
        <v>1.4E-3</v>
      </c>
      <c r="E228" s="181" t="s">
        <v>1505</v>
      </c>
      <c r="F228" s="180">
        <v>3.7999999999999999E-2</v>
      </c>
      <c r="G228" s="181" t="s">
        <v>1505</v>
      </c>
      <c r="H228" s="180">
        <v>1.7000000000000001E-2</v>
      </c>
      <c r="I228" s="181" t="s">
        <v>1505</v>
      </c>
      <c r="J228" s="182" t="s">
        <v>1505</v>
      </c>
      <c r="K228" s="183" t="s">
        <v>1505</v>
      </c>
    </row>
    <row r="229" spans="2:11" ht="16">
      <c r="B229" s="178" t="s">
        <v>1042</v>
      </c>
      <c r="C229" s="179" t="s">
        <v>1043</v>
      </c>
      <c r="D229" s="180" t="s">
        <v>1505</v>
      </c>
      <c r="E229" s="181">
        <v>8</v>
      </c>
      <c r="F229" s="180" t="s">
        <v>1505</v>
      </c>
      <c r="G229" s="181">
        <v>35</v>
      </c>
      <c r="H229" s="180" t="s">
        <v>1505</v>
      </c>
      <c r="I229" s="181">
        <v>35</v>
      </c>
      <c r="J229" s="182" t="s">
        <v>1505</v>
      </c>
      <c r="K229" s="183" t="s">
        <v>1506</v>
      </c>
    </row>
    <row r="230" spans="2:11" ht="16">
      <c r="B230" s="178" t="s">
        <v>1046</v>
      </c>
      <c r="C230" s="179" t="s">
        <v>1047</v>
      </c>
      <c r="D230" s="180" t="s">
        <v>1505</v>
      </c>
      <c r="E230" s="181">
        <v>3000</v>
      </c>
      <c r="F230" s="180" t="s">
        <v>1505</v>
      </c>
      <c r="G230" s="181">
        <v>13000</v>
      </c>
      <c r="H230" s="180" t="s">
        <v>1505</v>
      </c>
      <c r="I230" s="181">
        <v>13000</v>
      </c>
      <c r="J230" s="182" t="s">
        <v>1505</v>
      </c>
      <c r="K230" s="183" t="s">
        <v>1506</v>
      </c>
    </row>
    <row r="231" spans="2:11" ht="16">
      <c r="B231" s="178" t="s">
        <v>1048</v>
      </c>
      <c r="C231" s="179" t="s">
        <v>1049</v>
      </c>
      <c r="D231" s="180" t="s">
        <v>1505</v>
      </c>
      <c r="E231" s="181">
        <v>0.27</v>
      </c>
      <c r="F231" s="180" t="s">
        <v>1505</v>
      </c>
      <c r="G231" s="181">
        <v>1.2</v>
      </c>
      <c r="H231" s="180" t="s">
        <v>1505</v>
      </c>
      <c r="I231" s="181">
        <v>1.2</v>
      </c>
      <c r="J231" s="182">
        <v>20</v>
      </c>
      <c r="K231" s="183" t="s">
        <v>1506</v>
      </c>
    </row>
    <row r="232" spans="2:11" ht="16">
      <c r="B232" s="178" t="s">
        <v>1050</v>
      </c>
      <c r="C232" s="179" t="s">
        <v>1051</v>
      </c>
      <c r="D232" s="180" t="s">
        <v>1505</v>
      </c>
      <c r="E232" s="181">
        <v>7000</v>
      </c>
      <c r="F232" s="180" t="s">
        <v>1505</v>
      </c>
      <c r="G232" s="181">
        <v>31000</v>
      </c>
      <c r="H232" s="180" t="s">
        <v>1505</v>
      </c>
      <c r="I232" s="181">
        <v>31000</v>
      </c>
      <c r="J232" s="182" t="s">
        <v>1505</v>
      </c>
      <c r="K232" s="183" t="s">
        <v>1504</v>
      </c>
    </row>
    <row r="233" spans="2:11" ht="16">
      <c r="B233" s="178" t="s">
        <v>1054</v>
      </c>
      <c r="C233" s="179" t="s">
        <v>1055</v>
      </c>
      <c r="D233" s="180">
        <v>0.27</v>
      </c>
      <c r="E233" s="181">
        <v>30</v>
      </c>
      <c r="F233" s="180">
        <v>7</v>
      </c>
      <c r="G233" s="181">
        <v>130</v>
      </c>
      <c r="H233" s="180">
        <v>3.2</v>
      </c>
      <c r="I233" s="181">
        <v>130</v>
      </c>
      <c r="J233" s="182">
        <v>3100</v>
      </c>
      <c r="K233" s="183" t="s">
        <v>1504</v>
      </c>
    </row>
    <row r="234" spans="2:11" ht="16">
      <c r="B234" s="186" t="s">
        <v>1526</v>
      </c>
      <c r="C234" s="179" t="s">
        <v>1068</v>
      </c>
      <c r="D234" s="180" t="s">
        <v>1505</v>
      </c>
      <c r="E234" s="181">
        <v>0.03</v>
      </c>
      <c r="F234" s="180" t="s">
        <v>1505</v>
      </c>
      <c r="G234" s="181">
        <v>0.13</v>
      </c>
      <c r="H234" s="180" t="s">
        <v>1505</v>
      </c>
      <c r="I234" s="181">
        <v>0.13</v>
      </c>
      <c r="J234" s="182" t="s">
        <v>1505</v>
      </c>
      <c r="K234" s="183" t="s">
        <v>1506</v>
      </c>
    </row>
    <row r="235" spans="2:11" ht="16">
      <c r="B235" s="178" t="s">
        <v>1074</v>
      </c>
      <c r="C235" s="179" t="s">
        <v>1075</v>
      </c>
      <c r="D235" s="180" t="s">
        <v>1505</v>
      </c>
      <c r="E235" s="181" t="s">
        <v>1505</v>
      </c>
      <c r="F235" s="180" t="s">
        <v>1505</v>
      </c>
      <c r="G235" s="181" t="s">
        <v>1505</v>
      </c>
      <c r="H235" s="180" t="s">
        <v>1505</v>
      </c>
      <c r="I235" s="181" t="s">
        <v>1505</v>
      </c>
      <c r="J235" s="182">
        <v>5</v>
      </c>
      <c r="K235" s="183" t="s">
        <v>1504</v>
      </c>
    </row>
    <row r="236" spans="2:11" ht="16">
      <c r="B236" s="178" t="s">
        <v>1076</v>
      </c>
      <c r="C236" s="179" t="s">
        <v>1077</v>
      </c>
      <c r="D236" s="180" t="s">
        <v>1505</v>
      </c>
      <c r="E236" s="181" t="s">
        <v>1505</v>
      </c>
      <c r="F236" s="180" t="s">
        <v>1505</v>
      </c>
      <c r="G236" s="181" t="s">
        <v>1505</v>
      </c>
      <c r="H236" s="180" t="s">
        <v>1505</v>
      </c>
      <c r="I236" s="181" t="s">
        <v>1505</v>
      </c>
      <c r="J236" s="182">
        <v>2</v>
      </c>
      <c r="K236" s="183" t="s">
        <v>1504</v>
      </c>
    </row>
    <row r="237" spans="2:11" ht="16">
      <c r="B237" s="178" t="s">
        <v>1080</v>
      </c>
      <c r="C237" s="179" t="s">
        <v>1081</v>
      </c>
      <c r="D237" s="180" t="s">
        <v>1505</v>
      </c>
      <c r="E237" s="181">
        <v>3</v>
      </c>
      <c r="F237" s="180" t="s">
        <v>1505</v>
      </c>
      <c r="G237" s="181">
        <v>13</v>
      </c>
      <c r="H237" s="180" t="s">
        <v>1505</v>
      </c>
      <c r="I237" s="181">
        <v>13</v>
      </c>
      <c r="J237" s="182" t="s">
        <v>1505</v>
      </c>
      <c r="K237" s="183" t="s">
        <v>1506</v>
      </c>
    </row>
    <row r="238" spans="2:11" ht="16">
      <c r="B238" s="178" t="s">
        <v>1085</v>
      </c>
      <c r="C238" s="179" t="s">
        <v>1086</v>
      </c>
      <c r="D238" s="180" t="s">
        <v>1505</v>
      </c>
      <c r="E238" s="181" t="s">
        <v>1505</v>
      </c>
      <c r="F238" s="180" t="s">
        <v>1505</v>
      </c>
      <c r="G238" s="181" t="s">
        <v>1505</v>
      </c>
      <c r="H238" s="180" t="s">
        <v>1505</v>
      </c>
      <c r="I238" s="181" t="s">
        <v>1505</v>
      </c>
      <c r="J238" s="182">
        <v>8</v>
      </c>
      <c r="K238" s="183" t="s">
        <v>1504</v>
      </c>
    </row>
    <row r="239" spans="2:11" ht="16">
      <c r="B239" s="178" t="s">
        <v>1091</v>
      </c>
      <c r="C239" s="179" t="s">
        <v>1092</v>
      </c>
      <c r="D239" s="180" t="s">
        <v>1505</v>
      </c>
      <c r="E239" s="181">
        <v>1000</v>
      </c>
      <c r="F239" s="180" t="s">
        <v>1505</v>
      </c>
      <c r="G239" s="181">
        <v>4400</v>
      </c>
      <c r="H239" s="180" t="s">
        <v>1505</v>
      </c>
      <c r="I239" s="181">
        <v>4400</v>
      </c>
      <c r="J239" s="182">
        <v>21000</v>
      </c>
      <c r="K239" s="183" t="s">
        <v>1504</v>
      </c>
    </row>
    <row r="240" spans="2:11" ht="16">
      <c r="B240" s="178" t="s">
        <v>1097</v>
      </c>
      <c r="C240" s="179" t="s">
        <v>1098</v>
      </c>
      <c r="D240" s="180" t="s">
        <v>1505</v>
      </c>
      <c r="E240" s="181">
        <v>1</v>
      </c>
      <c r="F240" s="180" t="s">
        <v>1505</v>
      </c>
      <c r="G240" s="181">
        <v>4.4000000000000004</v>
      </c>
      <c r="H240" s="180" t="s">
        <v>1505</v>
      </c>
      <c r="I240" s="181">
        <v>4.4000000000000004</v>
      </c>
      <c r="J240" s="182">
        <v>120</v>
      </c>
      <c r="K240" s="183" t="s">
        <v>1506</v>
      </c>
    </row>
    <row r="241" spans="2:11" ht="16">
      <c r="B241" s="178" t="s">
        <v>1099</v>
      </c>
      <c r="C241" s="179" t="s">
        <v>1395</v>
      </c>
      <c r="D241" s="180" t="s">
        <v>1505</v>
      </c>
      <c r="E241" s="181" t="s">
        <v>1505</v>
      </c>
      <c r="F241" s="180" t="s">
        <v>1505</v>
      </c>
      <c r="G241" s="181" t="s">
        <v>1505</v>
      </c>
      <c r="H241" s="180" t="s">
        <v>1505</v>
      </c>
      <c r="I241" s="181" t="s">
        <v>1505</v>
      </c>
      <c r="J241" s="182">
        <v>0.7</v>
      </c>
      <c r="K241" s="183" t="s">
        <v>1504</v>
      </c>
    </row>
    <row r="242" spans="2:11" ht="16">
      <c r="B242" s="178" t="s">
        <v>1101</v>
      </c>
      <c r="C242" s="179" t="s">
        <v>1102</v>
      </c>
      <c r="D242" s="180" t="s">
        <v>1505</v>
      </c>
      <c r="E242" s="181">
        <v>1</v>
      </c>
      <c r="F242" s="180" t="s">
        <v>1505</v>
      </c>
      <c r="G242" s="181">
        <v>4.4000000000000004</v>
      </c>
      <c r="H242" s="180" t="s">
        <v>1505</v>
      </c>
      <c r="I242" s="181">
        <v>4.4000000000000004</v>
      </c>
      <c r="J242" s="182">
        <v>120</v>
      </c>
      <c r="K242" s="183" t="s">
        <v>1506</v>
      </c>
    </row>
    <row r="243" spans="2:11" ht="16">
      <c r="B243" s="178" t="s">
        <v>1108</v>
      </c>
      <c r="C243" s="179" t="s">
        <v>1109</v>
      </c>
      <c r="D243" s="180">
        <v>0.14000000000000001</v>
      </c>
      <c r="E243" s="181" t="s">
        <v>1505</v>
      </c>
      <c r="F243" s="180">
        <v>3.5</v>
      </c>
      <c r="G243" s="181" t="s">
        <v>1505</v>
      </c>
      <c r="H243" s="180">
        <v>1.6</v>
      </c>
      <c r="I243" s="181" t="s">
        <v>1505</v>
      </c>
      <c r="J243" s="182" t="s">
        <v>1505</v>
      </c>
      <c r="K243" s="183" t="s">
        <v>1505</v>
      </c>
    </row>
    <row r="244" spans="2:11" ht="16">
      <c r="B244" s="178" t="s">
        <v>1110</v>
      </c>
      <c r="C244" s="179" t="s">
        <v>1111</v>
      </c>
      <c r="D244" s="180">
        <v>1.7000000000000001E-2</v>
      </c>
      <c r="E244" s="181" t="s">
        <v>1505</v>
      </c>
      <c r="F244" s="180">
        <v>0.45</v>
      </c>
      <c r="G244" s="181" t="s">
        <v>1505</v>
      </c>
      <c r="H244" s="180">
        <v>0.21</v>
      </c>
      <c r="I244" s="181" t="s">
        <v>1505</v>
      </c>
      <c r="J244" s="182" t="s">
        <v>1505</v>
      </c>
      <c r="K244" s="183" t="s">
        <v>1505</v>
      </c>
    </row>
    <row r="245" spans="2:11" ht="16">
      <c r="B245" s="178" t="s">
        <v>1112</v>
      </c>
      <c r="C245" s="179" t="s">
        <v>1113</v>
      </c>
      <c r="D245" s="180">
        <v>3.8</v>
      </c>
      <c r="E245" s="181">
        <v>41</v>
      </c>
      <c r="F245" s="180">
        <v>100</v>
      </c>
      <c r="G245" s="181">
        <v>180</v>
      </c>
      <c r="H245" s="180">
        <v>46</v>
      </c>
      <c r="I245" s="181">
        <v>180</v>
      </c>
      <c r="J245" s="182">
        <v>41</v>
      </c>
      <c r="K245" s="183" t="s">
        <v>1504</v>
      </c>
    </row>
    <row r="246" spans="2:11" ht="16">
      <c r="B246" s="178" t="s">
        <v>1116</v>
      </c>
      <c r="C246" s="179" t="s">
        <v>1117</v>
      </c>
      <c r="D246" s="180" t="s">
        <v>1505</v>
      </c>
      <c r="E246" s="181">
        <v>80000</v>
      </c>
      <c r="F246" s="180" t="s">
        <v>1505</v>
      </c>
      <c r="G246" s="181">
        <v>350000</v>
      </c>
      <c r="H246" s="180" t="s">
        <v>1505</v>
      </c>
      <c r="I246" s="181">
        <v>350000</v>
      </c>
      <c r="J246" s="182" t="s">
        <v>1505</v>
      </c>
      <c r="K246" s="183" t="s">
        <v>1504</v>
      </c>
    </row>
    <row r="247" spans="2:11" ht="16">
      <c r="B247" s="178" t="s">
        <v>1120</v>
      </c>
      <c r="C247" s="179" t="s">
        <v>1121</v>
      </c>
      <c r="D247" s="180">
        <v>5.9000000000000003E-4</v>
      </c>
      <c r="E247" s="181" t="s">
        <v>1505</v>
      </c>
      <c r="F247" s="180">
        <v>1.4999999999999999E-2</v>
      </c>
      <c r="G247" s="181" t="s">
        <v>1505</v>
      </c>
      <c r="H247" s="180">
        <v>7.1000000000000004E-3</v>
      </c>
      <c r="I247" s="181" t="s">
        <v>1505</v>
      </c>
      <c r="J247" s="182" t="s">
        <v>1505</v>
      </c>
      <c r="K247" s="183" t="s">
        <v>1505</v>
      </c>
    </row>
    <row r="248" spans="2:11" ht="16">
      <c r="B248" s="178" t="s">
        <v>1126</v>
      </c>
      <c r="C248" s="179" t="s">
        <v>1127</v>
      </c>
      <c r="D248" s="180" t="s">
        <v>1505</v>
      </c>
      <c r="E248" s="181">
        <v>0.1</v>
      </c>
      <c r="F248" s="180" t="s">
        <v>1505</v>
      </c>
      <c r="G248" s="181">
        <v>0.44</v>
      </c>
      <c r="H248" s="180" t="s">
        <v>1505</v>
      </c>
      <c r="I248" s="181">
        <v>0.44</v>
      </c>
      <c r="J248" s="182">
        <v>10</v>
      </c>
      <c r="K248" s="183" t="s">
        <v>1504</v>
      </c>
    </row>
    <row r="249" spans="2:11" ht="16">
      <c r="B249" s="178" t="s">
        <v>1128</v>
      </c>
      <c r="C249" s="179" t="s">
        <v>1129</v>
      </c>
      <c r="D249" s="180" t="s">
        <v>1505</v>
      </c>
      <c r="E249" s="181">
        <v>5000</v>
      </c>
      <c r="F249" s="180" t="s">
        <v>1505</v>
      </c>
      <c r="G249" s="181">
        <v>22000</v>
      </c>
      <c r="H249" s="180" t="s">
        <v>1505</v>
      </c>
      <c r="I249" s="181">
        <v>22000</v>
      </c>
      <c r="J249" s="182">
        <v>7500</v>
      </c>
      <c r="K249" s="183" t="s">
        <v>1504</v>
      </c>
    </row>
    <row r="250" spans="2:11" ht="16">
      <c r="B250" s="178" t="s">
        <v>1130</v>
      </c>
      <c r="C250" s="179" t="s">
        <v>1131</v>
      </c>
      <c r="D250" s="180">
        <v>9.0999999999999998E-2</v>
      </c>
      <c r="E250" s="181">
        <v>2.1000000000000001E-2</v>
      </c>
      <c r="F250" s="180">
        <v>2.4</v>
      </c>
      <c r="G250" s="181">
        <v>9.1999999999999998E-2</v>
      </c>
      <c r="H250" s="180">
        <v>1.1000000000000001</v>
      </c>
      <c r="I250" s="181">
        <v>9.1999999999999998E-2</v>
      </c>
      <c r="J250" s="182">
        <v>7.0999999999999994E-2</v>
      </c>
      <c r="K250" s="183" t="s">
        <v>1504</v>
      </c>
    </row>
    <row r="251" spans="2:11" ht="16">
      <c r="B251" s="178" t="s">
        <v>1156</v>
      </c>
      <c r="C251" s="179" t="s">
        <v>1157</v>
      </c>
      <c r="D251" s="180">
        <v>3.0999999999999999E-3</v>
      </c>
      <c r="E251" s="181" t="s">
        <v>1505</v>
      </c>
      <c r="F251" s="180">
        <v>8.1000000000000003E-2</v>
      </c>
      <c r="G251" s="181" t="s">
        <v>1505</v>
      </c>
      <c r="H251" s="180">
        <v>3.7999999999999999E-2</v>
      </c>
      <c r="I251" s="181" t="s">
        <v>1505</v>
      </c>
      <c r="J251" s="182" t="s">
        <v>1505</v>
      </c>
      <c r="K251" s="183" t="s">
        <v>1505</v>
      </c>
    </row>
    <row r="252" spans="2:11" ht="16">
      <c r="B252" s="178" t="s">
        <v>1162</v>
      </c>
      <c r="C252" s="179" t="s">
        <v>1163</v>
      </c>
      <c r="D252" s="180" t="s">
        <v>1505</v>
      </c>
      <c r="E252" s="181">
        <v>5000</v>
      </c>
      <c r="F252" s="180" t="s">
        <v>1505</v>
      </c>
      <c r="G252" s="181">
        <v>22000</v>
      </c>
      <c r="H252" s="180" t="s">
        <v>1505</v>
      </c>
      <c r="I252" s="181">
        <v>22000</v>
      </c>
      <c r="J252" s="182">
        <v>11000</v>
      </c>
      <c r="K252" s="183" t="s">
        <v>1504</v>
      </c>
    </row>
    <row r="253" spans="2:11" ht="16">
      <c r="B253" s="178" t="s">
        <v>1164</v>
      </c>
      <c r="C253" s="179" t="s">
        <v>1165</v>
      </c>
      <c r="D253" s="180">
        <v>6.3E-2</v>
      </c>
      <c r="E253" s="181" t="s">
        <v>1505</v>
      </c>
      <c r="F253" s="180">
        <v>1.6</v>
      </c>
      <c r="G253" s="181" t="s">
        <v>1505</v>
      </c>
      <c r="H253" s="180">
        <v>0.75</v>
      </c>
      <c r="I253" s="181" t="s">
        <v>1505</v>
      </c>
      <c r="J253" s="182" t="s">
        <v>1505</v>
      </c>
      <c r="K253" s="183" t="s">
        <v>1505</v>
      </c>
    </row>
    <row r="254" spans="2:11" ht="16">
      <c r="B254" s="178" t="s">
        <v>1166</v>
      </c>
      <c r="C254" s="179" t="s">
        <v>1167</v>
      </c>
      <c r="D254" s="180">
        <v>0.2</v>
      </c>
      <c r="E254" s="181">
        <v>2.1</v>
      </c>
      <c r="F254" s="180">
        <v>3.5</v>
      </c>
      <c r="G254" s="181">
        <v>9.1999999999999993</v>
      </c>
      <c r="H254" s="180">
        <v>2.9</v>
      </c>
      <c r="I254" s="181">
        <v>9.1999999999999993</v>
      </c>
      <c r="J254" s="182">
        <v>2.1</v>
      </c>
      <c r="K254" s="183" t="s">
        <v>1504</v>
      </c>
    </row>
    <row r="255" spans="2:11" ht="16">
      <c r="B255" s="178" t="s">
        <v>1172</v>
      </c>
      <c r="C255" s="179" t="s">
        <v>1173</v>
      </c>
      <c r="D255" s="180">
        <v>0.05</v>
      </c>
      <c r="E255" s="181" t="s">
        <v>1505</v>
      </c>
      <c r="F255" s="180">
        <v>1.3</v>
      </c>
      <c r="G255" s="181" t="s">
        <v>1505</v>
      </c>
      <c r="H255" s="180">
        <v>0.6</v>
      </c>
      <c r="I255" s="181" t="s">
        <v>1505</v>
      </c>
      <c r="J255" s="182" t="s">
        <v>1505</v>
      </c>
      <c r="K255" s="183" t="s">
        <v>1505</v>
      </c>
    </row>
    <row r="256" spans="2:11" ht="16">
      <c r="B256" s="178" t="s">
        <v>1174</v>
      </c>
      <c r="C256" s="179" t="s">
        <v>1175</v>
      </c>
      <c r="D256" s="180" t="s">
        <v>1505</v>
      </c>
      <c r="E256" s="181">
        <v>0.3</v>
      </c>
      <c r="F256" s="180" t="s">
        <v>1505</v>
      </c>
      <c r="G256" s="181">
        <v>1.3</v>
      </c>
      <c r="H256" s="180" t="s">
        <v>1505</v>
      </c>
      <c r="I256" s="181">
        <v>1.3</v>
      </c>
      <c r="J256" s="182">
        <v>1.8</v>
      </c>
      <c r="K256" s="183" t="s">
        <v>1506</v>
      </c>
    </row>
    <row r="257" spans="2:11" ht="16">
      <c r="B257" s="178" t="s">
        <v>1178</v>
      </c>
      <c r="C257" s="179" t="s">
        <v>1179</v>
      </c>
      <c r="D257" s="180" t="s">
        <v>1505</v>
      </c>
      <c r="E257" s="181">
        <v>200</v>
      </c>
      <c r="F257" s="180" t="s">
        <v>1505</v>
      </c>
      <c r="G257" s="181">
        <v>880</v>
      </c>
      <c r="H257" s="180" t="s">
        <v>1505</v>
      </c>
      <c r="I257" s="181">
        <v>880</v>
      </c>
      <c r="J257" s="182">
        <v>2800</v>
      </c>
      <c r="K257" s="183" t="s">
        <v>1504</v>
      </c>
    </row>
    <row r="258" spans="2:11" ht="16">
      <c r="B258" s="178" t="s">
        <v>1192</v>
      </c>
      <c r="C258" s="179" t="s">
        <v>1193</v>
      </c>
      <c r="D258" s="180" t="s">
        <v>1505</v>
      </c>
      <c r="E258" s="181">
        <v>60</v>
      </c>
      <c r="F258" s="180" t="s">
        <v>1505</v>
      </c>
      <c r="G258" s="181">
        <v>260</v>
      </c>
      <c r="H258" s="180" t="s">
        <v>1505</v>
      </c>
      <c r="I258" s="181">
        <v>260</v>
      </c>
      <c r="J258" s="182" t="s">
        <v>1505</v>
      </c>
      <c r="K258" s="183" t="s">
        <v>1504</v>
      </c>
    </row>
    <row r="259" spans="2:11" ht="16">
      <c r="B259" s="178" t="s">
        <v>1194</v>
      </c>
      <c r="C259" s="179" t="s">
        <v>1195</v>
      </c>
      <c r="D259" s="180" t="s">
        <v>1505</v>
      </c>
      <c r="E259" s="181">
        <v>60</v>
      </c>
      <c r="F259" s="180" t="s">
        <v>1505</v>
      </c>
      <c r="G259" s="181">
        <v>260</v>
      </c>
      <c r="H259" s="180" t="s">
        <v>1505</v>
      </c>
      <c r="I259" s="181">
        <v>260</v>
      </c>
      <c r="J259" s="182" t="s">
        <v>1505</v>
      </c>
      <c r="K259" s="183" t="s">
        <v>1504</v>
      </c>
    </row>
    <row r="260" spans="2:11" ht="16">
      <c r="B260" s="178" t="s">
        <v>1196</v>
      </c>
      <c r="C260" s="179" t="s">
        <v>1197</v>
      </c>
      <c r="D260" s="180" t="s">
        <v>1505</v>
      </c>
      <c r="E260" s="181">
        <v>60</v>
      </c>
      <c r="F260" s="180" t="s">
        <v>1505</v>
      </c>
      <c r="G260" s="181">
        <v>260</v>
      </c>
      <c r="H260" s="180" t="s">
        <v>1505</v>
      </c>
      <c r="I260" s="181">
        <v>260</v>
      </c>
      <c r="J260" s="182" t="s">
        <v>1505</v>
      </c>
      <c r="K260" s="183" t="s">
        <v>1504</v>
      </c>
    </row>
    <row r="261" spans="2:11" ht="16">
      <c r="B261" s="178" t="s">
        <v>1204</v>
      </c>
      <c r="C261" s="179" t="s">
        <v>1205</v>
      </c>
      <c r="D261" s="180">
        <v>2E-3</v>
      </c>
      <c r="E261" s="181" t="s">
        <v>1505</v>
      </c>
      <c r="F261" s="180">
        <v>2.1000000000000001E-2</v>
      </c>
      <c r="G261" s="181" t="s">
        <v>1505</v>
      </c>
      <c r="H261" s="180">
        <v>4.1000000000000002E-2</v>
      </c>
      <c r="I261" s="181" t="s">
        <v>1505</v>
      </c>
      <c r="J261" s="182" t="s">
        <v>1505</v>
      </c>
      <c r="K261" s="183" t="s">
        <v>1505</v>
      </c>
    </row>
    <row r="262" spans="2:11" ht="16">
      <c r="B262" s="178" t="s">
        <v>1206</v>
      </c>
      <c r="C262" s="179" t="s">
        <v>1207</v>
      </c>
      <c r="D262" s="180" t="s">
        <v>1505</v>
      </c>
      <c r="E262" s="181">
        <v>0.1</v>
      </c>
      <c r="F262" s="180" t="s">
        <v>1505</v>
      </c>
      <c r="G262" s="181">
        <v>0.44</v>
      </c>
      <c r="H262" s="180" t="s">
        <v>1505</v>
      </c>
      <c r="I262" s="181">
        <v>0.44</v>
      </c>
      <c r="J262" s="182">
        <v>0.8</v>
      </c>
      <c r="K262" s="183" t="s">
        <v>1504</v>
      </c>
    </row>
    <row r="263" spans="2:11" ht="16">
      <c r="B263" s="178" t="s">
        <v>1208</v>
      </c>
      <c r="C263" s="179" t="s">
        <v>1209</v>
      </c>
      <c r="D263" s="180">
        <v>1.2E-4</v>
      </c>
      <c r="E263" s="181">
        <v>7.0000000000000001E-3</v>
      </c>
      <c r="F263" s="180">
        <v>3.0999999999999999E-3</v>
      </c>
      <c r="G263" s="181">
        <v>3.1E-2</v>
      </c>
      <c r="H263" s="180">
        <v>1.4E-3</v>
      </c>
      <c r="I263" s="181">
        <v>3.1E-2</v>
      </c>
      <c r="J263" s="182">
        <v>30</v>
      </c>
      <c r="K263" s="183" t="s">
        <v>1504</v>
      </c>
    </row>
    <row r="264" spans="2:11" ht="16">
      <c r="B264" s="178" t="s">
        <v>1210</v>
      </c>
      <c r="C264" s="179" t="s">
        <v>1211</v>
      </c>
      <c r="D264" s="180" t="s">
        <v>1505</v>
      </c>
      <c r="E264" s="181">
        <v>200</v>
      </c>
      <c r="F264" s="180" t="s">
        <v>1505</v>
      </c>
      <c r="G264" s="181">
        <v>880</v>
      </c>
      <c r="H264" s="180" t="s">
        <v>1505</v>
      </c>
      <c r="I264" s="181">
        <v>880</v>
      </c>
      <c r="J264" s="182">
        <v>200</v>
      </c>
      <c r="K264" s="183" t="s">
        <v>1504</v>
      </c>
    </row>
    <row r="265" spans="2:11" ht="16">
      <c r="B265" s="178" t="s">
        <v>1212</v>
      </c>
      <c r="C265" s="179" t="s">
        <v>1213</v>
      </c>
      <c r="D265" s="180" t="s">
        <v>1505</v>
      </c>
      <c r="E265" s="181">
        <v>3</v>
      </c>
      <c r="F265" s="180" t="s">
        <v>1505</v>
      </c>
      <c r="G265" s="181">
        <v>13</v>
      </c>
      <c r="H265" s="180" t="s">
        <v>1505</v>
      </c>
      <c r="I265" s="181">
        <v>13</v>
      </c>
      <c r="J265" s="182" t="s">
        <v>1505</v>
      </c>
      <c r="K265" s="183" t="s">
        <v>1506</v>
      </c>
    </row>
    <row r="266" spans="2:11" ht="16">
      <c r="B266" s="178" t="s">
        <v>1214</v>
      </c>
      <c r="C266" s="179" t="s">
        <v>1215</v>
      </c>
      <c r="D266" s="180">
        <v>0.11</v>
      </c>
      <c r="E266" s="181">
        <v>100</v>
      </c>
      <c r="F266" s="180">
        <v>0.22</v>
      </c>
      <c r="G266" s="181">
        <v>440</v>
      </c>
      <c r="H266" s="180">
        <v>2.7</v>
      </c>
      <c r="I266" s="181">
        <v>440</v>
      </c>
      <c r="J266" s="182">
        <v>1300</v>
      </c>
      <c r="K266" s="183" t="s">
        <v>1504</v>
      </c>
    </row>
    <row r="267" spans="2:11" ht="16">
      <c r="B267" s="178" t="s">
        <v>1220</v>
      </c>
      <c r="C267" s="179" t="s">
        <v>1221</v>
      </c>
      <c r="D267" s="180" t="s">
        <v>1505</v>
      </c>
      <c r="E267" s="181">
        <v>200</v>
      </c>
      <c r="F267" s="180" t="s">
        <v>1505</v>
      </c>
      <c r="G267" s="181">
        <v>880</v>
      </c>
      <c r="H267" s="180" t="s">
        <v>1505</v>
      </c>
      <c r="I267" s="181">
        <v>880</v>
      </c>
      <c r="J267" s="182">
        <v>200</v>
      </c>
      <c r="K267" s="183" t="s">
        <v>1504</v>
      </c>
    </row>
    <row r="268" spans="2:11" ht="16">
      <c r="B268" s="178" t="s">
        <v>1222</v>
      </c>
      <c r="C268" s="179" t="s">
        <v>1223</v>
      </c>
      <c r="D268" s="180" t="s">
        <v>1505</v>
      </c>
      <c r="E268" s="181">
        <v>220</v>
      </c>
      <c r="F268" s="180" t="s">
        <v>1505</v>
      </c>
      <c r="G268" s="181">
        <v>970</v>
      </c>
      <c r="H268" s="180" t="s">
        <v>1505</v>
      </c>
      <c r="I268" s="181">
        <v>970</v>
      </c>
      <c r="J268" s="182">
        <v>8700</v>
      </c>
      <c r="K268" s="183" t="s">
        <v>1504</v>
      </c>
    </row>
  </sheetData>
  <autoFilter ref="A7:K268" xr:uid="{00000000-0009-0000-0000-000011000000}"/>
  <mergeCells count="8">
    <mergeCell ref="B2:K2"/>
    <mergeCell ref="B4:B7"/>
    <mergeCell ref="C4:C7"/>
    <mergeCell ref="D4:J4"/>
    <mergeCell ref="K4:K7"/>
    <mergeCell ref="D5:E5"/>
    <mergeCell ref="F5:I5"/>
    <mergeCell ref="J5:J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FABF-E51F-3F44-A98F-E99F9160C29B}">
  <sheetPr codeName="Sheet8"/>
  <dimension ref="A1:Z267"/>
  <sheetViews>
    <sheetView workbookViewId="0"/>
  </sheetViews>
  <sheetFormatPr baseColWidth="10" defaultColWidth="7.33203125" defaultRowHeight="13"/>
  <cols>
    <col min="1" max="1" width="11.6640625" style="68" customWidth="1"/>
    <col min="2" max="2" width="21.1640625" style="68" customWidth="1"/>
    <col min="3" max="3" width="6.6640625" style="68" customWidth="1"/>
    <col min="4" max="7" width="8.6640625" style="68" customWidth="1"/>
    <col min="8" max="10" width="7.83203125" style="68" customWidth="1"/>
    <col min="11" max="14" width="7.33203125" style="68"/>
    <col min="15" max="15" width="9.5" style="68" bestFit="1" customWidth="1"/>
    <col min="16" max="16" width="27" style="68" bestFit="1" customWidth="1"/>
    <col min="17" max="18" width="7.33203125" style="68"/>
    <col min="19" max="26" width="11.33203125" style="69" customWidth="1"/>
    <col min="27" max="16384" width="7.33203125" style="68"/>
  </cols>
  <sheetData>
    <row r="1" spans="1:26" ht="17" customHeight="1">
      <c r="A1" s="67" t="s">
        <v>1355</v>
      </c>
    </row>
    <row r="2" spans="1:26" ht="17" customHeight="1">
      <c r="A2" s="67" t="s">
        <v>1356</v>
      </c>
    </row>
    <row r="3" spans="1:26" ht="79" customHeight="1">
      <c r="A3" s="279" t="s">
        <v>1357</v>
      </c>
      <c r="B3" s="280"/>
      <c r="C3" s="280"/>
      <c r="D3" s="280"/>
      <c r="E3" s="280"/>
      <c r="F3" s="280"/>
      <c r="G3" s="280"/>
      <c r="H3" s="280"/>
      <c r="I3" s="280"/>
      <c r="J3" s="281"/>
    </row>
    <row r="4" spans="1:26" ht="17" customHeight="1">
      <c r="A4" s="70"/>
      <c r="B4" s="70"/>
      <c r="C4" s="70"/>
      <c r="D4" s="282" t="s">
        <v>1358</v>
      </c>
      <c r="E4" s="283"/>
      <c r="F4" s="284" t="s">
        <v>1359</v>
      </c>
      <c r="G4" s="285"/>
      <c r="H4" s="285"/>
      <c r="I4" s="286"/>
      <c r="J4" s="71" t="s">
        <v>1360</v>
      </c>
    </row>
    <row r="5" spans="1:26" ht="37" customHeight="1">
      <c r="A5" s="70"/>
      <c r="B5" s="70"/>
      <c r="C5" s="70"/>
      <c r="D5" s="72" t="s">
        <v>1361</v>
      </c>
      <c r="E5" s="71" t="s">
        <v>1362</v>
      </c>
      <c r="F5" s="71" t="s">
        <v>1363</v>
      </c>
      <c r="G5" s="71" t="s">
        <v>1364</v>
      </c>
      <c r="H5" s="71" t="s">
        <v>1365</v>
      </c>
      <c r="I5" s="71" t="s">
        <v>1366</v>
      </c>
      <c r="J5" s="71" t="s">
        <v>1362</v>
      </c>
    </row>
    <row r="6" spans="1:26" ht="17" customHeight="1">
      <c r="A6" s="73" t="s">
        <v>1367</v>
      </c>
      <c r="B6" s="71" t="s">
        <v>1368</v>
      </c>
      <c r="C6" s="71" t="s">
        <v>1369</v>
      </c>
      <c r="D6" s="74" t="s">
        <v>1370</v>
      </c>
      <c r="E6" s="75" t="s">
        <v>1370</v>
      </c>
      <c r="F6" s="75" t="s">
        <v>1370</v>
      </c>
      <c r="G6" s="76" t="s">
        <v>1370</v>
      </c>
      <c r="H6" s="75" t="s">
        <v>1370</v>
      </c>
      <c r="I6" s="76" t="s">
        <v>1370</v>
      </c>
      <c r="J6" s="75" t="s">
        <v>1370</v>
      </c>
    </row>
    <row r="7" spans="1:26" ht="16" customHeight="1">
      <c r="A7" s="77" t="s">
        <v>40</v>
      </c>
      <c r="B7" s="78" t="s">
        <v>41</v>
      </c>
      <c r="C7" s="79"/>
      <c r="D7" s="80">
        <v>0.45</v>
      </c>
      <c r="E7" s="81">
        <v>140</v>
      </c>
      <c r="F7" s="82">
        <v>12</v>
      </c>
      <c r="G7" s="82">
        <v>620</v>
      </c>
      <c r="H7" s="81">
        <v>5.5</v>
      </c>
      <c r="I7" s="82">
        <v>620</v>
      </c>
      <c r="J7" s="82">
        <v>470</v>
      </c>
      <c r="K7" s="83">
        <v>1</v>
      </c>
      <c r="V7" s="68"/>
    </row>
    <row r="8" spans="1:26" ht="16" customHeight="1">
      <c r="A8" s="77" t="s">
        <v>43</v>
      </c>
      <c r="B8" s="78" t="s">
        <v>44</v>
      </c>
      <c r="C8" s="79"/>
      <c r="D8" s="84">
        <v>0.05</v>
      </c>
      <c r="E8" s="79"/>
      <c r="F8" s="81">
        <v>1.3</v>
      </c>
      <c r="G8" s="79"/>
      <c r="H8" s="80">
        <v>0.6</v>
      </c>
      <c r="I8" s="79"/>
      <c r="J8" s="79"/>
      <c r="K8" s="83">
        <v>2</v>
      </c>
    </row>
    <row r="9" spans="1:26" ht="16" customHeight="1">
      <c r="A9" s="77" t="s">
        <v>46</v>
      </c>
      <c r="B9" s="78" t="s">
        <v>47</v>
      </c>
      <c r="C9" s="79"/>
      <c r="D9" s="79"/>
      <c r="E9" s="85">
        <v>31000</v>
      </c>
      <c r="F9" s="79"/>
      <c r="G9" s="85">
        <v>140000</v>
      </c>
      <c r="H9" s="79"/>
      <c r="I9" s="85">
        <v>140000</v>
      </c>
      <c r="J9" s="85">
        <v>62000</v>
      </c>
      <c r="K9" s="83">
        <v>3</v>
      </c>
    </row>
    <row r="10" spans="1:26" ht="16" customHeight="1">
      <c r="A10" s="86" t="s">
        <v>49</v>
      </c>
      <c r="B10" s="78" t="s">
        <v>50</v>
      </c>
      <c r="C10" s="79"/>
      <c r="D10" s="79"/>
      <c r="E10" s="82">
        <v>60</v>
      </c>
      <c r="F10" s="79"/>
      <c r="G10" s="82">
        <v>260</v>
      </c>
      <c r="H10" s="79"/>
      <c r="I10" s="82">
        <v>260</v>
      </c>
      <c r="J10" s="79"/>
      <c r="K10" s="83">
        <v>4</v>
      </c>
    </row>
    <row r="11" spans="1:26" ht="16" customHeight="1">
      <c r="A11" s="77" t="s">
        <v>55</v>
      </c>
      <c r="B11" s="78" t="s">
        <v>56</v>
      </c>
      <c r="C11" s="79"/>
      <c r="D11" s="79"/>
      <c r="E11" s="80">
        <v>0.35</v>
      </c>
      <c r="F11" s="79"/>
      <c r="G11" s="81">
        <v>1.5</v>
      </c>
      <c r="H11" s="79"/>
      <c r="I11" s="81">
        <v>1.5</v>
      </c>
      <c r="J11" s="81">
        <v>6.9</v>
      </c>
      <c r="K11" s="83">
        <v>5</v>
      </c>
    </row>
    <row r="12" spans="1:26" ht="16" customHeight="1">
      <c r="A12" s="86" t="s">
        <v>58</v>
      </c>
      <c r="B12" s="78" t="s">
        <v>59</v>
      </c>
      <c r="C12" s="79" t="s">
        <v>1371</v>
      </c>
      <c r="D12" s="87">
        <v>5.8999999999999999E-3</v>
      </c>
      <c r="E12" s="81">
        <v>6</v>
      </c>
      <c r="F12" s="80">
        <v>6.2E-2</v>
      </c>
      <c r="G12" s="82">
        <v>26</v>
      </c>
      <c r="H12" s="80">
        <v>0.12</v>
      </c>
      <c r="I12" s="82">
        <v>26</v>
      </c>
      <c r="J12" s="79" t="s">
        <v>223</v>
      </c>
      <c r="K12" s="83">
        <v>6</v>
      </c>
    </row>
    <row r="13" spans="1:26" ht="16" customHeight="1">
      <c r="A13" s="86" t="s">
        <v>61</v>
      </c>
      <c r="B13" s="78" t="s">
        <v>62</v>
      </c>
      <c r="C13" s="79"/>
      <c r="D13" s="79"/>
      <c r="E13" s="81">
        <v>1</v>
      </c>
      <c r="F13" s="79" t="s">
        <v>223</v>
      </c>
      <c r="G13" s="81">
        <v>4.4000000000000004</v>
      </c>
      <c r="H13" s="79" t="s">
        <v>223</v>
      </c>
      <c r="I13" s="81">
        <v>4.4000000000000004</v>
      </c>
      <c r="J13" s="85">
        <v>6000</v>
      </c>
      <c r="K13" s="83">
        <v>7</v>
      </c>
    </row>
    <row r="14" spans="1:26" ht="16" customHeight="1">
      <c r="A14" s="77" t="s">
        <v>64</v>
      </c>
      <c r="B14" s="78" t="s">
        <v>65</v>
      </c>
      <c r="C14" s="79"/>
      <c r="D14" s="84">
        <v>1.4999999999999999E-2</v>
      </c>
      <c r="E14" s="81">
        <v>5</v>
      </c>
      <c r="F14" s="80">
        <v>0.38</v>
      </c>
      <c r="G14" s="81">
        <v>22</v>
      </c>
      <c r="H14" s="80">
        <v>0.18</v>
      </c>
      <c r="I14" s="81">
        <v>22</v>
      </c>
      <c r="J14" s="82">
        <v>220</v>
      </c>
      <c r="K14" s="83">
        <v>8</v>
      </c>
      <c r="S14" s="88"/>
      <c r="T14" s="88"/>
      <c r="U14" s="88"/>
      <c r="V14" s="88"/>
      <c r="W14" s="88"/>
      <c r="X14" s="68"/>
      <c r="Y14" s="68"/>
      <c r="Z14" s="68"/>
    </row>
    <row r="15" spans="1:26" ht="16" customHeight="1">
      <c r="A15" s="77" t="s">
        <v>74</v>
      </c>
      <c r="B15" s="78" t="s">
        <v>75</v>
      </c>
      <c r="C15" s="79"/>
      <c r="D15" s="89">
        <v>2.0000000000000001E-4</v>
      </c>
      <c r="E15" s="79"/>
      <c r="F15" s="87">
        <v>5.3E-3</v>
      </c>
      <c r="G15" s="79"/>
      <c r="H15" s="87">
        <v>2.3999999999999998E-3</v>
      </c>
      <c r="I15" s="79"/>
      <c r="J15" s="79"/>
      <c r="K15" s="83">
        <v>9</v>
      </c>
      <c r="S15" s="68"/>
      <c r="T15" s="68"/>
      <c r="U15" s="68"/>
      <c r="V15" s="68"/>
      <c r="W15" s="68"/>
      <c r="X15" s="68"/>
      <c r="Y15" s="68"/>
      <c r="Z15" s="68"/>
    </row>
    <row r="16" spans="1:26" ht="16" customHeight="1">
      <c r="A16" s="77" t="s">
        <v>77</v>
      </c>
      <c r="B16" s="78" t="s">
        <v>78</v>
      </c>
      <c r="C16" s="79"/>
      <c r="D16" s="80">
        <v>0.17</v>
      </c>
      <c r="E16" s="81">
        <v>1</v>
      </c>
      <c r="F16" s="81">
        <v>4.3</v>
      </c>
      <c r="G16" s="81">
        <v>4.4000000000000004</v>
      </c>
      <c r="H16" s="81">
        <v>2</v>
      </c>
      <c r="I16" s="81">
        <v>4.4000000000000004</v>
      </c>
      <c r="J16" s="79" t="s">
        <v>223</v>
      </c>
      <c r="K16" s="83">
        <v>10</v>
      </c>
      <c r="S16" s="68"/>
      <c r="T16" s="68"/>
      <c r="U16" s="68"/>
      <c r="V16" s="68"/>
      <c r="W16" s="68"/>
      <c r="X16" s="68"/>
      <c r="Y16" s="68"/>
      <c r="Z16" s="68"/>
    </row>
    <row r="17" spans="1:26" ht="16" customHeight="1">
      <c r="A17" s="77" t="s">
        <v>80</v>
      </c>
      <c r="B17" s="78" t="s">
        <v>81</v>
      </c>
      <c r="C17" s="79" t="s">
        <v>1372</v>
      </c>
      <c r="D17" s="79"/>
      <c r="E17" s="81">
        <v>5</v>
      </c>
      <c r="F17" s="79"/>
      <c r="G17" s="82">
        <v>22</v>
      </c>
      <c r="H17" s="79"/>
      <c r="I17" s="82">
        <v>22</v>
      </c>
      <c r="J17" s="79"/>
      <c r="K17" s="83">
        <v>11</v>
      </c>
      <c r="S17" s="68"/>
      <c r="T17" s="68"/>
      <c r="U17" s="68"/>
      <c r="V17" s="68"/>
      <c r="W17" s="68"/>
      <c r="X17" s="68"/>
      <c r="Y17" s="68"/>
      <c r="Z17" s="68"/>
    </row>
    <row r="18" spans="1:26" ht="16" customHeight="1">
      <c r="A18" s="77" t="s">
        <v>109</v>
      </c>
      <c r="B18" s="78" t="s">
        <v>110</v>
      </c>
      <c r="C18" s="79"/>
      <c r="D18" s="79"/>
      <c r="E18" s="82">
        <v>500</v>
      </c>
      <c r="F18" s="79"/>
      <c r="G18" s="85">
        <v>2200</v>
      </c>
      <c r="H18" s="79"/>
      <c r="I18" s="85">
        <v>2200</v>
      </c>
      <c r="J18" s="85">
        <v>1200</v>
      </c>
      <c r="K18" s="83">
        <v>12</v>
      </c>
      <c r="S18" s="68"/>
      <c r="T18" s="68"/>
      <c r="U18" s="68"/>
      <c r="V18" s="68"/>
      <c r="W18" s="68"/>
      <c r="X18" s="68"/>
      <c r="Y18" s="68"/>
      <c r="Z18" s="68"/>
    </row>
    <row r="19" spans="1:26" ht="16" customHeight="1">
      <c r="A19" s="77" t="s">
        <v>117</v>
      </c>
      <c r="B19" s="78" t="s">
        <v>118</v>
      </c>
      <c r="C19" s="79"/>
      <c r="D19" s="80">
        <v>0.63</v>
      </c>
      <c r="E19" s="81">
        <v>1</v>
      </c>
      <c r="F19" s="82">
        <v>16</v>
      </c>
      <c r="G19" s="81">
        <v>4.4000000000000004</v>
      </c>
      <c r="H19" s="81">
        <v>7.5</v>
      </c>
      <c r="I19" s="81">
        <v>4.4000000000000004</v>
      </c>
      <c r="J19" s="79" t="s">
        <v>223</v>
      </c>
      <c r="K19" s="83">
        <v>13</v>
      </c>
      <c r="S19" s="68"/>
      <c r="T19" s="68"/>
      <c r="U19" s="68"/>
      <c r="V19" s="68"/>
      <c r="W19" s="68"/>
      <c r="X19" s="68"/>
      <c r="Y19" s="68"/>
      <c r="Z19" s="68"/>
    </row>
    <row r="20" spans="1:26" ht="16" customHeight="1">
      <c r="A20" s="90" t="s">
        <v>123</v>
      </c>
      <c r="B20" s="91" t="s">
        <v>124</v>
      </c>
      <c r="C20" s="92"/>
      <c r="D20" s="92"/>
      <c r="E20" s="93">
        <v>0.3</v>
      </c>
      <c r="F20" s="92" t="s">
        <v>223</v>
      </c>
      <c r="G20" s="93">
        <v>1.3</v>
      </c>
      <c r="H20" s="92" t="s">
        <v>223</v>
      </c>
      <c r="I20" s="93">
        <v>1.3</v>
      </c>
      <c r="J20" s="92" t="s">
        <v>223</v>
      </c>
      <c r="K20" s="83">
        <v>14</v>
      </c>
      <c r="S20" s="68"/>
      <c r="T20" s="68"/>
      <c r="U20" s="68"/>
      <c r="V20" s="68"/>
      <c r="W20" s="68"/>
      <c r="X20" s="68"/>
      <c r="Y20" s="68"/>
      <c r="Z20" s="68"/>
    </row>
    <row r="21" spans="1:26" ht="16" customHeight="1">
      <c r="A21" s="77" t="s">
        <v>127</v>
      </c>
      <c r="B21" s="78" t="s">
        <v>128</v>
      </c>
      <c r="C21" s="79"/>
      <c r="D21" s="80">
        <v>0.14000000000000001</v>
      </c>
      <c r="E21" s="79" t="s">
        <v>223</v>
      </c>
      <c r="F21" s="81">
        <v>3.7</v>
      </c>
      <c r="G21" s="79" t="s">
        <v>223</v>
      </c>
      <c r="H21" s="81">
        <v>1.7</v>
      </c>
      <c r="I21" s="79" t="s">
        <v>223</v>
      </c>
      <c r="J21" s="79" t="s">
        <v>223</v>
      </c>
      <c r="K21" s="83">
        <v>15</v>
      </c>
      <c r="S21" s="68"/>
      <c r="T21" s="68"/>
      <c r="U21" s="68"/>
      <c r="V21" s="68"/>
      <c r="W21" s="68"/>
      <c r="X21" s="68"/>
      <c r="Y21" s="68"/>
      <c r="Z21" s="68"/>
    </row>
    <row r="22" spans="1:26" ht="16" customHeight="1">
      <c r="A22" s="77" t="s">
        <v>129</v>
      </c>
      <c r="B22" s="78" t="s">
        <v>130</v>
      </c>
      <c r="C22" s="77" t="s">
        <v>1372</v>
      </c>
      <c r="D22" s="94">
        <v>2.3975065931431311E-5</v>
      </c>
      <c r="E22" s="89">
        <v>1.7000000000000001E-4</v>
      </c>
      <c r="F22" s="87">
        <v>1.2999999999999999E-3</v>
      </c>
      <c r="G22" s="87">
        <v>2.3999999999999998E-3</v>
      </c>
      <c r="H22" s="89">
        <v>6.2E-4</v>
      </c>
      <c r="I22" s="87">
        <v>2.3999999999999998E-3</v>
      </c>
      <c r="J22" s="80">
        <v>0.2</v>
      </c>
      <c r="K22" s="83">
        <v>16</v>
      </c>
      <c r="S22" s="68"/>
      <c r="T22" s="68"/>
      <c r="U22" s="68"/>
      <c r="V22" s="68"/>
      <c r="W22" s="68"/>
      <c r="X22" s="68"/>
      <c r="Y22" s="68"/>
      <c r="Z22" s="68"/>
    </row>
    <row r="23" spans="1:26" ht="16" customHeight="1">
      <c r="A23" s="77" t="s">
        <v>131</v>
      </c>
      <c r="B23" s="78" t="s">
        <v>132</v>
      </c>
      <c r="C23" s="79"/>
      <c r="D23" s="79"/>
      <c r="E23" s="84">
        <v>1.4999999999999999E-2</v>
      </c>
      <c r="F23" s="79" t="s">
        <v>223</v>
      </c>
      <c r="G23" s="84">
        <v>6.6000000000000003E-2</v>
      </c>
      <c r="H23" s="79" t="s">
        <v>223</v>
      </c>
      <c r="I23" s="84">
        <v>6.6000000000000003E-2</v>
      </c>
      <c r="J23" s="80">
        <v>0.2</v>
      </c>
      <c r="K23" s="83">
        <v>17</v>
      </c>
      <c r="S23" s="68"/>
      <c r="T23" s="68"/>
      <c r="U23" s="68"/>
      <c r="V23" s="68"/>
      <c r="W23" s="68"/>
      <c r="X23" s="68"/>
      <c r="Y23" s="68"/>
      <c r="Z23" s="68"/>
    </row>
    <row r="24" spans="1:26" ht="27" customHeight="1">
      <c r="A24" s="77" t="s">
        <v>133</v>
      </c>
      <c r="B24" s="95" t="s">
        <v>134</v>
      </c>
      <c r="C24" s="77" t="s">
        <v>1373</v>
      </c>
      <c r="D24" s="96">
        <v>4.3478260869565214E-6</v>
      </c>
      <c r="E24" s="79" t="s">
        <v>223</v>
      </c>
      <c r="F24" s="89">
        <v>1.1E-4</v>
      </c>
      <c r="G24" s="79" t="s">
        <v>223</v>
      </c>
      <c r="H24" s="77">
        <v>5.2173913043478256E-5</v>
      </c>
      <c r="I24" s="79" t="s">
        <v>223</v>
      </c>
      <c r="J24" s="79" t="s">
        <v>223</v>
      </c>
      <c r="K24" s="83">
        <v>18</v>
      </c>
      <c r="S24" s="68"/>
      <c r="T24" s="68"/>
      <c r="U24" s="68"/>
      <c r="V24" s="68"/>
      <c r="W24" s="68"/>
      <c r="X24" s="68"/>
      <c r="Y24" s="68"/>
      <c r="Z24" s="68"/>
    </row>
    <row r="25" spans="1:26" ht="16" customHeight="1">
      <c r="A25" s="77" t="s">
        <v>143</v>
      </c>
      <c r="B25" s="78" t="s">
        <v>144</v>
      </c>
      <c r="C25" s="79"/>
      <c r="D25" s="84">
        <v>3.2000000000000001E-2</v>
      </c>
      <c r="E25" s="79" t="s">
        <v>223</v>
      </c>
      <c r="F25" s="80">
        <v>0.84</v>
      </c>
      <c r="G25" s="79" t="s">
        <v>223</v>
      </c>
      <c r="H25" s="80">
        <v>0.39</v>
      </c>
      <c r="I25" s="79" t="s">
        <v>223</v>
      </c>
      <c r="J25" s="79" t="s">
        <v>223</v>
      </c>
      <c r="K25" s="83">
        <v>19</v>
      </c>
      <c r="S25" s="68"/>
      <c r="T25" s="68"/>
      <c r="U25" s="68"/>
      <c r="V25" s="68"/>
      <c r="W25" s="68"/>
      <c r="X25" s="68"/>
      <c r="Y25" s="68"/>
      <c r="Z25" s="68"/>
    </row>
    <row r="26" spans="1:26" ht="16" customHeight="1">
      <c r="A26" s="77" t="s">
        <v>147</v>
      </c>
      <c r="B26" s="78" t="s">
        <v>148</v>
      </c>
      <c r="C26" s="79"/>
      <c r="D26" s="80">
        <v>0.13</v>
      </c>
      <c r="E26" s="82">
        <v>3</v>
      </c>
      <c r="F26" s="81">
        <v>3.3</v>
      </c>
      <c r="G26" s="82">
        <v>13</v>
      </c>
      <c r="H26" s="81">
        <v>1.5</v>
      </c>
      <c r="I26" s="82">
        <v>13</v>
      </c>
      <c r="J26" s="82">
        <v>29</v>
      </c>
      <c r="K26" s="83">
        <v>20</v>
      </c>
      <c r="S26" s="68"/>
      <c r="T26" s="68"/>
      <c r="U26" s="68"/>
      <c r="V26" s="68"/>
      <c r="W26" s="68"/>
      <c r="X26" s="68"/>
      <c r="Y26" s="68"/>
      <c r="Z26" s="68"/>
    </row>
    <row r="27" spans="1:26" ht="16" customHeight="1">
      <c r="A27" s="77" t="s">
        <v>149</v>
      </c>
      <c r="B27" s="78" t="s">
        <v>150</v>
      </c>
      <c r="C27" s="79" t="s">
        <v>1371</v>
      </c>
      <c r="D27" s="97">
        <v>4.2016806722689068E-6</v>
      </c>
      <c r="E27" s="79" t="s">
        <v>223</v>
      </c>
      <c r="F27" s="97">
        <v>4.3999999999999999E-5</v>
      </c>
      <c r="G27" s="79" t="s">
        <v>223</v>
      </c>
      <c r="H27" s="96">
        <v>8.6000000000000003E-5</v>
      </c>
      <c r="I27" s="79" t="s">
        <v>223</v>
      </c>
      <c r="J27" s="79" t="s">
        <v>223</v>
      </c>
      <c r="K27" s="83">
        <v>21</v>
      </c>
      <c r="S27" s="88"/>
      <c r="T27" s="88"/>
      <c r="U27" s="88"/>
      <c r="V27" s="88"/>
      <c r="W27" s="88"/>
      <c r="X27" s="68"/>
      <c r="Y27" s="68"/>
      <c r="Z27" s="68"/>
    </row>
    <row r="28" spans="1:26" ht="16" customHeight="1">
      <c r="A28" s="77" t="s">
        <v>159</v>
      </c>
      <c r="B28" s="78" t="s">
        <v>160</v>
      </c>
      <c r="C28" s="79"/>
      <c r="D28" s="84">
        <v>0.02</v>
      </c>
      <c r="E28" s="81">
        <v>1</v>
      </c>
      <c r="F28" s="80">
        <v>0.53</v>
      </c>
      <c r="G28" s="81">
        <v>4.4000000000000004</v>
      </c>
      <c r="H28" s="80">
        <v>0.24</v>
      </c>
      <c r="I28" s="81">
        <v>4.4000000000000004</v>
      </c>
      <c r="J28" s="82">
        <v>240</v>
      </c>
      <c r="K28" s="83">
        <v>22</v>
      </c>
      <c r="S28" s="68"/>
      <c r="T28" s="68"/>
      <c r="U28" s="68"/>
      <c r="V28" s="68"/>
      <c r="W28" s="68"/>
      <c r="X28" s="68"/>
      <c r="Y28" s="68"/>
      <c r="Z28" s="68"/>
    </row>
    <row r="29" spans="1:26" ht="16" customHeight="1">
      <c r="A29" s="77" t="s">
        <v>163</v>
      </c>
      <c r="B29" s="78" t="s">
        <v>164</v>
      </c>
      <c r="C29" s="79" t="s">
        <v>1372</v>
      </c>
      <c r="D29" s="89">
        <v>4.2000000000000002E-4</v>
      </c>
      <c r="E29" s="84">
        <v>7.0000000000000001E-3</v>
      </c>
      <c r="F29" s="84">
        <v>1.0999999999999999E-2</v>
      </c>
      <c r="G29" s="84">
        <v>3.1E-2</v>
      </c>
      <c r="H29" s="87">
        <v>5.0000000000000001E-3</v>
      </c>
      <c r="I29" s="84">
        <v>3.1E-2</v>
      </c>
      <c r="J29" s="84">
        <v>0.02</v>
      </c>
      <c r="K29" s="83">
        <v>23</v>
      </c>
      <c r="S29" s="68"/>
      <c r="T29" s="68"/>
      <c r="U29" s="68"/>
      <c r="V29" s="68"/>
      <c r="W29" s="68"/>
      <c r="X29" s="68"/>
      <c r="Y29" s="68"/>
      <c r="Z29" s="68"/>
    </row>
    <row r="30" spans="1:26" ht="26">
      <c r="A30" s="77" t="s">
        <v>171</v>
      </c>
      <c r="B30" s="78" t="s">
        <v>172</v>
      </c>
      <c r="C30" s="79"/>
      <c r="D30" s="87">
        <v>1.4E-3</v>
      </c>
      <c r="E30" s="79" t="s">
        <v>223</v>
      </c>
      <c r="F30" s="84">
        <v>3.6999999999999998E-2</v>
      </c>
      <c r="G30" s="79" t="s">
        <v>223</v>
      </c>
      <c r="H30" s="84">
        <v>1.7000000000000001E-2</v>
      </c>
      <c r="I30" s="79" t="s">
        <v>223</v>
      </c>
      <c r="J30" s="82">
        <v>120</v>
      </c>
      <c r="K30" s="83">
        <v>24</v>
      </c>
      <c r="S30" s="68"/>
      <c r="T30" s="68"/>
      <c r="U30" s="68"/>
      <c r="V30" s="68"/>
      <c r="W30" s="68"/>
      <c r="X30" s="68"/>
      <c r="Y30" s="68"/>
      <c r="Z30" s="68"/>
    </row>
    <row r="31" spans="1:26" ht="16" customHeight="1">
      <c r="A31" s="77" t="s">
        <v>173</v>
      </c>
      <c r="B31" s="98" t="s">
        <v>174</v>
      </c>
      <c r="C31" s="79"/>
      <c r="D31" s="94">
        <v>7.6923076923076926E-5</v>
      </c>
      <c r="E31" s="79" t="s">
        <v>223</v>
      </c>
      <c r="F31" s="89">
        <v>2E-3</v>
      </c>
      <c r="G31" s="79" t="s">
        <v>223</v>
      </c>
      <c r="H31" s="89">
        <v>9.2000000000000003E-4</v>
      </c>
      <c r="I31" s="79" t="s">
        <v>223</v>
      </c>
      <c r="J31" s="81">
        <v>1.4</v>
      </c>
      <c r="K31" s="83">
        <v>25</v>
      </c>
      <c r="S31" s="68"/>
      <c r="T31" s="68"/>
      <c r="U31" s="68"/>
      <c r="V31" s="68"/>
      <c r="W31" s="68"/>
      <c r="X31" s="68"/>
      <c r="Y31" s="68"/>
      <c r="Z31" s="68"/>
    </row>
    <row r="32" spans="1:26" ht="27" customHeight="1">
      <c r="A32" s="77" t="s">
        <v>177</v>
      </c>
      <c r="B32" s="98" t="s">
        <v>178</v>
      </c>
      <c r="C32" s="77" t="s">
        <v>1374</v>
      </c>
      <c r="D32" s="84">
        <v>0.08</v>
      </c>
      <c r="E32" s="79" t="s">
        <v>223</v>
      </c>
      <c r="F32" s="82">
        <v>11</v>
      </c>
      <c r="G32" s="79" t="s">
        <v>223</v>
      </c>
      <c r="H32" s="81">
        <v>5</v>
      </c>
      <c r="I32" s="79" t="s">
        <v>223</v>
      </c>
      <c r="J32" s="79" t="s">
        <v>223</v>
      </c>
      <c r="K32" s="83">
        <v>26</v>
      </c>
      <c r="S32" s="68"/>
      <c r="T32" s="68"/>
      <c r="U32" s="68"/>
      <c r="V32" s="68"/>
      <c r="W32" s="68"/>
      <c r="X32" s="68"/>
      <c r="Y32" s="68"/>
      <c r="Z32" s="68"/>
    </row>
    <row r="33" spans="1:26" ht="16" customHeight="1">
      <c r="A33" s="77" t="s">
        <v>185</v>
      </c>
      <c r="B33" s="78" t="s">
        <v>186</v>
      </c>
      <c r="C33" s="79"/>
      <c r="D33" s="80">
        <v>0.91</v>
      </c>
      <c r="E33" s="79" t="s">
        <v>223</v>
      </c>
      <c r="F33" s="82">
        <v>24</v>
      </c>
      <c r="G33" s="79" t="s">
        <v>223</v>
      </c>
      <c r="H33" s="82">
        <v>11</v>
      </c>
      <c r="I33" s="79" t="s">
        <v>223</v>
      </c>
      <c r="J33" s="79" t="s">
        <v>223</v>
      </c>
      <c r="K33" s="83">
        <v>27</v>
      </c>
      <c r="S33" s="68"/>
      <c r="T33" s="68"/>
      <c r="U33" s="68"/>
      <c r="V33" s="68"/>
      <c r="W33" s="68"/>
      <c r="X33" s="68"/>
      <c r="Y33" s="68"/>
      <c r="Z33" s="68"/>
    </row>
    <row r="34" spans="1:26" ht="27" customHeight="1">
      <c r="A34" s="77" t="s">
        <v>187</v>
      </c>
      <c r="B34" s="78" t="s">
        <v>188</v>
      </c>
      <c r="C34" s="79"/>
      <c r="D34" s="79"/>
      <c r="E34" s="81">
        <v>5</v>
      </c>
      <c r="F34" s="79" t="s">
        <v>223</v>
      </c>
      <c r="G34" s="82">
        <v>22</v>
      </c>
      <c r="H34" s="79" t="s">
        <v>223</v>
      </c>
      <c r="I34" s="82">
        <v>22</v>
      </c>
      <c r="J34" s="99">
        <v>3900</v>
      </c>
      <c r="K34" s="83">
        <v>28</v>
      </c>
      <c r="S34" s="68"/>
      <c r="T34" s="68"/>
      <c r="U34" s="68"/>
      <c r="V34" s="68"/>
      <c r="W34" s="68"/>
      <c r="X34" s="68"/>
      <c r="Y34" s="68"/>
      <c r="Z34" s="68"/>
    </row>
    <row r="35" spans="1:26" ht="27" customHeight="1">
      <c r="A35" s="77" t="s">
        <v>189</v>
      </c>
      <c r="B35" s="98" t="s">
        <v>190</v>
      </c>
      <c r="C35" s="79"/>
      <c r="D35" s="80">
        <v>0.48</v>
      </c>
      <c r="E35" s="99">
        <v>33</v>
      </c>
      <c r="F35" s="82">
        <v>12</v>
      </c>
      <c r="G35" s="99">
        <v>150</v>
      </c>
      <c r="H35" s="81">
        <v>5.7</v>
      </c>
      <c r="I35" s="99">
        <v>150</v>
      </c>
      <c r="J35" s="100">
        <v>1700</v>
      </c>
      <c r="K35" s="83">
        <v>29</v>
      </c>
      <c r="S35" s="68"/>
      <c r="T35" s="68"/>
      <c r="U35" s="68"/>
      <c r="V35" s="68"/>
      <c r="W35" s="68"/>
      <c r="X35" s="68"/>
      <c r="Y35" s="68"/>
      <c r="Z35" s="68"/>
    </row>
    <row r="36" spans="1:26" ht="16" customHeight="1">
      <c r="A36" s="77" t="s">
        <v>193</v>
      </c>
      <c r="B36" s="78" t="s">
        <v>194</v>
      </c>
      <c r="C36" s="79"/>
      <c r="D36" s="84">
        <v>3.3000000000000002E-2</v>
      </c>
      <c r="E36" s="81">
        <v>2</v>
      </c>
      <c r="F36" s="80">
        <v>0.86</v>
      </c>
      <c r="G36" s="81">
        <v>8.8000000000000007</v>
      </c>
      <c r="H36" s="80">
        <v>0.4</v>
      </c>
      <c r="I36" s="81">
        <v>8.8000000000000007</v>
      </c>
      <c r="J36" s="82">
        <v>660</v>
      </c>
      <c r="K36" s="83">
        <v>30</v>
      </c>
      <c r="S36" s="68"/>
      <c r="T36" s="68"/>
      <c r="U36" s="68"/>
      <c r="V36" s="68"/>
      <c r="W36" s="68"/>
      <c r="X36" s="68"/>
      <c r="Y36" s="68"/>
      <c r="Z36" s="68"/>
    </row>
    <row r="37" spans="1:26" ht="27" customHeight="1">
      <c r="A37" s="77" t="s">
        <v>195</v>
      </c>
      <c r="B37" s="78" t="s">
        <v>196</v>
      </c>
      <c r="C37" s="79"/>
      <c r="D37" s="79"/>
      <c r="E37" s="85">
        <v>5000</v>
      </c>
      <c r="F37" s="79" t="s">
        <v>223</v>
      </c>
      <c r="G37" s="85">
        <v>22000</v>
      </c>
      <c r="H37" s="79" t="s">
        <v>223</v>
      </c>
      <c r="I37" s="85">
        <v>22000</v>
      </c>
      <c r="J37" s="85">
        <v>5000</v>
      </c>
      <c r="K37" s="83">
        <v>31</v>
      </c>
      <c r="S37" s="68"/>
      <c r="T37" s="68"/>
      <c r="U37" s="68"/>
      <c r="V37" s="68"/>
      <c r="W37" s="68"/>
      <c r="X37" s="68"/>
      <c r="Y37" s="68"/>
      <c r="Z37" s="68"/>
    </row>
    <row r="38" spans="1:26" ht="16" customHeight="1">
      <c r="A38" s="77" t="s">
        <v>203</v>
      </c>
      <c r="B38" s="98" t="s">
        <v>204</v>
      </c>
      <c r="C38" s="79"/>
      <c r="D38" s="79" t="s">
        <v>223</v>
      </c>
      <c r="E38" s="85">
        <v>30000</v>
      </c>
      <c r="F38" s="79" t="s">
        <v>223</v>
      </c>
      <c r="G38" s="85">
        <v>130000</v>
      </c>
      <c r="H38" s="79" t="s">
        <v>223</v>
      </c>
      <c r="I38" s="85">
        <v>130000</v>
      </c>
      <c r="J38" s="79" t="s">
        <v>223</v>
      </c>
      <c r="K38" s="83">
        <v>32</v>
      </c>
      <c r="S38" s="68"/>
      <c r="T38" s="68"/>
      <c r="U38" s="68"/>
      <c r="V38" s="68"/>
      <c r="W38" s="68"/>
      <c r="X38" s="68"/>
      <c r="Y38" s="68"/>
      <c r="Z38" s="68"/>
    </row>
    <row r="39" spans="1:26" ht="16" customHeight="1">
      <c r="A39" s="77" t="s">
        <v>213</v>
      </c>
      <c r="B39" s="78" t="s">
        <v>214</v>
      </c>
      <c r="C39" s="77" t="s">
        <v>1375</v>
      </c>
      <c r="D39" s="89">
        <v>5.5999999999999995E-4</v>
      </c>
      <c r="E39" s="87">
        <v>5.0000000000000001E-3</v>
      </c>
      <c r="F39" s="84">
        <v>1.4E-2</v>
      </c>
      <c r="G39" s="84">
        <v>3.6999999999999998E-2</v>
      </c>
      <c r="H39" s="87">
        <v>6.7000000000000002E-3</v>
      </c>
      <c r="I39" s="84">
        <v>3.6999999999999998E-2</v>
      </c>
      <c r="J39" s="84">
        <v>0.03</v>
      </c>
      <c r="K39" s="83">
        <v>33</v>
      </c>
      <c r="Z39" s="68"/>
    </row>
    <row r="40" spans="1:26" ht="16" customHeight="1">
      <c r="A40" s="77" t="s">
        <v>217</v>
      </c>
      <c r="B40" s="78" t="s">
        <v>218</v>
      </c>
      <c r="C40" s="79"/>
      <c r="D40" s="79"/>
      <c r="E40" s="81">
        <v>2.2000000000000002</v>
      </c>
      <c r="F40" s="79" t="s">
        <v>223</v>
      </c>
      <c r="G40" s="81">
        <v>9.6999999999999993</v>
      </c>
      <c r="H40" s="79" t="s">
        <v>223</v>
      </c>
      <c r="I40" s="81">
        <v>9.6999999999999993</v>
      </c>
      <c r="J40" s="82">
        <v>50</v>
      </c>
      <c r="K40" s="83">
        <v>34</v>
      </c>
      <c r="Z40" s="68"/>
    </row>
    <row r="41" spans="1:26" ht="16" customHeight="1">
      <c r="A41" s="77" t="s">
        <v>225</v>
      </c>
      <c r="B41" s="78" t="s">
        <v>226</v>
      </c>
      <c r="C41" s="79"/>
      <c r="D41" s="79"/>
      <c r="E41" s="82">
        <v>800</v>
      </c>
      <c r="F41" s="79" t="s">
        <v>223</v>
      </c>
      <c r="G41" s="85">
        <v>3500</v>
      </c>
      <c r="H41" s="79" t="s">
        <v>223</v>
      </c>
      <c r="I41" s="85">
        <v>3500</v>
      </c>
      <c r="J41" s="85">
        <v>6200</v>
      </c>
      <c r="K41" s="83">
        <v>35</v>
      </c>
    </row>
    <row r="42" spans="1:26" ht="16" customHeight="1">
      <c r="A42" s="77" t="s">
        <v>227</v>
      </c>
      <c r="B42" s="78" t="s">
        <v>228</v>
      </c>
      <c r="C42" s="79"/>
      <c r="D42" s="80">
        <v>0.17</v>
      </c>
      <c r="E42" s="82">
        <v>100</v>
      </c>
      <c r="F42" s="81">
        <v>4.3</v>
      </c>
      <c r="G42" s="82">
        <v>440</v>
      </c>
      <c r="H42" s="81">
        <v>2</v>
      </c>
      <c r="I42" s="82">
        <v>440</v>
      </c>
      <c r="J42" s="85">
        <v>1900</v>
      </c>
      <c r="K42" s="83">
        <v>36</v>
      </c>
    </row>
    <row r="43" spans="1:26" ht="16" customHeight="1">
      <c r="A43" s="77" t="s">
        <v>229</v>
      </c>
      <c r="B43" s="78" t="s">
        <v>230</v>
      </c>
      <c r="C43" s="79"/>
      <c r="D43" s="79"/>
      <c r="E43" s="82">
        <v>10</v>
      </c>
      <c r="F43" s="79" t="s">
        <v>223</v>
      </c>
      <c r="G43" s="82">
        <v>44</v>
      </c>
      <c r="H43" s="79" t="s">
        <v>223</v>
      </c>
      <c r="I43" s="82">
        <v>44</v>
      </c>
      <c r="J43" s="82">
        <v>660</v>
      </c>
      <c r="K43" s="83">
        <v>37</v>
      </c>
    </row>
    <row r="44" spans="1:26" ht="16" customHeight="1">
      <c r="A44" s="77" t="s">
        <v>240</v>
      </c>
      <c r="B44" s="78" t="s">
        <v>241</v>
      </c>
      <c r="C44" s="79"/>
      <c r="D44" s="87">
        <v>0.01</v>
      </c>
      <c r="E44" s="93">
        <v>0.02</v>
      </c>
      <c r="F44" s="80">
        <v>0.26</v>
      </c>
      <c r="G44" s="101">
        <v>8.7999999999999995E-2</v>
      </c>
      <c r="H44" s="80">
        <v>0.12</v>
      </c>
      <c r="I44" s="101">
        <v>8.7999999999999995E-2</v>
      </c>
      <c r="J44" s="93">
        <v>0.2</v>
      </c>
      <c r="K44" s="83">
        <v>38</v>
      </c>
    </row>
    <row r="45" spans="1:26" ht="16" customHeight="1">
      <c r="A45" s="77" t="s">
        <v>248</v>
      </c>
      <c r="B45" s="78" t="s">
        <v>249</v>
      </c>
      <c r="C45" s="77" t="s">
        <v>1376</v>
      </c>
      <c r="D45" s="84">
        <v>0.04</v>
      </c>
      <c r="E45" s="79" t="s">
        <v>223</v>
      </c>
      <c r="F45" s="80">
        <v>1</v>
      </c>
      <c r="G45" s="79" t="s">
        <v>223</v>
      </c>
      <c r="H45" s="80">
        <v>0.48</v>
      </c>
      <c r="I45" s="79" t="s">
        <v>223</v>
      </c>
      <c r="J45" s="79" t="s">
        <v>223</v>
      </c>
      <c r="K45" s="83">
        <v>39</v>
      </c>
    </row>
    <row r="46" spans="1:26" ht="16" customHeight="1">
      <c r="A46" s="77" t="s">
        <v>250</v>
      </c>
      <c r="B46" s="78" t="s">
        <v>251</v>
      </c>
      <c r="C46" s="79"/>
      <c r="D46" s="79"/>
      <c r="E46" s="80">
        <v>0.15</v>
      </c>
      <c r="F46" s="79"/>
      <c r="G46" s="80">
        <v>0.66</v>
      </c>
      <c r="H46" s="79"/>
      <c r="I46" s="80">
        <v>0.66</v>
      </c>
      <c r="J46" s="82">
        <v>170</v>
      </c>
      <c r="K46" s="83">
        <v>40</v>
      </c>
    </row>
    <row r="47" spans="1:26" ht="16" customHeight="1">
      <c r="A47" s="77" t="s">
        <v>252</v>
      </c>
      <c r="B47" s="78" t="s">
        <v>253</v>
      </c>
      <c r="C47" s="79"/>
      <c r="D47" s="79"/>
      <c r="E47" s="80">
        <v>0.6</v>
      </c>
      <c r="F47" s="79"/>
      <c r="G47" s="80">
        <v>2.6</v>
      </c>
      <c r="H47" s="79"/>
      <c r="I47" s="80">
        <v>2.6</v>
      </c>
      <c r="J47" s="81">
        <v>2.8</v>
      </c>
      <c r="K47" s="83">
        <v>41</v>
      </c>
    </row>
    <row r="48" spans="1:26" ht="16" customHeight="1">
      <c r="A48" s="77" t="s">
        <v>256</v>
      </c>
      <c r="B48" s="78" t="s">
        <v>257</v>
      </c>
      <c r="C48" s="79"/>
      <c r="D48" s="79"/>
      <c r="E48" s="84">
        <v>0.03</v>
      </c>
      <c r="F48" s="79"/>
      <c r="G48" s="80">
        <v>0.13</v>
      </c>
      <c r="H48" s="79"/>
      <c r="I48" s="80">
        <v>0.13</v>
      </c>
      <c r="J48" s="79" t="s">
        <v>223</v>
      </c>
      <c r="K48" s="83">
        <v>42</v>
      </c>
    </row>
    <row r="49" spans="1:11" ht="16" customHeight="1">
      <c r="A49" s="77" t="s">
        <v>262</v>
      </c>
      <c r="B49" s="78" t="s">
        <v>263</v>
      </c>
      <c r="C49" s="79"/>
      <c r="D49" s="79"/>
      <c r="E49" s="82">
        <v>50</v>
      </c>
      <c r="F49" s="79"/>
      <c r="G49" s="82">
        <v>220</v>
      </c>
      <c r="H49" s="79"/>
      <c r="I49" s="82">
        <v>220</v>
      </c>
      <c r="J49" s="79" t="s">
        <v>223</v>
      </c>
      <c r="K49" s="83">
        <v>43</v>
      </c>
    </row>
    <row r="50" spans="1:11" ht="27" customHeight="1">
      <c r="A50" s="77" t="s">
        <v>266</v>
      </c>
      <c r="B50" s="78" t="s">
        <v>267</v>
      </c>
      <c r="C50" s="79"/>
      <c r="D50" s="79"/>
      <c r="E50" s="85">
        <v>50000</v>
      </c>
      <c r="F50" s="79"/>
      <c r="G50" s="85">
        <v>220000</v>
      </c>
      <c r="H50" s="79"/>
      <c r="I50" s="85">
        <v>220000</v>
      </c>
      <c r="J50" s="79" t="s">
        <v>223</v>
      </c>
      <c r="K50" s="83">
        <v>44</v>
      </c>
    </row>
    <row r="51" spans="1:11" ht="27" customHeight="1">
      <c r="A51" s="77" t="s">
        <v>268</v>
      </c>
      <c r="B51" s="78" t="s">
        <v>269</v>
      </c>
      <c r="C51" s="79"/>
      <c r="D51" s="79"/>
      <c r="E51" s="85">
        <v>50000</v>
      </c>
      <c r="F51" s="79"/>
      <c r="G51" s="85">
        <v>220000</v>
      </c>
      <c r="H51" s="79"/>
      <c r="I51" s="85">
        <v>220000</v>
      </c>
      <c r="J51" s="79" t="s">
        <v>223</v>
      </c>
      <c r="K51" s="83">
        <v>45</v>
      </c>
    </row>
    <row r="52" spans="1:11" ht="27" customHeight="1">
      <c r="A52" s="77" t="s">
        <v>270</v>
      </c>
      <c r="B52" s="78" t="s">
        <v>271</v>
      </c>
      <c r="C52" s="79"/>
      <c r="D52" s="79"/>
      <c r="E52" s="85">
        <v>30000</v>
      </c>
      <c r="F52" s="79"/>
      <c r="G52" s="85">
        <v>130000</v>
      </c>
      <c r="H52" s="79"/>
      <c r="I52" s="85">
        <v>130000</v>
      </c>
      <c r="J52" s="85">
        <v>40000</v>
      </c>
      <c r="K52" s="83">
        <v>46</v>
      </c>
    </row>
    <row r="53" spans="1:11" ht="16" customHeight="1">
      <c r="A53" s="77" t="s">
        <v>272</v>
      </c>
      <c r="B53" s="78" t="s">
        <v>273</v>
      </c>
      <c r="C53" s="79"/>
      <c r="D53" s="84"/>
      <c r="E53" s="82">
        <v>300</v>
      </c>
      <c r="F53" s="81"/>
      <c r="G53" s="85">
        <v>1300</v>
      </c>
      <c r="H53" s="80"/>
      <c r="I53" s="85">
        <v>1300</v>
      </c>
      <c r="J53" s="82">
        <v>490</v>
      </c>
      <c r="K53" s="83">
        <v>47</v>
      </c>
    </row>
    <row r="54" spans="1:11" ht="26">
      <c r="A54" s="77" t="s">
        <v>274</v>
      </c>
      <c r="B54" s="78" t="s">
        <v>275</v>
      </c>
      <c r="C54" s="79"/>
      <c r="D54" s="79"/>
      <c r="E54" s="82">
        <v>90</v>
      </c>
      <c r="F54" s="79"/>
      <c r="G54" s="82">
        <v>400</v>
      </c>
      <c r="H54" s="79"/>
      <c r="I54" s="82">
        <v>400</v>
      </c>
      <c r="J54" s="85">
        <v>1000</v>
      </c>
      <c r="K54" s="83">
        <v>48</v>
      </c>
    </row>
    <row r="55" spans="1:11" ht="27" customHeight="1">
      <c r="A55" s="77" t="s">
        <v>282</v>
      </c>
      <c r="B55" s="98" t="s">
        <v>283</v>
      </c>
      <c r="C55" s="79"/>
      <c r="D55" s="80">
        <v>0.22</v>
      </c>
      <c r="E55" s="79" t="s">
        <v>223</v>
      </c>
      <c r="F55" s="81">
        <v>5.7</v>
      </c>
      <c r="G55" s="79" t="s">
        <v>223</v>
      </c>
      <c r="H55" s="81">
        <v>2.6</v>
      </c>
      <c r="I55" s="79" t="s">
        <v>223</v>
      </c>
      <c r="J55" s="79" t="s">
        <v>223</v>
      </c>
      <c r="K55" s="83">
        <v>49</v>
      </c>
    </row>
    <row r="56" spans="1:11" ht="16" customHeight="1">
      <c r="A56" s="86" t="s">
        <v>284</v>
      </c>
      <c r="B56" s="78" t="s">
        <v>285</v>
      </c>
      <c r="C56" s="79"/>
      <c r="D56" s="79" t="s">
        <v>223</v>
      </c>
      <c r="E56" s="80">
        <v>0.4</v>
      </c>
      <c r="F56" s="79" t="s">
        <v>223</v>
      </c>
      <c r="G56" s="81">
        <v>1.8</v>
      </c>
      <c r="H56" s="79" t="s">
        <v>223</v>
      </c>
      <c r="I56" s="81">
        <v>1.8</v>
      </c>
      <c r="J56" s="82">
        <v>29</v>
      </c>
      <c r="K56" s="83">
        <v>50</v>
      </c>
    </row>
    <row r="57" spans="1:11" ht="16" customHeight="1">
      <c r="A57" s="77" t="s">
        <v>286</v>
      </c>
      <c r="B57" s="78" t="s">
        <v>287</v>
      </c>
      <c r="C57" s="79"/>
      <c r="D57" s="87">
        <v>3.3E-3</v>
      </c>
      <c r="E57" s="82">
        <v>20</v>
      </c>
      <c r="F57" s="84">
        <v>8.6999999999999994E-2</v>
      </c>
      <c r="G57" s="82">
        <v>88</v>
      </c>
      <c r="H57" s="84">
        <v>0.04</v>
      </c>
      <c r="I57" s="82">
        <v>88</v>
      </c>
      <c r="J57" s="79" t="s">
        <v>223</v>
      </c>
      <c r="K57" s="83">
        <v>51</v>
      </c>
    </row>
    <row r="58" spans="1:11" ht="16" customHeight="1">
      <c r="A58" s="77" t="s">
        <v>290</v>
      </c>
      <c r="B58" s="98" t="s">
        <v>291</v>
      </c>
      <c r="C58" s="79"/>
      <c r="D58" s="84">
        <v>1.2999999999999999E-2</v>
      </c>
      <c r="E58" s="79" t="s">
        <v>223</v>
      </c>
      <c r="F58" s="80">
        <v>0.34</v>
      </c>
      <c r="G58" s="79" t="s">
        <v>223</v>
      </c>
      <c r="H58" s="80">
        <v>0.16</v>
      </c>
      <c r="I58" s="79" t="s">
        <v>223</v>
      </c>
      <c r="J58" s="79" t="s">
        <v>223</v>
      </c>
      <c r="K58" s="83">
        <v>52</v>
      </c>
    </row>
    <row r="59" spans="1:11" ht="27" customHeight="1">
      <c r="A59" s="77" t="s">
        <v>296</v>
      </c>
      <c r="B59" s="78" t="s">
        <v>1377</v>
      </c>
      <c r="C59" s="77" t="s">
        <v>1378</v>
      </c>
      <c r="D59" s="97">
        <v>3.1000000000000001E-5</v>
      </c>
      <c r="E59" s="101">
        <v>8.3000000000000004E-2</v>
      </c>
      <c r="F59" s="89">
        <v>5.1999999999999995E-4</v>
      </c>
      <c r="G59" s="93">
        <v>0.88</v>
      </c>
      <c r="H59" s="89">
        <v>1E-3</v>
      </c>
      <c r="I59" s="93">
        <v>0.88</v>
      </c>
      <c r="J59" s="80">
        <v>0.3</v>
      </c>
      <c r="K59" s="83">
        <v>53</v>
      </c>
    </row>
    <row r="60" spans="1:11" ht="27" customHeight="1">
      <c r="A60" s="77" t="s">
        <v>296</v>
      </c>
      <c r="B60" s="78" t="s">
        <v>1379</v>
      </c>
      <c r="C60" s="77" t="s">
        <v>1378</v>
      </c>
      <c r="D60" s="97">
        <v>3.1000000000000001E-5</v>
      </c>
      <c r="E60" s="87">
        <v>2.0999999999999999E-3</v>
      </c>
      <c r="F60" s="89">
        <v>5.1999999999999995E-4</v>
      </c>
      <c r="G60" s="84">
        <v>2.1999999999999999E-2</v>
      </c>
      <c r="H60" s="89">
        <v>1E-3</v>
      </c>
      <c r="I60" s="84">
        <v>2.1999999999999999E-2</v>
      </c>
      <c r="J60" s="87">
        <v>5.0000000000000001E-3</v>
      </c>
      <c r="K60" s="83">
        <v>54</v>
      </c>
    </row>
    <row r="61" spans="1:11" ht="16" customHeight="1">
      <c r="A61" s="77" t="s">
        <v>304</v>
      </c>
      <c r="B61" s="78" t="s">
        <v>305</v>
      </c>
      <c r="C61" s="79" t="s">
        <v>1372</v>
      </c>
      <c r="D61" s="89" t="s">
        <v>223</v>
      </c>
      <c r="E61" s="80">
        <v>0.1</v>
      </c>
      <c r="F61" s="87" t="s">
        <v>223</v>
      </c>
      <c r="G61" s="80">
        <v>0.44</v>
      </c>
      <c r="H61" s="87" t="s">
        <v>223</v>
      </c>
      <c r="I61" s="80">
        <v>0.44</v>
      </c>
      <c r="J61" s="79" t="s">
        <v>223</v>
      </c>
      <c r="K61" s="83">
        <v>55</v>
      </c>
    </row>
    <row r="62" spans="1:11" ht="16" customHeight="1">
      <c r="A62" s="79" t="s">
        <v>1380</v>
      </c>
      <c r="B62" s="78" t="s">
        <v>306</v>
      </c>
      <c r="C62" s="79" t="s">
        <v>1371</v>
      </c>
      <c r="D62" s="89">
        <v>9.5E-4</v>
      </c>
      <c r="E62" s="79" t="s">
        <v>223</v>
      </c>
      <c r="F62" s="84">
        <v>0.01</v>
      </c>
      <c r="G62" s="79" t="s">
        <v>223</v>
      </c>
      <c r="H62" s="84">
        <v>1.9E-2</v>
      </c>
      <c r="I62" s="79" t="s">
        <v>223</v>
      </c>
      <c r="J62" s="79" t="s">
        <v>223</v>
      </c>
      <c r="K62" s="83">
        <v>56</v>
      </c>
    </row>
    <row r="63" spans="1:11" ht="16" customHeight="1">
      <c r="A63" s="77" t="s">
        <v>307</v>
      </c>
      <c r="B63" s="78" t="s">
        <v>308</v>
      </c>
      <c r="C63" s="79" t="s">
        <v>1372</v>
      </c>
      <c r="D63" s="79" t="s">
        <v>223</v>
      </c>
      <c r="E63" s="79" t="s">
        <v>223</v>
      </c>
      <c r="F63" s="79" t="s">
        <v>223</v>
      </c>
      <c r="G63" s="79" t="s">
        <v>223</v>
      </c>
      <c r="H63" s="79" t="s">
        <v>223</v>
      </c>
      <c r="I63" s="79" t="s">
        <v>223</v>
      </c>
      <c r="J63" s="82">
        <v>100</v>
      </c>
      <c r="K63" s="83">
        <v>57</v>
      </c>
    </row>
    <row r="64" spans="1:11" ht="16" customHeight="1">
      <c r="A64" s="77" t="s">
        <v>310</v>
      </c>
      <c r="B64" s="98" t="s">
        <v>311</v>
      </c>
      <c r="C64" s="79"/>
      <c r="D64" s="84">
        <v>2.3E-2</v>
      </c>
      <c r="E64" s="79" t="s">
        <v>223</v>
      </c>
      <c r="F64" s="80">
        <v>0.6</v>
      </c>
      <c r="G64" s="79" t="s">
        <v>223</v>
      </c>
      <c r="H64" s="80">
        <v>0.28000000000000003</v>
      </c>
      <c r="I64" s="79" t="s">
        <v>223</v>
      </c>
      <c r="J64" s="79" t="s">
        <v>223</v>
      </c>
      <c r="K64" s="83">
        <v>58</v>
      </c>
    </row>
    <row r="65" spans="1:11" ht="37" customHeight="1">
      <c r="A65" s="77" t="s">
        <v>312</v>
      </c>
      <c r="B65" s="98" t="s">
        <v>313</v>
      </c>
      <c r="C65" s="79"/>
      <c r="D65" s="79"/>
      <c r="E65" s="82">
        <v>600</v>
      </c>
      <c r="F65" s="79" t="s">
        <v>223</v>
      </c>
      <c r="G65" s="85">
        <v>2600</v>
      </c>
      <c r="H65" s="79" t="s">
        <v>223</v>
      </c>
      <c r="I65" s="85">
        <v>2600</v>
      </c>
      <c r="J65" s="79" t="s">
        <v>223</v>
      </c>
      <c r="K65" s="83">
        <v>59</v>
      </c>
    </row>
    <row r="66" spans="1:11" ht="16" customHeight="1">
      <c r="A66" s="77" t="s">
        <v>324</v>
      </c>
      <c r="B66" s="78" t="s">
        <v>325</v>
      </c>
      <c r="C66" s="79"/>
      <c r="D66" s="84">
        <v>1.6E-2</v>
      </c>
      <c r="E66" s="79" t="s">
        <v>223</v>
      </c>
      <c r="F66" s="80">
        <v>0.41</v>
      </c>
      <c r="G66" s="79" t="s">
        <v>223</v>
      </c>
      <c r="H66" s="80">
        <v>0.19</v>
      </c>
      <c r="I66" s="79" t="s">
        <v>223</v>
      </c>
      <c r="J66" s="79" t="s">
        <v>223</v>
      </c>
      <c r="K66" s="83">
        <v>60</v>
      </c>
    </row>
    <row r="67" spans="1:11" ht="16" customHeight="1">
      <c r="A67" s="77" t="s">
        <v>328</v>
      </c>
      <c r="B67" s="78" t="s">
        <v>1381</v>
      </c>
      <c r="C67" s="79"/>
      <c r="D67" s="79"/>
      <c r="E67" s="80">
        <v>0.8</v>
      </c>
      <c r="F67" s="79" t="s">
        <v>223</v>
      </c>
      <c r="G67" s="81">
        <v>3.5</v>
      </c>
      <c r="H67" s="79" t="s">
        <v>223</v>
      </c>
      <c r="I67" s="81">
        <v>3.5</v>
      </c>
      <c r="J67" s="82">
        <v>340</v>
      </c>
      <c r="K67" s="83">
        <v>61</v>
      </c>
    </row>
    <row r="68" spans="1:11" ht="16" customHeight="1">
      <c r="A68" s="77" t="s">
        <v>330</v>
      </c>
      <c r="B68" s="78" t="s">
        <v>331</v>
      </c>
      <c r="C68" s="79"/>
      <c r="D68" s="79"/>
      <c r="E68" s="85">
        <v>6000</v>
      </c>
      <c r="F68" s="79" t="s">
        <v>223</v>
      </c>
      <c r="G68" s="85">
        <v>26000</v>
      </c>
      <c r="H68" s="79" t="s">
        <v>223</v>
      </c>
      <c r="I68" s="85">
        <v>26000</v>
      </c>
      <c r="J68" s="79" t="s">
        <v>223</v>
      </c>
      <c r="K68" s="83">
        <v>62</v>
      </c>
    </row>
    <row r="69" spans="1:11" ht="16" customHeight="1">
      <c r="A69" s="79" t="s">
        <v>358</v>
      </c>
      <c r="B69" s="78" t="s">
        <v>359</v>
      </c>
      <c r="C69" s="77" t="s">
        <v>1382</v>
      </c>
      <c r="D69" s="84">
        <v>0.01</v>
      </c>
      <c r="E69" s="79" t="s">
        <v>223</v>
      </c>
      <c r="F69" s="80">
        <v>0.27</v>
      </c>
      <c r="G69" s="79" t="s">
        <v>223</v>
      </c>
      <c r="H69" s="80">
        <v>0.12</v>
      </c>
      <c r="I69" s="79" t="s">
        <v>223</v>
      </c>
      <c r="J69" s="79" t="s">
        <v>223</v>
      </c>
      <c r="K69" s="83">
        <v>63</v>
      </c>
    </row>
    <row r="70" spans="1:11" ht="16" customHeight="1">
      <c r="A70" s="77" t="s">
        <v>360</v>
      </c>
      <c r="B70" s="78" t="s">
        <v>361</v>
      </c>
      <c r="C70" s="79"/>
      <c r="D70" s="80">
        <v>0.15</v>
      </c>
      <c r="E70" s="79" t="s">
        <v>223</v>
      </c>
      <c r="F70" s="81">
        <v>3.9</v>
      </c>
      <c r="G70" s="79" t="s">
        <v>223</v>
      </c>
      <c r="H70" s="81">
        <v>1.8</v>
      </c>
      <c r="I70" s="79" t="s">
        <v>223</v>
      </c>
      <c r="J70" s="79" t="s">
        <v>223</v>
      </c>
      <c r="K70" s="83">
        <v>64</v>
      </c>
    </row>
    <row r="71" spans="1:11" ht="27" customHeight="1">
      <c r="A71" s="77" t="s">
        <v>366</v>
      </c>
      <c r="B71" s="78" t="s">
        <v>367</v>
      </c>
      <c r="C71" s="79"/>
      <c r="D71" s="89">
        <v>9.1E-4</v>
      </c>
      <c r="E71" s="79" t="s">
        <v>223</v>
      </c>
      <c r="F71" s="84">
        <v>2.4E-2</v>
      </c>
      <c r="G71" s="79" t="s">
        <v>223</v>
      </c>
      <c r="H71" s="84">
        <v>1.0999999999999999E-2</v>
      </c>
      <c r="I71" s="79" t="s">
        <v>223</v>
      </c>
      <c r="J71" s="79" t="s">
        <v>223</v>
      </c>
      <c r="K71" s="83">
        <v>65</v>
      </c>
    </row>
    <row r="72" spans="1:11" ht="16" customHeight="1">
      <c r="A72" s="77" t="s">
        <v>370</v>
      </c>
      <c r="B72" s="78" t="s">
        <v>371</v>
      </c>
      <c r="C72" s="79"/>
      <c r="D72" s="79"/>
      <c r="E72" s="79" t="s">
        <v>223</v>
      </c>
      <c r="F72" s="79" t="s">
        <v>223</v>
      </c>
      <c r="G72" s="79" t="s">
        <v>223</v>
      </c>
      <c r="H72" s="79" t="s">
        <v>223</v>
      </c>
      <c r="I72" s="79" t="s">
        <v>223</v>
      </c>
      <c r="J72" s="82">
        <v>10</v>
      </c>
      <c r="K72" s="83">
        <v>66</v>
      </c>
    </row>
    <row r="73" spans="1:11" ht="27" customHeight="1">
      <c r="A73" s="86" t="s">
        <v>376</v>
      </c>
      <c r="B73" s="78" t="s">
        <v>377</v>
      </c>
      <c r="C73" s="79" t="s">
        <v>1371</v>
      </c>
      <c r="D73" s="97">
        <v>9.8039215686274506E-5</v>
      </c>
      <c r="E73" s="80">
        <v>0.2</v>
      </c>
      <c r="F73" s="87">
        <v>1E-3</v>
      </c>
      <c r="G73" s="80">
        <v>0.88</v>
      </c>
      <c r="H73" s="87">
        <v>2E-3</v>
      </c>
      <c r="I73" s="80">
        <v>0.88</v>
      </c>
      <c r="J73" s="81">
        <v>1.9</v>
      </c>
      <c r="K73" s="83">
        <v>67</v>
      </c>
    </row>
    <row r="74" spans="1:11" ht="27" customHeight="1">
      <c r="A74" s="77" t="s">
        <v>386</v>
      </c>
      <c r="B74" s="78" t="s">
        <v>387</v>
      </c>
      <c r="C74" s="79"/>
      <c r="D74" s="84">
        <v>9.0999999999999998E-2</v>
      </c>
      <c r="E74" s="82">
        <v>60</v>
      </c>
      <c r="F74" s="81">
        <v>2.4</v>
      </c>
      <c r="G74" s="85">
        <v>260</v>
      </c>
      <c r="H74" s="81">
        <v>1.1000000000000001</v>
      </c>
      <c r="I74" s="85">
        <v>260</v>
      </c>
      <c r="J74" s="85">
        <v>12000</v>
      </c>
      <c r="K74" s="83">
        <v>68</v>
      </c>
    </row>
    <row r="75" spans="1:11" ht="16" customHeight="1">
      <c r="A75" s="77" t="s">
        <v>388</v>
      </c>
      <c r="B75" s="78" t="s">
        <v>389</v>
      </c>
      <c r="C75" s="79"/>
      <c r="D75" s="87">
        <v>2.8999999999999998E-3</v>
      </c>
      <c r="E75" s="79" t="s">
        <v>223</v>
      </c>
      <c r="F75" s="84">
        <v>7.5999999999999998E-2</v>
      </c>
      <c r="G75" s="79" t="s">
        <v>223</v>
      </c>
      <c r="H75" s="84">
        <v>3.5000000000000003E-2</v>
      </c>
      <c r="I75" s="79" t="s">
        <v>223</v>
      </c>
      <c r="J75" s="79" t="s">
        <v>223</v>
      </c>
      <c r="K75" s="83">
        <v>69</v>
      </c>
    </row>
    <row r="76" spans="1:11" ht="27" customHeight="1">
      <c r="A76" s="77" t="s">
        <v>394</v>
      </c>
      <c r="B76" s="78" t="s">
        <v>395</v>
      </c>
      <c r="C76" s="79"/>
      <c r="D76" s="80">
        <v>0.63</v>
      </c>
      <c r="E76" s="79" t="s">
        <v>223</v>
      </c>
      <c r="F76" s="82">
        <v>16</v>
      </c>
      <c r="G76" s="79" t="s">
        <v>223</v>
      </c>
      <c r="H76" s="81">
        <v>7.5</v>
      </c>
      <c r="I76" s="79" t="s">
        <v>223</v>
      </c>
      <c r="J76" s="79" t="s">
        <v>223</v>
      </c>
      <c r="K76" s="83">
        <v>70</v>
      </c>
    </row>
    <row r="77" spans="1:11" ht="16" customHeight="1">
      <c r="A77" s="77" t="s">
        <v>396</v>
      </c>
      <c r="B77" s="98" t="s">
        <v>397</v>
      </c>
      <c r="C77" s="79"/>
      <c r="D77" s="79" t="s">
        <v>223</v>
      </c>
      <c r="E77" s="79" t="s">
        <v>223</v>
      </c>
      <c r="F77" s="79" t="s">
        <v>223</v>
      </c>
      <c r="G77" s="79" t="s">
        <v>223</v>
      </c>
      <c r="H77" s="79" t="s">
        <v>223</v>
      </c>
      <c r="I77" s="79" t="s">
        <v>223</v>
      </c>
      <c r="J77" s="82">
        <v>790</v>
      </c>
      <c r="K77" s="83">
        <v>71</v>
      </c>
    </row>
    <row r="78" spans="1:11" ht="27" customHeight="1">
      <c r="A78" s="102" t="s">
        <v>398</v>
      </c>
      <c r="B78" s="78" t="s">
        <v>399</v>
      </c>
      <c r="C78" s="79"/>
      <c r="D78" s="82">
        <v>59</v>
      </c>
      <c r="E78" s="82">
        <v>600</v>
      </c>
      <c r="F78" s="82">
        <v>620</v>
      </c>
      <c r="G78" s="85">
        <v>2600</v>
      </c>
      <c r="H78" s="85">
        <v>1200</v>
      </c>
      <c r="I78" s="85">
        <v>2600</v>
      </c>
      <c r="J78" s="85">
        <v>2100</v>
      </c>
      <c r="K78" s="83">
        <v>72</v>
      </c>
    </row>
    <row r="79" spans="1:11" ht="27" customHeight="1">
      <c r="A79" s="77" t="s">
        <v>404</v>
      </c>
      <c r="B79" s="78" t="s">
        <v>405</v>
      </c>
      <c r="C79" s="79"/>
      <c r="D79" s="79" t="s">
        <v>223</v>
      </c>
      <c r="E79" s="81">
        <v>4</v>
      </c>
      <c r="F79" s="79" t="s">
        <v>223</v>
      </c>
      <c r="G79" s="82">
        <v>18</v>
      </c>
      <c r="H79" s="79" t="s">
        <v>223</v>
      </c>
      <c r="I79" s="82">
        <v>18</v>
      </c>
      <c r="J79" s="82">
        <v>230</v>
      </c>
      <c r="K79" s="83">
        <v>73</v>
      </c>
    </row>
    <row r="80" spans="1:11" ht="16" customHeight="1">
      <c r="A80" s="77" t="s">
        <v>406</v>
      </c>
      <c r="B80" s="78" t="s">
        <v>407</v>
      </c>
      <c r="C80" s="79"/>
      <c r="D80" s="80">
        <v>0.25</v>
      </c>
      <c r="E80" s="82">
        <v>32</v>
      </c>
      <c r="F80" s="81">
        <v>6.5</v>
      </c>
      <c r="G80" s="82">
        <v>140</v>
      </c>
      <c r="H80" s="81">
        <v>3</v>
      </c>
      <c r="I80" s="82">
        <v>140</v>
      </c>
      <c r="J80" s="82">
        <v>36</v>
      </c>
      <c r="K80" s="83">
        <v>74</v>
      </c>
    </row>
    <row r="81" spans="1:11" ht="16" customHeight="1">
      <c r="A81" s="77" t="s">
        <v>408</v>
      </c>
      <c r="B81" s="78" t="s">
        <v>409</v>
      </c>
      <c r="C81" s="79"/>
      <c r="D81" s="79" t="s">
        <v>223</v>
      </c>
      <c r="E81" s="80">
        <v>0.54</v>
      </c>
      <c r="F81" s="79" t="s">
        <v>223</v>
      </c>
      <c r="G81" s="81">
        <v>2.4</v>
      </c>
      <c r="H81" s="79" t="s">
        <v>223</v>
      </c>
      <c r="I81" s="81">
        <v>2.4</v>
      </c>
      <c r="J81" s="82">
        <v>18</v>
      </c>
      <c r="K81" s="83">
        <v>75</v>
      </c>
    </row>
    <row r="82" spans="1:11" ht="16" customHeight="1">
      <c r="A82" s="77" t="s">
        <v>414</v>
      </c>
      <c r="B82" s="78" t="s">
        <v>415</v>
      </c>
      <c r="C82" s="79"/>
      <c r="D82" s="89">
        <v>2.2000000000000001E-4</v>
      </c>
      <c r="E82" s="79" t="s">
        <v>223</v>
      </c>
      <c r="F82" s="87">
        <v>5.7000000000000002E-3</v>
      </c>
      <c r="G82" s="79" t="s">
        <v>223</v>
      </c>
      <c r="H82" s="87">
        <v>2.5999999999999999E-3</v>
      </c>
      <c r="I82" s="79" t="s">
        <v>223</v>
      </c>
      <c r="J82" s="79" t="s">
        <v>223</v>
      </c>
      <c r="K82" s="83">
        <v>76</v>
      </c>
    </row>
    <row r="83" spans="1:11" ht="16" customHeight="1">
      <c r="A83" s="79" t="s">
        <v>1383</v>
      </c>
      <c r="B83" s="78" t="s">
        <v>416</v>
      </c>
      <c r="C83" s="79"/>
      <c r="D83" s="80">
        <v>0.1</v>
      </c>
      <c r="E83" s="81">
        <v>5</v>
      </c>
      <c r="F83" s="81">
        <v>2.6</v>
      </c>
      <c r="G83" s="82">
        <v>22</v>
      </c>
      <c r="H83" s="81">
        <v>1.2</v>
      </c>
      <c r="I83" s="82">
        <v>22</v>
      </c>
      <c r="J83" s="79" t="s">
        <v>223</v>
      </c>
      <c r="K83" s="83">
        <v>77</v>
      </c>
    </row>
    <row r="84" spans="1:11" ht="16" customHeight="1">
      <c r="A84" s="77" t="s">
        <v>417</v>
      </c>
      <c r="B84" s="78" t="s">
        <v>418</v>
      </c>
      <c r="C84" s="79"/>
      <c r="D84" s="79" t="s">
        <v>223</v>
      </c>
      <c r="E84" s="80">
        <v>0.2</v>
      </c>
      <c r="F84" s="79" t="s">
        <v>223</v>
      </c>
      <c r="G84" s="80">
        <v>0.88</v>
      </c>
      <c r="H84" s="79" t="s">
        <v>223</v>
      </c>
      <c r="I84" s="80">
        <v>0.88</v>
      </c>
      <c r="J84" s="79" t="s">
        <v>223</v>
      </c>
      <c r="K84" s="83">
        <v>78</v>
      </c>
    </row>
    <row r="85" spans="1:11" ht="27" customHeight="1">
      <c r="A85" s="77" t="s">
        <v>423</v>
      </c>
      <c r="B85" s="78" t="s">
        <v>424</v>
      </c>
      <c r="C85" s="79"/>
      <c r="D85" s="79" t="s">
        <v>223</v>
      </c>
      <c r="E85" s="80">
        <v>0.1</v>
      </c>
      <c r="F85" s="79" t="s">
        <v>223</v>
      </c>
      <c r="G85" s="80">
        <v>0.44</v>
      </c>
      <c r="H85" s="79" t="s">
        <v>223</v>
      </c>
      <c r="I85" s="80">
        <v>0.44</v>
      </c>
      <c r="J85" s="79" t="s">
        <v>223</v>
      </c>
      <c r="K85" s="83">
        <v>79</v>
      </c>
    </row>
    <row r="86" spans="1:11" ht="27" customHeight="1">
      <c r="A86" s="77" t="s">
        <v>425</v>
      </c>
      <c r="B86" s="78" t="s">
        <v>426</v>
      </c>
      <c r="C86" s="79"/>
      <c r="D86" s="79" t="s">
        <v>223</v>
      </c>
      <c r="E86" s="80">
        <v>0.3</v>
      </c>
      <c r="F86" s="79" t="s">
        <v>223</v>
      </c>
      <c r="G86" s="81">
        <v>1.3</v>
      </c>
      <c r="H86" s="79" t="s">
        <v>223</v>
      </c>
      <c r="I86" s="81">
        <v>1.3</v>
      </c>
      <c r="J86" s="79" t="s">
        <v>223</v>
      </c>
      <c r="K86" s="83">
        <v>80</v>
      </c>
    </row>
    <row r="87" spans="1:11" ht="16" customHeight="1">
      <c r="A87" s="77" t="s">
        <v>435</v>
      </c>
      <c r="B87" s="78" t="s">
        <v>436</v>
      </c>
      <c r="C87" s="79"/>
      <c r="D87" s="79" t="s">
        <v>223</v>
      </c>
      <c r="E87" s="85">
        <v>40000</v>
      </c>
      <c r="F87" s="79" t="s">
        <v>223</v>
      </c>
      <c r="G87" s="85">
        <v>180000</v>
      </c>
      <c r="H87" s="79" t="s">
        <v>223</v>
      </c>
      <c r="I87" s="85">
        <v>180000</v>
      </c>
      <c r="J87" s="79" t="s">
        <v>223</v>
      </c>
      <c r="K87" s="83">
        <v>81</v>
      </c>
    </row>
    <row r="88" spans="1:11" ht="27" customHeight="1">
      <c r="A88" s="86" t="s">
        <v>443</v>
      </c>
      <c r="B88" s="98" t="s">
        <v>444</v>
      </c>
      <c r="C88" s="79"/>
      <c r="D88" s="89">
        <v>7.6999999999999996E-4</v>
      </c>
      <c r="E88" s="79" t="s">
        <v>223</v>
      </c>
      <c r="F88" s="84">
        <v>0.02</v>
      </c>
      <c r="G88" s="79" t="s">
        <v>223</v>
      </c>
      <c r="H88" s="87">
        <v>9.1999999999999998E-3</v>
      </c>
      <c r="I88" s="79" t="s">
        <v>223</v>
      </c>
      <c r="J88" s="79" t="s">
        <v>223</v>
      </c>
      <c r="K88" s="83">
        <v>82</v>
      </c>
    </row>
    <row r="89" spans="1:11" ht="16" customHeight="1">
      <c r="A89" s="86" t="s">
        <v>451</v>
      </c>
      <c r="B89" s="78" t="s">
        <v>452</v>
      </c>
      <c r="C89" s="79"/>
      <c r="D89" s="79" t="s">
        <v>223</v>
      </c>
      <c r="E89" s="82">
        <v>80</v>
      </c>
      <c r="F89" s="79" t="s">
        <v>223</v>
      </c>
      <c r="G89" s="82">
        <v>350</v>
      </c>
      <c r="H89" s="79" t="s">
        <v>223</v>
      </c>
      <c r="I89" s="82">
        <v>350</v>
      </c>
      <c r="J89" s="79" t="s">
        <v>223</v>
      </c>
      <c r="K89" s="83">
        <v>83</v>
      </c>
    </row>
    <row r="90" spans="1:11" ht="16" customHeight="1">
      <c r="A90" s="77" t="s">
        <v>453</v>
      </c>
      <c r="B90" s="78" t="s">
        <v>454</v>
      </c>
      <c r="C90" s="79"/>
      <c r="D90" s="79" t="s">
        <v>223</v>
      </c>
      <c r="E90" s="79" t="s">
        <v>223</v>
      </c>
      <c r="F90" s="79" t="s">
        <v>223</v>
      </c>
      <c r="G90" s="79" t="s">
        <v>223</v>
      </c>
      <c r="H90" s="79" t="s">
        <v>223</v>
      </c>
      <c r="I90" s="79" t="s">
        <v>223</v>
      </c>
      <c r="J90" s="80">
        <v>0.49</v>
      </c>
      <c r="K90" s="83">
        <v>84</v>
      </c>
    </row>
    <row r="91" spans="1:11" ht="16" customHeight="1">
      <c r="A91" s="77" t="s">
        <v>465</v>
      </c>
      <c r="B91" s="78" t="s">
        <v>466</v>
      </c>
      <c r="C91" s="79"/>
      <c r="D91" s="84">
        <v>1.0999999999999999E-2</v>
      </c>
      <c r="E91" s="79" t="s">
        <v>223</v>
      </c>
      <c r="F91" s="80">
        <v>0.28999999999999998</v>
      </c>
      <c r="G91" s="79" t="s">
        <v>223</v>
      </c>
      <c r="H91" s="80">
        <v>0.13</v>
      </c>
      <c r="I91" s="79" t="s">
        <v>223</v>
      </c>
      <c r="J91" s="79" t="s">
        <v>223</v>
      </c>
      <c r="K91" s="83">
        <v>85</v>
      </c>
    </row>
    <row r="92" spans="1:11" ht="16" customHeight="1">
      <c r="A92" s="77" t="s">
        <v>469</v>
      </c>
      <c r="B92" s="78" t="s">
        <v>470</v>
      </c>
      <c r="C92" s="79"/>
      <c r="D92" s="80">
        <v>0.2</v>
      </c>
      <c r="E92" s="99">
        <v>30</v>
      </c>
      <c r="F92" s="81">
        <v>5.2</v>
      </c>
      <c r="G92" s="99">
        <v>130</v>
      </c>
      <c r="H92" s="81">
        <v>2.4</v>
      </c>
      <c r="I92" s="99">
        <v>130</v>
      </c>
      <c r="J92" s="85">
        <v>7200</v>
      </c>
      <c r="K92" s="83">
        <v>86</v>
      </c>
    </row>
    <row r="93" spans="1:11" ht="27" customHeight="1">
      <c r="A93" s="77" t="s">
        <v>473</v>
      </c>
      <c r="B93" s="78" t="s">
        <v>474</v>
      </c>
      <c r="C93" s="79"/>
      <c r="D93" s="87">
        <v>4.4999999999999997E-3</v>
      </c>
      <c r="E93" s="79" t="s">
        <v>223</v>
      </c>
      <c r="F93" s="80">
        <v>0.12</v>
      </c>
      <c r="G93" s="79" t="s">
        <v>223</v>
      </c>
      <c r="H93" s="84">
        <v>5.5E-2</v>
      </c>
      <c r="I93" s="79" t="s">
        <v>223</v>
      </c>
      <c r="J93" s="79" t="s">
        <v>223</v>
      </c>
      <c r="K93" s="83">
        <v>87</v>
      </c>
    </row>
    <row r="94" spans="1:11" ht="16" customHeight="1">
      <c r="A94" s="77" t="s">
        <v>479</v>
      </c>
      <c r="B94" s="78" t="s">
        <v>480</v>
      </c>
      <c r="C94" s="79"/>
      <c r="D94" s="96">
        <v>7.1428571428571419E-6</v>
      </c>
      <c r="E94" s="79" t="s">
        <v>223</v>
      </c>
      <c r="F94" s="89">
        <v>1.9000000000000001E-4</v>
      </c>
      <c r="G94" s="79" t="s">
        <v>223</v>
      </c>
      <c r="H94" s="96">
        <v>8.5714285714285699E-5</v>
      </c>
      <c r="I94" s="79" t="s">
        <v>223</v>
      </c>
      <c r="J94" s="79" t="s">
        <v>223</v>
      </c>
      <c r="K94" s="83">
        <v>88</v>
      </c>
    </row>
    <row r="95" spans="1:11" ht="16" customHeight="1">
      <c r="A95" s="77" t="s">
        <v>481</v>
      </c>
      <c r="B95" s="78" t="s">
        <v>482</v>
      </c>
      <c r="C95" s="79"/>
      <c r="D95" s="96">
        <v>7.1428571428571419E-6</v>
      </c>
      <c r="E95" s="79" t="s">
        <v>223</v>
      </c>
      <c r="F95" s="89">
        <v>1.9000000000000001E-4</v>
      </c>
      <c r="G95" s="79" t="s">
        <v>223</v>
      </c>
      <c r="H95" s="96">
        <v>8.5714285714285699E-5</v>
      </c>
      <c r="I95" s="79" t="s">
        <v>223</v>
      </c>
      <c r="J95" s="79" t="s">
        <v>223</v>
      </c>
      <c r="K95" s="83">
        <v>89</v>
      </c>
    </row>
    <row r="96" spans="1:11" ht="27" customHeight="1">
      <c r="A96" s="77" t="s">
        <v>483</v>
      </c>
      <c r="B96" s="78" t="s">
        <v>484</v>
      </c>
      <c r="C96" s="79"/>
      <c r="D96" s="96">
        <v>7.1428571428571419E-6</v>
      </c>
      <c r="E96" s="79" t="s">
        <v>223</v>
      </c>
      <c r="F96" s="89">
        <v>1.9000000000000001E-4</v>
      </c>
      <c r="G96" s="79" t="s">
        <v>223</v>
      </c>
      <c r="H96" s="96">
        <v>8.5714285714285699E-5</v>
      </c>
      <c r="I96" s="79" t="s">
        <v>223</v>
      </c>
      <c r="J96" s="79" t="s">
        <v>223</v>
      </c>
      <c r="K96" s="83">
        <v>90</v>
      </c>
    </row>
    <row r="97" spans="1:11" ht="16" customHeight="1">
      <c r="A97" s="77" t="s">
        <v>487</v>
      </c>
      <c r="B97" s="78" t="s">
        <v>488</v>
      </c>
      <c r="C97" s="79"/>
      <c r="D97" s="79" t="s">
        <v>223</v>
      </c>
      <c r="E97" s="79" t="s">
        <v>223</v>
      </c>
      <c r="F97" s="79" t="s">
        <v>223</v>
      </c>
      <c r="G97" s="79" t="s">
        <v>223</v>
      </c>
      <c r="H97" s="79" t="s">
        <v>223</v>
      </c>
      <c r="I97" s="79" t="s">
        <v>223</v>
      </c>
      <c r="J97" s="81">
        <v>6</v>
      </c>
      <c r="K97" s="83">
        <v>91</v>
      </c>
    </row>
    <row r="98" spans="1:11" ht="16" customHeight="1">
      <c r="A98" s="77" t="s">
        <v>489</v>
      </c>
      <c r="B98" s="78" t="s">
        <v>490</v>
      </c>
      <c r="C98" s="79"/>
      <c r="D98" s="84">
        <v>4.2999999999999997E-2</v>
      </c>
      <c r="E98" s="81">
        <v>3</v>
      </c>
      <c r="F98" s="81">
        <v>1.1000000000000001</v>
      </c>
      <c r="G98" s="81">
        <v>13</v>
      </c>
      <c r="H98" s="80">
        <v>0.52</v>
      </c>
      <c r="I98" s="81">
        <v>13</v>
      </c>
      <c r="J98" s="85">
        <v>1300</v>
      </c>
      <c r="K98" s="83">
        <v>92</v>
      </c>
    </row>
    <row r="99" spans="1:11" ht="16" customHeight="1">
      <c r="A99" s="77" t="s">
        <v>491</v>
      </c>
      <c r="B99" s="78" t="s">
        <v>492</v>
      </c>
      <c r="C99" s="79"/>
      <c r="D99" s="79" t="s">
        <v>223</v>
      </c>
      <c r="E99" s="82">
        <v>20</v>
      </c>
      <c r="F99" s="79" t="s">
        <v>223</v>
      </c>
      <c r="G99" s="82">
        <v>88</v>
      </c>
      <c r="H99" s="79" t="s">
        <v>223</v>
      </c>
      <c r="I99" s="82">
        <v>88</v>
      </c>
      <c r="J99" s="79" t="s">
        <v>223</v>
      </c>
      <c r="K99" s="83">
        <v>93</v>
      </c>
    </row>
    <row r="100" spans="1:11" ht="16" customHeight="1">
      <c r="A100" s="77" t="s">
        <v>496</v>
      </c>
      <c r="B100" s="78" t="s">
        <v>497</v>
      </c>
      <c r="C100" s="79"/>
      <c r="D100" s="79" t="s">
        <v>223</v>
      </c>
      <c r="E100" s="81">
        <v>8</v>
      </c>
      <c r="F100" s="79" t="s">
        <v>223</v>
      </c>
      <c r="G100" s="82">
        <v>35</v>
      </c>
      <c r="H100" s="79" t="s">
        <v>223</v>
      </c>
      <c r="I100" s="82">
        <v>35</v>
      </c>
      <c r="J100" s="79" t="s">
        <v>223</v>
      </c>
      <c r="K100" s="83">
        <v>94</v>
      </c>
    </row>
    <row r="101" spans="1:11" ht="16" customHeight="1">
      <c r="A101" s="77" t="s">
        <v>498</v>
      </c>
      <c r="B101" s="78" t="s">
        <v>499</v>
      </c>
      <c r="C101" s="79"/>
      <c r="D101" s="80">
        <v>0.4</v>
      </c>
      <c r="E101" s="85">
        <v>260</v>
      </c>
      <c r="F101" s="82">
        <v>10</v>
      </c>
      <c r="G101" s="85">
        <v>1100</v>
      </c>
      <c r="H101" s="81">
        <v>4.8</v>
      </c>
      <c r="I101" s="85">
        <v>1100</v>
      </c>
      <c r="J101" s="85">
        <v>22000</v>
      </c>
      <c r="K101" s="83">
        <v>95</v>
      </c>
    </row>
    <row r="102" spans="1:11" ht="26">
      <c r="A102" s="77" t="s">
        <v>502</v>
      </c>
      <c r="B102" s="78" t="s">
        <v>503</v>
      </c>
      <c r="C102" s="79"/>
      <c r="D102" s="87">
        <v>1.6999999999999999E-3</v>
      </c>
      <c r="E102" s="81">
        <v>9</v>
      </c>
      <c r="F102" s="84">
        <v>4.2999999999999997E-2</v>
      </c>
      <c r="G102" s="82">
        <v>40</v>
      </c>
      <c r="H102" s="84">
        <v>0.02</v>
      </c>
      <c r="I102" s="82">
        <v>40</v>
      </c>
      <c r="J102" s="79" t="s">
        <v>223</v>
      </c>
      <c r="K102" s="83">
        <v>96</v>
      </c>
    </row>
    <row r="103" spans="1:11" ht="27" customHeight="1">
      <c r="A103" s="77" t="s">
        <v>504</v>
      </c>
      <c r="B103" s="78" t="s">
        <v>505</v>
      </c>
      <c r="C103" s="79"/>
      <c r="D103" s="84">
        <v>3.7999999999999999E-2</v>
      </c>
      <c r="E103" s="81">
        <v>7</v>
      </c>
      <c r="F103" s="81">
        <v>1</v>
      </c>
      <c r="G103" s="82">
        <v>31</v>
      </c>
      <c r="H103" s="80">
        <v>0.46</v>
      </c>
      <c r="I103" s="82">
        <v>31</v>
      </c>
      <c r="J103" s="79" t="s">
        <v>223</v>
      </c>
      <c r="K103" s="83">
        <v>97</v>
      </c>
    </row>
    <row r="104" spans="1:11" ht="16" customHeight="1">
      <c r="A104" s="77" t="s">
        <v>506</v>
      </c>
      <c r="B104" s="78" t="s">
        <v>507</v>
      </c>
      <c r="C104" s="79"/>
      <c r="D104" s="79" t="s">
        <v>223</v>
      </c>
      <c r="E104" s="82">
        <v>400</v>
      </c>
      <c r="F104" s="79" t="s">
        <v>223</v>
      </c>
      <c r="G104" s="85">
        <v>1800</v>
      </c>
      <c r="H104" s="79" t="s">
        <v>223</v>
      </c>
      <c r="I104" s="85">
        <v>1800</v>
      </c>
      <c r="J104" s="85">
        <v>2000</v>
      </c>
      <c r="K104" s="83">
        <v>98</v>
      </c>
    </row>
    <row r="105" spans="1:11" ht="27" customHeight="1">
      <c r="A105" s="77" t="s">
        <v>512</v>
      </c>
      <c r="B105" s="78" t="s">
        <v>513</v>
      </c>
      <c r="C105" s="79"/>
      <c r="D105" s="79" t="s">
        <v>223</v>
      </c>
      <c r="E105" s="100">
        <v>82</v>
      </c>
      <c r="F105" s="79" t="s">
        <v>223</v>
      </c>
      <c r="G105" s="100">
        <v>360</v>
      </c>
      <c r="H105" s="79" t="s">
        <v>223</v>
      </c>
      <c r="I105" s="100">
        <v>360</v>
      </c>
      <c r="J105" s="85">
        <v>29000</v>
      </c>
      <c r="K105" s="83">
        <v>99</v>
      </c>
    </row>
    <row r="106" spans="1:11" ht="27" customHeight="1">
      <c r="A106" s="77" t="s">
        <v>514</v>
      </c>
      <c r="B106" s="78" t="s">
        <v>515</v>
      </c>
      <c r="C106" s="79"/>
      <c r="D106" s="79" t="s">
        <v>223</v>
      </c>
      <c r="E106" s="82">
        <v>70</v>
      </c>
      <c r="F106" s="79" t="s">
        <v>223</v>
      </c>
      <c r="G106" s="82">
        <v>310</v>
      </c>
      <c r="H106" s="79" t="s">
        <v>223</v>
      </c>
      <c r="I106" s="82">
        <v>310</v>
      </c>
      <c r="J106" s="82">
        <v>370</v>
      </c>
      <c r="K106" s="83">
        <v>100</v>
      </c>
    </row>
    <row r="107" spans="1:11" ht="27" customHeight="1">
      <c r="A107" s="77" t="s">
        <v>516</v>
      </c>
      <c r="B107" s="78" t="s">
        <v>517</v>
      </c>
      <c r="C107" s="79"/>
      <c r="D107" s="79" t="s">
        <v>223</v>
      </c>
      <c r="E107" s="82">
        <v>60</v>
      </c>
      <c r="F107" s="79" t="s">
        <v>223</v>
      </c>
      <c r="G107" s="82">
        <v>260</v>
      </c>
      <c r="H107" s="79" t="s">
        <v>223</v>
      </c>
      <c r="I107" s="82">
        <v>260</v>
      </c>
      <c r="J107" s="82">
        <v>140</v>
      </c>
      <c r="K107" s="83">
        <v>101</v>
      </c>
    </row>
    <row r="108" spans="1:11" ht="27" customHeight="1">
      <c r="A108" s="77" t="s">
        <v>518</v>
      </c>
      <c r="B108" s="78" t="s">
        <v>519</v>
      </c>
      <c r="C108" s="79"/>
      <c r="D108" s="79" t="s">
        <v>223</v>
      </c>
      <c r="E108" s="82">
        <v>60</v>
      </c>
      <c r="F108" s="79" t="s">
        <v>223</v>
      </c>
      <c r="G108" s="82">
        <v>260</v>
      </c>
      <c r="H108" s="79" t="s">
        <v>223</v>
      </c>
      <c r="I108" s="82">
        <v>260</v>
      </c>
      <c r="J108" s="82">
        <v>93</v>
      </c>
      <c r="K108" s="83">
        <v>102</v>
      </c>
    </row>
    <row r="109" spans="1:11" ht="27" customHeight="1">
      <c r="A109" s="77" t="s">
        <v>520</v>
      </c>
      <c r="B109" s="78" t="s">
        <v>521</v>
      </c>
      <c r="C109" s="79"/>
      <c r="D109" s="79" t="s">
        <v>223</v>
      </c>
      <c r="E109" s="81">
        <v>1</v>
      </c>
      <c r="F109" s="79" t="s">
        <v>223</v>
      </c>
      <c r="G109" s="81">
        <v>4.4000000000000004</v>
      </c>
      <c r="H109" s="79" t="s">
        <v>223</v>
      </c>
      <c r="I109" s="81">
        <v>4.4000000000000004</v>
      </c>
      <c r="J109" s="79" t="s">
        <v>223</v>
      </c>
      <c r="K109" s="83">
        <v>103</v>
      </c>
    </row>
    <row r="110" spans="1:11" ht="16" customHeight="1">
      <c r="A110" s="77" t="s">
        <v>526</v>
      </c>
      <c r="B110" s="78" t="s">
        <v>527</v>
      </c>
      <c r="C110" s="79" t="s">
        <v>1371</v>
      </c>
      <c r="D110" s="89">
        <v>2.0000000000000001E-4</v>
      </c>
      <c r="E110" s="82">
        <v>30</v>
      </c>
      <c r="F110" s="87">
        <v>2.0999999999999999E-3</v>
      </c>
      <c r="G110" s="82">
        <v>130</v>
      </c>
      <c r="H110" s="87">
        <v>4.0000000000000001E-3</v>
      </c>
      <c r="I110" s="82">
        <v>130</v>
      </c>
      <c r="J110" s="82">
        <v>160</v>
      </c>
      <c r="K110" s="83">
        <v>104</v>
      </c>
    </row>
    <row r="111" spans="1:11" ht="16" customHeight="1">
      <c r="A111" s="77" t="s">
        <v>528</v>
      </c>
      <c r="B111" s="78" t="s">
        <v>529</v>
      </c>
      <c r="C111" s="79"/>
      <c r="D111" s="84">
        <v>7.6999999999999999E-2</v>
      </c>
      <c r="E111" s="79" t="s">
        <v>223</v>
      </c>
      <c r="F111" s="81">
        <v>2</v>
      </c>
      <c r="G111" s="79" t="s">
        <v>223</v>
      </c>
      <c r="H111" s="80">
        <v>0.92</v>
      </c>
      <c r="I111" s="79" t="s">
        <v>223</v>
      </c>
      <c r="J111" s="79" t="s">
        <v>223</v>
      </c>
      <c r="K111" s="83">
        <v>105</v>
      </c>
    </row>
    <row r="112" spans="1:11" ht="16" customHeight="1">
      <c r="A112" s="77" t="s">
        <v>532</v>
      </c>
      <c r="B112" s="78" t="s">
        <v>532</v>
      </c>
      <c r="C112" s="77" t="s">
        <v>1374</v>
      </c>
      <c r="D112" s="79" t="s">
        <v>223</v>
      </c>
      <c r="E112" s="81">
        <v>2.2999999999999998</v>
      </c>
      <c r="F112" s="79" t="s">
        <v>223</v>
      </c>
      <c r="G112" s="82">
        <v>20</v>
      </c>
      <c r="H112" s="79" t="s">
        <v>223</v>
      </c>
      <c r="I112" s="82">
        <v>20</v>
      </c>
      <c r="J112" s="82">
        <v>240</v>
      </c>
      <c r="K112" s="83">
        <v>106</v>
      </c>
    </row>
    <row r="113" spans="1:11" ht="16" customHeight="1">
      <c r="A113" s="77" t="s">
        <v>533</v>
      </c>
      <c r="B113" s="78" t="s">
        <v>534</v>
      </c>
      <c r="C113" s="79"/>
      <c r="D113" s="79" t="s">
        <v>223</v>
      </c>
      <c r="E113" s="79" t="s">
        <v>223</v>
      </c>
      <c r="F113" s="79" t="s">
        <v>223</v>
      </c>
      <c r="G113" s="79" t="s">
        <v>223</v>
      </c>
      <c r="H113" s="79" t="s">
        <v>223</v>
      </c>
      <c r="I113" s="79" t="s">
        <v>223</v>
      </c>
      <c r="J113" s="82">
        <v>16</v>
      </c>
      <c r="K113" s="83">
        <v>107</v>
      </c>
    </row>
    <row r="114" spans="1:11" ht="16" customHeight="1">
      <c r="A114" s="77" t="s">
        <v>535</v>
      </c>
      <c r="B114" s="78" t="s">
        <v>536</v>
      </c>
      <c r="C114" s="79"/>
      <c r="D114" s="84">
        <v>0.17</v>
      </c>
      <c r="E114" s="80">
        <v>9</v>
      </c>
      <c r="F114" s="81">
        <v>4.3</v>
      </c>
      <c r="G114" s="80">
        <v>40</v>
      </c>
      <c r="H114" s="80">
        <v>2</v>
      </c>
      <c r="I114" s="80">
        <v>40</v>
      </c>
      <c r="J114" s="82">
        <v>49</v>
      </c>
      <c r="K114" s="83">
        <v>108</v>
      </c>
    </row>
    <row r="115" spans="1:11" ht="16" customHeight="1">
      <c r="A115" s="77" t="s">
        <v>544</v>
      </c>
      <c r="B115" s="78" t="s">
        <v>545</v>
      </c>
      <c r="C115" s="79"/>
      <c r="D115" s="79" t="s">
        <v>223</v>
      </c>
      <c r="E115" s="84">
        <v>0.08</v>
      </c>
      <c r="F115" s="79" t="s">
        <v>223</v>
      </c>
      <c r="G115" s="80">
        <v>0.35</v>
      </c>
      <c r="H115" s="79" t="s">
        <v>223</v>
      </c>
      <c r="I115" s="80">
        <v>0.35</v>
      </c>
      <c r="J115" s="81">
        <v>4.0999999999999996</v>
      </c>
      <c r="K115" s="83">
        <v>109</v>
      </c>
    </row>
    <row r="116" spans="1:11" ht="16" customHeight="1">
      <c r="A116" s="77" t="s">
        <v>554</v>
      </c>
      <c r="B116" s="78" t="s">
        <v>555</v>
      </c>
      <c r="C116" s="79"/>
      <c r="D116" s="89">
        <v>7.6999999999999996E-4</v>
      </c>
      <c r="E116" s="79" t="s">
        <v>223</v>
      </c>
      <c r="F116" s="84">
        <v>0.02</v>
      </c>
      <c r="G116" s="79" t="s">
        <v>223</v>
      </c>
      <c r="H116" s="87">
        <v>9.1999999999999998E-3</v>
      </c>
      <c r="I116" s="79" t="s">
        <v>223</v>
      </c>
      <c r="J116" s="79" t="s">
        <v>223</v>
      </c>
      <c r="K116" s="83">
        <v>110</v>
      </c>
    </row>
    <row r="117" spans="1:11" ht="16" customHeight="1">
      <c r="A117" s="77" t="s">
        <v>556</v>
      </c>
      <c r="B117" s="78" t="s">
        <v>557</v>
      </c>
      <c r="C117" s="79"/>
      <c r="D117" s="89">
        <v>3.8000000000000002E-4</v>
      </c>
      <c r="E117" s="79" t="s">
        <v>223</v>
      </c>
      <c r="F117" s="87">
        <v>0.01</v>
      </c>
      <c r="G117" s="79" t="s">
        <v>223</v>
      </c>
      <c r="H117" s="87">
        <v>4.5999999999999999E-3</v>
      </c>
      <c r="I117" s="79" t="s">
        <v>223</v>
      </c>
      <c r="J117" s="79" t="s">
        <v>223</v>
      </c>
      <c r="K117" s="83">
        <v>111</v>
      </c>
    </row>
    <row r="118" spans="1:11" ht="16" customHeight="1">
      <c r="A118" s="77" t="s">
        <v>558</v>
      </c>
      <c r="B118" s="78" t="s">
        <v>559</v>
      </c>
      <c r="C118" s="79"/>
      <c r="D118" s="87">
        <v>2E-3</v>
      </c>
      <c r="E118" s="79" t="s">
        <v>223</v>
      </c>
      <c r="F118" s="84">
        <v>5.0999999999999997E-2</v>
      </c>
      <c r="G118" s="79" t="s">
        <v>223</v>
      </c>
      <c r="H118" s="84">
        <v>2.4E-2</v>
      </c>
      <c r="I118" s="79" t="s">
        <v>223</v>
      </c>
      <c r="J118" s="79" t="s">
        <v>223</v>
      </c>
      <c r="K118" s="83">
        <v>112</v>
      </c>
    </row>
    <row r="119" spans="1:11" ht="16" customHeight="1">
      <c r="A119" s="77" t="s">
        <v>560</v>
      </c>
      <c r="B119" s="78" t="s">
        <v>561</v>
      </c>
      <c r="C119" s="79"/>
      <c r="D119" s="84">
        <v>4.4999999999999998E-2</v>
      </c>
      <c r="E119" s="79" t="s">
        <v>223</v>
      </c>
      <c r="F119" s="81">
        <v>1.2</v>
      </c>
      <c r="G119" s="79" t="s">
        <v>223</v>
      </c>
      <c r="H119" s="80">
        <v>0.55000000000000004</v>
      </c>
      <c r="I119" s="79" t="s">
        <v>223</v>
      </c>
      <c r="J119" s="79" t="s">
        <v>223</v>
      </c>
      <c r="K119" s="83">
        <v>113</v>
      </c>
    </row>
    <row r="120" spans="1:11" ht="37" customHeight="1">
      <c r="A120" s="77" t="s">
        <v>562</v>
      </c>
      <c r="B120" s="78" t="s">
        <v>563</v>
      </c>
      <c r="C120" s="77" t="s">
        <v>1374</v>
      </c>
      <c r="D120" s="89">
        <v>1.7000000000000001E-4</v>
      </c>
      <c r="E120" s="79" t="s">
        <v>223</v>
      </c>
      <c r="F120" s="84">
        <v>1.7999999999999999E-2</v>
      </c>
      <c r="G120" s="79" t="s">
        <v>223</v>
      </c>
      <c r="H120" s="87">
        <v>8.3999999999999995E-3</v>
      </c>
      <c r="I120" s="79" t="s">
        <v>223</v>
      </c>
      <c r="J120" s="79" t="s">
        <v>223</v>
      </c>
      <c r="K120" s="83">
        <v>114</v>
      </c>
    </row>
    <row r="121" spans="1:11" ht="27" customHeight="1">
      <c r="A121" s="77" t="s">
        <v>564</v>
      </c>
      <c r="B121" s="98" t="s">
        <v>565</v>
      </c>
      <c r="C121" s="77" t="s">
        <v>1374</v>
      </c>
      <c r="D121" s="89">
        <v>1.7000000000000001E-4</v>
      </c>
      <c r="E121" s="79" t="s">
        <v>223</v>
      </c>
      <c r="F121" s="84">
        <v>1.7999999999999999E-2</v>
      </c>
      <c r="G121" s="79" t="s">
        <v>223</v>
      </c>
      <c r="H121" s="87">
        <v>8.3999999999999995E-3</v>
      </c>
      <c r="I121" s="79" t="s">
        <v>223</v>
      </c>
      <c r="J121" s="79" t="s">
        <v>223</v>
      </c>
      <c r="K121" s="83">
        <v>115</v>
      </c>
    </row>
    <row r="122" spans="1:11" ht="27" customHeight="1">
      <c r="A122" s="77" t="s">
        <v>566</v>
      </c>
      <c r="B122" s="98" t="s">
        <v>567</v>
      </c>
      <c r="C122" s="77" t="s">
        <v>1374</v>
      </c>
      <c r="D122" s="89">
        <v>1.7000000000000001E-4</v>
      </c>
      <c r="E122" s="79" t="s">
        <v>223</v>
      </c>
      <c r="F122" s="84">
        <v>1.7999999999999999E-2</v>
      </c>
      <c r="G122" s="79" t="s">
        <v>223</v>
      </c>
      <c r="H122" s="87">
        <v>8.3999999999999995E-3</v>
      </c>
      <c r="I122" s="79" t="s">
        <v>223</v>
      </c>
      <c r="J122" s="79" t="s">
        <v>223</v>
      </c>
      <c r="K122" s="83">
        <v>116</v>
      </c>
    </row>
    <row r="123" spans="1:11" ht="37" customHeight="1">
      <c r="A123" s="77" t="s">
        <v>568</v>
      </c>
      <c r="B123" s="98" t="s">
        <v>569</v>
      </c>
      <c r="C123" s="77" t="s">
        <v>1374</v>
      </c>
      <c r="D123" s="89">
        <v>5.9999999999999995E-4</v>
      </c>
      <c r="E123" s="79" t="s">
        <v>223</v>
      </c>
      <c r="F123" s="84">
        <v>6.5000000000000002E-2</v>
      </c>
      <c r="G123" s="79" t="s">
        <v>223</v>
      </c>
      <c r="H123" s="84">
        <v>0.03</v>
      </c>
      <c r="I123" s="79" t="s">
        <v>223</v>
      </c>
      <c r="J123" s="79" t="s">
        <v>223</v>
      </c>
      <c r="K123" s="83">
        <v>117</v>
      </c>
    </row>
    <row r="124" spans="1:11" ht="16" customHeight="1">
      <c r="A124" s="77" t="s">
        <v>570</v>
      </c>
      <c r="B124" s="78" t="s">
        <v>571</v>
      </c>
      <c r="C124" s="79"/>
      <c r="D124" s="79" t="s">
        <v>223</v>
      </c>
      <c r="E124" s="80">
        <v>0.2</v>
      </c>
      <c r="F124" s="79" t="s">
        <v>223</v>
      </c>
      <c r="G124" s="80">
        <v>0.88</v>
      </c>
      <c r="H124" s="79" t="s">
        <v>223</v>
      </c>
      <c r="I124" s="80">
        <v>0.88</v>
      </c>
      <c r="J124" s="82">
        <v>110</v>
      </c>
      <c r="K124" s="83">
        <v>118</v>
      </c>
    </row>
    <row r="125" spans="1:11" ht="16" customHeight="1">
      <c r="A125" s="77" t="s">
        <v>572</v>
      </c>
      <c r="B125" s="78" t="s">
        <v>573</v>
      </c>
      <c r="C125" s="79"/>
      <c r="D125" s="79" t="s">
        <v>223</v>
      </c>
      <c r="E125" s="82">
        <v>30</v>
      </c>
      <c r="F125" s="79" t="s">
        <v>223</v>
      </c>
      <c r="G125" s="82">
        <v>130</v>
      </c>
      <c r="H125" s="79" t="s">
        <v>223</v>
      </c>
      <c r="I125" s="82">
        <v>130</v>
      </c>
      <c r="J125" s="85">
        <v>58000</v>
      </c>
      <c r="K125" s="83">
        <v>119</v>
      </c>
    </row>
    <row r="126" spans="1:11" ht="27" customHeight="1">
      <c r="A126" s="77" t="s">
        <v>576</v>
      </c>
      <c r="B126" s="78" t="s">
        <v>577</v>
      </c>
      <c r="C126" s="79"/>
      <c r="D126" s="79" t="s">
        <v>223</v>
      </c>
      <c r="E126" s="84">
        <v>6.9000000000000006E-2</v>
      </c>
      <c r="F126" s="79" t="s">
        <v>223</v>
      </c>
      <c r="G126" s="84">
        <v>0.3</v>
      </c>
      <c r="H126" s="79" t="s">
        <v>223</v>
      </c>
      <c r="I126" s="84">
        <v>0.3</v>
      </c>
      <c r="J126" s="80">
        <v>0.21</v>
      </c>
      <c r="K126" s="83">
        <v>120</v>
      </c>
    </row>
    <row r="127" spans="1:11" ht="16" customHeight="1">
      <c r="A127" s="77" t="s">
        <v>578</v>
      </c>
      <c r="B127" s="78" t="s">
        <v>579</v>
      </c>
      <c r="C127" s="79"/>
      <c r="D127" s="79" t="s">
        <v>223</v>
      </c>
      <c r="E127" s="82">
        <v>700</v>
      </c>
      <c r="F127" s="79" t="s">
        <v>223</v>
      </c>
      <c r="G127" s="85">
        <v>3100</v>
      </c>
      <c r="H127" s="79" t="s">
        <v>223</v>
      </c>
      <c r="I127" s="85">
        <v>3100</v>
      </c>
      <c r="J127" s="79" t="s">
        <v>223</v>
      </c>
      <c r="K127" s="83">
        <v>121</v>
      </c>
    </row>
    <row r="128" spans="1:11" ht="16" customHeight="1">
      <c r="A128" s="77" t="s">
        <v>580</v>
      </c>
      <c r="B128" s="78" t="s">
        <v>581</v>
      </c>
      <c r="C128" s="79"/>
      <c r="D128" s="89">
        <v>2.0000000000000001E-4</v>
      </c>
      <c r="E128" s="84">
        <v>0.03</v>
      </c>
      <c r="F128" s="87">
        <v>5.3E-3</v>
      </c>
      <c r="G128" s="80">
        <v>0.13</v>
      </c>
      <c r="H128" s="87">
        <v>2.3999999999999998E-3</v>
      </c>
      <c r="I128" s="80">
        <v>0.13</v>
      </c>
      <c r="J128" s="81">
        <v>5.2</v>
      </c>
      <c r="K128" s="83">
        <v>122</v>
      </c>
    </row>
    <row r="129" spans="1:11" ht="16" customHeight="1">
      <c r="A129" s="77" t="s">
        <v>584</v>
      </c>
      <c r="B129" s="78" t="s">
        <v>585</v>
      </c>
      <c r="C129" s="79"/>
      <c r="D129" s="79" t="s">
        <v>223</v>
      </c>
      <c r="E129" s="82">
        <v>20</v>
      </c>
      <c r="F129" s="79" t="s">
        <v>223</v>
      </c>
      <c r="G129" s="82">
        <v>88</v>
      </c>
      <c r="H129" s="79" t="s">
        <v>223</v>
      </c>
      <c r="I129" s="82">
        <v>88</v>
      </c>
      <c r="J129" s="85">
        <v>2100</v>
      </c>
      <c r="K129" s="83">
        <v>123</v>
      </c>
    </row>
    <row r="130" spans="1:11" ht="16" customHeight="1">
      <c r="A130" s="77" t="s">
        <v>588</v>
      </c>
      <c r="B130" s="78" t="s">
        <v>589</v>
      </c>
      <c r="C130" s="77" t="s">
        <v>1374</v>
      </c>
      <c r="D130" s="79" t="s">
        <v>223</v>
      </c>
      <c r="E130" s="81">
        <v>2.1</v>
      </c>
      <c r="F130" s="79" t="s">
        <v>223</v>
      </c>
      <c r="G130" s="82">
        <v>19</v>
      </c>
      <c r="H130" s="79" t="s">
        <v>223</v>
      </c>
      <c r="I130" s="82">
        <v>19</v>
      </c>
      <c r="J130" s="82">
        <v>16</v>
      </c>
      <c r="K130" s="83">
        <v>124</v>
      </c>
    </row>
    <row r="131" spans="1:11" ht="16" customHeight="1">
      <c r="A131" s="103" t="s">
        <v>590</v>
      </c>
      <c r="B131" s="78" t="s">
        <v>591</v>
      </c>
      <c r="C131" s="79"/>
      <c r="D131" s="79" t="s">
        <v>223</v>
      </c>
      <c r="E131" s="81">
        <v>2</v>
      </c>
      <c r="F131" s="79" t="s">
        <v>223</v>
      </c>
      <c r="G131" s="81">
        <v>8.8000000000000007</v>
      </c>
      <c r="H131" s="79" t="s">
        <v>223</v>
      </c>
      <c r="I131" s="81">
        <v>8.8000000000000007</v>
      </c>
      <c r="J131" s="82">
        <v>98</v>
      </c>
      <c r="K131" s="83">
        <v>125</v>
      </c>
    </row>
    <row r="132" spans="1:11" ht="16" customHeight="1">
      <c r="A132" s="77" t="s">
        <v>598</v>
      </c>
      <c r="B132" s="78" t="s">
        <v>599</v>
      </c>
      <c r="C132" s="79"/>
      <c r="D132" s="79" t="s">
        <v>223</v>
      </c>
      <c r="E132" s="85">
        <v>2000</v>
      </c>
      <c r="F132" s="79" t="s">
        <v>223</v>
      </c>
      <c r="G132" s="85">
        <v>8800</v>
      </c>
      <c r="H132" s="79" t="s">
        <v>223</v>
      </c>
      <c r="I132" s="85">
        <v>8800</v>
      </c>
      <c r="J132" s="79" t="s">
        <v>223</v>
      </c>
      <c r="K132" s="83">
        <v>126</v>
      </c>
    </row>
    <row r="133" spans="1:11" ht="16" customHeight="1">
      <c r="A133" s="77" t="s">
        <v>602</v>
      </c>
      <c r="B133" s="78" t="s">
        <v>603</v>
      </c>
      <c r="C133" s="79"/>
      <c r="D133" s="79" t="s">
        <v>223</v>
      </c>
      <c r="E133" s="82">
        <v>200</v>
      </c>
      <c r="F133" s="79" t="s">
        <v>223</v>
      </c>
      <c r="G133" s="82">
        <v>880</v>
      </c>
      <c r="H133" s="79" t="s">
        <v>223</v>
      </c>
      <c r="I133" s="82">
        <v>880</v>
      </c>
      <c r="J133" s="85">
        <v>3200</v>
      </c>
      <c r="K133" s="83">
        <v>127</v>
      </c>
    </row>
    <row r="134" spans="1:11" ht="27" customHeight="1">
      <c r="A134" s="77" t="s">
        <v>604</v>
      </c>
      <c r="B134" s="78" t="s">
        <v>605</v>
      </c>
      <c r="C134" s="79"/>
      <c r="D134" s="79" t="s">
        <v>223</v>
      </c>
      <c r="E134" s="82">
        <v>400</v>
      </c>
      <c r="F134" s="79" t="s">
        <v>223</v>
      </c>
      <c r="G134" s="85">
        <v>1800</v>
      </c>
      <c r="H134" s="79" t="s">
        <v>223</v>
      </c>
      <c r="I134" s="85">
        <v>1800</v>
      </c>
      <c r="J134" s="79" t="s">
        <v>223</v>
      </c>
      <c r="K134" s="83">
        <v>128</v>
      </c>
    </row>
    <row r="135" spans="1:11" ht="16" customHeight="1">
      <c r="A135" s="77" t="s">
        <v>610</v>
      </c>
      <c r="B135" s="78" t="s">
        <v>611</v>
      </c>
      <c r="C135" s="77" t="s">
        <v>1375</v>
      </c>
      <c r="D135" s="87" t="s">
        <v>223</v>
      </c>
      <c r="E135" s="80">
        <v>0.15</v>
      </c>
      <c r="F135" s="80" t="s">
        <v>223</v>
      </c>
      <c r="G135" s="80">
        <v>0.66</v>
      </c>
      <c r="H135" s="80" t="s">
        <v>223</v>
      </c>
      <c r="I135" s="80">
        <v>0.66</v>
      </c>
      <c r="J135" s="80">
        <v>0.15</v>
      </c>
      <c r="K135" s="83">
        <v>129</v>
      </c>
    </row>
    <row r="136" spans="1:11" ht="16" customHeight="1">
      <c r="A136" s="77" t="s">
        <v>614</v>
      </c>
      <c r="B136" s="78" t="s">
        <v>615</v>
      </c>
      <c r="C136" s="79"/>
      <c r="D136" s="79" t="s">
        <v>223</v>
      </c>
      <c r="E136" s="80">
        <v>0.7</v>
      </c>
      <c r="F136" s="79" t="s">
        <v>223</v>
      </c>
      <c r="G136" s="81">
        <v>3.1</v>
      </c>
      <c r="H136" s="79" t="s">
        <v>223</v>
      </c>
      <c r="I136" s="81">
        <v>3.1</v>
      </c>
      <c r="J136" s="79" t="s">
        <v>223</v>
      </c>
      <c r="K136" s="83">
        <v>130</v>
      </c>
    </row>
    <row r="137" spans="1:11" ht="16" customHeight="1">
      <c r="A137" s="77" t="s">
        <v>616</v>
      </c>
      <c r="B137" s="78" t="s">
        <v>617</v>
      </c>
      <c r="C137" s="79" t="s">
        <v>1372</v>
      </c>
      <c r="D137" s="79" t="s">
        <v>223</v>
      </c>
      <c r="E137" s="84">
        <v>0.09</v>
      </c>
      <c r="F137" s="79" t="s">
        <v>223</v>
      </c>
      <c r="G137" s="80">
        <v>0.4</v>
      </c>
      <c r="H137" s="79" t="s">
        <v>223</v>
      </c>
      <c r="I137" s="80">
        <v>0.4</v>
      </c>
      <c r="J137" s="80">
        <v>0.3</v>
      </c>
      <c r="K137" s="83">
        <v>131</v>
      </c>
    </row>
    <row r="138" spans="1:11" ht="16" customHeight="1">
      <c r="A138" s="77" t="s">
        <v>622</v>
      </c>
      <c r="B138" s="78" t="s">
        <v>623</v>
      </c>
      <c r="C138" s="77" t="s">
        <v>1375</v>
      </c>
      <c r="D138" s="79" t="s">
        <v>223</v>
      </c>
      <c r="E138" s="84">
        <v>7.6999999999999999E-2</v>
      </c>
      <c r="F138" s="79" t="s">
        <v>223</v>
      </c>
      <c r="G138" s="80">
        <v>0.63</v>
      </c>
      <c r="H138" s="79" t="s">
        <v>223</v>
      </c>
      <c r="I138" s="80">
        <v>0.63</v>
      </c>
      <c r="J138" s="80">
        <v>0.6</v>
      </c>
      <c r="K138" s="83">
        <v>132</v>
      </c>
    </row>
    <row r="139" spans="1:11" ht="16" customHeight="1">
      <c r="A139" s="77" t="s">
        <v>630</v>
      </c>
      <c r="B139" s="78" t="s">
        <v>631</v>
      </c>
      <c r="C139" s="79"/>
      <c r="D139" s="79" t="s">
        <v>223</v>
      </c>
      <c r="E139" s="85">
        <v>4000</v>
      </c>
      <c r="F139" s="79" t="s">
        <v>223</v>
      </c>
      <c r="G139" s="85">
        <v>18000</v>
      </c>
      <c r="H139" s="79" t="s">
        <v>223</v>
      </c>
      <c r="I139" s="85">
        <v>18000</v>
      </c>
      <c r="J139" s="85">
        <v>28000</v>
      </c>
      <c r="K139" s="83">
        <v>133</v>
      </c>
    </row>
    <row r="140" spans="1:11" ht="27" customHeight="1">
      <c r="A140" s="77" t="s">
        <v>636</v>
      </c>
      <c r="B140" s="98" t="s">
        <v>637</v>
      </c>
      <c r="C140" s="79"/>
      <c r="D140" s="87">
        <v>2.3E-3</v>
      </c>
      <c r="E140" s="79" t="s">
        <v>223</v>
      </c>
      <c r="F140" s="84">
        <v>0.06</v>
      </c>
      <c r="G140" s="79" t="s">
        <v>223</v>
      </c>
      <c r="H140" s="84">
        <v>2.8000000000000001E-2</v>
      </c>
      <c r="I140" s="79" t="s">
        <v>223</v>
      </c>
      <c r="J140" s="79" t="s">
        <v>223</v>
      </c>
      <c r="K140" s="83">
        <v>134</v>
      </c>
    </row>
    <row r="141" spans="1:11" ht="27" customHeight="1">
      <c r="A141" s="77" t="s">
        <v>638</v>
      </c>
      <c r="B141" s="78" t="s">
        <v>639</v>
      </c>
      <c r="C141" s="79"/>
      <c r="D141" s="89">
        <v>2.9999999999999997E-4</v>
      </c>
      <c r="E141" s="82">
        <v>20</v>
      </c>
      <c r="F141" s="84">
        <v>2.3E-2</v>
      </c>
      <c r="G141" s="82">
        <v>88</v>
      </c>
      <c r="H141" s="84">
        <v>0.01</v>
      </c>
      <c r="I141" s="82">
        <v>88</v>
      </c>
      <c r="J141" s="79" t="s">
        <v>223</v>
      </c>
      <c r="K141" s="83">
        <v>135</v>
      </c>
    </row>
    <row r="142" spans="1:11" ht="27" customHeight="1">
      <c r="A142" s="77" t="s">
        <v>646</v>
      </c>
      <c r="B142" s="78" t="s">
        <v>647</v>
      </c>
      <c r="C142" s="79"/>
      <c r="D142" s="79" t="s">
        <v>223</v>
      </c>
      <c r="E142" s="80">
        <v>0.08</v>
      </c>
      <c r="F142" s="79" t="s">
        <v>223</v>
      </c>
      <c r="G142" s="80">
        <v>0.35</v>
      </c>
      <c r="H142" s="104" t="s">
        <v>223</v>
      </c>
      <c r="I142" s="80">
        <v>0.35</v>
      </c>
      <c r="J142" s="82">
        <v>12</v>
      </c>
      <c r="K142" s="83">
        <v>136</v>
      </c>
    </row>
    <row r="143" spans="1:11" ht="27" customHeight="1">
      <c r="A143" s="77" t="s">
        <v>654</v>
      </c>
      <c r="B143" s="78" t="s">
        <v>655</v>
      </c>
      <c r="C143" s="79"/>
      <c r="D143" s="79" t="s">
        <v>223</v>
      </c>
      <c r="E143" s="85">
        <v>3000</v>
      </c>
      <c r="F143" s="79" t="s">
        <v>223</v>
      </c>
      <c r="G143" s="85">
        <v>13000</v>
      </c>
      <c r="H143" s="79" t="s">
        <v>223</v>
      </c>
      <c r="I143" s="85">
        <v>13000</v>
      </c>
      <c r="J143" s="79" t="s">
        <v>223</v>
      </c>
      <c r="K143" s="83">
        <v>137</v>
      </c>
    </row>
    <row r="144" spans="1:11" ht="16" customHeight="1">
      <c r="A144" s="77" t="s">
        <v>656</v>
      </c>
      <c r="B144" s="78" t="s">
        <v>657</v>
      </c>
      <c r="C144" s="79"/>
      <c r="D144" s="79" t="s">
        <v>223</v>
      </c>
      <c r="E144" s="81">
        <v>1</v>
      </c>
      <c r="F144" s="79" t="s">
        <v>223</v>
      </c>
      <c r="G144" s="81">
        <v>4.4000000000000004</v>
      </c>
      <c r="H144" s="79" t="s">
        <v>223</v>
      </c>
      <c r="I144" s="81">
        <v>4.4000000000000004</v>
      </c>
      <c r="J144" s="79" t="s">
        <v>223</v>
      </c>
      <c r="K144" s="83">
        <v>138</v>
      </c>
    </row>
    <row r="145" spans="1:11" ht="16" customHeight="1">
      <c r="A145" s="77" t="s">
        <v>660</v>
      </c>
      <c r="B145" s="78" t="s">
        <v>661</v>
      </c>
      <c r="C145" s="79"/>
      <c r="D145" s="79" t="s">
        <v>223</v>
      </c>
      <c r="E145" s="82">
        <v>700</v>
      </c>
      <c r="F145" s="79" t="s">
        <v>223</v>
      </c>
      <c r="G145" s="85">
        <v>3100</v>
      </c>
      <c r="H145" s="79" t="s">
        <v>223</v>
      </c>
      <c r="I145" s="85">
        <v>3100</v>
      </c>
      <c r="J145" s="79" t="s">
        <v>223</v>
      </c>
      <c r="K145" s="83">
        <v>139</v>
      </c>
    </row>
    <row r="146" spans="1:11" ht="16" customHeight="1">
      <c r="A146" s="77" t="s">
        <v>674</v>
      </c>
      <c r="B146" s="98" t="s">
        <v>675</v>
      </c>
      <c r="C146" s="79"/>
      <c r="D146" s="81">
        <v>3.8</v>
      </c>
      <c r="E146" s="85">
        <v>8000</v>
      </c>
      <c r="F146" s="82">
        <v>100</v>
      </c>
      <c r="G146" s="85">
        <v>35000</v>
      </c>
      <c r="H146" s="82">
        <v>46</v>
      </c>
      <c r="I146" s="85">
        <v>35000</v>
      </c>
      <c r="J146" s="85">
        <v>8000</v>
      </c>
      <c r="K146" s="83">
        <v>140</v>
      </c>
    </row>
    <row r="147" spans="1:11" ht="16" customHeight="1">
      <c r="A147" s="77" t="s">
        <v>678</v>
      </c>
      <c r="B147" s="78" t="s">
        <v>679</v>
      </c>
      <c r="C147" s="79"/>
      <c r="D147" s="87">
        <v>4.0000000000000001E-3</v>
      </c>
      <c r="E147" s="79" t="s">
        <v>223</v>
      </c>
      <c r="F147" s="80">
        <v>0.1</v>
      </c>
      <c r="G147" s="79" t="s">
        <v>223</v>
      </c>
      <c r="H147" s="84">
        <v>4.8000000000000001E-2</v>
      </c>
      <c r="I147" s="79" t="s">
        <v>223</v>
      </c>
      <c r="J147" s="79" t="s">
        <v>223</v>
      </c>
      <c r="K147" s="83">
        <v>141</v>
      </c>
    </row>
    <row r="148" spans="1:11" ht="16" customHeight="1">
      <c r="A148" s="77" t="s">
        <v>692</v>
      </c>
      <c r="B148" s="78" t="s">
        <v>693</v>
      </c>
      <c r="C148" s="77" t="s">
        <v>1374</v>
      </c>
      <c r="D148" s="84">
        <v>2.9000000000000001E-2</v>
      </c>
      <c r="E148" s="81">
        <v>3.7</v>
      </c>
      <c r="F148" s="80">
        <v>0.76</v>
      </c>
      <c r="G148" s="82">
        <v>16</v>
      </c>
      <c r="H148" s="80">
        <v>0.35</v>
      </c>
      <c r="I148" s="82">
        <v>16</v>
      </c>
      <c r="J148" s="82">
        <v>200</v>
      </c>
      <c r="K148" s="83">
        <v>142</v>
      </c>
    </row>
    <row r="149" spans="1:11">
      <c r="A149" s="134" t="s">
        <v>694</v>
      </c>
      <c r="B149" s="78" t="s">
        <v>696</v>
      </c>
      <c r="C149" s="77" t="s">
        <v>1384</v>
      </c>
      <c r="D149" s="87">
        <v>3.8E-3</v>
      </c>
      <c r="E149" s="84">
        <v>1.4E-2</v>
      </c>
      <c r="F149" s="80">
        <v>0.1</v>
      </c>
      <c r="G149" s="84">
        <v>6.2E-2</v>
      </c>
      <c r="H149" s="84">
        <v>4.5999999999999999E-2</v>
      </c>
      <c r="I149" s="84">
        <v>6.2E-2</v>
      </c>
      <c r="J149" s="80">
        <v>0.2</v>
      </c>
      <c r="K149" s="83">
        <v>143</v>
      </c>
    </row>
    <row r="150" spans="1:11" ht="15.75" customHeight="1">
      <c r="A150" s="79" t="s">
        <v>1385</v>
      </c>
      <c r="B150" s="78" t="s">
        <v>703</v>
      </c>
      <c r="C150" s="77" t="s">
        <v>1384</v>
      </c>
      <c r="D150" s="87" t="s">
        <v>223</v>
      </c>
      <c r="E150" s="84">
        <v>1.4E-2</v>
      </c>
      <c r="F150" s="84" t="s">
        <v>223</v>
      </c>
      <c r="G150" s="84">
        <v>6.2E-2</v>
      </c>
      <c r="H150" s="84" t="s">
        <v>223</v>
      </c>
      <c r="I150" s="84">
        <v>6.2E-2</v>
      </c>
      <c r="J150" s="80">
        <v>0.2</v>
      </c>
      <c r="K150" s="83">
        <v>144</v>
      </c>
    </row>
    <row r="151" spans="1:11" ht="16" customHeight="1">
      <c r="A151" s="77" t="s">
        <v>726</v>
      </c>
      <c r="B151" s="78" t="s">
        <v>727</v>
      </c>
      <c r="C151" s="79"/>
      <c r="D151" s="79" t="s">
        <v>223</v>
      </c>
      <c r="E151" s="79" t="s">
        <v>223</v>
      </c>
      <c r="F151" s="79" t="s">
        <v>223</v>
      </c>
      <c r="G151" s="79" t="s">
        <v>223</v>
      </c>
      <c r="H151" s="79" t="s">
        <v>223</v>
      </c>
      <c r="I151" s="79" t="s">
        <v>223</v>
      </c>
      <c r="J151" s="82">
        <v>86</v>
      </c>
      <c r="K151" s="83">
        <v>145</v>
      </c>
    </row>
    <row r="152" spans="1:11" ht="16" customHeight="1">
      <c r="A152" s="77" t="s">
        <v>734</v>
      </c>
      <c r="B152" s="78" t="s">
        <v>735</v>
      </c>
      <c r="C152" s="79"/>
      <c r="D152" s="84">
        <v>2.5000000000000001E-2</v>
      </c>
      <c r="E152" s="81">
        <v>9</v>
      </c>
      <c r="F152" s="80">
        <v>0.65</v>
      </c>
      <c r="G152" s="82">
        <v>40</v>
      </c>
      <c r="H152" s="80">
        <v>0.3</v>
      </c>
      <c r="I152" s="82">
        <v>40</v>
      </c>
      <c r="J152" s="79" t="s">
        <v>223</v>
      </c>
      <c r="K152" s="83">
        <v>146</v>
      </c>
    </row>
    <row r="153" spans="1:11" ht="16" customHeight="1">
      <c r="A153" s="77" t="s">
        <v>750</v>
      </c>
      <c r="B153" s="78" t="s">
        <v>751</v>
      </c>
      <c r="C153" s="79"/>
      <c r="D153" s="79" t="s">
        <v>223</v>
      </c>
      <c r="E153" s="82">
        <v>20</v>
      </c>
      <c r="F153" s="79" t="s">
        <v>223</v>
      </c>
      <c r="G153" s="82">
        <v>88</v>
      </c>
      <c r="H153" s="79" t="s">
        <v>223</v>
      </c>
      <c r="I153" s="82">
        <v>88</v>
      </c>
      <c r="J153" s="79" t="s">
        <v>223</v>
      </c>
      <c r="K153" s="83">
        <v>147</v>
      </c>
    </row>
    <row r="154" spans="1:11" ht="16" customHeight="1">
      <c r="A154" s="77" t="s">
        <v>752</v>
      </c>
      <c r="B154" s="98" t="s">
        <v>753</v>
      </c>
      <c r="C154" s="79"/>
      <c r="D154" s="89">
        <v>3.2000000000000003E-4</v>
      </c>
      <c r="E154" s="79" t="s">
        <v>223</v>
      </c>
      <c r="F154" s="87">
        <v>8.3999999999999995E-3</v>
      </c>
      <c r="G154" s="79" t="s">
        <v>223</v>
      </c>
      <c r="H154" s="87">
        <v>3.8999999999999998E-3</v>
      </c>
      <c r="I154" s="79" t="s">
        <v>223</v>
      </c>
      <c r="J154" s="79" t="s">
        <v>223</v>
      </c>
      <c r="K154" s="83">
        <v>148</v>
      </c>
    </row>
    <row r="155" spans="1:11" ht="16" customHeight="1">
      <c r="A155" s="77" t="s">
        <v>756</v>
      </c>
      <c r="B155" s="98" t="s">
        <v>757</v>
      </c>
      <c r="C155" s="79" t="s">
        <v>1371</v>
      </c>
      <c r="D155" s="94">
        <v>5.8823529411764701E-5</v>
      </c>
      <c r="E155" s="79" t="s">
        <v>223</v>
      </c>
      <c r="F155" s="89">
        <v>6.2E-4</v>
      </c>
      <c r="G155" s="79" t="s">
        <v>223</v>
      </c>
      <c r="H155" s="89">
        <v>1.1999999999999999E-3</v>
      </c>
      <c r="I155" s="79" t="s">
        <v>223</v>
      </c>
      <c r="J155" s="79" t="s">
        <v>223</v>
      </c>
      <c r="K155" s="83">
        <v>149</v>
      </c>
    </row>
    <row r="156" spans="1:11" ht="16" customHeight="1">
      <c r="A156" s="77" t="s">
        <v>758</v>
      </c>
      <c r="B156" s="98" t="s">
        <v>759</v>
      </c>
      <c r="C156" s="79" t="s">
        <v>1371</v>
      </c>
      <c r="D156" s="94">
        <v>1.2999999999999999E-4</v>
      </c>
      <c r="E156" s="79" t="s">
        <v>223</v>
      </c>
      <c r="F156" s="87">
        <v>1.2999999999999999E-3</v>
      </c>
      <c r="G156" s="79" t="s">
        <v>223</v>
      </c>
      <c r="H156" s="89">
        <v>2.5999999999999999E-3</v>
      </c>
      <c r="I156" s="79" t="s">
        <v>223</v>
      </c>
      <c r="J156" s="79" t="s">
        <v>223</v>
      </c>
      <c r="K156" s="83">
        <v>150</v>
      </c>
    </row>
    <row r="157" spans="1:11" ht="16" customHeight="1">
      <c r="A157" s="77" t="s">
        <v>760</v>
      </c>
      <c r="B157" s="98" t="s">
        <v>761</v>
      </c>
      <c r="C157" s="79"/>
      <c r="D157" s="80">
        <v>0.38</v>
      </c>
      <c r="E157" s="79" t="s">
        <v>223</v>
      </c>
      <c r="F157" s="81">
        <v>10</v>
      </c>
      <c r="G157" s="79" t="s">
        <v>223</v>
      </c>
      <c r="H157" s="81">
        <v>4.5999999999999996</v>
      </c>
      <c r="I157" s="79" t="s">
        <v>223</v>
      </c>
      <c r="J157" s="79" t="s">
        <v>223</v>
      </c>
      <c r="K157" s="83">
        <v>151</v>
      </c>
    </row>
    <row r="158" spans="1:11" ht="16" customHeight="1">
      <c r="A158" s="77" t="s">
        <v>762</v>
      </c>
      <c r="B158" s="98" t="s">
        <v>763</v>
      </c>
      <c r="C158" s="79"/>
      <c r="D158" s="80">
        <v>0.16</v>
      </c>
      <c r="E158" s="79" t="s">
        <v>223</v>
      </c>
      <c r="F158" s="81">
        <v>4.0999999999999996</v>
      </c>
      <c r="G158" s="79" t="s">
        <v>223</v>
      </c>
      <c r="H158" s="81">
        <v>1.9</v>
      </c>
      <c r="I158" s="79" t="s">
        <v>223</v>
      </c>
      <c r="J158" s="79" t="s">
        <v>223</v>
      </c>
      <c r="K158" s="83">
        <v>152</v>
      </c>
    </row>
    <row r="159" spans="1:11" ht="16" customHeight="1">
      <c r="A159" s="77" t="s">
        <v>764</v>
      </c>
      <c r="B159" s="98" t="s">
        <v>765</v>
      </c>
      <c r="C159" s="79"/>
      <c r="D159" s="89">
        <v>5.0000000000000001E-4</v>
      </c>
      <c r="E159" s="79" t="s">
        <v>223</v>
      </c>
      <c r="F159" s="84">
        <v>1.2999999999999999E-2</v>
      </c>
      <c r="G159" s="79" t="s">
        <v>223</v>
      </c>
      <c r="H159" s="87">
        <v>6.0000000000000001E-3</v>
      </c>
      <c r="I159" s="79" t="s">
        <v>223</v>
      </c>
      <c r="J159" s="79" t="s">
        <v>223</v>
      </c>
      <c r="K159" s="83">
        <v>153</v>
      </c>
    </row>
    <row r="160" spans="1:11" ht="16" customHeight="1">
      <c r="A160" s="77" t="s">
        <v>766</v>
      </c>
      <c r="B160" s="98" t="s">
        <v>767</v>
      </c>
      <c r="C160" s="79"/>
      <c r="D160" s="89">
        <v>1.6000000000000001E-4</v>
      </c>
      <c r="E160" s="79" t="s">
        <v>223</v>
      </c>
      <c r="F160" s="87">
        <v>4.1000000000000003E-3</v>
      </c>
      <c r="G160" s="79" t="s">
        <v>223</v>
      </c>
      <c r="H160" s="87">
        <v>1.9E-3</v>
      </c>
      <c r="I160" s="79" t="s">
        <v>223</v>
      </c>
      <c r="J160" s="79" t="s">
        <v>223</v>
      </c>
      <c r="K160" s="83">
        <v>154</v>
      </c>
    </row>
    <row r="161" spans="1:11" ht="16" customHeight="1">
      <c r="A161" s="77" t="s">
        <v>774</v>
      </c>
      <c r="B161" s="98" t="s">
        <v>775</v>
      </c>
      <c r="C161" s="79"/>
      <c r="D161" s="89">
        <v>5.2999999999999998E-4</v>
      </c>
      <c r="E161" s="79" t="s">
        <v>223</v>
      </c>
      <c r="F161" s="84">
        <v>1.4E-2</v>
      </c>
      <c r="G161" s="79" t="s">
        <v>223</v>
      </c>
      <c r="H161" s="87">
        <v>6.3E-3</v>
      </c>
      <c r="I161" s="79" t="s">
        <v>223</v>
      </c>
      <c r="J161" s="79" t="s">
        <v>223</v>
      </c>
      <c r="K161" s="83">
        <v>155</v>
      </c>
    </row>
    <row r="162" spans="1:11" ht="16" customHeight="1">
      <c r="A162" s="77" t="s">
        <v>778</v>
      </c>
      <c r="B162" s="98" t="s">
        <v>779</v>
      </c>
      <c r="C162" s="79"/>
      <c r="D162" s="89">
        <v>3.6999999999999999E-4</v>
      </c>
      <c r="E162" s="79" t="s">
        <v>223</v>
      </c>
      <c r="F162" s="87">
        <v>9.5999999999999992E-3</v>
      </c>
      <c r="G162" s="79" t="s">
        <v>223</v>
      </c>
      <c r="H162" s="87">
        <v>4.4000000000000003E-3</v>
      </c>
      <c r="I162" s="79" t="s">
        <v>223</v>
      </c>
      <c r="J162" s="79" t="s">
        <v>223</v>
      </c>
      <c r="K162" s="83">
        <v>156</v>
      </c>
    </row>
    <row r="163" spans="1:11" ht="16" customHeight="1">
      <c r="A163" s="77" t="s">
        <v>780</v>
      </c>
      <c r="B163" s="98" t="s">
        <v>781</v>
      </c>
      <c r="C163" s="79"/>
      <c r="D163" s="87">
        <v>1.6999999999999999E-3</v>
      </c>
      <c r="E163" s="79" t="s">
        <v>223</v>
      </c>
      <c r="F163" s="84">
        <v>4.2999999999999997E-2</v>
      </c>
      <c r="G163" s="79" t="s">
        <v>223</v>
      </c>
      <c r="H163" s="84">
        <v>0.02</v>
      </c>
      <c r="I163" s="79" t="s">
        <v>223</v>
      </c>
      <c r="J163" s="79" t="s">
        <v>223</v>
      </c>
      <c r="K163" s="83">
        <v>157</v>
      </c>
    </row>
    <row r="164" spans="1:11" ht="16" customHeight="1">
      <c r="A164" s="77" t="s">
        <v>786</v>
      </c>
      <c r="B164" s="78" t="s">
        <v>1386</v>
      </c>
      <c r="C164" s="79"/>
      <c r="D164" s="79" t="s">
        <v>223</v>
      </c>
      <c r="E164" s="79" t="s">
        <v>223</v>
      </c>
      <c r="F164" s="79" t="s">
        <v>223</v>
      </c>
      <c r="G164" s="79" t="s">
        <v>223</v>
      </c>
      <c r="H164" s="79" t="s">
        <v>223</v>
      </c>
      <c r="I164" s="79" t="s">
        <v>223</v>
      </c>
      <c r="J164" s="82">
        <v>120</v>
      </c>
      <c r="K164" s="83">
        <v>158</v>
      </c>
    </row>
    <row r="165" spans="1:11" ht="16" customHeight="1">
      <c r="A165" s="77" t="s">
        <v>788</v>
      </c>
      <c r="B165" s="78" t="s">
        <v>789</v>
      </c>
      <c r="C165" s="79"/>
      <c r="D165" s="79" t="s">
        <v>223</v>
      </c>
      <c r="E165" s="79" t="s">
        <v>223</v>
      </c>
      <c r="F165" s="79" t="s">
        <v>223</v>
      </c>
      <c r="G165" s="79" t="s">
        <v>223</v>
      </c>
      <c r="H165" s="79" t="s">
        <v>223</v>
      </c>
      <c r="I165" s="79" t="s">
        <v>223</v>
      </c>
      <c r="J165" s="84">
        <v>0.02</v>
      </c>
      <c r="K165" s="83">
        <v>159</v>
      </c>
    </row>
    <row r="166" spans="1:11" ht="16" customHeight="1">
      <c r="A166" s="77" t="s">
        <v>790</v>
      </c>
      <c r="B166" s="78" t="s">
        <v>791</v>
      </c>
      <c r="C166" s="79"/>
      <c r="D166" s="80">
        <v>0.2</v>
      </c>
      <c r="E166" s="79" t="s">
        <v>223</v>
      </c>
      <c r="F166" s="81">
        <v>5.0999999999999996</v>
      </c>
      <c r="G166" s="79" t="s">
        <v>223</v>
      </c>
      <c r="H166" s="81">
        <v>2.4</v>
      </c>
      <c r="I166" s="79" t="s">
        <v>223</v>
      </c>
      <c r="J166" s="79" t="s">
        <v>223</v>
      </c>
      <c r="K166" s="83">
        <v>160</v>
      </c>
    </row>
    <row r="167" spans="1:11" ht="16" customHeight="1">
      <c r="A167" s="77" t="s">
        <v>813</v>
      </c>
      <c r="B167" s="78" t="s">
        <v>814</v>
      </c>
      <c r="C167" s="79"/>
      <c r="D167" s="79" t="s">
        <v>223</v>
      </c>
      <c r="E167" s="82">
        <v>200</v>
      </c>
      <c r="F167" s="79" t="s">
        <v>223</v>
      </c>
      <c r="G167" s="82">
        <v>880</v>
      </c>
      <c r="H167" s="79" t="s">
        <v>223</v>
      </c>
      <c r="I167" s="82">
        <v>880</v>
      </c>
      <c r="J167" s="85">
        <v>5800</v>
      </c>
      <c r="K167" s="83">
        <v>161</v>
      </c>
    </row>
    <row r="168" spans="1:11" ht="16" customHeight="1">
      <c r="A168" s="77" t="s">
        <v>825</v>
      </c>
      <c r="B168" s="78" t="s">
        <v>826</v>
      </c>
      <c r="C168" s="79"/>
      <c r="D168" s="79" t="s">
        <v>223</v>
      </c>
      <c r="E168" s="80">
        <v>0.3</v>
      </c>
      <c r="F168" s="79" t="s">
        <v>223</v>
      </c>
      <c r="G168" s="81">
        <v>1.3</v>
      </c>
      <c r="H168" s="79" t="s">
        <v>223</v>
      </c>
      <c r="I168" s="81">
        <v>1.3</v>
      </c>
      <c r="J168" s="81">
        <v>4</v>
      </c>
      <c r="K168" s="83">
        <v>162</v>
      </c>
    </row>
    <row r="169" spans="1:11" ht="16" customHeight="1">
      <c r="A169" s="77" t="s">
        <v>827</v>
      </c>
      <c r="B169" s="78" t="s">
        <v>828</v>
      </c>
      <c r="C169" s="79"/>
      <c r="D169" s="79" t="s">
        <v>223</v>
      </c>
      <c r="E169" s="80">
        <v>0.8</v>
      </c>
      <c r="F169" s="79" t="s">
        <v>223</v>
      </c>
      <c r="G169" s="81">
        <v>3.5</v>
      </c>
      <c r="H169" s="79" t="s">
        <v>223</v>
      </c>
      <c r="I169" s="81">
        <v>3.5</v>
      </c>
      <c r="J169" s="79" t="s">
        <v>223</v>
      </c>
      <c r="K169" s="83">
        <v>163</v>
      </c>
    </row>
    <row r="170" spans="1:11" ht="16" customHeight="1">
      <c r="A170" s="77" t="s">
        <v>829</v>
      </c>
      <c r="B170" s="78" t="s">
        <v>830</v>
      </c>
      <c r="C170" s="79"/>
      <c r="D170" s="79" t="s">
        <v>223</v>
      </c>
      <c r="E170" s="82">
        <v>10</v>
      </c>
      <c r="F170" s="79" t="s">
        <v>223</v>
      </c>
      <c r="G170" s="82">
        <v>44</v>
      </c>
      <c r="H170" s="79" t="s">
        <v>223</v>
      </c>
      <c r="I170" s="82">
        <v>44</v>
      </c>
      <c r="J170" s="79" t="s">
        <v>223</v>
      </c>
      <c r="K170" s="83">
        <v>164</v>
      </c>
    </row>
    <row r="171" spans="1:11" ht="16" customHeight="1">
      <c r="A171" s="77" t="s">
        <v>841</v>
      </c>
      <c r="B171" s="78" t="s">
        <v>842</v>
      </c>
      <c r="C171" s="79"/>
      <c r="D171" s="79" t="s">
        <v>223</v>
      </c>
      <c r="E171" s="81">
        <v>9</v>
      </c>
      <c r="F171" s="79" t="s">
        <v>223</v>
      </c>
      <c r="G171" s="82">
        <v>40</v>
      </c>
      <c r="H171" s="79" t="s">
        <v>223</v>
      </c>
      <c r="I171" s="82">
        <v>40</v>
      </c>
      <c r="J171" s="82">
        <v>20</v>
      </c>
      <c r="K171" s="83">
        <v>165</v>
      </c>
    </row>
    <row r="172" spans="1:11" ht="16" customHeight="1">
      <c r="A172" s="77" t="s">
        <v>844</v>
      </c>
      <c r="B172" s="78" t="s">
        <v>845</v>
      </c>
      <c r="C172" s="79"/>
      <c r="D172" s="79" t="s">
        <v>223</v>
      </c>
      <c r="E172" s="82">
        <v>20</v>
      </c>
      <c r="F172" s="79" t="s">
        <v>223</v>
      </c>
      <c r="G172" s="82">
        <v>88</v>
      </c>
      <c r="H172" s="79" t="s">
        <v>223</v>
      </c>
      <c r="I172" s="82">
        <v>88</v>
      </c>
      <c r="J172" s="79" t="s">
        <v>223</v>
      </c>
      <c r="K172" s="83">
        <v>166</v>
      </c>
    </row>
    <row r="173" spans="1:11" ht="27" customHeight="1">
      <c r="A173" s="79" t="s">
        <v>1387</v>
      </c>
      <c r="B173" s="78" t="s">
        <v>846</v>
      </c>
      <c r="C173" s="77" t="s">
        <v>1388</v>
      </c>
      <c r="D173" s="79" t="s">
        <v>223</v>
      </c>
      <c r="E173" s="79" t="s">
        <v>223</v>
      </c>
      <c r="F173" s="79" t="s">
        <v>223</v>
      </c>
      <c r="G173" s="79" t="s">
        <v>223</v>
      </c>
      <c r="H173" s="79" t="s">
        <v>223</v>
      </c>
      <c r="I173" s="79" t="s">
        <v>223</v>
      </c>
      <c r="J173" s="81">
        <v>6</v>
      </c>
      <c r="K173" s="83">
        <v>167</v>
      </c>
    </row>
    <row r="174" spans="1:11" ht="27" customHeight="1">
      <c r="A174" s="77" t="s">
        <v>863</v>
      </c>
      <c r="B174" s="78" t="s">
        <v>864</v>
      </c>
      <c r="C174" s="77" t="s">
        <v>1374</v>
      </c>
      <c r="D174" s="89">
        <v>5.2999999999999998E-4</v>
      </c>
      <c r="E174" s="79" t="s">
        <v>223</v>
      </c>
      <c r="F174" s="84">
        <v>0.02</v>
      </c>
      <c r="G174" s="79" t="s">
        <v>223</v>
      </c>
      <c r="H174" s="87">
        <v>9.1999999999999998E-3</v>
      </c>
      <c r="I174" s="79" t="s">
        <v>223</v>
      </c>
      <c r="J174" s="79" t="s">
        <v>223</v>
      </c>
      <c r="K174" s="83">
        <v>168</v>
      </c>
    </row>
    <row r="175" spans="1:11" ht="27" customHeight="1">
      <c r="A175" s="79" t="s">
        <v>1389</v>
      </c>
      <c r="B175" s="78" t="s">
        <v>865</v>
      </c>
      <c r="C175" s="77" t="s">
        <v>1374</v>
      </c>
      <c r="D175" s="96">
        <v>1.0121457489878541E-9</v>
      </c>
      <c r="E175" s="96">
        <v>1.2903225806451614E-7</v>
      </c>
      <c r="F175" s="96">
        <v>9.0027700831024925E-8</v>
      </c>
      <c r="G175" s="96">
        <v>2.6268656716417917E-5</v>
      </c>
      <c r="H175" s="96">
        <v>4.1551246537396121E-8</v>
      </c>
      <c r="I175" s="96">
        <v>2.6268656716417917E-5</v>
      </c>
      <c r="J175" s="79" t="s">
        <v>223</v>
      </c>
      <c r="K175" s="83">
        <v>169</v>
      </c>
    </row>
    <row r="176" spans="1:11" ht="27" customHeight="1">
      <c r="A176" s="77" t="s">
        <v>878</v>
      </c>
      <c r="B176" s="98" t="s">
        <v>879</v>
      </c>
      <c r="C176" s="77" t="s">
        <v>1374</v>
      </c>
      <c r="D176" s="94">
        <v>1.0121457489878541E-5</v>
      </c>
      <c r="E176" s="87">
        <v>1.2999999999999999E-3</v>
      </c>
      <c r="F176" s="89">
        <v>8.9999999999999998E-4</v>
      </c>
      <c r="G176" s="80">
        <v>0.26</v>
      </c>
      <c r="H176" s="89">
        <v>4.2000000000000002E-4</v>
      </c>
      <c r="I176" s="80">
        <v>0.26</v>
      </c>
      <c r="J176" s="79" t="s">
        <v>223</v>
      </c>
      <c r="K176" s="83">
        <v>170</v>
      </c>
    </row>
    <row r="177" spans="1:11" ht="27" customHeight="1">
      <c r="A177" s="77" t="s">
        <v>880</v>
      </c>
      <c r="B177" s="98" t="s">
        <v>881</v>
      </c>
      <c r="C177" s="77" t="s">
        <v>1374</v>
      </c>
      <c r="D177" s="96">
        <v>3.3738191632928472E-6</v>
      </c>
      <c r="E177" s="89">
        <v>4.2000000000000002E-4</v>
      </c>
      <c r="F177" s="89">
        <v>2.9999999999999997E-4</v>
      </c>
      <c r="G177" s="84">
        <v>8.5000000000000006E-2</v>
      </c>
      <c r="H177" s="89">
        <v>1.3999999999999999E-4</v>
      </c>
      <c r="I177" s="84">
        <v>8.5000000000000006E-2</v>
      </c>
      <c r="J177" s="79" t="s">
        <v>223</v>
      </c>
      <c r="K177" s="83">
        <v>171</v>
      </c>
    </row>
    <row r="178" spans="1:11" ht="27" customHeight="1">
      <c r="A178" s="77" t="s">
        <v>884</v>
      </c>
      <c r="B178" s="98" t="s">
        <v>885</v>
      </c>
      <c r="C178" s="77" t="s">
        <v>1374</v>
      </c>
      <c r="D178" s="94">
        <v>3.3738191632928474E-5</v>
      </c>
      <c r="E178" s="87">
        <v>4.1999999999999997E-3</v>
      </c>
      <c r="F178" s="87">
        <v>3.0000000000000001E-3</v>
      </c>
      <c r="G178" s="80">
        <v>0.85</v>
      </c>
      <c r="H178" s="87">
        <v>1.4E-3</v>
      </c>
      <c r="I178" s="80">
        <v>0.85</v>
      </c>
      <c r="J178" s="79" t="s">
        <v>223</v>
      </c>
      <c r="K178" s="83">
        <v>172</v>
      </c>
    </row>
    <row r="179" spans="1:11" ht="27" customHeight="1">
      <c r="A179" s="77" t="s">
        <v>886</v>
      </c>
      <c r="B179" s="98" t="s">
        <v>887</v>
      </c>
      <c r="C179" s="77" t="s">
        <v>1374</v>
      </c>
      <c r="D179" s="94">
        <v>3.3738191632928474E-5</v>
      </c>
      <c r="E179" s="87">
        <v>4.1999999999999997E-3</v>
      </c>
      <c r="F179" s="87">
        <v>3.0000000000000001E-3</v>
      </c>
      <c r="G179" s="80">
        <v>0.85</v>
      </c>
      <c r="H179" s="87">
        <v>1.4E-3</v>
      </c>
      <c r="I179" s="80">
        <v>0.85</v>
      </c>
      <c r="J179" s="79" t="s">
        <v>223</v>
      </c>
      <c r="K179" s="83">
        <v>173</v>
      </c>
    </row>
    <row r="180" spans="1:11" ht="27" customHeight="1">
      <c r="A180" s="77" t="s">
        <v>888</v>
      </c>
      <c r="B180" s="98" t="s">
        <v>889</v>
      </c>
      <c r="C180" s="77" t="s">
        <v>1374</v>
      </c>
      <c r="D180" s="94">
        <v>3.3738191632928474E-5</v>
      </c>
      <c r="E180" s="87">
        <v>4.1999999999999997E-3</v>
      </c>
      <c r="F180" s="87">
        <v>3.0000000000000001E-3</v>
      </c>
      <c r="G180" s="80">
        <v>0.85</v>
      </c>
      <c r="H180" s="87">
        <v>1.4E-3</v>
      </c>
      <c r="I180" s="80">
        <v>0.85</v>
      </c>
      <c r="J180" s="79" t="s">
        <v>223</v>
      </c>
      <c r="K180" s="83">
        <v>174</v>
      </c>
    </row>
    <row r="181" spans="1:11" ht="27" customHeight="1">
      <c r="A181" s="77" t="s">
        <v>890</v>
      </c>
      <c r="B181" s="98" t="s">
        <v>891</v>
      </c>
      <c r="C181" s="77" t="s">
        <v>1374</v>
      </c>
      <c r="D181" s="94">
        <v>3.3738191632928474E-5</v>
      </c>
      <c r="E181" s="87">
        <v>4.1999999999999997E-3</v>
      </c>
      <c r="F181" s="87">
        <v>3.0000000000000001E-3</v>
      </c>
      <c r="G181" s="80">
        <v>0.85</v>
      </c>
      <c r="H181" s="87">
        <v>1.4E-3</v>
      </c>
      <c r="I181" s="80">
        <v>0.85</v>
      </c>
      <c r="J181" s="79" t="s">
        <v>223</v>
      </c>
      <c r="K181" s="83">
        <v>175</v>
      </c>
    </row>
    <row r="182" spans="1:11" ht="27" customHeight="1">
      <c r="A182" s="77" t="s">
        <v>892</v>
      </c>
      <c r="B182" s="98" t="s">
        <v>893</v>
      </c>
      <c r="C182" s="77" t="s">
        <v>1374</v>
      </c>
      <c r="D182" s="96">
        <v>1.0121457489878542E-8</v>
      </c>
      <c r="E182" s="96">
        <v>1.2903225806451614E-6</v>
      </c>
      <c r="F182" s="96">
        <v>9.0027700831024923E-7</v>
      </c>
      <c r="G182" s="89">
        <v>2.5999999999999998E-4</v>
      </c>
      <c r="H182" s="96">
        <v>4.1551246537396117E-7</v>
      </c>
      <c r="I182" s="89">
        <v>2.5999999999999998E-4</v>
      </c>
      <c r="J182" s="79" t="s">
        <v>223</v>
      </c>
      <c r="K182" s="83">
        <v>176</v>
      </c>
    </row>
    <row r="183" spans="1:11" ht="27" customHeight="1">
      <c r="A183" s="77" t="s">
        <v>900</v>
      </c>
      <c r="B183" s="98" t="s">
        <v>901</v>
      </c>
      <c r="C183" s="77" t="s">
        <v>1374</v>
      </c>
      <c r="D183" s="94">
        <v>3.3738191632928474E-5</v>
      </c>
      <c r="E183" s="87">
        <v>4.1999999999999997E-3</v>
      </c>
      <c r="F183" s="87">
        <v>3.0000000000000001E-3</v>
      </c>
      <c r="G183" s="80">
        <v>0.85</v>
      </c>
      <c r="H183" s="87">
        <v>1.4E-3</v>
      </c>
      <c r="I183" s="80">
        <v>0.85</v>
      </c>
      <c r="J183" s="79" t="s">
        <v>223</v>
      </c>
      <c r="K183" s="83">
        <v>177</v>
      </c>
    </row>
    <row r="184" spans="1:11" ht="27" customHeight="1">
      <c r="A184" s="77" t="s">
        <v>902</v>
      </c>
      <c r="B184" s="98" t="s">
        <v>903</v>
      </c>
      <c r="C184" s="77" t="s">
        <v>1374</v>
      </c>
      <c r="D184" s="94">
        <v>3.3738191632928474E-5</v>
      </c>
      <c r="E184" s="87">
        <v>4.1999999999999997E-3</v>
      </c>
      <c r="F184" s="87">
        <v>3.0000000000000001E-3</v>
      </c>
      <c r="G184" s="80">
        <v>0.85</v>
      </c>
      <c r="H184" s="87">
        <v>1.4E-3</v>
      </c>
      <c r="I184" s="80">
        <v>0.85</v>
      </c>
      <c r="J184" s="79" t="s">
        <v>223</v>
      </c>
      <c r="K184" s="83">
        <v>178</v>
      </c>
    </row>
    <row r="185" spans="1:11" ht="27" customHeight="1">
      <c r="A185" s="77" t="s">
        <v>904</v>
      </c>
      <c r="B185" s="98" t="s">
        <v>905</v>
      </c>
      <c r="C185" s="77" t="s">
        <v>1374</v>
      </c>
      <c r="D185" s="94">
        <v>3.3738191632928474E-5</v>
      </c>
      <c r="E185" s="87">
        <v>4.1999999999999997E-3</v>
      </c>
      <c r="F185" s="87">
        <v>3.0000000000000001E-3</v>
      </c>
      <c r="G185" s="80">
        <v>0.85</v>
      </c>
      <c r="H185" s="87">
        <v>1.4E-3</v>
      </c>
      <c r="I185" s="80">
        <v>0.85</v>
      </c>
      <c r="J185" s="79" t="s">
        <v>223</v>
      </c>
      <c r="K185" s="83">
        <v>179</v>
      </c>
    </row>
    <row r="186" spans="1:11" ht="27" customHeight="1">
      <c r="A186" s="77" t="s">
        <v>906</v>
      </c>
      <c r="B186" s="98" t="s">
        <v>907</v>
      </c>
      <c r="C186" s="77" t="s">
        <v>1374</v>
      </c>
      <c r="D186" s="96">
        <v>3.3738191632928474E-8</v>
      </c>
      <c r="E186" s="96">
        <v>4.1935483870967744E-6</v>
      </c>
      <c r="F186" s="96">
        <v>3.0009233610341641E-6</v>
      </c>
      <c r="G186" s="89">
        <v>8.4999999999999995E-4</v>
      </c>
      <c r="H186" s="96">
        <v>1.3850415512465373E-6</v>
      </c>
      <c r="I186" s="89">
        <v>8.4999999999999995E-4</v>
      </c>
      <c r="J186" s="79" t="s">
        <v>223</v>
      </c>
      <c r="K186" s="83">
        <v>180</v>
      </c>
    </row>
    <row r="187" spans="1:11" ht="37" customHeight="1">
      <c r="A187" s="77" t="s">
        <v>914</v>
      </c>
      <c r="B187" s="98" t="s">
        <v>915</v>
      </c>
      <c r="C187" s="77" t="s">
        <v>1374</v>
      </c>
      <c r="D187" s="89">
        <v>8.8000000000000003E-4</v>
      </c>
      <c r="E187" s="81">
        <v>1.3</v>
      </c>
      <c r="F187" s="84">
        <v>2.3E-2</v>
      </c>
      <c r="G187" s="81">
        <v>5.7</v>
      </c>
      <c r="H187" s="84">
        <v>1.0999999999999999E-2</v>
      </c>
      <c r="I187" s="81">
        <v>5.7</v>
      </c>
      <c r="J187" s="79" t="s">
        <v>223</v>
      </c>
      <c r="K187" s="83">
        <v>181</v>
      </c>
    </row>
    <row r="188" spans="1:11" ht="47" customHeight="1">
      <c r="A188" s="79" t="s">
        <v>1390</v>
      </c>
      <c r="B188" s="98" t="s">
        <v>922</v>
      </c>
      <c r="C188" s="77" t="s">
        <v>1374</v>
      </c>
      <c r="D188" s="96">
        <v>1.0121457489878541E-9</v>
      </c>
      <c r="E188" s="96">
        <v>1.2903225806451614E-7</v>
      </c>
      <c r="F188" s="96">
        <v>9.0027700831024925E-8</v>
      </c>
      <c r="G188" s="96">
        <v>2.6268656716417917E-5</v>
      </c>
      <c r="H188" s="96">
        <v>4.1551246537396121E-8</v>
      </c>
      <c r="I188" s="96">
        <v>2.6268656716417917E-5</v>
      </c>
      <c r="J188" s="79" t="s">
        <v>223</v>
      </c>
      <c r="K188" s="83">
        <v>182</v>
      </c>
    </row>
    <row r="189" spans="1:11" ht="37" customHeight="1">
      <c r="A189" s="77" t="s">
        <v>923</v>
      </c>
      <c r="B189" s="98" t="s">
        <v>924</v>
      </c>
      <c r="C189" s="77" t="s">
        <v>1374</v>
      </c>
      <c r="D189" s="96">
        <v>1.0121457489878541E-9</v>
      </c>
      <c r="E189" s="96">
        <v>1.2903225806451614E-7</v>
      </c>
      <c r="F189" s="96">
        <v>9.0027700831024925E-8</v>
      </c>
      <c r="G189" s="96">
        <v>2.6268656716417917E-5</v>
      </c>
      <c r="H189" s="96">
        <v>4.1551246537396121E-8</v>
      </c>
      <c r="I189" s="96">
        <v>2.6268656716417917E-5</v>
      </c>
      <c r="J189" s="79" t="s">
        <v>223</v>
      </c>
      <c r="K189" s="83">
        <v>183</v>
      </c>
    </row>
    <row r="190" spans="1:11" ht="37" customHeight="1">
      <c r="A190" s="77" t="s">
        <v>925</v>
      </c>
      <c r="B190" s="98" t="s">
        <v>926</v>
      </c>
      <c r="C190" s="77" t="s">
        <v>1374</v>
      </c>
      <c r="D190" s="96">
        <v>1.0121457489878541E-9</v>
      </c>
      <c r="E190" s="96">
        <v>1.2903225806451614E-7</v>
      </c>
      <c r="F190" s="96">
        <v>9.0027700831024925E-8</v>
      </c>
      <c r="G190" s="96">
        <v>2.6268656716417917E-5</v>
      </c>
      <c r="H190" s="96">
        <v>4.1551246537396121E-8</v>
      </c>
      <c r="I190" s="96">
        <v>2.6268656716417917E-5</v>
      </c>
      <c r="J190" s="79" t="s">
        <v>223</v>
      </c>
      <c r="K190" s="83">
        <v>184</v>
      </c>
    </row>
    <row r="191" spans="1:11" ht="24" customHeight="1">
      <c r="A191" s="77" t="s">
        <v>927</v>
      </c>
      <c r="B191" s="78" t="s">
        <v>928</v>
      </c>
      <c r="C191" s="77" t="s">
        <v>1374</v>
      </c>
      <c r="D191" s="96">
        <v>1.0121457489878542E-8</v>
      </c>
      <c r="E191" s="96">
        <v>1.2903225806451614E-6</v>
      </c>
      <c r="F191" s="96">
        <v>9.0027700831024923E-7</v>
      </c>
      <c r="G191" s="89">
        <v>2.5999999999999998E-4</v>
      </c>
      <c r="H191" s="96">
        <v>4.1551246537396117E-7</v>
      </c>
      <c r="I191" s="89">
        <v>2.5999999999999998E-4</v>
      </c>
      <c r="J191" s="79" t="s">
        <v>223</v>
      </c>
      <c r="K191" s="83">
        <v>185</v>
      </c>
    </row>
    <row r="192" spans="1:11" ht="37" customHeight="1">
      <c r="A192" s="77" t="s">
        <v>929</v>
      </c>
      <c r="B192" s="98" t="s">
        <v>930</v>
      </c>
      <c r="C192" s="77" t="s">
        <v>1374</v>
      </c>
      <c r="D192" s="96">
        <v>1.0121457489878542E-8</v>
      </c>
      <c r="E192" s="96">
        <v>1.2903225806451614E-6</v>
      </c>
      <c r="F192" s="96">
        <v>9.0027700831024923E-7</v>
      </c>
      <c r="G192" s="89">
        <v>2.5999999999999998E-4</v>
      </c>
      <c r="H192" s="96">
        <v>4.1551246537396117E-7</v>
      </c>
      <c r="I192" s="89">
        <v>2.5999999999999998E-4</v>
      </c>
      <c r="J192" s="79" t="s">
        <v>223</v>
      </c>
      <c r="K192" s="83">
        <v>186</v>
      </c>
    </row>
    <row r="193" spans="1:11" ht="37" customHeight="1">
      <c r="A193" s="77" t="s">
        <v>931</v>
      </c>
      <c r="B193" s="98" t="s">
        <v>932</v>
      </c>
      <c r="C193" s="77" t="s">
        <v>1374</v>
      </c>
      <c r="D193" s="96">
        <v>1.0121457489878542E-8</v>
      </c>
      <c r="E193" s="96">
        <v>1.2903225806451614E-6</v>
      </c>
      <c r="F193" s="96">
        <v>9.0027700831024923E-7</v>
      </c>
      <c r="G193" s="89">
        <v>2.5999999999999998E-4</v>
      </c>
      <c r="H193" s="96">
        <v>4.1551246537396117E-7</v>
      </c>
      <c r="I193" s="89">
        <v>2.5999999999999998E-4</v>
      </c>
      <c r="J193" s="79" t="s">
        <v>223</v>
      </c>
      <c r="K193" s="83">
        <v>187</v>
      </c>
    </row>
    <row r="194" spans="1:11" ht="37" customHeight="1">
      <c r="A194" s="77" t="s">
        <v>933</v>
      </c>
      <c r="B194" s="98" t="s">
        <v>934</v>
      </c>
      <c r="C194" s="77" t="s">
        <v>1374</v>
      </c>
      <c r="D194" s="96">
        <v>1.0121457489878542E-7</v>
      </c>
      <c r="E194" s="94">
        <v>1.2903225806451613E-5</v>
      </c>
      <c r="F194" s="96">
        <v>9.0027700831024931E-6</v>
      </c>
      <c r="G194" s="87">
        <v>2.5999999999999999E-3</v>
      </c>
      <c r="H194" s="96">
        <v>4.155124653739612E-6</v>
      </c>
      <c r="I194" s="87">
        <v>2.5999999999999999E-3</v>
      </c>
      <c r="J194" s="79" t="s">
        <v>223</v>
      </c>
      <c r="K194" s="83">
        <v>188</v>
      </c>
    </row>
    <row r="195" spans="1:11" ht="27" customHeight="1">
      <c r="A195" s="77" t="s">
        <v>935</v>
      </c>
      <c r="B195" s="98" t="s">
        <v>936</v>
      </c>
      <c r="C195" s="77" t="s">
        <v>1374</v>
      </c>
      <c r="D195" s="96">
        <v>3.3738191632928472E-6</v>
      </c>
      <c r="E195" s="89">
        <v>4.2000000000000002E-4</v>
      </c>
      <c r="F195" s="89">
        <v>2.9999999999999997E-4</v>
      </c>
      <c r="G195" s="84">
        <v>8.5000000000000006E-2</v>
      </c>
      <c r="H195" s="89">
        <v>1.3999999999999999E-4</v>
      </c>
      <c r="I195" s="84">
        <v>8.5000000000000006E-2</v>
      </c>
      <c r="J195" s="79" t="s">
        <v>223</v>
      </c>
      <c r="K195" s="83">
        <v>189</v>
      </c>
    </row>
    <row r="196" spans="1:11" ht="37" customHeight="1">
      <c r="A196" s="77" t="s">
        <v>937</v>
      </c>
      <c r="B196" s="98" t="s">
        <v>938</v>
      </c>
      <c r="C196" s="77" t="s">
        <v>1374</v>
      </c>
      <c r="D196" s="96">
        <v>1.0121457489878542E-8</v>
      </c>
      <c r="E196" s="96">
        <v>1.2903225806451614E-6</v>
      </c>
      <c r="F196" s="96">
        <v>9.0027700831024923E-7</v>
      </c>
      <c r="G196" s="89">
        <v>2.5999999999999998E-4</v>
      </c>
      <c r="H196" s="96">
        <v>4.1551246537396117E-7</v>
      </c>
      <c r="I196" s="89">
        <v>2.5999999999999998E-4</v>
      </c>
      <c r="J196" s="79" t="s">
        <v>223</v>
      </c>
      <c r="K196" s="83">
        <v>190</v>
      </c>
    </row>
    <row r="197" spans="1:11" ht="37" customHeight="1">
      <c r="A197" s="77" t="s">
        <v>939</v>
      </c>
      <c r="B197" s="98" t="s">
        <v>940</v>
      </c>
      <c r="C197" s="77" t="s">
        <v>1374</v>
      </c>
      <c r="D197" s="96">
        <v>3.3738191632928474E-8</v>
      </c>
      <c r="E197" s="96">
        <v>4.1935483870967744E-6</v>
      </c>
      <c r="F197" s="96">
        <v>3.0009233610341641E-6</v>
      </c>
      <c r="G197" s="89">
        <v>8.4999999999999995E-4</v>
      </c>
      <c r="H197" s="96">
        <v>1.3850415512465373E-6</v>
      </c>
      <c r="I197" s="89">
        <v>8.4999999999999995E-4</v>
      </c>
      <c r="J197" s="79" t="s">
        <v>223</v>
      </c>
      <c r="K197" s="83">
        <v>191</v>
      </c>
    </row>
    <row r="198" spans="1:11" ht="37" customHeight="1">
      <c r="A198" s="77" t="s">
        <v>941</v>
      </c>
      <c r="B198" s="98" t="s">
        <v>942</v>
      </c>
      <c r="C198" s="77" t="s">
        <v>1374</v>
      </c>
      <c r="D198" s="96">
        <v>3.373819163292847E-9</v>
      </c>
      <c r="E198" s="96">
        <v>4.1935483870967738E-7</v>
      </c>
      <c r="F198" s="96">
        <v>3.0009233610341641E-7</v>
      </c>
      <c r="G198" s="96">
        <v>8.5373134328358208E-5</v>
      </c>
      <c r="H198" s="96">
        <v>1.3850415512465372E-7</v>
      </c>
      <c r="I198" s="96">
        <v>8.5373134328358208E-5</v>
      </c>
      <c r="J198" s="79" t="s">
        <v>223</v>
      </c>
      <c r="K198" s="83">
        <v>192</v>
      </c>
    </row>
    <row r="199" spans="1:11" ht="37" customHeight="1">
      <c r="A199" s="77" t="s">
        <v>943</v>
      </c>
      <c r="B199" s="98" t="s">
        <v>944</v>
      </c>
      <c r="C199" s="77" t="s">
        <v>1374</v>
      </c>
      <c r="D199" s="96">
        <v>1.0121457489878542E-8</v>
      </c>
      <c r="E199" s="96">
        <v>1.2903225806451614E-6</v>
      </c>
      <c r="F199" s="96">
        <v>9.0027700831024923E-7</v>
      </c>
      <c r="G199" s="89">
        <v>2.5999999999999998E-4</v>
      </c>
      <c r="H199" s="96">
        <v>4.1551246537396117E-7</v>
      </c>
      <c r="I199" s="89">
        <v>2.5999999999999998E-4</v>
      </c>
      <c r="J199" s="79" t="s">
        <v>223</v>
      </c>
      <c r="K199" s="83">
        <v>193</v>
      </c>
    </row>
    <row r="200" spans="1:11" ht="37" customHeight="1">
      <c r="A200" s="77" t="s">
        <v>945</v>
      </c>
      <c r="B200" s="98" t="s">
        <v>946</v>
      </c>
      <c r="C200" s="77" t="s">
        <v>1374</v>
      </c>
      <c r="D200" s="96">
        <v>1.0121457489878542E-8</v>
      </c>
      <c r="E200" s="96">
        <v>1.2903225806451614E-6</v>
      </c>
      <c r="F200" s="96">
        <v>9.0027700831024923E-7</v>
      </c>
      <c r="G200" s="89">
        <v>2.5999999999999998E-4</v>
      </c>
      <c r="H200" s="96">
        <v>4.1551246537396117E-7</v>
      </c>
      <c r="I200" s="89">
        <v>2.5999999999999998E-4</v>
      </c>
      <c r="J200" s="79" t="s">
        <v>223</v>
      </c>
      <c r="K200" s="83">
        <v>194</v>
      </c>
    </row>
    <row r="201" spans="1:11" ht="37" customHeight="1">
      <c r="A201" s="77" t="s">
        <v>947</v>
      </c>
      <c r="B201" s="98" t="s">
        <v>948</v>
      </c>
      <c r="C201" s="77" t="s">
        <v>1374</v>
      </c>
      <c r="D201" s="96">
        <v>1.0121457489878542E-8</v>
      </c>
      <c r="E201" s="96">
        <v>1.2903225806451614E-6</v>
      </c>
      <c r="F201" s="96">
        <v>9.0027700831024923E-7</v>
      </c>
      <c r="G201" s="89">
        <v>2.5999999999999998E-4</v>
      </c>
      <c r="H201" s="96">
        <v>4.1551246537396117E-7</v>
      </c>
      <c r="I201" s="89">
        <v>2.5999999999999998E-4</v>
      </c>
      <c r="J201" s="79" t="s">
        <v>223</v>
      </c>
      <c r="K201" s="83">
        <v>195</v>
      </c>
    </row>
    <row r="202" spans="1:11" ht="37" customHeight="1">
      <c r="A202" s="77" t="s">
        <v>949</v>
      </c>
      <c r="B202" s="98" t="s">
        <v>1391</v>
      </c>
      <c r="C202" s="77" t="s">
        <v>1374</v>
      </c>
      <c r="D202" s="96">
        <v>1.0121457489878542E-8</v>
      </c>
      <c r="E202" s="96">
        <v>1.2903225806451614E-6</v>
      </c>
      <c r="F202" s="96">
        <v>9.0027700831024923E-7</v>
      </c>
      <c r="G202" s="89">
        <v>2.5999999999999998E-4</v>
      </c>
      <c r="H202" s="96">
        <v>4.1551246537396117E-7</v>
      </c>
      <c r="I202" s="89">
        <v>2.5999999999999998E-4</v>
      </c>
      <c r="J202" s="79" t="s">
        <v>223</v>
      </c>
      <c r="K202" s="83">
        <v>196</v>
      </c>
    </row>
    <row r="203" spans="1:11" ht="37" customHeight="1">
      <c r="A203" s="77" t="s">
        <v>951</v>
      </c>
      <c r="B203" s="98" t="s">
        <v>952</v>
      </c>
      <c r="C203" s="77" t="s">
        <v>1374</v>
      </c>
      <c r="D203" s="96">
        <v>1.0121457489878542E-7</v>
      </c>
      <c r="E203" s="94">
        <v>1.2903225806451613E-5</v>
      </c>
      <c r="F203" s="96">
        <v>9.0027700831024931E-6</v>
      </c>
      <c r="G203" s="87">
        <v>2.5999999999999999E-3</v>
      </c>
      <c r="H203" s="96">
        <v>4.155124653739612E-6</v>
      </c>
      <c r="I203" s="87">
        <v>2.5999999999999999E-3</v>
      </c>
      <c r="J203" s="79" t="s">
        <v>223</v>
      </c>
      <c r="K203" s="83">
        <v>197</v>
      </c>
    </row>
    <row r="204" spans="1:11" ht="37" customHeight="1">
      <c r="A204" s="77" t="s">
        <v>953</v>
      </c>
      <c r="B204" s="98" t="s">
        <v>954</v>
      </c>
      <c r="C204" s="77" t="s">
        <v>1374</v>
      </c>
      <c r="D204" s="96">
        <v>1.0121457489878542E-7</v>
      </c>
      <c r="E204" s="94">
        <v>1.2903225806451613E-5</v>
      </c>
      <c r="F204" s="96">
        <v>9.0027700831024931E-6</v>
      </c>
      <c r="G204" s="87">
        <v>2.5999999999999999E-3</v>
      </c>
      <c r="H204" s="96">
        <v>4.155124653739612E-6</v>
      </c>
      <c r="I204" s="87">
        <v>2.5999999999999999E-3</v>
      </c>
      <c r="J204" s="79" t="s">
        <v>223</v>
      </c>
      <c r="K204" s="83">
        <v>198</v>
      </c>
    </row>
    <row r="205" spans="1:11" ht="27" customHeight="1">
      <c r="A205" s="77" t="s">
        <v>955</v>
      </c>
      <c r="B205" s="78" t="s">
        <v>956</v>
      </c>
      <c r="C205" s="77" t="s">
        <v>1374</v>
      </c>
      <c r="D205" s="96">
        <v>3.3738191632928472E-6</v>
      </c>
      <c r="E205" s="89">
        <v>4.2000000000000002E-4</v>
      </c>
      <c r="F205" s="89">
        <v>2.9999999999999997E-4</v>
      </c>
      <c r="G205" s="84">
        <v>8.5000000000000006E-2</v>
      </c>
      <c r="H205" s="89">
        <v>1.3999999999999999E-4</v>
      </c>
      <c r="I205" s="84">
        <v>8.5000000000000006E-2</v>
      </c>
      <c r="J205" s="79" t="s">
        <v>223</v>
      </c>
      <c r="K205" s="83">
        <v>199</v>
      </c>
    </row>
    <row r="206" spans="1:11" ht="27" customHeight="1">
      <c r="A206" s="79" t="s">
        <v>1392</v>
      </c>
      <c r="B206" s="78" t="s">
        <v>957</v>
      </c>
      <c r="C206" s="77" t="s">
        <v>1393</v>
      </c>
      <c r="D206" s="94">
        <v>4.2625745950554133E-5</v>
      </c>
      <c r="E206" s="79" t="s">
        <v>223</v>
      </c>
      <c r="F206" s="87">
        <v>1.6000000000000001E-3</v>
      </c>
      <c r="G206" s="79" t="s">
        <v>223</v>
      </c>
      <c r="H206" s="87">
        <v>3.0000000000000001E-3</v>
      </c>
      <c r="I206" s="79" t="s">
        <v>223</v>
      </c>
      <c r="J206" s="79" t="s">
        <v>223</v>
      </c>
      <c r="K206" s="83">
        <v>200</v>
      </c>
    </row>
    <row r="207" spans="1:11" ht="16" customHeight="1">
      <c r="A207" s="77" t="s">
        <v>961</v>
      </c>
      <c r="B207" s="78" t="s">
        <v>962</v>
      </c>
      <c r="C207" s="77" t="s">
        <v>1393</v>
      </c>
      <c r="D207" s="89">
        <v>1.1E-4</v>
      </c>
      <c r="E207" s="79" t="s">
        <v>223</v>
      </c>
      <c r="F207" s="87">
        <v>3.8999999999999998E-3</v>
      </c>
      <c r="G207" s="79" t="s">
        <v>223</v>
      </c>
      <c r="H207" s="84">
        <v>7.6E-3</v>
      </c>
      <c r="I207" s="79" t="s">
        <v>223</v>
      </c>
      <c r="J207" s="79" t="s">
        <v>223</v>
      </c>
      <c r="K207" s="83">
        <v>201</v>
      </c>
    </row>
    <row r="208" spans="1:11" ht="16" customHeight="1">
      <c r="A208" s="77" t="s">
        <v>963</v>
      </c>
      <c r="B208" s="78" t="s">
        <v>51</v>
      </c>
      <c r="C208" s="77" t="s">
        <v>1393</v>
      </c>
      <c r="D208" s="94">
        <v>2.1000000000000001E-4</v>
      </c>
      <c r="E208" s="87" t="s">
        <v>223</v>
      </c>
      <c r="F208" s="87">
        <v>7.7999999999999996E-3</v>
      </c>
      <c r="G208" s="87" t="s">
        <v>223</v>
      </c>
      <c r="H208" s="87">
        <v>1.4999999999999999E-2</v>
      </c>
      <c r="I208" s="87" t="s">
        <v>223</v>
      </c>
      <c r="J208" s="87" t="s">
        <v>223</v>
      </c>
      <c r="K208" s="83">
        <v>202</v>
      </c>
    </row>
    <row r="209" spans="1:11" ht="16" customHeight="1">
      <c r="A209" s="77" t="s">
        <v>964</v>
      </c>
      <c r="B209" s="78" t="s">
        <v>54</v>
      </c>
      <c r="C209" s="77" t="s">
        <v>1393</v>
      </c>
      <c r="D209" s="96">
        <v>4.2625745950554133E-5</v>
      </c>
      <c r="E209" s="79">
        <v>2E-3</v>
      </c>
      <c r="F209" s="87">
        <v>1.6000000000000001E-3</v>
      </c>
      <c r="G209" s="79">
        <v>8.8000000000000005E-3</v>
      </c>
      <c r="H209" s="87">
        <v>3.0000000000000001E-3</v>
      </c>
      <c r="I209" s="79">
        <v>8.8000000000000005E-3</v>
      </c>
      <c r="J209" s="79">
        <v>2E-3</v>
      </c>
      <c r="K209" s="83">
        <v>203</v>
      </c>
    </row>
    <row r="210" spans="1:11" ht="16" customHeight="1">
      <c r="A210" s="77" t="s">
        <v>965</v>
      </c>
      <c r="B210" s="78" t="s">
        <v>57</v>
      </c>
      <c r="C210" s="77" t="s">
        <v>1393</v>
      </c>
      <c r="D210" s="96">
        <v>5.3282182438192668E-5</v>
      </c>
      <c r="E210" s="79" t="s">
        <v>223</v>
      </c>
      <c r="F210" s="87">
        <v>2E-3</v>
      </c>
      <c r="G210" s="79" t="s">
        <v>223</v>
      </c>
      <c r="H210" s="84">
        <v>3.8E-3</v>
      </c>
      <c r="I210" s="79" t="s">
        <v>223</v>
      </c>
      <c r="J210" s="79" t="s">
        <v>223</v>
      </c>
      <c r="K210" s="83">
        <v>204</v>
      </c>
    </row>
    <row r="211" spans="1:11" ht="16" customHeight="1">
      <c r="A211" s="77" t="s">
        <v>966</v>
      </c>
      <c r="B211" s="78" t="s">
        <v>967</v>
      </c>
      <c r="C211" s="77" t="s">
        <v>1393</v>
      </c>
      <c r="D211" s="96">
        <v>2.1312872975277068E-6</v>
      </c>
      <c r="E211" s="79" t="s">
        <v>223</v>
      </c>
      <c r="F211" s="97">
        <v>7.8162578162578185E-5</v>
      </c>
      <c r="G211" s="105" t="s">
        <v>223</v>
      </c>
      <c r="H211" s="97">
        <v>1.4999999999999999E-4</v>
      </c>
      <c r="I211" s="79" t="s">
        <v>223</v>
      </c>
      <c r="J211" s="79" t="s">
        <v>223</v>
      </c>
      <c r="K211" s="83">
        <v>205</v>
      </c>
    </row>
    <row r="212" spans="1:11" ht="16" customHeight="1">
      <c r="A212" s="77" t="s">
        <v>969</v>
      </c>
      <c r="B212" s="78" t="s">
        <v>63</v>
      </c>
      <c r="C212" s="77" t="s">
        <v>1393</v>
      </c>
      <c r="D212" s="89">
        <v>4.7000000000000002E-3</v>
      </c>
      <c r="E212" s="79" t="s">
        <v>223</v>
      </c>
      <c r="F212" s="84">
        <v>0.17</v>
      </c>
      <c r="G212" s="79" t="s">
        <v>223</v>
      </c>
      <c r="H212" s="84">
        <v>0.34</v>
      </c>
      <c r="I212" s="79" t="s">
        <v>223</v>
      </c>
      <c r="J212" s="79" t="s">
        <v>223</v>
      </c>
      <c r="K212" s="83">
        <v>206</v>
      </c>
    </row>
    <row r="213" spans="1:11" ht="16" customHeight="1">
      <c r="A213" s="77" t="s">
        <v>970</v>
      </c>
      <c r="B213" s="78" t="s">
        <v>971</v>
      </c>
      <c r="C213" s="77" t="s">
        <v>1393</v>
      </c>
      <c r="D213" s="87">
        <v>1.3999999999999999E-4</v>
      </c>
      <c r="E213" s="79" t="s">
        <v>223</v>
      </c>
      <c r="F213" s="87">
        <v>5.1999999999999998E-3</v>
      </c>
      <c r="G213" s="106" t="s">
        <v>223</v>
      </c>
      <c r="H213" s="87">
        <v>0.01</v>
      </c>
      <c r="I213" s="79" t="s">
        <v>223</v>
      </c>
      <c r="J213" s="79" t="s">
        <v>223</v>
      </c>
      <c r="K213" s="83">
        <v>207</v>
      </c>
    </row>
    <row r="214" spans="1:11" ht="16" customHeight="1">
      <c r="A214" s="77" t="s">
        <v>972</v>
      </c>
      <c r="B214" s="78" t="s">
        <v>66</v>
      </c>
      <c r="C214" s="77" t="s">
        <v>1393</v>
      </c>
      <c r="D214" s="87">
        <v>1.4E-3</v>
      </c>
      <c r="E214" s="79" t="s">
        <v>223</v>
      </c>
      <c r="F214" s="87">
        <v>5.1999999999999998E-2</v>
      </c>
      <c r="G214" s="106" t="s">
        <v>223</v>
      </c>
      <c r="H214" s="87">
        <v>0.1</v>
      </c>
      <c r="I214" s="79" t="s">
        <v>223</v>
      </c>
      <c r="J214" s="79" t="s">
        <v>223</v>
      </c>
      <c r="K214" s="83">
        <v>208</v>
      </c>
    </row>
    <row r="215" spans="1:11" ht="27" customHeight="1">
      <c r="A215" s="77" t="s">
        <v>975</v>
      </c>
      <c r="B215" s="98" t="s">
        <v>73</v>
      </c>
      <c r="C215" s="77" t="s">
        <v>1393</v>
      </c>
      <c r="D215" s="89">
        <v>4.2999999999999999E-4</v>
      </c>
      <c r="E215" s="79" t="s">
        <v>223</v>
      </c>
      <c r="F215" s="84">
        <v>1.6E-2</v>
      </c>
      <c r="G215" s="79" t="s">
        <v>223</v>
      </c>
      <c r="H215" s="84">
        <v>0.03</v>
      </c>
      <c r="I215" s="79" t="s">
        <v>223</v>
      </c>
      <c r="J215" s="79" t="s">
        <v>223</v>
      </c>
      <c r="K215" s="83">
        <v>209</v>
      </c>
    </row>
    <row r="216" spans="1:11" ht="16" customHeight="1">
      <c r="A216" s="77" t="s">
        <v>976</v>
      </c>
      <c r="B216" s="78" t="s">
        <v>977</v>
      </c>
      <c r="C216" s="77" t="s">
        <v>1393</v>
      </c>
      <c r="D216" s="96">
        <v>1.1E-4</v>
      </c>
      <c r="E216" s="79" t="s">
        <v>223</v>
      </c>
      <c r="F216" s="89">
        <v>3.8999999999999998E-3</v>
      </c>
      <c r="G216" s="79" t="s">
        <v>223</v>
      </c>
      <c r="H216" s="89">
        <v>7.6E-3</v>
      </c>
      <c r="I216" s="79" t="s">
        <v>223</v>
      </c>
      <c r="J216" s="79" t="s">
        <v>223</v>
      </c>
      <c r="K216" s="83">
        <v>210</v>
      </c>
    </row>
    <row r="217" spans="1:11" ht="16" customHeight="1">
      <c r="A217" s="77" t="s">
        <v>984</v>
      </c>
      <c r="B217" s="78" t="s">
        <v>76</v>
      </c>
      <c r="C217" s="77" t="s">
        <v>1393</v>
      </c>
      <c r="D217" s="89">
        <v>4.2625745950554137E-6</v>
      </c>
      <c r="E217" s="79" t="s">
        <v>223</v>
      </c>
      <c r="F217" s="89">
        <v>1.6000000000000001E-4</v>
      </c>
      <c r="G217" s="79" t="s">
        <v>223</v>
      </c>
      <c r="H217" s="87">
        <v>2.9999999999999997E-4</v>
      </c>
      <c r="I217" s="79" t="s">
        <v>223</v>
      </c>
      <c r="J217" s="79" t="s">
        <v>223</v>
      </c>
      <c r="K217" s="83">
        <v>211</v>
      </c>
    </row>
    <row r="218" spans="1:11" ht="16" customHeight="1">
      <c r="A218" s="77" t="s">
        <v>987</v>
      </c>
      <c r="B218" s="78" t="s">
        <v>988</v>
      </c>
      <c r="C218" s="77" t="s">
        <v>1393</v>
      </c>
      <c r="D218" s="94">
        <v>1.1E-4</v>
      </c>
      <c r="E218" s="79" t="s">
        <v>223</v>
      </c>
      <c r="F218" s="87">
        <v>3.8999999999999998E-3</v>
      </c>
      <c r="G218" s="79" t="s">
        <v>223</v>
      </c>
      <c r="H218" s="87">
        <v>7.6E-3</v>
      </c>
      <c r="I218" s="79" t="s">
        <v>223</v>
      </c>
      <c r="J218" s="79" t="s">
        <v>223</v>
      </c>
      <c r="K218" s="83">
        <v>212</v>
      </c>
    </row>
    <row r="219" spans="1:11" ht="16" customHeight="1">
      <c r="A219" s="77" t="s">
        <v>989</v>
      </c>
      <c r="B219" s="78" t="s">
        <v>990</v>
      </c>
      <c r="C219" s="77" t="s">
        <v>1393</v>
      </c>
      <c r="D219" s="94">
        <v>4.7361939945060156E-5</v>
      </c>
      <c r="E219" s="79" t="s">
        <v>223</v>
      </c>
      <c r="F219" s="89">
        <v>1.6999999999999999E-3</v>
      </c>
      <c r="G219" s="79" t="s">
        <v>223</v>
      </c>
      <c r="H219" s="87">
        <v>3.3999999999999998E-3</v>
      </c>
      <c r="I219" s="79" t="s">
        <v>223</v>
      </c>
      <c r="J219" s="79" t="s">
        <v>223</v>
      </c>
      <c r="K219" s="83">
        <v>213</v>
      </c>
    </row>
    <row r="220" spans="1:11" ht="16" customHeight="1">
      <c r="A220" s="77" t="s">
        <v>991</v>
      </c>
      <c r="B220" s="78" t="s">
        <v>992</v>
      </c>
      <c r="C220" s="77" t="s">
        <v>1393</v>
      </c>
      <c r="D220" s="96">
        <v>7.1042909917590224E-5</v>
      </c>
      <c r="E220" s="79" t="s">
        <v>223</v>
      </c>
      <c r="F220" s="94">
        <v>2.5999999999999999E-3</v>
      </c>
      <c r="G220" s="79" t="s">
        <v>223</v>
      </c>
      <c r="H220" s="89">
        <v>5.1000000000000004E-3</v>
      </c>
      <c r="I220" s="79" t="s">
        <v>223</v>
      </c>
      <c r="J220" s="79" t="s">
        <v>223</v>
      </c>
      <c r="K220" s="83">
        <v>214</v>
      </c>
    </row>
    <row r="221" spans="1:11" ht="16" customHeight="1">
      <c r="A221" s="77" t="s">
        <v>993</v>
      </c>
      <c r="B221" s="78" t="s">
        <v>994</v>
      </c>
      <c r="C221" s="77" t="s">
        <v>1393</v>
      </c>
      <c r="D221" s="97">
        <v>1.4208581983518046E-6</v>
      </c>
      <c r="E221" s="79" t="s">
        <v>223</v>
      </c>
      <c r="F221" s="97">
        <v>5.2108385441718781E-5</v>
      </c>
      <c r="G221" s="79" t="s">
        <v>223</v>
      </c>
      <c r="H221" s="84">
        <v>1E-4</v>
      </c>
      <c r="I221" s="79" t="s">
        <v>223</v>
      </c>
      <c r="J221" s="79" t="s">
        <v>223</v>
      </c>
      <c r="K221" s="83">
        <v>215</v>
      </c>
    </row>
    <row r="222" spans="1:11" ht="16" customHeight="1">
      <c r="A222" s="77" t="s">
        <v>995</v>
      </c>
      <c r="B222" s="78" t="s">
        <v>79</v>
      </c>
      <c r="C222" s="77" t="s">
        <v>1393</v>
      </c>
      <c r="D222" s="94">
        <v>5.2999999999999998E-4</v>
      </c>
      <c r="E222" s="79" t="s">
        <v>223</v>
      </c>
      <c r="F222" s="87">
        <v>0.02</v>
      </c>
      <c r="G222" s="79" t="s">
        <v>223</v>
      </c>
      <c r="H222" s="87">
        <v>3.7999999999999999E-2</v>
      </c>
      <c r="I222" s="79" t="s">
        <v>223</v>
      </c>
      <c r="J222" s="79" t="s">
        <v>223</v>
      </c>
      <c r="K222" s="83">
        <v>216</v>
      </c>
    </row>
    <row r="223" spans="1:11" ht="16" customHeight="1">
      <c r="A223" s="107" t="s">
        <v>997</v>
      </c>
      <c r="B223" s="78" t="s">
        <v>85</v>
      </c>
      <c r="C223" s="79" t="s">
        <v>1393</v>
      </c>
      <c r="D223" s="96">
        <v>6.0999999999999997E-4</v>
      </c>
      <c r="E223" s="79" t="s">
        <v>223</v>
      </c>
      <c r="F223" s="89">
        <v>2.1999999999999999E-2</v>
      </c>
      <c r="G223" s="79" t="s">
        <v>223</v>
      </c>
      <c r="H223" s="89">
        <v>4.2999999999999997E-2</v>
      </c>
      <c r="I223" s="79" t="s">
        <v>223</v>
      </c>
      <c r="J223" s="79" t="s">
        <v>223</v>
      </c>
      <c r="K223" s="83">
        <v>217</v>
      </c>
    </row>
    <row r="224" spans="1:11" ht="16" customHeight="1">
      <c r="A224" s="107" t="s">
        <v>1016</v>
      </c>
      <c r="B224" s="78" t="s">
        <v>1017</v>
      </c>
      <c r="C224" s="79" t="s">
        <v>1393</v>
      </c>
      <c r="D224" s="97">
        <v>4.2625745950554133E-5</v>
      </c>
      <c r="E224" s="79" t="s">
        <v>223</v>
      </c>
      <c r="F224" s="80">
        <v>1.6000000000000001E-3</v>
      </c>
      <c r="G224" s="79" t="s">
        <v>223</v>
      </c>
      <c r="H224" s="84">
        <v>3.0000000000000001E-3</v>
      </c>
      <c r="I224" s="79" t="s">
        <v>223</v>
      </c>
      <c r="J224" s="79" t="s">
        <v>223</v>
      </c>
      <c r="K224" s="83">
        <v>218</v>
      </c>
    </row>
    <row r="225" spans="1:11" ht="16" customHeight="1">
      <c r="A225" s="77" t="s">
        <v>1020</v>
      </c>
      <c r="B225" s="78" t="s">
        <v>1021</v>
      </c>
      <c r="C225" s="79" t="s">
        <v>1393</v>
      </c>
      <c r="D225" s="97">
        <v>4.2625745950554137E-6</v>
      </c>
      <c r="E225" s="79" t="s">
        <v>223</v>
      </c>
      <c r="F225" s="84">
        <v>1.6000000000000001E-4</v>
      </c>
      <c r="G225" s="79" t="s">
        <v>223</v>
      </c>
      <c r="H225" s="84">
        <v>2.9999999999999997E-4</v>
      </c>
      <c r="I225" s="79" t="s">
        <v>223</v>
      </c>
      <c r="J225" s="79" t="s">
        <v>223</v>
      </c>
      <c r="K225" s="83">
        <v>219</v>
      </c>
    </row>
    <row r="226" spans="1:11" ht="16" customHeight="1">
      <c r="A226" s="77" t="s">
        <v>1032</v>
      </c>
      <c r="B226" s="78" t="s">
        <v>1033</v>
      </c>
      <c r="C226" s="79"/>
      <c r="D226" s="79">
        <v>7.1000000000000004E-3</v>
      </c>
      <c r="E226" s="81" t="s">
        <v>223</v>
      </c>
      <c r="F226" s="79">
        <v>0.19</v>
      </c>
      <c r="G226" s="82" t="s">
        <v>223</v>
      </c>
      <c r="H226" s="79">
        <v>8.5999999999999993E-2</v>
      </c>
      <c r="I226" s="82" t="s">
        <v>223</v>
      </c>
      <c r="J226" s="79" t="s">
        <v>223</v>
      </c>
      <c r="K226" s="83">
        <v>220</v>
      </c>
    </row>
    <row r="227" spans="1:11" ht="16" customHeight="1">
      <c r="A227" s="77" t="s">
        <v>1038</v>
      </c>
      <c r="B227" s="78" t="s">
        <v>1039</v>
      </c>
      <c r="C227" s="79"/>
      <c r="D227" s="79">
        <v>1.4E-3</v>
      </c>
      <c r="E227" s="85" t="s">
        <v>223</v>
      </c>
      <c r="F227" s="79">
        <v>3.7999999999999999E-2</v>
      </c>
      <c r="G227" s="85" t="s">
        <v>223</v>
      </c>
      <c r="H227" s="79">
        <v>1.7000000000000001E-2</v>
      </c>
      <c r="I227" s="85" t="s">
        <v>223</v>
      </c>
      <c r="J227" s="79" t="s">
        <v>223</v>
      </c>
      <c r="K227" s="83">
        <v>221</v>
      </c>
    </row>
    <row r="228" spans="1:11" ht="16" customHeight="1">
      <c r="A228" s="77" t="s">
        <v>1042</v>
      </c>
      <c r="B228" s="78" t="s">
        <v>1043</v>
      </c>
      <c r="C228" s="79"/>
      <c r="D228" s="79" t="s">
        <v>223</v>
      </c>
      <c r="E228" s="80">
        <v>8</v>
      </c>
      <c r="F228" s="79" t="s">
        <v>223</v>
      </c>
      <c r="G228" s="81">
        <v>35</v>
      </c>
      <c r="H228" s="79" t="s">
        <v>223</v>
      </c>
      <c r="I228" s="81">
        <v>35</v>
      </c>
      <c r="J228" s="82" t="s">
        <v>223</v>
      </c>
      <c r="K228" s="83">
        <v>222</v>
      </c>
    </row>
    <row r="229" spans="1:11" ht="27" customHeight="1">
      <c r="A229" s="77" t="s">
        <v>1046</v>
      </c>
      <c r="B229" s="78" t="s">
        <v>1047</v>
      </c>
      <c r="C229" s="79"/>
      <c r="D229" s="79" t="s">
        <v>223</v>
      </c>
      <c r="E229" s="85">
        <v>3000</v>
      </c>
      <c r="F229" s="79" t="s">
        <v>223</v>
      </c>
      <c r="G229" s="85">
        <v>13000</v>
      </c>
      <c r="H229" s="79" t="s">
        <v>223</v>
      </c>
      <c r="I229" s="85">
        <v>13000</v>
      </c>
      <c r="J229" s="79" t="s">
        <v>223</v>
      </c>
      <c r="K229" s="83">
        <v>223</v>
      </c>
    </row>
    <row r="230" spans="1:11" ht="16" customHeight="1">
      <c r="A230" s="77" t="s">
        <v>1048</v>
      </c>
      <c r="B230" s="78" t="s">
        <v>1049</v>
      </c>
      <c r="C230" s="79"/>
      <c r="D230" s="80" t="s">
        <v>223</v>
      </c>
      <c r="E230" s="80">
        <v>0.27</v>
      </c>
      <c r="F230" s="81" t="s">
        <v>223</v>
      </c>
      <c r="G230" s="81">
        <v>1.2</v>
      </c>
      <c r="H230" s="81" t="s">
        <v>223</v>
      </c>
      <c r="I230" s="81">
        <v>1.2</v>
      </c>
      <c r="J230" s="85">
        <v>20</v>
      </c>
      <c r="K230" s="83">
        <v>224</v>
      </c>
    </row>
    <row r="231" spans="1:11" ht="16" customHeight="1">
      <c r="A231" s="79" t="s">
        <v>1050</v>
      </c>
      <c r="B231" s="78" t="s">
        <v>1051</v>
      </c>
      <c r="C231" s="77"/>
      <c r="D231" s="79" t="s">
        <v>223</v>
      </c>
      <c r="E231" s="82">
        <v>7000</v>
      </c>
      <c r="F231" s="108" t="s">
        <v>223</v>
      </c>
      <c r="G231" s="82">
        <v>31000</v>
      </c>
      <c r="H231" s="108" t="s">
        <v>223</v>
      </c>
      <c r="I231" s="82">
        <v>31000</v>
      </c>
      <c r="J231" s="79" t="s">
        <v>223</v>
      </c>
      <c r="K231" s="83">
        <v>225</v>
      </c>
    </row>
    <row r="232" spans="1:11" ht="16" customHeight="1">
      <c r="A232" s="109" t="s">
        <v>1054</v>
      </c>
      <c r="B232" s="78" t="s">
        <v>1055</v>
      </c>
      <c r="C232" s="79"/>
      <c r="D232" s="79">
        <v>0.27</v>
      </c>
      <c r="E232" s="79">
        <v>30</v>
      </c>
      <c r="F232" s="79">
        <v>7</v>
      </c>
      <c r="G232" s="79">
        <v>130</v>
      </c>
      <c r="H232" s="79">
        <v>3.2</v>
      </c>
      <c r="I232" s="79">
        <v>130</v>
      </c>
      <c r="J232" s="81">
        <v>3100</v>
      </c>
      <c r="K232" s="83">
        <v>226</v>
      </c>
    </row>
    <row r="233" spans="1:11" ht="16" customHeight="1">
      <c r="A233" s="77" t="s">
        <v>1394</v>
      </c>
      <c r="B233" s="78" t="s">
        <v>1068</v>
      </c>
      <c r="C233" s="77" t="s">
        <v>1373</v>
      </c>
      <c r="D233" s="79" t="s">
        <v>223</v>
      </c>
      <c r="E233" s="80">
        <v>0.03</v>
      </c>
      <c r="F233" s="79" t="s">
        <v>223</v>
      </c>
      <c r="G233" s="80">
        <v>0.13</v>
      </c>
      <c r="H233" s="104" t="s">
        <v>223</v>
      </c>
      <c r="I233" s="80">
        <v>0.13</v>
      </c>
      <c r="J233" s="82" t="s">
        <v>223</v>
      </c>
      <c r="K233" s="83">
        <v>227</v>
      </c>
    </row>
    <row r="234" spans="1:11" ht="16" customHeight="1">
      <c r="A234" s="77" t="s">
        <v>1074</v>
      </c>
      <c r="B234" s="78" t="s">
        <v>1075</v>
      </c>
      <c r="C234" s="77"/>
      <c r="D234" s="79" t="s">
        <v>223</v>
      </c>
      <c r="E234" s="80" t="s">
        <v>223</v>
      </c>
      <c r="F234" s="79" t="s">
        <v>223</v>
      </c>
      <c r="G234" s="81" t="s">
        <v>223</v>
      </c>
      <c r="H234" s="79" t="s">
        <v>223</v>
      </c>
      <c r="I234" s="81" t="s">
        <v>223</v>
      </c>
      <c r="J234" s="79">
        <v>5</v>
      </c>
      <c r="K234" s="83">
        <v>228</v>
      </c>
    </row>
    <row r="235" spans="1:11" ht="27" customHeight="1">
      <c r="A235" s="77" t="s">
        <v>1076</v>
      </c>
      <c r="B235" s="78" t="s">
        <v>1077</v>
      </c>
      <c r="C235" s="79" t="s">
        <v>1372</v>
      </c>
      <c r="D235" s="79" t="s">
        <v>223</v>
      </c>
      <c r="E235" s="81" t="s">
        <v>223</v>
      </c>
      <c r="F235" s="79" t="s">
        <v>223</v>
      </c>
      <c r="G235" s="82" t="s">
        <v>223</v>
      </c>
      <c r="H235" s="79" t="s">
        <v>223</v>
      </c>
      <c r="I235" s="82" t="s">
        <v>223</v>
      </c>
      <c r="J235" s="79">
        <v>2</v>
      </c>
      <c r="K235" s="83">
        <v>229</v>
      </c>
    </row>
    <row r="236" spans="1:11" ht="16" customHeight="1">
      <c r="A236" s="77" t="s">
        <v>1080</v>
      </c>
      <c r="B236" s="78" t="s">
        <v>1081</v>
      </c>
      <c r="C236" s="79"/>
      <c r="D236" s="79" t="s">
        <v>223</v>
      </c>
      <c r="E236" s="79">
        <v>3</v>
      </c>
      <c r="F236" s="79" t="s">
        <v>223</v>
      </c>
      <c r="G236" s="79">
        <v>13</v>
      </c>
      <c r="H236" s="79" t="s">
        <v>223</v>
      </c>
      <c r="I236" s="79">
        <v>13</v>
      </c>
      <c r="J236" s="81" t="s">
        <v>223</v>
      </c>
      <c r="K236" s="83">
        <v>230</v>
      </c>
    </row>
    <row r="237" spans="1:11" ht="16" customHeight="1">
      <c r="A237" s="77" t="s">
        <v>1085</v>
      </c>
      <c r="B237" s="78" t="s">
        <v>1086</v>
      </c>
      <c r="C237" s="79"/>
      <c r="D237" s="79" t="s">
        <v>223</v>
      </c>
      <c r="E237" s="85" t="s">
        <v>223</v>
      </c>
      <c r="F237" s="79" t="s">
        <v>223</v>
      </c>
      <c r="G237" s="85" t="s">
        <v>223</v>
      </c>
      <c r="H237" s="79" t="s">
        <v>223</v>
      </c>
      <c r="I237" s="85" t="s">
        <v>223</v>
      </c>
      <c r="J237" s="85">
        <v>8</v>
      </c>
      <c r="K237" s="83">
        <v>231</v>
      </c>
    </row>
    <row r="238" spans="1:11" ht="16" customHeight="1">
      <c r="A238" s="77" t="s">
        <v>1091</v>
      </c>
      <c r="B238" s="78" t="s">
        <v>1092</v>
      </c>
      <c r="C238" s="79"/>
      <c r="D238" s="79" t="s">
        <v>223</v>
      </c>
      <c r="E238" s="81">
        <v>1000</v>
      </c>
      <c r="F238" s="79" t="s">
        <v>223</v>
      </c>
      <c r="G238" s="81">
        <v>4400</v>
      </c>
      <c r="H238" s="79" t="s">
        <v>223</v>
      </c>
      <c r="I238" s="81">
        <v>4400</v>
      </c>
      <c r="J238" s="82">
        <v>21000</v>
      </c>
      <c r="K238" s="83">
        <v>232</v>
      </c>
    </row>
    <row r="239" spans="1:11" ht="16" customHeight="1">
      <c r="A239" s="77" t="s">
        <v>1097</v>
      </c>
      <c r="B239" s="78" t="s">
        <v>1098</v>
      </c>
      <c r="C239" s="79"/>
      <c r="D239" s="79" t="s">
        <v>223</v>
      </c>
      <c r="E239" s="79">
        <v>1</v>
      </c>
      <c r="F239" s="79" t="s">
        <v>223</v>
      </c>
      <c r="G239" s="79">
        <v>4.4000000000000004</v>
      </c>
      <c r="H239" s="79" t="s">
        <v>223</v>
      </c>
      <c r="I239" s="79">
        <v>4.4000000000000004</v>
      </c>
      <c r="J239" s="80">
        <v>120</v>
      </c>
      <c r="K239" s="83">
        <v>233</v>
      </c>
    </row>
    <row r="240" spans="1:11" ht="16" customHeight="1">
      <c r="A240" s="77" t="s">
        <v>1099</v>
      </c>
      <c r="B240" s="78" t="s">
        <v>1395</v>
      </c>
      <c r="C240" s="79"/>
      <c r="D240" s="79" t="s">
        <v>223</v>
      </c>
      <c r="E240" s="81" t="s">
        <v>223</v>
      </c>
      <c r="F240" s="79" t="s">
        <v>223</v>
      </c>
      <c r="G240" s="81" t="s">
        <v>223</v>
      </c>
      <c r="H240" s="79" t="s">
        <v>223</v>
      </c>
      <c r="I240" s="81" t="s">
        <v>223</v>
      </c>
      <c r="J240" s="81">
        <v>0.7</v>
      </c>
      <c r="K240" s="83">
        <v>234</v>
      </c>
    </row>
    <row r="241" spans="1:11" ht="16" customHeight="1">
      <c r="A241" s="77" t="s">
        <v>1101</v>
      </c>
      <c r="B241" s="78" t="s">
        <v>1102</v>
      </c>
      <c r="C241" s="79"/>
      <c r="D241" s="80" t="s">
        <v>223</v>
      </c>
      <c r="E241" s="79">
        <v>1</v>
      </c>
      <c r="F241" s="81" t="s">
        <v>223</v>
      </c>
      <c r="G241" s="79">
        <v>4.4000000000000004</v>
      </c>
      <c r="H241" s="81" t="s">
        <v>223</v>
      </c>
      <c r="I241" s="79">
        <v>4.4000000000000004</v>
      </c>
      <c r="J241" s="79">
        <v>120</v>
      </c>
      <c r="K241" s="83">
        <v>235</v>
      </c>
    </row>
    <row r="242" spans="1:11" ht="16" customHeight="1">
      <c r="A242" s="77" t="s">
        <v>1108</v>
      </c>
      <c r="B242" s="78" t="s">
        <v>1109</v>
      </c>
      <c r="C242" s="79"/>
      <c r="D242" s="84">
        <v>0.14000000000000001</v>
      </c>
      <c r="E242" s="79" t="s">
        <v>223</v>
      </c>
      <c r="F242" s="80">
        <v>3.5</v>
      </c>
      <c r="G242" s="79" t="s">
        <v>223</v>
      </c>
      <c r="H242" s="80">
        <v>1.6</v>
      </c>
      <c r="I242" s="79" t="s">
        <v>223</v>
      </c>
      <c r="J242" s="79" t="s">
        <v>223</v>
      </c>
      <c r="K242" s="83">
        <v>236</v>
      </c>
    </row>
    <row r="243" spans="1:11" ht="27" customHeight="1">
      <c r="A243" s="77" t="s">
        <v>1110</v>
      </c>
      <c r="B243" s="78" t="s">
        <v>1111</v>
      </c>
      <c r="C243" s="79"/>
      <c r="D243" s="84">
        <v>1.7000000000000001E-2</v>
      </c>
      <c r="E243" s="84" t="s">
        <v>223</v>
      </c>
      <c r="F243" s="84">
        <v>0.45</v>
      </c>
      <c r="G243" s="84" t="s">
        <v>223</v>
      </c>
      <c r="H243" s="84">
        <v>0.21</v>
      </c>
      <c r="I243" s="82" t="s">
        <v>223</v>
      </c>
      <c r="J243" s="82" t="s">
        <v>223</v>
      </c>
      <c r="K243" s="83">
        <v>237</v>
      </c>
    </row>
    <row r="244" spans="1:11" ht="16" customHeight="1">
      <c r="A244" s="77" t="s">
        <v>1112</v>
      </c>
      <c r="B244" s="78" t="s">
        <v>1113</v>
      </c>
      <c r="C244" s="79"/>
      <c r="D244" s="79">
        <v>3.8</v>
      </c>
      <c r="E244" s="85">
        <v>41</v>
      </c>
      <c r="F244" s="79">
        <v>100</v>
      </c>
      <c r="G244" s="85">
        <v>180</v>
      </c>
      <c r="H244" s="79">
        <v>46</v>
      </c>
      <c r="I244" s="85">
        <v>180</v>
      </c>
      <c r="J244" s="79">
        <v>41</v>
      </c>
      <c r="K244" s="83">
        <v>238</v>
      </c>
    </row>
    <row r="245" spans="1:11" ht="16" customHeight="1">
      <c r="A245" s="77" t="s">
        <v>1116</v>
      </c>
      <c r="B245" s="78" t="s">
        <v>1117</v>
      </c>
      <c r="C245" s="79"/>
      <c r="D245" s="89" t="s">
        <v>223</v>
      </c>
      <c r="E245" s="79">
        <v>80000</v>
      </c>
      <c r="F245" s="84" t="s">
        <v>223</v>
      </c>
      <c r="G245" s="79">
        <v>350000</v>
      </c>
      <c r="H245" s="87" t="s">
        <v>223</v>
      </c>
      <c r="I245" s="79">
        <v>350000</v>
      </c>
      <c r="J245" s="79" t="s">
        <v>223</v>
      </c>
      <c r="K245" s="83">
        <v>239</v>
      </c>
    </row>
    <row r="246" spans="1:11" ht="16" customHeight="1">
      <c r="A246" s="77" t="s">
        <v>1120</v>
      </c>
      <c r="B246" s="78" t="s">
        <v>1121</v>
      </c>
      <c r="C246" s="79"/>
      <c r="D246" s="79">
        <v>5.9000000000000003E-4</v>
      </c>
      <c r="E246" s="80" t="s">
        <v>223</v>
      </c>
      <c r="F246" s="79">
        <v>1.4999999999999999E-2</v>
      </c>
      <c r="G246" s="80" t="s">
        <v>223</v>
      </c>
      <c r="H246" s="79">
        <v>7.1000000000000004E-3</v>
      </c>
      <c r="I246" s="80" t="s">
        <v>223</v>
      </c>
      <c r="J246" s="82" t="s">
        <v>223</v>
      </c>
      <c r="K246" s="83">
        <v>240</v>
      </c>
    </row>
    <row r="247" spans="1:11" ht="16" customHeight="1">
      <c r="A247" s="77" t="s">
        <v>1126</v>
      </c>
      <c r="B247" s="78" t="s">
        <v>1127</v>
      </c>
      <c r="C247" s="79"/>
      <c r="D247" s="79" t="s">
        <v>223</v>
      </c>
      <c r="E247" s="110">
        <v>0.1</v>
      </c>
      <c r="F247" s="111" t="s">
        <v>223</v>
      </c>
      <c r="G247" s="110">
        <v>0.44</v>
      </c>
      <c r="H247" s="111" t="s">
        <v>223</v>
      </c>
      <c r="I247" s="110">
        <v>0.44</v>
      </c>
      <c r="J247" s="85">
        <v>10</v>
      </c>
      <c r="K247" s="83">
        <v>241</v>
      </c>
    </row>
    <row r="248" spans="1:11" ht="27" customHeight="1">
      <c r="A248" s="77" t="s">
        <v>1128</v>
      </c>
      <c r="B248" s="98" t="s">
        <v>1129</v>
      </c>
      <c r="C248" s="79"/>
      <c r="D248" s="84" t="s">
        <v>223</v>
      </c>
      <c r="E248" s="82">
        <v>5000</v>
      </c>
      <c r="F248" s="82" t="s">
        <v>223</v>
      </c>
      <c r="G248" s="82">
        <v>22000</v>
      </c>
      <c r="H248" s="82" t="s">
        <v>223</v>
      </c>
      <c r="I248" s="82">
        <v>22000</v>
      </c>
      <c r="J248" s="82">
        <v>7500</v>
      </c>
      <c r="K248" s="83">
        <v>242</v>
      </c>
    </row>
    <row r="249" spans="1:11" ht="37" customHeight="1">
      <c r="A249" s="77" t="s">
        <v>1130</v>
      </c>
      <c r="B249" s="78" t="s">
        <v>1131</v>
      </c>
      <c r="C249" s="79"/>
      <c r="D249" s="87">
        <v>9.0999999999999998E-2</v>
      </c>
      <c r="E249" s="79">
        <v>2.1000000000000001E-2</v>
      </c>
      <c r="F249" s="84">
        <v>2.4</v>
      </c>
      <c r="G249" s="79">
        <v>9.1999999999999998E-2</v>
      </c>
      <c r="H249" s="84">
        <v>1.1000000000000001</v>
      </c>
      <c r="I249" s="79">
        <v>9.1999999999999998E-2</v>
      </c>
      <c r="J249" s="79">
        <v>7.0999999999999994E-2</v>
      </c>
      <c r="K249" s="83">
        <v>243</v>
      </c>
    </row>
    <row r="250" spans="1:11" ht="27" customHeight="1">
      <c r="A250" s="77" t="s">
        <v>1156</v>
      </c>
      <c r="B250" s="78" t="s">
        <v>1157</v>
      </c>
      <c r="C250" s="79"/>
      <c r="D250" s="79">
        <v>3.0999999999999999E-3</v>
      </c>
      <c r="E250" s="85" t="s">
        <v>223</v>
      </c>
      <c r="F250" s="79">
        <v>8.1000000000000003E-2</v>
      </c>
      <c r="G250" s="85" t="s">
        <v>223</v>
      </c>
      <c r="H250" s="79">
        <v>3.7999999999999999E-2</v>
      </c>
      <c r="I250" s="85" t="s">
        <v>223</v>
      </c>
      <c r="J250" s="85" t="s">
        <v>223</v>
      </c>
      <c r="K250" s="83">
        <v>244</v>
      </c>
    </row>
    <row r="251" spans="1:11" ht="27" customHeight="1">
      <c r="A251" s="77" t="s">
        <v>1162</v>
      </c>
      <c r="B251" s="78" t="s">
        <v>1163</v>
      </c>
      <c r="C251" s="79"/>
      <c r="D251" s="84" t="s">
        <v>223</v>
      </c>
      <c r="E251" s="79">
        <v>5000</v>
      </c>
      <c r="F251" s="81" t="s">
        <v>223</v>
      </c>
      <c r="G251" s="79">
        <v>22000</v>
      </c>
      <c r="H251" s="80" t="s">
        <v>223</v>
      </c>
      <c r="I251" s="79">
        <v>22000</v>
      </c>
      <c r="J251" s="79">
        <v>11000</v>
      </c>
      <c r="K251" s="83">
        <v>245</v>
      </c>
    </row>
    <row r="252" spans="1:11" ht="27" customHeight="1">
      <c r="A252" s="112" t="s">
        <v>1164</v>
      </c>
      <c r="B252" s="78" t="s">
        <v>1165</v>
      </c>
      <c r="C252" s="77"/>
      <c r="D252" s="84">
        <v>6.3E-2</v>
      </c>
      <c r="E252" s="81" t="s">
        <v>223</v>
      </c>
      <c r="F252" s="81">
        <v>1.6</v>
      </c>
      <c r="G252" s="81" t="s">
        <v>223</v>
      </c>
      <c r="H252" s="80">
        <v>0.75</v>
      </c>
      <c r="I252" s="81" t="s">
        <v>223</v>
      </c>
      <c r="J252" s="81" t="s">
        <v>223</v>
      </c>
      <c r="K252" s="83">
        <v>246</v>
      </c>
    </row>
    <row r="253" spans="1:11" ht="16" customHeight="1">
      <c r="A253" s="112" t="s">
        <v>1166</v>
      </c>
      <c r="B253" s="78" t="s">
        <v>1167</v>
      </c>
      <c r="C253" s="79" t="s">
        <v>1371</v>
      </c>
      <c r="D253" s="80">
        <v>0.2</v>
      </c>
      <c r="E253" s="79">
        <v>2.1</v>
      </c>
      <c r="F253" s="81">
        <v>3.5</v>
      </c>
      <c r="G253" s="79">
        <v>9.1999999999999993</v>
      </c>
      <c r="H253" s="81">
        <v>2.9</v>
      </c>
      <c r="I253" s="79">
        <v>9.1999999999999993</v>
      </c>
      <c r="J253" s="79">
        <v>2.1</v>
      </c>
      <c r="K253" s="83">
        <v>247</v>
      </c>
    </row>
    <row r="254" spans="1:11" ht="16" customHeight="1">
      <c r="A254" s="77" t="s">
        <v>1172</v>
      </c>
      <c r="B254" s="78" t="s">
        <v>1173</v>
      </c>
      <c r="C254" s="79"/>
      <c r="D254" s="79">
        <v>0.05</v>
      </c>
      <c r="E254" s="80" t="s">
        <v>223</v>
      </c>
      <c r="F254" s="79">
        <v>1.3</v>
      </c>
      <c r="G254" s="81" t="s">
        <v>223</v>
      </c>
      <c r="H254" s="79">
        <v>0.6</v>
      </c>
      <c r="I254" s="81" t="s">
        <v>223</v>
      </c>
      <c r="J254" s="81" t="s">
        <v>223</v>
      </c>
      <c r="K254" s="83">
        <v>248</v>
      </c>
    </row>
    <row r="255" spans="1:11" ht="16" customHeight="1">
      <c r="A255" s="77" t="s">
        <v>1174</v>
      </c>
      <c r="B255" s="78" t="s">
        <v>1175</v>
      </c>
      <c r="C255" s="79"/>
      <c r="D255" s="79" t="s">
        <v>223</v>
      </c>
      <c r="E255" s="81">
        <v>0.3</v>
      </c>
      <c r="F255" s="79" t="s">
        <v>223</v>
      </c>
      <c r="G255" s="81">
        <v>1.3</v>
      </c>
      <c r="H255" s="79" t="s">
        <v>223</v>
      </c>
      <c r="I255" s="81">
        <v>1.3</v>
      </c>
      <c r="J255" s="113">
        <v>1.8</v>
      </c>
      <c r="K255" s="83">
        <v>249</v>
      </c>
    </row>
    <row r="256" spans="1:11" ht="16" customHeight="1">
      <c r="A256" s="77" t="s">
        <v>1178</v>
      </c>
      <c r="B256" s="78" t="s">
        <v>1179</v>
      </c>
      <c r="C256" s="79"/>
      <c r="D256" s="79" t="s">
        <v>223</v>
      </c>
      <c r="E256" s="82">
        <v>200</v>
      </c>
      <c r="F256" s="79" t="s">
        <v>223</v>
      </c>
      <c r="G256" s="82">
        <v>880</v>
      </c>
      <c r="H256" s="79" t="s">
        <v>223</v>
      </c>
      <c r="I256" s="82">
        <v>880</v>
      </c>
      <c r="J256" s="79">
        <v>2800</v>
      </c>
      <c r="K256" s="83">
        <v>250</v>
      </c>
    </row>
    <row r="257" spans="1:11" ht="16" customHeight="1">
      <c r="A257" s="77" t="s">
        <v>1192</v>
      </c>
      <c r="B257" s="78" t="s">
        <v>1193</v>
      </c>
      <c r="C257" s="79"/>
      <c r="D257" s="79" t="s">
        <v>223</v>
      </c>
      <c r="E257" s="82">
        <v>60</v>
      </c>
      <c r="F257" s="79" t="s">
        <v>223</v>
      </c>
      <c r="G257" s="82">
        <v>260</v>
      </c>
      <c r="H257" s="79" t="s">
        <v>223</v>
      </c>
      <c r="I257" s="82">
        <v>260</v>
      </c>
      <c r="J257" s="79" t="s">
        <v>223</v>
      </c>
      <c r="K257" s="83">
        <v>251</v>
      </c>
    </row>
    <row r="258" spans="1:11" ht="16" customHeight="1">
      <c r="A258" s="77" t="s">
        <v>1194</v>
      </c>
      <c r="B258" s="78" t="s">
        <v>1195</v>
      </c>
      <c r="C258" s="79"/>
      <c r="D258" s="79" t="s">
        <v>223</v>
      </c>
      <c r="E258" s="82">
        <v>60</v>
      </c>
      <c r="F258" s="79" t="s">
        <v>223</v>
      </c>
      <c r="G258" s="82">
        <v>260</v>
      </c>
      <c r="H258" s="79" t="s">
        <v>223</v>
      </c>
      <c r="I258" s="82">
        <v>260</v>
      </c>
      <c r="J258" s="79" t="s">
        <v>223</v>
      </c>
      <c r="K258" s="83">
        <v>252</v>
      </c>
    </row>
    <row r="259" spans="1:11" ht="16" customHeight="1">
      <c r="A259" s="77" t="s">
        <v>1196</v>
      </c>
      <c r="B259" s="78" t="s">
        <v>1197</v>
      </c>
      <c r="C259" s="79"/>
      <c r="D259" s="87" t="s">
        <v>223</v>
      </c>
      <c r="E259" s="79">
        <v>60</v>
      </c>
      <c r="F259" s="84" t="s">
        <v>223</v>
      </c>
      <c r="G259" s="79">
        <v>260</v>
      </c>
      <c r="H259" s="84" t="s">
        <v>223</v>
      </c>
      <c r="I259" s="79">
        <v>260</v>
      </c>
      <c r="J259" s="79" t="s">
        <v>223</v>
      </c>
      <c r="K259" s="83">
        <v>253</v>
      </c>
    </row>
    <row r="260" spans="1:11" ht="16" customHeight="1">
      <c r="A260" s="77" t="s">
        <v>1204</v>
      </c>
      <c r="B260" s="78" t="s">
        <v>1205</v>
      </c>
      <c r="C260" s="79" t="s">
        <v>1371</v>
      </c>
      <c r="D260" s="79">
        <v>2E-3</v>
      </c>
      <c r="E260" s="80" t="s">
        <v>223</v>
      </c>
      <c r="F260" s="79">
        <v>2.1000000000000001E-2</v>
      </c>
      <c r="G260" s="80" t="s">
        <v>223</v>
      </c>
      <c r="H260" s="79">
        <v>4.1000000000000002E-2</v>
      </c>
      <c r="I260" s="80" t="s">
        <v>223</v>
      </c>
      <c r="J260" s="80" t="s">
        <v>223</v>
      </c>
      <c r="K260" s="83">
        <v>254</v>
      </c>
    </row>
    <row r="261" spans="1:11" ht="16" customHeight="1">
      <c r="A261" s="77" t="s">
        <v>1206</v>
      </c>
      <c r="B261" s="78" t="s">
        <v>1207</v>
      </c>
      <c r="C261" s="79"/>
      <c r="D261" s="89" t="s">
        <v>223</v>
      </c>
      <c r="E261" s="87">
        <v>0.1</v>
      </c>
      <c r="F261" s="87" t="s">
        <v>223</v>
      </c>
      <c r="G261" s="84">
        <v>0.44</v>
      </c>
      <c r="H261" s="87" t="s">
        <v>223</v>
      </c>
      <c r="I261" s="84">
        <v>0.44</v>
      </c>
      <c r="J261" s="81">
        <v>0.8</v>
      </c>
      <c r="K261" s="83">
        <v>255</v>
      </c>
    </row>
    <row r="262" spans="1:11" ht="16" customHeight="1">
      <c r="A262" s="77" t="s">
        <v>1208</v>
      </c>
      <c r="B262" s="78" t="s">
        <v>1209</v>
      </c>
      <c r="C262" s="79"/>
      <c r="D262" s="79">
        <v>1.2E-4</v>
      </c>
      <c r="E262" s="84">
        <v>7.0000000000000001E-3</v>
      </c>
      <c r="F262" s="79">
        <v>3.0999999999999999E-3</v>
      </c>
      <c r="G262" s="84">
        <v>3.1E-2</v>
      </c>
      <c r="H262" s="79">
        <v>1.4E-3</v>
      </c>
      <c r="I262" s="82">
        <v>3.1E-2</v>
      </c>
      <c r="J262" s="82">
        <v>30</v>
      </c>
      <c r="K262" s="83">
        <v>256</v>
      </c>
    </row>
    <row r="263" spans="1:11" ht="16" customHeight="1">
      <c r="A263" s="77" t="s">
        <v>1210</v>
      </c>
      <c r="B263" s="78" t="s">
        <v>1211</v>
      </c>
      <c r="C263" s="79"/>
      <c r="D263" s="79" t="s">
        <v>223</v>
      </c>
      <c r="E263" s="81">
        <v>200</v>
      </c>
      <c r="F263" s="79" t="s">
        <v>223</v>
      </c>
      <c r="G263" s="82">
        <v>880</v>
      </c>
      <c r="H263" s="79" t="s">
        <v>223</v>
      </c>
      <c r="I263" s="82">
        <v>880</v>
      </c>
      <c r="J263" s="79">
        <v>200</v>
      </c>
      <c r="K263" s="83">
        <v>257</v>
      </c>
    </row>
    <row r="264" spans="1:11" ht="16" customHeight="1">
      <c r="A264" s="112" t="s">
        <v>1212</v>
      </c>
      <c r="B264" s="78" t="s">
        <v>1213</v>
      </c>
      <c r="C264" s="77"/>
      <c r="D264" s="84" t="s">
        <v>223</v>
      </c>
      <c r="E264" s="82">
        <v>3</v>
      </c>
      <c r="F264" s="84" t="s">
        <v>223</v>
      </c>
      <c r="G264" s="82">
        <v>13</v>
      </c>
      <c r="H264" s="81" t="s">
        <v>223</v>
      </c>
      <c r="I264" s="82">
        <v>13</v>
      </c>
      <c r="J264" s="85" t="s">
        <v>223</v>
      </c>
      <c r="K264" s="83">
        <v>258</v>
      </c>
    </row>
    <row r="265" spans="1:11" ht="16" customHeight="1">
      <c r="A265" s="114" t="s">
        <v>1214</v>
      </c>
      <c r="B265" s="115" t="s">
        <v>1215</v>
      </c>
      <c r="C265" s="116" t="s">
        <v>1396</v>
      </c>
      <c r="D265" s="116">
        <v>0.11</v>
      </c>
      <c r="E265" s="117">
        <v>100</v>
      </c>
      <c r="F265" s="116">
        <v>0.22</v>
      </c>
      <c r="G265" s="117">
        <v>440</v>
      </c>
      <c r="H265" s="116">
        <v>2.7</v>
      </c>
      <c r="I265" s="117">
        <v>440</v>
      </c>
      <c r="J265" s="117">
        <v>1300</v>
      </c>
      <c r="K265" s="83">
        <v>259</v>
      </c>
    </row>
    <row r="266" spans="1:11">
      <c r="A266" s="118" t="s">
        <v>1220</v>
      </c>
      <c r="B266" s="119" t="s">
        <v>1221</v>
      </c>
      <c r="C266" s="120"/>
      <c r="D266" s="120" t="s">
        <v>223</v>
      </c>
      <c r="E266" s="121">
        <v>200</v>
      </c>
      <c r="F266" s="120" t="s">
        <v>223</v>
      </c>
      <c r="G266" s="121">
        <v>880</v>
      </c>
      <c r="H266" s="120" t="s">
        <v>223</v>
      </c>
      <c r="I266" s="121">
        <v>880</v>
      </c>
      <c r="J266" s="122">
        <v>200</v>
      </c>
      <c r="K266" s="83">
        <v>260</v>
      </c>
    </row>
    <row r="267" spans="1:11">
      <c r="A267" s="118" t="s">
        <v>1222</v>
      </c>
      <c r="B267" s="123" t="s">
        <v>1223</v>
      </c>
      <c r="C267" s="124"/>
      <c r="D267" s="124" t="s">
        <v>223</v>
      </c>
      <c r="E267" s="124">
        <v>220</v>
      </c>
      <c r="F267" s="124" t="s">
        <v>223</v>
      </c>
      <c r="G267" s="124">
        <v>970</v>
      </c>
      <c r="H267" s="124" t="s">
        <v>223</v>
      </c>
      <c r="I267" s="124">
        <v>970</v>
      </c>
      <c r="J267" s="124">
        <v>8700</v>
      </c>
      <c r="K267" s="125">
        <v>261</v>
      </c>
    </row>
  </sheetData>
  <mergeCells count="3">
    <mergeCell ref="A3:J3"/>
    <mergeCell ref="D4:E4"/>
    <mergeCell ref="F4:I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681C-BD18-FB40-97C4-5ABECF9618CB}">
  <sheetPr codeName="Sheet14"/>
  <dimension ref="A1:B177"/>
  <sheetViews>
    <sheetView workbookViewId="0"/>
  </sheetViews>
  <sheetFormatPr baseColWidth="10" defaultColWidth="11" defaultRowHeight="16"/>
  <cols>
    <col min="1" max="1" width="48.83203125" customWidth="1"/>
  </cols>
  <sheetData>
    <row r="1" spans="1:1">
      <c r="A1" s="148" t="s">
        <v>1269</v>
      </c>
    </row>
    <row r="2" spans="1:1">
      <c r="A2" t="s">
        <v>124</v>
      </c>
    </row>
    <row r="3" spans="1:1">
      <c r="A3" t="s">
        <v>130</v>
      </c>
    </row>
    <row r="4" spans="1:1">
      <c r="A4" t="s">
        <v>146</v>
      </c>
    </row>
    <row r="5" spans="1:1">
      <c r="A5" t="s">
        <v>164</v>
      </c>
    </row>
    <row r="6" spans="1:1">
      <c r="A6" t="s">
        <v>214</v>
      </c>
    </row>
    <row r="7" spans="1:1">
      <c r="A7" t="s">
        <v>297</v>
      </c>
    </row>
    <row r="8" spans="1:1">
      <c r="A8" t="s">
        <v>305</v>
      </c>
    </row>
    <row r="9" spans="1:1">
      <c r="A9" t="s">
        <v>308</v>
      </c>
    </row>
    <row r="10" spans="1:1">
      <c r="A10" t="s">
        <v>611</v>
      </c>
    </row>
    <row r="11" spans="1:1">
      <c r="A11" t="s">
        <v>617</v>
      </c>
    </row>
    <row r="12" spans="1:1">
      <c r="A12" t="s">
        <v>623</v>
      </c>
    </row>
    <row r="13" spans="1:1">
      <c r="A13" t="s">
        <v>696</v>
      </c>
    </row>
    <row r="14" spans="1:1">
      <c r="A14" t="s">
        <v>832</v>
      </c>
    </row>
    <row r="15" spans="1:1">
      <c r="A15" t="s">
        <v>1077</v>
      </c>
    </row>
    <row r="16" spans="1:1">
      <c r="A16" t="s">
        <v>1083</v>
      </c>
    </row>
    <row r="17" spans="1:1">
      <c r="A17" t="s">
        <v>1119</v>
      </c>
    </row>
    <row r="18" spans="1:1">
      <c r="A18" t="s">
        <v>1231</v>
      </c>
    </row>
    <row r="19" spans="1:1">
      <c r="A19" t="s">
        <v>42</v>
      </c>
    </row>
    <row r="20" spans="1:1">
      <c r="A20" t="s">
        <v>45</v>
      </c>
    </row>
    <row r="21" spans="1:1">
      <c r="A21" t="s">
        <v>41</v>
      </c>
    </row>
    <row r="22" spans="1:1">
      <c r="A22" t="s">
        <v>56</v>
      </c>
    </row>
    <row r="23" spans="1:1">
      <c r="A23" t="s">
        <v>48</v>
      </c>
    </row>
    <row r="24" spans="1:1">
      <c r="A24" t="s">
        <v>148</v>
      </c>
    </row>
    <row r="25" spans="1:1">
      <c r="A25" t="s">
        <v>51</v>
      </c>
    </row>
    <row r="26" spans="1:1">
      <c r="A26" t="s">
        <v>54</v>
      </c>
    </row>
    <row r="27" spans="1:1">
      <c r="A27" t="s">
        <v>57</v>
      </c>
    </row>
    <row r="28" spans="1:1">
      <c r="A28" t="s">
        <v>60</v>
      </c>
    </row>
    <row r="29" spans="1:1">
      <c r="A29" t="s">
        <v>63</v>
      </c>
    </row>
    <row r="30" spans="1:1">
      <c r="A30" t="s">
        <v>66</v>
      </c>
    </row>
    <row r="31" spans="1:1">
      <c r="A31" t="s">
        <v>194</v>
      </c>
    </row>
    <row r="32" spans="1:1">
      <c r="A32" t="s">
        <v>273</v>
      </c>
    </row>
    <row r="33" spans="1:1">
      <c r="A33" t="s">
        <v>69</v>
      </c>
    </row>
    <row r="34" spans="1:1">
      <c r="A34" t="s">
        <v>73</v>
      </c>
    </row>
    <row r="35" spans="1:1">
      <c r="A35" t="s">
        <v>76</v>
      </c>
    </row>
    <row r="36" spans="1:1">
      <c r="A36" t="s">
        <v>924</v>
      </c>
    </row>
    <row r="37" spans="1:1">
      <c r="A37" t="s">
        <v>926</v>
      </c>
    </row>
    <row r="38" spans="1:1">
      <c r="A38" t="s">
        <v>928</v>
      </c>
    </row>
    <row r="39" spans="1:1">
      <c r="A39" t="s">
        <v>930</v>
      </c>
    </row>
    <row r="40" spans="1:1">
      <c r="A40" t="s">
        <v>932</v>
      </c>
    </row>
    <row r="41" spans="1:1">
      <c r="A41" t="s">
        <v>934</v>
      </c>
    </row>
    <row r="42" spans="1:1">
      <c r="A42" t="s">
        <v>936</v>
      </c>
    </row>
    <row r="43" spans="1:1">
      <c r="A43" t="s">
        <v>79</v>
      </c>
    </row>
    <row r="44" spans="1:1">
      <c r="A44" t="s">
        <v>82</v>
      </c>
    </row>
    <row r="45" spans="1:1">
      <c r="A45" t="s">
        <v>536</v>
      </c>
    </row>
    <row r="46" spans="1:1">
      <c r="A46" t="s">
        <v>938</v>
      </c>
    </row>
    <row r="47" spans="1:1">
      <c r="A47" t="s">
        <v>940</v>
      </c>
    </row>
    <row r="48" spans="1:1">
      <c r="A48" t="s">
        <v>942</v>
      </c>
    </row>
    <row r="49" spans="1:1">
      <c r="A49" t="s">
        <v>946</v>
      </c>
    </row>
    <row r="50" spans="1:1">
      <c r="A50" t="s">
        <v>944</v>
      </c>
    </row>
    <row r="51" spans="1:1">
      <c r="A51" t="s">
        <v>946</v>
      </c>
    </row>
    <row r="52" spans="1:1">
      <c r="A52" t="s">
        <v>948</v>
      </c>
    </row>
    <row r="53" spans="1:1">
      <c r="A53" t="s">
        <v>950</v>
      </c>
    </row>
    <row r="54" spans="1:1">
      <c r="A54" t="s">
        <v>952</v>
      </c>
    </row>
    <row r="55" spans="1:1">
      <c r="A55" t="s">
        <v>954</v>
      </c>
    </row>
    <row r="56" spans="1:1">
      <c r="A56" t="s">
        <v>956</v>
      </c>
    </row>
    <row r="57" spans="1:1">
      <c r="A57" t="s">
        <v>85</v>
      </c>
    </row>
    <row r="58" spans="1:1">
      <c r="A58" t="s">
        <v>88</v>
      </c>
    </row>
    <row r="59" spans="1:1">
      <c r="A59" t="s">
        <v>693</v>
      </c>
    </row>
    <row r="60" spans="1:1">
      <c r="A60" t="s">
        <v>91</v>
      </c>
    </row>
    <row r="61" spans="1:1">
      <c r="A61" t="s">
        <v>94</v>
      </c>
    </row>
    <row r="62" spans="1:1">
      <c r="A62" t="s">
        <v>1047</v>
      </c>
    </row>
    <row r="63" spans="1:1">
      <c r="A63" t="s">
        <v>97</v>
      </c>
    </row>
    <row r="64" spans="1:1">
      <c r="A64" t="s">
        <v>1129</v>
      </c>
    </row>
    <row r="65" spans="1:1">
      <c r="A65" t="s">
        <v>1223</v>
      </c>
    </row>
    <row r="66" spans="1:1">
      <c r="A66" t="s">
        <v>585</v>
      </c>
    </row>
    <row r="67" spans="1:1">
      <c r="A67" t="s">
        <v>42</v>
      </c>
    </row>
    <row r="68" spans="1:1">
      <c r="A68" t="s">
        <v>45</v>
      </c>
    </row>
    <row r="69" spans="1:1">
      <c r="A69" t="s">
        <v>41</v>
      </c>
    </row>
    <row r="70" spans="1:1">
      <c r="A70" t="s">
        <v>48</v>
      </c>
    </row>
    <row r="71" spans="1:1">
      <c r="A71" t="s">
        <v>148</v>
      </c>
    </row>
    <row r="72" spans="1:1">
      <c r="A72" t="s">
        <v>51</v>
      </c>
    </row>
    <row r="73" spans="1:1">
      <c r="A73" t="s">
        <v>54</v>
      </c>
    </row>
    <row r="74" spans="1:1">
      <c r="A74" t="s">
        <v>57</v>
      </c>
    </row>
    <row r="75" spans="1:1">
      <c r="A75" t="s">
        <v>63</v>
      </c>
    </row>
    <row r="76" spans="1:1">
      <c r="A76" t="s">
        <v>66</v>
      </c>
    </row>
    <row r="77" spans="1:1">
      <c r="A77" t="s">
        <v>73</v>
      </c>
    </row>
    <row r="78" spans="1:1">
      <c r="A78" t="s">
        <v>76</v>
      </c>
    </row>
    <row r="79" spans="1:1">
      <c r="A79" t="s">
        <v>499</v>
      </c>
    </row>
    <row r="80" spans="1:1">
      <c r="A80" t="s">
        <v>79</v>
      </c>
    </row>
    <row r="81" spans="1:1">
      <c r="A81" t="s">
        <v>82</v>
      </c>
    </row>
    <row r="82" spans="1:1">
      <c r="A82" t="s">
        <v>536</v>
      </c>
    </row>
    <row r="83" spans="1:1">
      <c r="A83" t="s">
        <v>1262</v>
      </c>
    </row>
    <row r="84" spans="1:1">
      <c r="A84" t="s">
        <v>85</v>
      </c>
    </row>
    <row r="85" spans="1:1">
      <c r="A85" t="s">
        <v>94</v>
      </c>
    </row>
    <row r="86" spans="1:1">
      <c r="A86" t="s">
        <v>814</v>
      </c>
    </row>
    <row r="87" spans="1:1">
      <c r="A87" t="s">
        <v>832</v>
      </c>
    </row>
    <row r="88" spans="1:1">
      <c r="A88" t="s">
        <v>1047</v>
      </c>
    </row>
    <row r="89" spans="1:1">
      <c r="A89" t="s">
        <v>97</v>
      </c>
    </row>
    <row r="90" spans="1:1">
      <c r="A90" t="s">
        <v>1129</v>
      </c>
    </row>
    <row r="91" spans="1:1">
      <c r="A91" t="s">
        <v>1223</v>
      </c>
    </row>
    <row r="92" spans="1:1">
      <c r="A92" t="s">
        <v>148</v>
      </c>
    </row>
    <row r="93" spans="1:1">
      <c r="A93" t="s">
        <v>536</v>
      </c>
    </row>
    <row r="94" spans="1:1">
      <c r="A94" t="s">
        <v>1240</v>
      </c>
    </row>
    <row r="95" spans="1:1">
      <c r="A95" t="s">
        <v>693</v>
      </c>
    </row>
    <row r="96" spans="1:1">
      <c r="A96" t="s">
        <v>41</v>
      </c>
    </row>
    <row r="97" spans="1:2">
      <c r="A97" t="s">
        <v>56</v>
      </c>
    </row>
    <row r="98" spans="1:2">
      <c r="A98" t="s">
        <v>110</v>
      </c>
    </row>
    <row r="99" spans="1:2">
      <c r="A99" t="s">
        <v>1238</v>
      </c>
    </row>
    <row r="100" spans="1:2">
      <c r="A100" t="s">
        <v>579</v>
      </c>
    </row>
    <row r="101" spans="1:2">
      <c r="A101" t="s">
        <v>1129</v>
      </c>
    </row>
    <row r="102" spans="1:2">
      <c r="A102" t="s">
        <v>1223</v>
      </c>
    </row>
    <row r="103" spans="1:2">
      <c r="A103" t="s">
        <v>1231</v>
      </c>
    </row>
    <row r="106" spans="1:2">
      <c r="A106" s="148" t="s">
        <v>1269</v>
      </c>
    </row>
    <row r="107" spans="1:2">
      <c r="A107" t="s">
        <v>124</v>
      </c>
      <c r="B107" t="s">
        <v>123</v>
      </c>
    </row>
    <row r="108" spans="1:2">
      <c r="A108" t="s">
        <v>130</v>
      </c>
      <c r="B108" t="s">
        <v>129</v>
      </c>
    </row>
    <row r="109" spans="1:2">
      <c r="A109" t="s">
        <v>146</v>
      </c>
      <c r="B109" t="s">
        <v>145</v>
      </c>
    </row>
    <row r="110" spans="1:2">
      <c r="A110" t="s">
        <v>164</v>
      </c>
      <c r="B110" t="s">
        <v>163</v>
      </c>
    </row>
    <row r="111" spans="1:2">
      <c r="A111" t="s">
        <v>214</v>
      </c>
      <c r="B111" t="s">
        <v>213</v>
      </c>
    </row>
    <row r="112" spans="1:2">
      <c r="A112" t="s">
        <v>297</v>
      </c>
      <c r="B112" t="s">
        <v>296</v>
      </c>
    </row>
    <row r="113" spans="1:2">
      <c r="A113" t="s">
        <v>305</v>
      </c>
      <c r="B113" t="s">
        <v>304</v>
      </c>
    </row>
    <row r="114" spans="1:2">
      <c r="A114" t="s">
        <v>308</v>
      </c>
      <c r="B114" t="s">
        <v>307</v>
      </c>
    </row>
    <row r="115" spans="1:2">
      <c r="A115" t="s">
        <v>611</v>
      </c>
      <c r="B115" t="s">
        <v>610</v>
      </c>
    </row>
    <row r="116" spans="1:2">
      <c r="A116" t="s">
        <v>617</v>
      </c>
      <c r="B116" t="s">
        <v>616</v>
      </c>
    </row>
    <row r="117" spans="1:2">
      <c r="A117" t="s">
        <v>623</v>
      </c>
      <c r="B117" t="s">
        <v>622</v>
      </c>
    </row>
    <row r="118" spans="1:2">
      <c r="A118" t="s">
        <v>696</v>
      </c>
      <c r="B118" t="s">
        <v>694</v>
      </c>
    </row>
    <row r="119" spans="1:2">
      <c r="A119" t="s">
        <v>832</v>
      </c>
      <c r="B119" t="s">
        <v>831</v>
      </c>
    </row>
    <row r="120" spans="1:2">
      <c r="A120" t="s">
        <v>1077</v>
      </c>
      <c r="B120" t="s">
        <v>1076</v>
      </c>
    </row>
    <row r="121" spans="1:2">
      <c r="A121" t="s">
        <v>1083</v>
      </c>
      <c r="B121" t="s">
        <v>1082</v>
      </c>
    </row>
    <row r="122" spans="1:2">
      <c r="A122" t="s">
        <v>1119</v>
      </c>
      <c r="B122" t="s">
        <v>1118</v>
      </c>
    </row>
    <row r="123" spans="1:2">
      <c r="A123" t="s">
        <v>1231</v>
      </c>
      <c r="B123" t="s">
        <v>1230</v>
      </c>
    </row>
    <row r="124" spans="1:2">
      <c r="A124" t="s">
        <v>42</v>
      </c>
      <c r="B124" t="s">
        <v>958</v>
      </c>
    </row>
    <row r="125" spans="1:2">
      <c r="A125" t="s">
        <v>45</v>
      </c>
      <c r="B125" t="s">
        <v>959</v>
      </c>
    </row>
    <row r="126" spans="1:2">
      <c r="A126" t="s">
        <v>41</v>
      </c>
      <c r="B126" t="s">
        <v>40</v>
      </c>
    </row>
    <row r="127" spans="1:2">
      <c r="A127" t="s">
        <v>56</v>
      </c>
      <c r="B127" t="s">
        <v>55</v>
      </c>
    </row>
    <row r="128" spans="1:2">
      <c r="A128" t="s">
        <v>48</v>
      </c>
      <c r="B128" t="s">
        <v>960</v>
      </c>
    </row>
    <row r="129" spans="1:2">
      <c r="A129" t="s">
        <v>148</v>
      </c>
      <c r="B129" t="s">
        <v>147</v>
      </c>
    </row>
    <row r="130" spans="1:2">
      <c r="A130" t="s">
        <v>51</v>
      </c>
      <c r="B130" t="s">
        <v>963</v>
      </c>
    </row>
    <row r="131" spans="1:2">
      <c r="A131" t="s">
        <v>54</v>
      </c>
      <c r="B131" t="s">
        <v>964</v>
      </c>
    </row>
    <row r="132" spans="1:2">
      <c r="A132" t="s">
        <v>57</v>
      </c>
      <c r="B132" t="s">
        <v>965</v>
      </c>
    </row>
    <row r="133" spans="1:2">
      <c r="A133" t="s">
        <v>60</v>
      </c>
      <c r="B133" t="s">
        <v>968</v>
      </c>
    </row>
    <row r="134" spans="1:2">
      <c r="A134" t="s">
        <v>63</v>
      </c>
      <c r="B134" t="s">
        <v>969</v>
      </c>
    </row>
    <row r="135" spans="1:2">
      <c r="A135" t="s">
        <v>66</v>
      </c>
      <c r="B135" t="s">
        <v>972</v>
      </c>
    </row>
    <row r="136" spans="1:2">
      <c r="A136" t="s">
        <v>194</v>
      </c>
      <c r="B136" t="s">
        <v>193</v>
      </c>
    </row>
    <row r="137" spans="1:2">
      <c r="A137" t="s">
        <v>273</v>
      </c>
      <c r="B137" t="s">
        <v>272</v>
      </c>
    </row>
    <row r="138" spans="1:2">
      <c r="A138" t="s">
        <v>69</v>
      </c>
      <c r="B138" t="s">
        <v>70</v>
      </c>
    </row>
    <row r="139" spans="1:2">
      <c r="A139" t="s">
        <v>73</v>
      </c>
      <c r="B139" t="s">
        <v>975</v>
      </c>
    </row>
    <row r="140" spans="1:2">
      <c r="A140" t="s">
        <v>76</v>
      </c>
      <c r="B140" t="s">
        <v>984</v>
      </c>
    </row>
    <row r="141" spans="1:2">
      <c r="A141" t="s">
        <v>924</v>
      </c>
      <c r="B141" t="s">
        <v>923</v>
      </c>
    </row>
    <row r="142" spans="1:2">
      <c r="A142" t="s">
        <v>926</v>
      </c>
      <c r="B142" t="s">
        <v>925</v>
      </c>
    </row>
    <row r="143" spans="1:2">
      <c r="A143" t="s">
        <v>928</v>
      </c>
      <c r="B143" t="s">
        <v>927</v>
      </c>
    </row>
    <row r="144" spans="1:2">
      <c r="A144" t="s">
        <v>930</v>
      </c>
      <c r="B144" t="s">
        <v>929</v>
      </c>
    </row>
    <row r="145" spans="1:2">
      <c r="A145" t="s">
        <v>932</v>
      </c>
      <c r="B145" t="s">
        <v>931</v>
      </c>
    </row>
    <row r="146" spans="1:2">
      <c r="A146" t="s">
        <v>934</v>
      </c>
      <c r="B146" t="s">
        <v>933</v>
      </c>
    </row>
    <row r="147" spans="1:2">
      <c r="A147" t="s">
        <v>936</v>
      </c>
      <c r="B147" t="s">
        <v>935</v>
      </c>
    </row>
    <row r="148" spans="1:2">
      <c r="A148" t="s">
        <v>79</v>
      </c>
      <c r="B148" t="s">
        <v>995</v>
      </c>
    </row>
    <row r="149" spans="1:2">
      <c r="A149" t="s">
        <v>82</v>
      </c>
      <c r="B149" t="s">
        <v>996</v>
      </c>
    </row>
    <row r="150" spans="1:2">
      <c r="A150" t="s">
        <v>536</v>
      </c>
      <c r="B150" t="s">
        <v>535</v>
      </c>
    </row>
    <row r="151" spans="1:2">
      <c r="A151" t="s">
        <v>938</v>
      </c>
      <c r="B151" t="s">
        <v>937</v>
      </c>
    </row>
    <row r="152" spans="1:2">
      <c r="A152" t="s">
        <v>940</v>
      </c>
      <c r="B152" t="s">
        <v>939</v>
      </c>
    </row>
    <row r="153" spans="1:2">
      <c r="A153" t="s">
        <v>942</v>
      </c>
      <c r="B153" t="s">
        <v>941</v>
      </c>
    </row>
    <row r="154" spans="1:2">
      <c r="A154" t="s">
        <v>946</v>
      </c>
      <c r="B154" t="s">
        <v>945</v>
      </c>
    </row>
    <row r="155" spans="1:2">
      <c r="A155" t="s">
        <v>944</v>
      </c>
      <c r="B155" t="s">
        <v>943</v>
      </c>
    </row>
    <row r="156" spans="1:2">
      <c r="A156" t="s">
        <v>948</v>
      </c>
      <c r="B156" t="s">
        <v>947</v>
      </c>
    </row>
    <row r="157" spans="1:2">
      <c r="A157" t="s">
        <v>950</v>
      </c>
      <c r="B157" t="s">
        <v>949</v>
      </c>
    </row>
    <row r="158" spans="1:2">
      <c r="A158" t="s">
        <v>952</v>
      </c>
      <c r="B158" t="s">
        <v>951</v>
      </c>
    </row>
    <row r="159" spans="1:2">
      <c r="A159" t="s">
        <v>954</v>
      </c>
      <c r="B159" t="s">
        <v>953</v>
      </c>
    </row>
    <row r="160" spans="1:2">
      <c r="A160" t="s">
        <v>956</v>
      </c>
      <c r="B160" t="s">
        <v>955</v>
      </c>
    </row>
    <row r="161" spans="1:2">
      <c r="A161" t="s">
        <v>85</v>
      </c>
      <c r="B161" t="s">
        <v>997</v>
      </c>
    </row>
    <row r="162" spans="1:2">
      <c r="A162" t="s">
        <v>88</v>
      </c>
      <c r="B162" t="s">
        <v>998</v>
      </c>
    </row>
    <row r="163" spans="1:2">
      <c r="A163" t="s">
        <v>693</v>
      </c>
      <c r="B163" t="s">
        <v>692</v>
      </c>
    </row>
    <row r="164" spans="1:2">
      <c r="A164" t="s">
        <v>91</v>
      </c>
      <c r="B164" t="s">
        <v>999</v>
      </c>
    </row>
    <row r="165" spans="1:2">
      <c r="A165" t="s">
        <v>94</v>
      </c>
      <c r="B165" t="s">
        <v>1000</v>
      </c>
    </row>
    <row r="166" spans="1:2">
      <c r="A166" t="s">
        <v>1047</v>
      </c>
      <c r="B166" t="s">
        <v>1046</v>
      </c>
    </row>
    <row r="167" spans="1:2">
      <c r="A167" t="s">
        <v>97</v>
      </c>
      <c r="B167" t="s">
        <v>1001</v>
      </c>
    </row>
    <row r="168" spans="1:2">
      <c r="A168" t="s">
        <v>1129</v>
      </c>
      <c r="B168" t="s">
        <v>1128</v>
      </c>
    </row>
    <row r="169" spans="1:2">
      <c r="A169" t="s">
        <v>1223</v>
      </c>
      <c r="B169" t="s">
        <v>1222</v>
      </c>
    </row>
    <row r="170" spans="1:2">
      <c r="A170" t="s">
        <v>585</v>
      </c>
      <c r="B170" t="s">
        <v>584</v>
      </c>
    </row>
    <row r="171" spans="1:2">
      <c r="A171" t="s">
        <v>499</v>
      </c>
      <c r="B171" t="s">
        <v>498</v>
      </c>
    </row>
    <row r="172" spans="1:2">
      <c r="A172" t="s">
        <v>1262</v>
      </c>
      <c r="B172" t="s">
        <v>590</v>
      </c>
    </row>
    <row r="173" spans="1:2">
      <c r="A173" t="s">
        <v>814</v>
      </c>
      <c r="B173" t="s">
        <v>813</v>
      </c>
    </row>
    <row r="174" spans="1:2">
      <c r="A174" t="s">
        <v>1240</v>
      </c>
      <c r="B174" t="s">
        <v>964</v>
      </c>
    </row>
    <row r="175" spans="1:2">
      <c r="A175" t="s">
        <v>110</v>
      </c>
      <c r="B175" t="s">
        <v>109</v>
      </c>
    </row>
    <row r="176" spans="1:2">
      <c r="A176" t="s">
        <v>1238</v>
      </c>
      <c r="B176" t="s">
        <v>498</v>
      </c>
    </row>
    <row r="177" spans="1:2">
      <c r="A177" t="s">
        <v>579</v>
      </c>
      <c r="B177" t="s">
        <v>578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99042-99C6-4F0A-9FED-B5F4563304C6}">
  <sheetPr codeName="Sheet9"/>
  <dimension ref="A1:T564"/>
  <sheetViews>
    <sheetView workbookViewId="0"/>
  </sheetViews>
  <sheetFormatPr baseColWidth="10" defaultColWidth="8.83203125" defaultRowHeight="16"/>
  <cols>
    <col min="2" max="2" width="13.6640625" customWidth="1"/>
    <col min="13" max="13" width="13" customWidth="1"/>
    <col min="14" max="14" width="10.1640625" bestFit="1" customWidth="1"/>
    <col min="15" max="15" width="39.33203125" customWidth="1"/>
  </cols>
  <sheetData>
    <row r="1" spans="1:20">
      <c r="A1" t="s">
        <v>1579</v>
      </c>
      <c r="B1" t="s">
        <v>1580</v>
      </c>
    </row>
    <row r="3" spans="1:20">
      <c r="B3" t="s">
        <v>1581</v>
      </c>
    </row>
    <row r="4" spans="1:20">
      <c r="C4" t="s">
        <v>1582</v>
      </c>
      <c r="E4" t="s">
        <v>1583</v>
      </c>
    </row>
    <row r="5" spans="1:20">
      <c r="C5" t="s">
        <v>1584</v>
      </c>
      <c r="E5" t="s">
        <v>1585</v>
      </c>
    </row>
    <row r="7" spans="1:20">
      <c r="A7" t="s">
        <v>1611</v>
      </c>
      <c r="B7">
        <f>ROW(A68)</f>
        <v>68</v>
      </c>
      <c r="C7">
        <v>1</v>
      </c>
    </row>
    <row r="8" spans="1:20">
      <c r="A8" t="s">
        <v>1586</v>
      </c>
      <c r="B8">
        <f>ROW(A15)</f>
        <v>15</v>
      </c>
      <c r="C8">
        <f>COLUMN(A15)</f>
        <v>1</v>
      </c>
      <c r="D8" t="s">
        <v>1613</v>
      </c>
    </row>
    <row r="9" spans="1:20">
      <c r="A9" t="s">
        <v>1587</v>
      </c>
      <c r="B9">
        <f>ROW(M15)</f>
        <v>15</v>
      </c>
      <c r="C9">
        <f>COLUMN(M15)</f>
        <v>13</v>
      </c>
      <c r="D9" t="s">
        <v>1614</v>
      </c>
    </row>
    <row r="11" spans="1:20">
      <c r="A11" t="s">
        <v>1588</v>
      </c>
      <c r="B11" s="237">
        <v>44658.669537037036</v>
      </c>
    </row>
    <row r="12" spans="1:20">
      <c r="P12" s="6" t="e">
        <f>SUM(P16:P563)</f>
        <v>#REF!</v>
      </c>
      <c r="Q12" s="6" t="e">
        <f>SUM(Q16:Q563)</f>
        <v>#REF!</v>
      </c>
    </row>
    <row r="14" spans="1:20">
      <c r="A14" t="s">
        <v>1589</v>
      </c>
      <c r="M14" t="s">
        <v>1590</v>
      </c>
    </row>
    <row r="15" spans="1:20">
      <c r="A15" s="146" t="s">
        <v>1591</v>
      </c>
      <c r="B15" s="146" t="s">
        <v>1592</v>
      </c>
      <c r="C15" s="146" t="s">
        <v>1593</v>
      </c>
      <c r="D15" s="146" t="s">
        <v>1594</v>
      </c>
      <c r="E15" s="146" t="s">
        <v>1595</v>
      </c>
      <c r="F15" s="146"/>
      <c r="M15" t="s">
        <v>1596</v>
      </c>
      <c r="N15" t="s">
        <v>36</v>
      </c>
      <c r="O15" t="s">
        <v>1597</v>
      </c>
      <c r="P15" t="s">
        <v>1598</v>
      </c>
      <c r="Q15" t="s">
        <v>1599</v>
      </c>
    </row>
    <row r="16" spans="1:20">
      <c r="A16">
        <v>1</v>
      </c>
      <c r="B16" t="s">
        <v>1398</v>
      </c>
      <c r="C16" t="s">
        <v>1398</v>
      </c>
      <c r="D16">
        <v>1</v>
      </c>
      <c r="E16" t="s">
        <v>1600</v>
      </c>
      <c r="M16" t="s">
        <v>1398</v>
      </c>
      <c r="N16" t="str">
        <f>Tabl_B1_RTO!C131</f>
        <v>7440-36-0</v>
      </c>
      <c r="O16" t="str">
        <f>Tabl_B1_RTO!B131</f>
        <v>Antimony and compounds</v>
      </c>
      <c r="P16" s="6">
        <f>Tabl_B1_RTO!E131</f>
        <v>9.1199999999999994E-5</v>
      </c>
      <c r="Q16" s="6">
        <f>Tabl_B1_RTO!D131</f>
        <v>3.3287999999999998E-2</v>
      </c>
      <c r="S16" s="238" t="e">
        <f>SUM(P16:P113)</f>
        <v>#REF!</v>
      </c>
      <c r="T16" s="238" t="e">
        <f>SUM(Q16:Q113)</f>
        <v>#REF!</v>
      </c>
    </row>
    <row r="17" spans="1:17">
      <c r="A17">
        <v>2</v>
      </c>
      <c r="B17" t="s">
        <v>1513</v>
      </c>
      <c r="C17" t="s">
        <v>1513</v>
      </c>
      <c r="D17">
        <v>1</v>
      </c>
      <c r="E17" t="s">
        <v>1601</v>
      </c>
      <c r="M17" t="s">
        <v>1398</v>
      </c>
      <c r="N17" t="str">
        <f>Tabl_B1_RTO!C132</f>
        <v>7440-38-2</v>
      </c>
      <c r="O17" t="str">
        <f>Tabl_B1_RTO!B132</f>
        <v>Arsenic and compounds</v>
      </c>
      <c r="P17" s="6">
        <f>Tabl_B1_RTO!E132</f>
        <v>7.2000000000000005E-4</v>
      </c>
      <c r="Q17" s="6">
        <f>Tabl_B1_RTO!D132</f>
        <v>0.26280000000000003</v>
      </c>
    </row>
    <row r="18" spans="1:17">
      <c r="A18">
        <v>3</v>
      </c>
      <c r="B18" t="s">
        <v>1508</v>
      </c>
      <c r="C18" t="s">
        <v>1508</v>
      </c>
      <c r="D18">
        <v>1</v>
      </c>
      <c r="E18" t="s">
        <v>1602</v>
      </c>
      <c r="M18" t="s">
        <v>1398</v>
      </c>
      <c r="N18" t="str">
        <f>Tabl_B1_RTO!C133</f>
        <v>7440-39-3</v>
      </c>
      <c r="O18" t="str">
        <f>Tabl_B1_RTO!B133</f>
        <v>Barium and compounds</v>
      </c>
      <c r="P18" s="6">
        <f>Tabl_B1_RTO!E133</f>
        <v>3.1199999999999999E-4</v>
      </c>
      <c r="Q18" s="6">
        <f>Tabl_B1_RTO!D133</f>
        <v>0.11388000000000001</v>
      </c>
    </row>
    <row r="19" spans="1:17">
      <c r="A19">
        <f>A18+1</f>
        <v>4</v>
      </c>
      <c r="B19" t="s">
        <v>1295</v>
      </c>
      <c r="C19" t="str">
        <f>B19</f>
        <v>JAIL1</v>
      </c>
      <c r="D19">
        <v>1</v>
      </c>
      <c r="E19" t="str">
        <f>"Tank " &amp; C19</f>
        <v>Tank JAIL1</v>
      </c>
      <c r="H19">
        <f>MATCH(B19,Tabl_B4_Tanks!$B$7:$B$33,0)</f>
        <v>1</v>
      </c>
      <c r="M19" t="s">
        <v>1398</v>
      </c>
      <c r="N19" t="str">
        <f>Tabl_B1_RTO!C134</f>
        <v>7440-41-7</v>
      </c>
      <c r="O19" t="str">
        <f>Tabl_B1_RTO!B134</f>
        <v>Beryllium and compounds</v>
      </c>
      <c r="P19" s="6">
        <f>Tabl_B1_RTO!E134</f>
        <v>3.5999999999999998E-6</v>
      </c>
      <c r="Q19" s="6">
        <f>Tabl_B1_RTO!D134</f>
        <v>1.3139999999999998E-3</v>
      </c>
    </row>
    <row r="20" spans="1:17">
      <c r="A20">
        <f t="shared" ref="A20:A57" si="0">A19+1</f>
        <v>5</v>
      </c>
      <c r="B20" t="s">
        <v>1296</v>
      </c>
      <c r="C20" t="str">
        <f t="shared" ref="C20:C51" si="1">B20</f>
        <v>JAIL2</v>
      </c>
      <c r="D20">
        <v>1</v>
      </c>
      <c r="E20" t="str">
        <f t="shared" ref="E20:E45" si="2">"Tank " &amp; C20</f>
        <v>Tank JAIL2</v>
      </c>
      <c r="H20">
        <f>MATCH(B20,Tabl_B4_Tanks!$B$7:$B$33,0)</f>
        <v>2</v>
      </c>
      <c r="M20" t="s">
        <v>1398</v>
      </c>
      <c r="N20" t="str">
        <f>Tabl_B1_RTO!C135</f>
        <v>7440-43-9</v>
      </c>
      <c r="O20" t="str">
        <f>Tabl_B1_RTO!B135</f>
        <v>Cadmium and compounds</v>
      </c>
      <c r="P20" s="6">
        <f>Tabl_B1_RTO!E135</f>
        <v>7.1999999999999997E-6</v>
      </c>
      <c r="Q20" s="6">
        <f>Tabl_B1_RTO!D135</f>
        <v>2.6279999999999997E-3</v>
      </c>
    </row>
    <row r="21" spans="1:17">
      <c r="A21">
        <f t="shared" si="0"/>
        <v>6</v>
      </c>
      <c r="B21" t="s">
        <v>1297</v>
      </c>
      <c r="C21" t="str">
        <f t="shared" si="1"/>
        <v>JAIL3</v>
      </c>
      <c r="D21">
        <v>1</v>
      </c>
      <c r="E21" t="str">
        <f t="shared" si="2"/>
        <v>Tank JAIL3</v>
      </c>
      <c r="H21">
        <f>MATCH(B21,Tabl_B4_Tanks!$B$7:$B$33,0)</f>
        <v>3</v>
      </c>
      <c r="M21" t="s">
        <v>1398</v>
      </c>
      <c r="N21" t="str">
        <f>Tabl_B1_RTO!C136</f>
        <v>18540-29-9</v>
      </c>
      <c r="O21" t="str">
        <f>Tabl_B1_RTO!B136</f>
        <v>Chromium VI, chromate, and dichromate particulate</v>
      </c>
      <c r="P21" s="6">
        <f>Tabl_B1_RTO!E136</f>
        <v>3.8400000000000001E-4</v>
      </c>
      <c r="Q21" s="6">
        <f>Tabl_B1_RTO!D136</f>
        <v>0.14016000000000001</v>
      </c>
    </row>
    <row r="22" spans="1:17">
      <c r="A22">
        <f t="shared" si="0"/>
        <v>7</v>
      </c>
      <c r="B22" t="s">
        <v>1298</v>
      </c>
      <c r="C22" t="str">
        <f t="shared" si="1"/>
        <v>JAIL4</v>
      </c>
      <c r="D22">
        <v>1</v>
      </c>
      <c r="E22" t="str">
        <f t="shared" si="2"/>
        <v>Tank JAIL4</v>
      </c>
      <c r="H22">
        <f>MATCH(B22,Tabl_B4_Tanks!$B$7:$B$33,0)</f>
        <v>4</v>
      </c>
      <c r="M22" t="s">
        <v>1398</v>
      </c>
      <c r="N22" t="str">
        <f>Tabl_B1_RTO!C137</f>
        <v>7440-48-4</v>
      </c>
      <c r="O22" t="str">
        <f>Tabl_B1_RTO!B137</f>
        <v>Cobalt and compounds</v>
      </c>
      <c r="P22" s="6">
        <f>Tabl_B1_RTO!E137</f>
        <v>1.488E-5</v>
      </c>
      <c r="Q22" s="6">
        <f>Tabl_B1_RTO!D137</f>
        <v>5.4311999999999997E-3</v>
      </c>
    </row>
    <row r="23" spans="1:17">
      <c r="A23">
        <f t="shared" si="0"/>
        <v>8</v>
      </c>
      <c r="B23" t="s">
        <v>1299</v>
      </c>
      <c r="C23" t="str">
        <f t="shared" si="1"/>
        <v>JAIL7</v>
      </c>
      <c r="D23">
        <v>1</v>
      </c>
      <c r="E23" t="str">
        <f t="shared" si="2"/>
        <v>Tank JAIL7</v>
      </c>
      <c r="H23">
        <f>MATCH(B23,Tabl_B4_Tanks!$B$7:$B$33,0)</f>
        <v>5</v>
      </c>
      <c r="M23" t="s">
        <v>1398</v>
      </c>
      <c r="N23" t="str">
        <f>Tabl_B1_RTO!C138</f>
        <v>7440-50-8</v>
      </c>
      <c r="O23" t="str">
        <f>Tabl_B1_RTO!B138</f>
        <v>Copper and compounds</v>
      </c>
      <c r="P23" s="6">
        <f>Tabl_B1_RTO!E138</f>
        <v>1.9920000000000002E-4</v>
      </c>
      <c r="Q23" s="6">
        <f>Tabl_B1_RTO!D138</f>
        <v>7.2707999999999995E-2</v>
      </c>
    </row>
    <row r="24" spans="1:17">
      <c r="A24">
        <f t="shared" si="0"/>
        <v>9</v>
      </c>
      <c r="B24" t="s">
        <v>1300</v>
      </c>
      <c r="C24" t="str">
        <f t="shared" si="1"/>
        <v>JAIL8</v>
      </c>
      <c r="D24">
        <v>1</v>
      </c>
      <c r="E24" t="str">
        <f t="shared" si="2"/>
        <v>Tank JAIL8</v>
      </c>
      <c r="H24">
        <f>MATCH(B24,Tabl_B4_Tanks!$B$7:$B$33,0)</f>
        <v>6</v>
      </c>
      <c r="M24" t="s">
        <v>1398</v>
      </c>
      <c r="N24" t="str">
        <f>Tabl_B1_RTO!C139</f>
        <v>7439-92-1</v>
      </c>
      <c r="O24" t="str">
        <f>Tabl_B1_RTO!B139</f>
        <v>Lead and compounds</v>
      </c>
      <c r="P24" s="6">
        <f>Tabl_B1_RTO!E139</f>
        <v>5.04E-4</v>
      </c>
      <c r="Q24" s="6">
        <f>Tabl_B1_RTO!D139</f>
        <v>0.18395999999999998</v>
      </c>
    </row>
    <row r="25" spans="1:17">
      <c r="A25">
        <f t="shared" si="0"/>
        <v>10</v>
      </c>
      <c r="B25" t="s">
        <v>1301</v>
      </c>
      <c r="C25" t="str">
        <f t="shared" si="1"/>
        <v>JAIL9</v>
      </c>
      <c r="D25">
        <v>1</v>
      </c>
      <c r="E25" t="str">
        <f t="shared" si="2"/>
        <v>Tank JAIL9</v>
      </c>
      <c r="H25">
        <f>MATCH(B25,Tabl_B4_Tanks!$B$7:$B$33,0)</f>
        <v>7</v>
      </c>
      <c r="M25" t="s">
        <v>1398</v>
      </c>
      <c r="N25" t="str">
        <f>Tabl_B1_RTO!C140</f>
        <v>7439-96-5</v>
      </c>
      <c r="O25" t="str">
        <f>Tabl_B1_RTO!B140</f>
        <v>Manganese and compounds</v>
      </c>
      <c r="P25" s="6">
        <f>Tabl_B1_RTO!E140</f>
        <v>7.2000000000000005E-4</v>
      </c>
      <c r="Q25" s="6">
        <f>Tabl_B1_RTO!D140</f>
        <v>0.26280000000000003</v>
      </c>
    </row>
    <row r="26" spans="1:17">
      <c r="A26">
        <f t="shared" si="0"/>
        <v>11</v>
      </c>
      <c r="B26" t="s">
        <v>1302</v>
      </c>
      <c r="C26" t="str">
        <f t="shared" si="1"/>
        <v>CT1</v>
      </c>
      <c r="D26">
        <v>1</v>
      </c>
      <c r="E26" t="str">
        <f t="shared" si="2"/>
        <v>Tank CT1</v>
      </c>
      <c r="H26">
        <f>MATCH(B26,Tabl_B4_Tanks!$B$7:$B$33,0)</f>
        <v>8</v>
      </c>
      <c r="M26" t="s">
        <v>1398</v>
      </c>
      <c r="N26" t="str">
        <f>Tabl_B1_RTO!C141</f>
        <v>7439-97-6</v>
      </c>
      <c r="O26" t="str">
        <f>Tabl_B1_RTO!B141</f>
        <v>Mercury and compounds</v>
      </c>
      <c r="P26" s="6">
        <f>Tabl_B1_RTO!E141</f>
        <v>4.0800000000000002E-5</v>
      </c>
      <c r="Q26" s="6">
        <f>Tabl_B1_RTO!D141</f>
        <v>1.4892000000000001E-2</v>
      </c>
    </row>
    <row r="27" spans="1:17">
      <c r="A27">
        <f t="shared" si="0"/>
        <v>12</v>
      </c>
      <c r="B27" t="s">
        <v>1303</v>
      </c>
      <c r="C27" t="str">
        <f t="shared" si="1"/>
        <v>CT2</v>
      </c>
      <c r="D27">
        <v>1</v>
      </c>
      <c r="E27" t="str">
        <f t="shared" si="2"/>
        <v>Tank CT2</v>
      </c>
      <c r="H27">
        <f>MATCH(B27,Tabl_B4_Tanks!$B$7:$B$33,0)</f>
        <v>9</v>
      </c>
      <c r="M27" t="s">
        <v>1398</v>
      </c>
      <c r="N27" t="str">
        <f>Tabl_B1_RTO!C142</f>
        <v>C365</v>
      </c>
      <c r="O27" t="str">
        <f>Tabl_B1_RTO!B142</f>
        <v>Nickel compounds, insoluble</v>
      </c>
      <c r="P27" s="6">
        <f>Tabl_B1_RTO!E142</f>
        <v>2.6400000000000002E-4</v>
      </c>
      <c r="Q27" s="6">
        <f>Tabl_B1_RTO!D142</f>
        <v>9.6360000000000001E-2</v>
      </c>
    </row>
    <row r="28" spans="1:17">
      <c r="A28">
        <f t="shared" si="0"/>
        <v>13</v>
      </c>
      <c r="B28" t="s">
        <v>1304</v>
      </c>
      <c r="C28" t="str">
        <f t="shared" si="1"/>
        <v>CT3</v>
      </c>
      <c r="D28">
        <v>1</v>
      </c>
      <c r="E28" t="str">
        <f t="shared" si="2"/>
        <v>Tank CT3</v>
      </c>
      <c r="H28">
        <f>MATCH(B28,Tabl_B4_Tanks!$B$7:$B$33,0)</f>
        <v>10</v>
      </c>
      <c r="M28" t="s">
        <v>1398</v>
      </c>
      <c r="N28" t="str">
        <f>Tabl_B1_RTO!C143</f>
        <v>7723-14-0</v>
      </c>
      <c r="O28" t="str">
        <f>Tabl_B1_RTO!B143</f>
        <v>Phosphorus and compounds</v>
      </c>
      <c r="P28" s="6">
        <f>Tabl_B1_RTO!E143</f>
        <v>1.7052033377280433</v>
      </c>
      <c r="Q28" s="6">
        <f>Tabl_B1_RTO!D143</f>
        <v>622.39921827073579</v>
      </c>
    </row>
    <row r="29" spans="1:17">
      <c r="A29">
        <f t="shared" si="0"/>
        <v>14</v>
      </c>
      <c r="B29" t="s">
        <v>1305</v>
      </c>
      <c r="C29" t="str">
        <f t="shared" si="1"/>
        <v>CT4</v>
      </c>
      <c r="D29">
        <v>1</v>
      </c>
      <c r="E29" t="str">
        <f t="shared" si="2"/>
        <v>Tank CT4</v>
      </c>
      <c r="H29">
        <f>MATCH(B29,Tabl_B4_Tanks!$B$7:$B$33,0)</f>
        <v>11</v>
      </c>
      <c r="M29" t="s">
        <v>1398</v>
      </c>
      <c r="N29" t="str">
        <f>Tabl_B1_RTO!C144</f>
        <v>7782-49-2</v>
      </c>
      <c r="O29" t="str">
        <f>Tabl_B1_RTO!B144</f>
        <v>Selenium and compounds</v>
      </c>
      <c r="P29" s="6">
        <f>Tabl_B1_RTO!E144</f>
        <v>3.3599999999999998E-4</v>
      </c>
      <c r="Q29" s="6">
        <f>Tabl_B1_RTO!D144</f>
        <v>0.12264</v>
      </c>
    </row>
    <row r="30" spans="1:17">
      <c r="A30">
        <f t="shared" si="0"/>
        <v>15</v>
      </c>
      <c r="B30" t="s">
        <v>1306</v>
      </c>
      <c r="C30" t="str">
        <f t="shared" si="1"/>
        <v>TANK12</v>
      </c>
      <c r="D30">
        <v>1</v>
      </c>
      <c r="E30" t="str">
        <f t="shared" si="2"/>
        <v>Tank TANK12</v>
      </c>
      <c r="H30">
        <f>MATCH(B30,Tabl_B4_Tanks!$B$7:$B$33,0)</f>
        <v>12</v>
      </c>
      <c r="M30" t="s">
        <v>1398</v>
      </c>
      <c r="N30" t="str">
        <f>Tabl_B1_RTO!C145</f>
        <v>7440-22-4</v>
      </c>
      <c r="O30" t="str">
        <f>Tabl_B1_RTO!B145</f>
        <v>Silver and compounds</v>
      </c>
      <c r="P30" s="6">
        <f>Tabl_B1_RTO!E145</f>
        <v>7.6799999999999997E-5</v>
      </c>
      <c r="Q30" s="6">
        <f>Tabl_B1_RTO!D145</f>
        <v>2.8031999999999998E-2</v>
      </c>
    </row>
    <row r="31" spans="1:17">
      <c r="A31">
        <f t="shared" si="0"/>
        <v>16</v>
      </c>
      <c r="B31" t="s">
        <v>1307</v>
      </c>
      <c r="C31" t="s">
        <v>1603</v>
      </c>
      <c r="D31">
        <v>1</v>
      </c>
      <c r="E31" t="str">
        <f t="shared" si="2"/>
        <v>Tank IT1001</v>
      </c>
      <c r="H31">
        <f>MATCH(B31,Tabl_B4_Tanks!$B$7:$B$33,0)</f>
        <v>13</v>
      </c>
      <c r="M31" t="s">
        <v>1398</v>
      </c>
      <c r="N31" t="str">
        <f>Tabl_B1_RTO!C146</f>
        <v>7440-28-0</v>
      </c>
      <c r="O31" t="str">
        <f>Tabl_B1_RTO!B146</f>
        <v>Thallium and compounds</v>
      </c>
      <c r="P31" s="6">
        <f>Tabl_B1_RTO!E146</f>
        <v>1.8000000000000001E-4</v>
      </c>
      <c r="Q31" s="6">
        <f>Tabl_B1_RTO!D146</f>
        <v>6.5700000000000008E-2</v>
      </c>
    </row>
    <row r="32" spans="1:17">
      <c r="A32">
        <f t="shared" si="0"/>
        <v>17</v>
      </c>
      <c r="B32" t="s">
        <v>1309</v>
      </c>
      <c r="C32" t="s">
        <v>1604</v>
      </c>
      <c r="D32">
        <v>1</v>
      </c>
      <c r="E32" t="str">
        <f t="shared" si="2"/>
        <v>Tank IT2202</v>
      </c>
      <c r="H32">
        <f>MATCH(B32,Tabl_B4_Tanks!$B$7:$B$33,0)</f>
        <v>14</v>
      </c>
      <c r="M32" t="s">
        <v>1398</v>
      </c>
      <c r="N32" t="str">
        <f>Tabl_B1_RTO!C147</f>
        <v>7440-66-6</v>
      </c>
      <c r="O32" t="str">
        <f>Tabl_B1_RTO!B147</f>
        <v>Zinc and compounds</v>
      </c>
      <c r="P32" s="6">
        <f>Tabl_B1_RTO!E147</f>
        <v>4.04235294117647E-3</v>
      </c>
      <c r="Q32" s="6">
        <f>Tabl_B1_RTO!D147</f>
        <v>1.4754588235294117</v>
      </c>
    </row>
    <row r="33" spans="1:17">
      <c r="A33">
        <f t="shared" si="0"/>
        <v>18</v>
      </c>
      <c r="B33" t="s">
        <v>1310</v>
      </c>
      <c r="C33" t="s">
        <v>1605</v>
      </c>
      <c r="D33">
        <v>1</v>
      </c>
      <c r="E33" t="str">
        <f t="shared" si="2"/>
        <v>Tank SO1</v>
      </c>
      <c r="H33">
        <f>MATCH(B33,Tabl_B4_Tanks!$B$7:$B$33,0)</f>
        <v>15</v>
      </c>
      <c r="M33" t="s">
        <v>1398</v>
      </c>
      <c r="N33" t="str">
        <f>Tabl_B1_RTO!C148</f>
        <v>35822-46-9</v>
      </c>
      <c r="O33" t="str">
        <f>Tabl_B1_RTO!B148</f>
        <v>1,2,3,4,6,7,8-Heptachlorodibenzo-p-dioxin (HpCDD)</v>
      </c>
      <c r="P33" s="6">
        <f>Tabl_B1_RTO!E148</f>
        <v>3.6960000000000005E-9</v>
      </c>
      <c r="Q33" s="6">
        <f>Tabl_B1_RTO!D148</f>
        <v>1.3490400000000002E-6</v>
      </c>
    </row>
    <row r="34" spans="1:17">
      <c r="A34">
        <f t="shared" si="0"/>
        <v>19</v>
      </c>
      <c r="B34" t="s">
        <v>1311</v>
      </c>
      <c r="C34" t="s">
        <v>1606</v>
      </c>
      <c r="D34">
        <v>1</v>
      </c>
      <c r="E34" t="str">
        <f t="shared" si="2"/>
        <v>Tank SO2</v>
      </c>
      <c r="H34">
        <f>MATCH(B34,Tabl_B4_Tanks!$B$7:$B$33,0)</f>
        <v>16</v>
      </c>
      <c r="M34" t="s">
        <v>1398</v>
      </c>
      <c r="N34" t="str">
        <f>Tabl_B1_RTO!C149</f>
        <v>3268-87-9</v>
      </c>
      <c r="O34" t="str">
        <f>Tabl_B1_RTO!B149</f>
        <v>Octachlorodibenzo-p-dioxin (OCDD)</v>
      </c>
      <c r="P34" s="6">
        <f>Tabl_B1_RTO!E149</f>
        <v>8.7839999999999994E-9</v>
      </c>
      <c r="Q34" s="6">
        <f>Tabl_B1_RTO!D149</f>
        <v>3.2061599999999996E-6</v>
      </c>
    </row>
    <row r="35" spans="1:17">
      <c r="A35">
        <f t="shared" si="0"/>
        <v>20</v>
      </c>
      <c r="B35" t="s">
        <v>1312</v>
      </c>
      <c r="C35" t="s">
        <v>1607</v>
      </c>
      <c r="D35">
        <v>1</v>
      </c>
      <c r="E35" t="str">
        <f t="shared" si="2"/>
        <v>Tank SO3</v>
      </c>
      <c r="H35">
        <f>MATCH(B35,Tabl_B4_Tanks!$B$7:$B$33,0)</f>
        <v>17</v>
      </c>
      <c r="M35" t="s">
        <v>1398</v>
      </c>
      <c r="N35" t="str">
        <f>Tabl_B1_RTO!C150</f>
        <v>51207-31-9</v>
      </c>
      <c r="O35" t="str">
        <f>Tabl_B1_RTO!B150</f>
        <v>2,3,7,8-Tetrachlorodibenzofuran (TcDF)</v>
      </c>
      <c r="P35" s="6">
        <f>Tabl_B1_RTO!E150</f>
        <v>1.74572E-9</v>
      </c>
      <c r="Q35" s="6">
        <f>Tabl_B1_RTO!D150</f>
        <v>6.3718780000000002E-7</v>
      </c>
    </row>
    <row r="36" spans="1:17">
      <c r="A36">
        <f t="shared" si="0"/>
        <v>21</v>
      </c>
      <c r="B36" t="s">
        <v>1313</v>
      </c>
      <c r="C36" t="s">
        <v>1608</v>
      </c>
      <c r="D36">
        <v>1</v>
      </c>
      <c r="E36" t="str">
        <f t="shared" si="2"/>
        <v>Tank SO4</v>
      </c>
      <c r="H36">
        <f>MATCH(B36,Tabl_B4_Tanks!$B$7:$B$33,0)</f>
        <v>18</v>
      </c>
      <c r="M36" t="s">
        <v>1398</v>
      </c>
      <c r="N36" t="str">
        <f>Tabl_B1_RTO!C151</f>
        <v>83-32-9</v>
      </c>
      <c r="O36" t="str">
        <f>Tabl_B1_RTO!B151</f>
        <v>Acenaphthene</v>
      </c>
      <c r="P36" s="6">
        <f>Tabl_B1_RTO!E151</f>
        <v>5.1600000000000007E-5</v>
      </c>
      <c r="Q36" s="6">
        <f>Tabl_B1_RTO!D151</f>
        <v>1.8834E-2</v>
      </c>
    </row>
    <row r="37" spans="1:17">
      <c r="A37">
        <f t="shared" si="0"/>
        <v>22</v>
      </c>
      <c r="B37" t="s">
        <v>1571</v>
      </c>
      <c r="C37" t="s">
        <v>1609</v>
      </c>
      <c r="D37">
        <v>1</v>
      </c>
      <c r="E37" t="str">
        <f t="shared" si="2"/>
        <v>Tank GP1</v>
      </c>
      <c r="H37">
        <f>MATCH(B37,Tabl_B4_Tanks!$B$7:$B$33,0)</f>
        <v>19</v>
      </c>
      <c r="M37" t="s">
        <v>1398</v>
      </c>
      <c r="N37" t="str">
        <f>Tabl_B1_RTO!C152</f>
        <v>208-96-8</v>
      </c>
      <c r="O37" t="str">
        <f>Tabl_B1_RTO!B152</f>
        <v>Acenaphthylene</v>
      </c>
      <c r="P37" s="6">
        <f>Tabl_B1_RTO!E152</f>
        <v>1.2743999999999999E-4</v>
      </c>
      <c r="Q37" s="6">
        <f>Tabl_B1_RTO!D152</f>
        <v>4.6515599999999997E-2</v>
      </c>
    </row>
    <row r="38" spans="1:17">
      <c r="A38">
        <f t="shared" si="0"/>
        <v>23</v>
      </c>
      <c r="B38" t="s">
        <v>1572</v>
      </c>
      <c r="C38" t="s">
        <v>1610</v>
      </c>
      <c r="D38">
        <v>1</v>
      </c>
      <c r="E38" t="str">
        <f t="shared" si="2"/>
        <v>Tank GP2</v>
      </c>
      <c r="H38">
        <f>MATCH(B38,Tabl_B4_Tanks!$B$7:$B$33,0)</f>
        <v>20</v>
      </c>
      <c r="M38" t="s">
        <v>1398</v>
      </c>
      <c r="N38" t="str">
        <f>Tabl_B1_RTO!C153</f>
        <v>120-12-7</v>
      </c>
      <c r="O38" t="str">
        <f>Tabl_B1_RTO!B153</f>
        <v>Anthracene</v>
      </c>
      <c r="P38" s="6">
        <f>Tabl_B1_RTO!E153</f>
        <v>7.0084800000000004E-5</v>
      </c>
      <c r="Q38" s="6">
        <f>Tabl_B1_RTO!D153</f>
        <v>2.5580952000000001E-2</v>
      </c>
    </row>
    <row r="39" spans="1:17">
      <c r="A39">
        <f t="shared" si="0"/>
        <v>24</v>
      </c>
      <c r="B39" t="s">
        <v>1314</v>
      </c>
      <c r="C39" t="str">
        <f t="shared" si="1"/>
        <v>UO1</v>
      </c>
      <c r="D39">
        <v>1</v>
      </c>
      <c r="E39" t="str">
        <f t="shared" si="2"/>
        <v>Tank UO1</v>
      </c>
      <c r="H39">
        <f>MATCH(B39,Tabl_B4_Tanks!$B$7:$B$33,0)</f>
        <v>21</v>
      </c>
      <c r="M39" t="s">
        <v>1398</v>
      </c>
      <c r="N39" t="str">
        <f>Tabl_B1_RTO!C154</f>
        <v>56-55-3</v>
      </c>
      <c r="O39" t="str">
        <f>Tabl_B1_RTO!B154</f>
        <v>Benz[a]anthracene</v>
      </c>
      <c r="P39" s="6">
        <f>Tabl_B1_RTO!E154</f>
        <v>3.6480000000000003E-5</v>
      </c>
      <c r="Q39" s="6">
        <f>Tabl_B1_RTO!D154</f>
        <v>1.3315200000000001E-2</v>
      </c>
    </row>
    <row r="40" spans="1:17">
      <c r="A40">
        <f t="shared" si="0"/>
        <v>25</v>
      </c>
      <c r="B40" t="s">
        <v>1315</v>
      </c>
      <c r="C40" t="str">
        <f t="shared" si="1"/>
        <v>UO2</v>
      </c>
      <c r="D40">
        <v>1</v>
      </c>
      <c r="E40" t="str">
        <f t="shared" si="2"/>
        <v>Tank UO2</v>
      </c>
      <c r="H40">
        <f>MATCH(B40,Tabl_B4_Tanks!$B$7:$B$33,0)</f>
        <v>22</v>
      </c>
      <c r="M40" t="s">
        <v>1398</v>
      </c>
      <c r="N40" t="str">
        <f>Tabl_B1_RTO!C155</f>
        <v>50-32-8</v>
      </c>
      <c r="O40" t="str">
        <f>Tabl_B1_RTO!B155</f>
        <v>Benzo[a]pyrene</v>
      </c>
      <c r="P40" s="6">
        <f>Tabl_B1_RTO!E155</f>
        <v>5.9119999999999995E-7</v>
      </c>
      <c r="Q40" s="6">
        <f>Tabl_B1_RTO!D155</f>
        <v>2.1578799999999999E-4</v>
      </c>
    </row>
    <row r="41" spans="1:17">
      <c r="A41">
        <f t="shared" si="0"/>
        <v>26</v>
      </c>
      <c r="B41" t="s">
        <v>1316</v>
      </c>
      <c r="C41" t="str">
        <f t="shared" si="1"/>
        <v>UO3</v>
      </c>
      <c r="D41">
        <v>1</v>
      </c>
      <c r="E41" t="str">
        <f t="shared" si="2"/>
        <v>Tank UO3</v>
      </c>
      <c r="H41">
        <f>MATCH(B41,Tabl_B4_Tanks!$B$7:$B$33,0)</f>
        <v>23</v>
      </c>
      <c r="M41" t="s">
        <v>1398</v>
      </c>
      <c r="N41" t="str">
        <f>Tabl_B1_RTO!C156</f>
        <v>205-99-2</v>
      </c>
      <c r="O41" t="str">
        <f>Tabl_B1_RTO!B156</f>
        <v>Benzo[b]fluoranthene</v>
      </c>
      <c r="P41" s="6">
        <f>Tabl_B1_RTO!E156</f>
        <v>1.8119999999999999E-5</v>
      </c>
      <c r="Q41" s="6">
        <f>Tabl_B1_RTO!D156</f>
        <v>6.6137999999999995E-3</v>
      </c>
    </row>
    <row r="42" spans="1:17">
      <c r="A42">
        <f t="shared" si="0"/>
        <v>27</v>
      </c>
      <c r="B42" t="s">
        <v>1317</v>
      </c>
      <c r="C42" t="str">
        <f t="shared" si="1"/>
        <v>UO4</v>
      </c>
      <c r="D42">
        <v>1</v>
      </c>
      <c r="E42" t="str">
        <f t="shared" si="2"/>
        <v>Tank UO4</v>
      </c>
      <c r="H42">
        <f>MATCH(B42,Tabl_B4_Tanks!$B$7:$B$33,0)</f>
        <v>24</v>
      </c>
      <c r="M42" t="s">
        <v>1398</v>
      </c>
      <c r="N42" t="str">
        <f>Tabl_B1_RTO!C157</f>
        <v>192-97-2</v>
      </c>
      <c r="O42" t="str">
        <f>Tabl_B1_RTO!B157</f>
        <v>Benzo[e]pyrene</v>
      </c>
      <c r="P42" s="6">
        <f>Tabl_B1_RTO!E157</f>
        <v>4.4399999999999998E-6</v>
      </c>
      <c r="Q42" s="6">
        <f>Tabl_B1_RTO!D157</f>
        <v>1.6206E-3</v>
      </c>
    </row>
    <row r="43" spans="1:17">
      <c r="A43">
        <f t="shared" si="0"/>
        <v>28</v>
      </c>
      <c r="B43" t="s">
        <v>1318</v>
      </c>
      <c r="C43" t="str">
        <f t="shared" si="1"/>
        <v>UO5</v>
      </c>
      <c r="D43">
        <v>1</v>
      </c>
      <c r="E43" t="str">
        <f t="shared" si="2"/>
        <v>Tank UO5</v>
      </c>
      <c r="H43">
        <f>MATCH(B43,Tabl_B4_Tanks!$B$7:$B$33,0)</f>
        <v>25</v>
      </c>
      <c r="M43" t="s">
        <v>1398</v>
      </c>
      <c r="N43" t="str">
        <f>Tabl_B1_RTO!C158</f>
        <v>191-24-2</v>
      </c>
      <c r="O43" t="str">
        <f>Tabl_B1_RTO!B158</f>
        <v>Benzo[g,h,i]perylene</v>
      </c>
      <c r="P43" s="6">
        <f>Tabl_B1_RTO!E158</f>
        <v>2.4480000000000001E-6</v>
      </c>
      <c r="Q43" s="6">
        <f>Tabl_B1_RTO!D158</f>
        <v>8.9351999999999997E-4</v>
      </c>
    </row>
    <row r="44" spans="1:17">
      <c r="A44">
        <f t="shared" si="0"/>
        <v>29</v>
      </c>
      <c r="B44" t="s">
        <v>1319</v>
      </c>
      <c r="C44" t="str">
        <f t="shared" si="1"/>
        <v>UO6</v>
      </c>
      <c r="D44">
        <v>1</v>
      </c>
      <c r="E44" t="str">
        <f t="shared" si="2"/>
        <v>Tank UO6</v>
      </c>
      <c r="H44">
        <f>MATCH(B44,Tabl_B4_Tanks!$B$7:$B$33,0)</f>
        <v>26</v>
      </c>
      <c r="M44" t="s">
        <v>1398</v>
      </c>
      <c r="N44" t="str">
        <f>Tabl_B1_RTO!C159</f>
        <v>207-08-9</v>
      </c>
      <c r="O44" t="str">
        <f>Tabl_B1_RTO!B159</f>
        <v>Benzo[k]fluoranthene</v>
      </c>
      <c r="P44" s="6">
        <f>Tabl_B1_RTO!E159</f>
        <v>3.5279999999999999E-6</v>
      </c>
      <c r="Q44" s="6">
        <f>Tabl_B1_RTO!D159</f>
        <v>1.28772E-3</v>
      </c>
    </row>
    <row r="45" spans="1:17">
      <c r="A45">
        <f t="shared" si="0"/>
        <v>30</v>
      </c>
      <c r="B45" t="s">
        <v>1321</v>
      </c>
      <c r="C45" t="str">
        <f t="shared" si="1"/>
        <v>MDO1</v>
      </c>
      <c r="D45">
        <v>1</v>
      </c>
      <c r="E45" t="str">
        <f t="shared" si="2"/>
        <v>Tank MDO1</v>
      </c>
      <c r="H45">
        <f>MATCH(B45,Tabl_B4_Tanks!$B$7:$B$33,0)</f>
        <v>27</v>
      </c>
      <c r="M45" t="s">
        <v>1398</v>
      </c>
      <c r="N45" t="str">
        <f>Tabl_B1_RTO!C160</f>
        <v>218-01-9</v>
      </c>
      <c r="O45" t="str">
        <f>Tabl_B1_RTO!B160</f>
        <v>Chrysene</v>
      </c>
      <c r="P45" s="6">
        <f>Tabl_B1_RTO!E160</f>
        <v>5.4239999999999996E-5</v>
      </c>
      <c r="Q45" s="6">
        <f>Tabl_B1_RTO!D160</f>
        <v>1.9797599999999999E-2</v>
      </c>
    </row>
    <row r="46" spans="1:17">
      <c r="A46">
        <f t="shared" si="0"/>
        <v>31</v>
      </c>
      <c r="B46" t="s">
        <v>1278</v>
      </c>
      <c r="C46" t="str">
        <f t="shared" si="1"/>
        <v>Front</v>
      </c>
      <c r="D46">
        <v>1</v>
      </c>
      <c r="E46" t="str">
        <f>"Area " &amp; C46</f>
        <v>Area Front</v>
      </c>
      <c r="M46" t="s">
        <v>1398</v>
      </c>
      <c r="N46" t="str">
        <f>Tabl_B1_RTO!C161</f>
        <v>206-44-0</v>
      </c>
      <c r="O46" t="str">
        <f>Tabl_B1_RTO!B161</f>
        <v>Fluoranthene</v>
      </c>
      <c r="P46" s="6">
        <f>Tabl_B1_RTO!E161</f>
        <v>1.5935999999999999E-4</v>
      </c>
      <c r="Q46" s="6">
        <f>Tabl_B1_RTO!D161</f>
        <v>5.81664E-2</v>
      </c>
    </row>
    <row r="47" spans="1:17">
      <c r="A47">
        <f t="shared" si="0"/>
        <v>32</v>
      </c>
      <c r="B47" t="s">
        <v>1283</v>
      </c>
      <c r="C47" t="str">
        <f t="shared" si="1"/>
        <v>Jail</v>
      </c>
      <c r="D47">
        <v>1</v>
      </c>
      <c r="E47" t="str">
        <f t="shared" ref="E47:E51" si="3">"Area " &amp; C47</f>
        <v>Area Jail</v>
      </c>
      <c r="M47" t="s">
        <v>1398</v>
      </c>
      <c r="N47" t="str">
        <f>Tabl_B1_RTO!C162</f>
        <v>86-73-7</v>
      </c>
      <c r="O47" t="str">
        <f>Tabl_B1_RTO!B162</f>
        <v>Fluorene</v>
      </c>
      <c r="P47" s="6">
        <f>Tabl_B1_RTO!E162</f>
        <v>2.1576000000000001E-4</v>
      </c>
      <c r="Q47" s="6">
        <f>Tabl_B1_RTO!D162</f>
        <v>7.87524E-2</v>
      </c>
    </row>
    <row r="48" spans="1:17">
      <c r="A48">
        <f t="shared" si="0"/>
        <v>33</v>
      </c>
      <c r="B48" t="s">
        <v>1284</v>
      </c>
      <c r="C48" t="str">
        <f t="shared" si="1"/>
        <v>BO</v>
      </c>
      <c r="D48">
        <v>1</v>
      </c>
      <c r="E48" t="str">
        <f t="shared" si="3"/>
        <v>Area BO</v>
      </c>
      <c r="M48" t="s">
        <v>1398</v>
      </c>
      <c r="N48" t="str">
        <f>Tabl_B1_RTO!C163</f>
        <v>91-57-6</v>
      </c>
      <c r="O48" t="str">
        <f>Tabl_B1_RTO!B163</f>
        <v>2-Methyl naphthalene</v>
      </c>
      <c r="P48" s="6">
        <f>Tabl_B1_RTO!E163</f>
        <v>5.1359999999999999E-3</v>
      </c>
      <c r="Q48" s="6">
        <f>Tabl_B1_RTO!D163</f>
        <v>1.8746400000000001</v>
      </c>
    </row>
    <row r="49" spans="1:17">
      <c r="A49">
        <f t="shared" si="0"/>
        <v>34</v>
      </c>
      <c r="B49" t="s">
        <v>1285</v>
      </c>
      <c r="C49" t="str">
        <f t="shared" si="1"/>
        <v>UO</v>
      </c>
      <c r="D49">
        <v>1</v>
      </c>
      <c r="E49" t="str">
        <f t="shared" si="3"/>
        <v>Area UO</v>
      </c>
      <c r="M49" t="s">
        <v>1398</v>
      </c>
      <c r="N49" t="e">
        <f>Tabl_B1_RTO!#REF!</f>
        <v>#REF!</v>
      </c>
      <c r="O49" t="e">
        <f>Tabl_B1_RTO!#REF!</f>
        <v>#REF!</v>
      </c>
      <c r="P49" s="6" t="e">
        <f>Tabl_B1_RTO!#REF!</f>
        <v>#REF!</v>
      </c>
      <c r="Q49" s="6" t="e">
        <f>Tabl_B1_RTO!#REF!</f>
        <v>#REF!</v>
      </c>
    </row>
    <row r="50" spans="1:17">
      <c r="A50">
        <f t="shared" si="0"/>
        <v>35</v>
      </c>
      <c r="B50" t="s">
        <v>1286</v>
      </c>
      <c r="C50" t="str">
        <f t="shared" si="1"/>
        <v>IT</v>
      </c>
      <c r="D50">
        <v>1</v>
      </c>
      <c r="E50" t="str">
        <f t="shared" si="3"/>
        <v>Area IT</v>
      </c>
      <c r="M50" t="s">
        <v>1398</v>
      </c>
      <c r="N50" t="e">
        <f>Tabl_B1_RTO!#REF!</f>
        <v>#REF!</v>
      </c>
      <c r="O50" t="e">
        <f>Tabl_B1_RTO!#REF!</f>
        <v>#REF!</v>
      </c>
      <c r="P50" s="6" t="e">
        <f>Tabl_B1_RTO!#REF!</f>
        <v>#REF!</v>
      </c>
      <c r="Q50" s="6" t="e">
        <f>Tabl_B1_RTO!#REF!</f>
        <v>#REF!</v>
      </c>
    </row>
    <row r="51" spans="1:17">
      <c r="A51">
        <f t="shared" si="0"/>
        <v>36</v>
      </c>
      <c r="B51" t="s">
        <v>1287</v>
      </c>
      <c r="C51" t="str">
        <f t="shared" si="1"/>
        <v>REF</v>
      </c>
      <c r="D51">
        <v>1</v>
      </c>
      <c r="E51" t="str">
        <f t="shared" si="3"/>
        <v>Area REF</v>
      </c>
      <c r="M51" t="s">
        <v>1398</v>
      </c>
      <c r="N51" t="e">
        <f>Tabl_B1_RTO!#REF!</f>
        <v>#REF!</v>
      </c>
      <c r="O51" t="e">
        <f>Tabl_B1_RTO!#REF!</f>
        <v>#REF!</v>
      </c>
      <c r="P51" s="6" t="e">
        <f>Tabl_B1_RTO!#REF!</f>
        <v>#REF!</v>
      </c>
      <c r="Q51" s="6" t="e">
        <f>Tabl_B1_RTO!#REF!</f>
        <v>#REF!</v>
      </c>
    </row>
    <row r="52" spans="1:17">
      <c r="A52">
        <f t="shared" si="0"/>
        <v>37</v>
      </c>
      <c r="B52" t="s">
        <v>1515</v>
      </c>
      <c r="C52" t="s">
        <v>1287</v>
      </c>
      <c r="D52">
        <v>1</v>
      </c>
      <c r="E52" t="str">
        <f>"Area " &amp; C52 &amp; " LDAR"</f>
        <v>Area REF LDAR</v>
      </c>
      <c r="M52" t="s">
        <v>1398</v>
      </c>
      <c r="N52" t="e">
        <f>Tabl_B1_RTO!#REF!</f>
        <v>#REF!</v>
      </c>
      <c r="O52" t="e">
        <f>Tabl_B1_RTO!#REF!</f>
        <v>#REF!</v>
      </c>
      <c r="P52" s="6" t="e">
        <f>Tabl_B1_RTO!#REF!</f>
        <v>#REF!</v>
      </c>
      <c r="Q52" s="6" t="e">
        <f>Tabl_B1_RTO!#REF!</f>
        <v>#REF!</v>
      </c>
    </row>
    <row r="53" spans="1:17">
      <c r="A53">
        <f t="shared" si="0"/>
        <v>38</v>
      </c>
      <c r="B53" t="s">
        <v>1288</v>
      </c>
      <c r="C53" t="str">
        <f>B53</f>
        <v>SULF</v>
      </c>
      <c r="D53">
        <v>1</v>
      </c>
      <c r="E53" t="str">
        <f>"Area " &amp; C53</f>
        <v>Area SULF</v>
      </c>
      <c r="M53" t="s">
        <v>1398</v>
      </c>
      <c r="N53" t="e">
        <f>Tabl_B1_RTO!#REF!</f>
        <v>#REF!</v>
      </c>
      <c r="O53" t="e">
        <f>Tabl_B1_RTO!#REF!</f>
        <v>#REF!</v>
      </c>
      <c r="P53" s="6" t="e">
        <f>Tabl_B1_RTO!#REF!</f>
        <v>#REF!</v>
      </c>
      <c r="Q53" s="6" t="e">
        <f>Tabl_B1_RTO!#REF!</f>
        <v>#REF!</v>
      </c>
    </row>
    <row r="54" spans="1:17">
      <c r="A54">
        <f t="shared" si="0"/>
        <v>39</v>
      </c>
      <c r="B54" t="s">
        <v>1516</v>
      </c>
      <c r="C54" t="str">
        <f>C53</f>
        <v>SULF</v>
      </c>
      <c r="D54">
        <v>1</v>
      </c>
      <c r="E54" t="str">
        <f>"Area " &amp; C54 &amp; " LDAR"</f>
        <v>Area SULF LDAR</v>
      </c>
      <c r="M54" t="s">
        <v>1398</v>
      </c>
      <c r="N54" t="e">
        <f>Tabl_B1_RTO!#REF!</f>
        <v>#REF!</v>
      </c>
      <c r="O54" t="e">
        <f>Tabl_B1_RTO!#REF!</f>
        <v>#REF!</v>
      </c>
      <c r="P54" s="6" t="e">
        <f>Tabl_B1_RTO!#REF!</f>
        <v>#REF!</v>
      </c>
      <c r="Q54" s="6" t="e">
        <f>Tabl_B1_RTO!#REF!</f>
        <v>#REF!</v>
      </c>
    </row>
    <row r="55" spans="1:17">
      <c r="A55">
        <f t="shared" si="0"/>
        <v>40</v>
      </c>
      <c r="B55" t="s">
        <v>1289</v>
      </c>
      <c r="C55" t="str">
        <f>B55</f>
        <v>LPS1</v>
      </c>
      <c r="D55">
        <v>1</v>
      </c>
      <c r="E55" t="str">
        <f>"Area " &amp; C55</f>
        <v>Area LPS1</v>
      </c>
      <c r="M55" t="s">
        <v>1398</v>
      </c>
      <c r="N55" t="str">
        <f>Tabl_B1_RTO!C164</f>
        <v>91-20-3</v>
      </c>
      <c r="O55" t="str">
        <f>Tabl_B1_RTO!B164</f>
        <v>Naphthalene</v>
      </c>
      <c r="P55" s="6">
        <f>Tabl_B1_RTO!E164</f>
        <v>6.7199999999999982E-2</v>
      </c>
      <c r="Q55" s="6">
        <f>Tabl_B1_RTO!D164</f>
        <v>24.527999999999995</v>
      </c>
    </row>
    <row r="56" spans="1:17">
      <c r="A56">
        <f t="shared" si="0"/>
        <v>41</v>
      </c>
      <c r="B56" t="s">
        <v>1290</v>
      </c>
      <c r="C56" t="str">
        <f>B56</f>
        <v>LPS2</v>
      </c>
      <c r="D56">
        <v>1</v>
      </c>
      <c r="E56" t="str">
        <f>"Area " &amp; C56</f>
        <v>Area LPS2</v>
      </c>
      <c r="M56" t="s">
        <v>1398</v>
      </c>
      <c r="N56" t="str">
        <f>Tabl_B1_RTO!C165</f>
        <v>85-01-8</v>
      </c>
      <c r="O56" t="str">
        <f>Tabl_B1_RTO!B165</f>
        <v>Phenanthrene</v>
      </c>
      <c r="P56" s="6">
        <f>Tabl_B1_RTO!E165</f>
        <v>6.2399999999999999E-4</v>
      </c>
      <c r="Q56" s="6">
        <f>Tabl_B1_RTO!D165</f>
        <v>0.22775999999999999</v>
      </c>
    </row>
    <row r="57" spans="1:17">
      <c r="A57">
        <f t="shared" si="0"/>
        <v>42</v>
      </c>
      <c r="B57" t="s">
        <v>1399</v>
      </c>
      <c r="C57" t="s">
        <v>1401</v>
      </c>
      <c r="D57">
        <v>1</v>
      </c>
      <c r="E57" t="str">
        <f>"Volume " &amp; C57</f>
        <v>Volume TLOAD</v>
      </c>
      <c r="M57" t="s">
        <v>1398</v>
      </c>
      <c r="N57" t="str">
        <f>Tabl_B1_RTO!C166</f>
        <v>129-00-0</v>
      </c>
      <c r="O57" t="str">
        <f>Tabl_B1_RTO!B166</f>
        <v>Pyrene</v>
      </c>
      <c r="P57" s="6">
        <f>Tabl_B1_RTO!E166</f>
        <v>1.0632E-4</v>
      </c>
      <c r="Q57" s="6">
        <f>Tabl_B1_RTO!D166</f>
        <v>3.8806800000000002E-2</v>
      </c>
    </row>
    <row r="58" spans="1:17">
      <c r="M58" t="s">
        <v>1398</v>
      </c>
      <c r="N58" t="str">
        <f>Tabl_B1_RTO!C167</f>
        <v>34883-43-7</v>
      </c>
      <c r="O58" t="str">
        <f>Tabl_B1_RTO!B167</f>
        <v>PCB-8 [2,4'-dichlorobiphenyl]</v>
      </c>
      <c r="P58" s="6">
        <f>Tabl_B1_RTO!E167</f>
        <v>2.8799999999999998E-7</v>
      </c>
      <c r="Q58" s="6">
        <f>Tabl_B1_RTO!D167</f>
        <v>1.0512E-4</v>
      </c>
    </row>
    <row r="59" spans="1:17">
      <c r="M59" t="s">
        <v>1398</v>
      </c>
      <c r="N59" t="str">
        <f>Tabl_B1_RTO!C168</f>
        <v>37680-65-2</v>
      </c>
      <c r="O59" t="str">
        <f>Tabl_B1_RTO!B168</f>
        <v>PCB 18 [2,2',5-trichlorobiphenyl]</v>
      </c>
      <c r="P59" s="6">
        <f>Tabl_B1_RTO!E168</f>
        <v>1.9056000000000001E-7</v>
      </c>
      <c r="Q59" s="6">
        <f>Tabl_B1_RTO!D168</f>
        <v>6.9554400000000006E-5</v>
      </c>
    </row>
    <row r="60" spans="1:17">
      <c r="M60" t="s">
        <v>1398</v>
      </c>
      <c r="N60" t="str">
        <f>Tabl_B1_RTO!C170</f>
        <v>41464-39-5</v>
      </c>
      <c r="O60" t="str">
        <f>Tabl_B1_RTO!B170</f>
        <v>PCB-44 [2,2',3,5'-tetrachlorobiphenyl]</v>
      </c>
      <c r="P60" s="6">
        <f>Tabl_B1_RTO!E170</f>
        <v>6.4560000000000004E-8</v>
      </c>
      <c r="Q60" s="6">
        <f>Tabl_B1_RTO!D170</f>
        <v>2.3564400000000001E-5</v>
      </c>
    </row>
    <row r="61" spans="1:17">
      <c r="M61" t="s">
        <v>1398</v>
      </c>
      <c r="N61" t="e">
        <f>Tabl_B1_RTO!#REF!</f>
        <v>#REF!</v>
      </c>
      <c r="O61" t="e">
        <f>Tabl_B1_RTO!#REF!</f>
        <v>#REF!</v>
      </c>
      <c r="P61" s="6" t="e">
        <f>Tabl_B1_RTO!#REF!</f>
        <v>#REF!</v>
      </c>
      <c r="Q61" s="6" t="e">
        <f>Tabl_B1_RTO!#REF!</f>
        <v>#REF!</v>
      </c>
    </row>
    <row r="62" spans="1:17">
      <c r="M62" t="s">
        <v>1398</v>
      </c>
      <c r="N62" t="e">
        <f>Tabl_B1_RTO!#REF!</f>
        <v>#REF!</v>
      </c>
      <c r="O62" t="e">
        <f>Tabl_B1_RTO!#REF!</f>
        <v>#REF!</v>
      </c>
      <c r="P62" s="6" t="e">
        <f>Tabl_B1_RTO!#REF!</f>
        <v>#REF!</v>
      </c>
      <c r="Q62" s="6" t="e">
        <f>Tabl_B1_RTO!#REF!</f>
        <v>#REF!</v>
      </c>
    </row>
    <row r="63" spans="1:17">
      <c r="M63" t="s">
        <v>1398</v>
      </c>
      <c r="N63" t="e">
        <f>Tabl_B1_RTO!#REF!</f>
        <v>#REF!</v>
      </c>
      <c r="O63" t="e">
        <f>Tabl_B1_RTO!#REF!</f>
        <v>#REF!</v>
      </c>
      <c r="P63" s="6" t="e">
        <f>Tabl_B1_RTO!#REF!</f>
        <v>#REF!</v>
      </c>
      <c r="Q63" s="6" t="e">
        <f>Tabl_B1_RTO!#REF!</f>
        <v>#REF!</v>
      </c>
    </row>
    <row r="64" spans="1:17">
      <c r="M64" t="s">
        <v>1398</v>
      </c>
      <c r="N64" t="e">
        <f>Tabl_B1_RTO!#REF!</f>
        <v>#REF!</v>
      </c>
      <c r="O64" t="e">
        <f>Tabl_B1_RTO!#REF!</f>
        <v>#REF!</v>
      </c>
      <c r="P64" s="6" t="e">
        <f>Tabl_B1_RTO!#REF!</f>
        <v>#REF!</v>
      </c>
      <c r="Q64" s="6" t="e">
        <f>Tabl_B1_RTO!#REF!</f>
        <v>#REF!</v>
      </c>
    </row>
    <row r="65" spans="1:17">
      <c r="M65" t="s">
        <v>1398</v>
      </c>
      <c r="N65" t="e">
        <f>Tabl_B1_RTO!#REF!</f>
        <v>#REF!</v>
      </c>
      <c r="O65" t="e">
        <f>Tabl_B1_RTO!#REF!</f>
        <v>#REF!</v>
      </c>
      <c r="P65" s="6" t="e">
        <f>Tabl_B1_RTO!#REF!</f>
        <v>#REF!</v>
      </c>
      <c r="Q65" s="6" t="e">
        <f>Tabl_B1_RTO!#REF!</f>
        <v>#REF!</v>
      </c>
    </row>
    <row r="66" spans="1:17">
      <c r="M66" t="s">
        <v>1398</v>
      </c>
      <c r="N66" t="e">
        <f>Tabl_B1_RTO!#REF!</f>
        <v>#REF!</v>
      </c>
      <c r="O66" t="e">
        <f>Tabl_B1_RTO!#REF!</f>
        <v>#REF!</v>
      </c>
      <c r="P66" s="6" t="e">
        <f>Tabl_B1_RTO!#REF!</f>
        <v>#REF!</v>
      </c>
      <c r="Q66" s="6" t="e">
        <f>Tabl_B1_RTO!#REF!</f>
        <v>#REF!</v>
      </c>
    </row>
    <row r="67" spans="1:17">
      <c r="M67" t="s">
        <v>1398</v>
      </c>
      <c r="N67" t="e">
        <f>Tabl_B1_RTO!#REF!</f>
        <v>#REF!</v>
      </c>
      <c r="O67" t="e">
        <f>Tabl_B1_RTO!#REF!</f>
        <v>#REF!</v>
      </c>
      <c r="P67" s="6" t="e">
        <f>Tabl_B1_RTO!#REF!</f>
        <v>#REF!</v>
      </c>
      <c r="Q67" s="6" t="e">
        <f>Tabl_B1_RTO!#REF!</f>
        <v>#REF!</v>
      </c>
    </row>
    <row r="68" spans="1:17">
      <c r="A68">
        <v>1</v>
      </c>
      <c r="B68" t="e">
        <f t="shared" ref="B68:B99" si="4">INDEX(N$16:N$563,MATCH(C68,O$16:O$563,0))</f>
        <v>#N/A</v>
      </c>
      <c r="C68" t="s">
        <v>952</v>
      </c>
      <c r="M68" t="s">
        <v>1398</v>
      </c>
      <c r="N68" t="e">
        <f>Tabl_B1_RTO!#REF!</f>
        <v>#REF!</v>
      </c>
      <c r="O68" t="e">
        <f>Tabl_B1_RTO!#REF!</f>
        <v>#REF!</v>
      </c>
      <c r="P68" s="6" t="e">
        <f>Tabl_B1_RTO!#REF!</f>
        <v>#REF!</v>
      </c>
      <c r="Q68" s="6" t="e">
        <f>Tabl_B1_RTO!#REF!</f>
        <v>#REF!</v>
      </c>
    </row>
    <row r="69" spans="1:17">
      <c r="A69">
        <f>A68+1</f>
        <v>2</v>
      </c>
      <c r="B69" t="str">
        <f t="shared" si="4"/>
        <v>35822-46-9</v>
      </c>
      <c r="C69" t="s">
        <v>934</v>
      </c>
      <c r="M69" t="s">
        <v>1398</v>
      </c>
      <c r="N69" t="e">
        <f>Tabl_B1_RTO!#REF!</f>
        <v>#REF!</v>
      </c>
      <c r="O69" t="e">
        <f>Tabl_B1_RTO!#REF!</f>
        <v>#REF!</v>
      </c>
      <c r="P69" s="6" t="e">
        <f>Tabl_B1_RTO!#REF!</f>
        <v>#REF!</v>
      </c>
      <c r="Q69" s="6" t="e">
        <f>Tabl_B1_RTO!#REF!</f>
        <v>#REF!</v>
      </c>
    </row>
    <row r="70" spans="1:17">
      <c r="A70">
        <f t="shared" ref="A70:A133" si="5">A69+1</f>
        <v>3</v>
      </c>
      <c r="B70" t="e">
        <f t="shared" si="4"/>
        <v>#N/A</v>
      </c>
      <c r="C70" t="s">
        <v>954</v>
      </c>
      <c r="M70" t="s">
        <v>1398</v>
      </c>
      <c r="N70" t="e">
        <f>Tabl_B1_RTO!#REF!</f>
        <v>#REF!</v>
      </c>
      <c r="O70" t="e">
        <f>Tabl_B1_RTO!#REF!</f>
        <v>#REF!</v>
      </c>
      <c r="P70" s="6" t="e">
        <f>Tabl_B1_RTO!#REF!</f>
        <v>#REF!</v>
      </c>
      <c r="Q70" s="6" t="e">
        <f>Tabl_B1_RTO!#REF!</f>
        <v>#REF!</v>
      </c>
    </row>
    <row r="71" spans="1:17">
      <c r="A71">
        <f t="shared" si="5"/>
        <v>4</v>
      </c>
      <c r="B71" t="e">
        <f t="shared" si="4"/>
        <v>#N/A</v>
      </c>
      <c r="C71" t="s">
        <v>944</v>
      </c>
      <c r="M71" t="s">
        <v>1398</v>
      </c>
      <c r="N71" t="e">
        <f>Tabl_B1_RTO!#REF!</f>
        <v>#REF!</v>
      </c>
      <c r="O71" t="e">
        <f>Tabl_B1_RTO!#REF!</f>
        <v>#REF!</v>
      </c>
      <c r="P71" s="6" t="e">
        <f>Tabl_B1_RTO!#REF!</f>
        <v>#REF!</v>
      </c>
      <c r="Q71" s="6" t="e">
        <f>Tabl_B1_RTO!#REF!</f>
        <v>#REF!</v>
      </c>
    </row>
    <row r="72" spans="1:17">
      <c r="A72">
        <f t="shared" si="5"/>
        <v>5</v>
      </c>
      <c r="B72" t="e">
        <f t="shared" si="4"/>
        <v>#N/A</v>
      </c>
      <c r="C72" t="s">
        <v>928</v>
      </c>
      <c r="M72" t="s">
        <v>1398</v>
      </c>
      <c r="N72" t="str">
        <f>Tabl_B1_RTO!C171</f>
        <v>35693-99-3</v>
      </c>
      <c r="O72" t="str">
        <f>Tabl_B1_RTO!B171</f>
        <v>PCB-52 [2,2',5,5'-tetrachlorobiphenyl]</v>
      </c>
      <c r="P72" s="6">
        <f>Tabl_B1_RTO!E171</f>
        <v>6.7680000000000008E-8</v>
      </c>
      <c r="Q72" s="6">
        <f>Tabl_B1_RTO!D171</f>
        <v>2.4703200000000001E-5</v>
      </c>
    </row>
    <row r="73" spans="1:17">
      <c r="A73">
        <f t="shared" si="5"/>
        <v>6</v>
      </c>
      <c r="B73" t="e">
        <f t="shared" si="4"/>
        <v>#N/A</v>
      </c>
      <c r="C73" t="s">
        <v>946</v>
      </c>
      <c r="M73" t="s">
        <v>1398</v>
      </c>
      <c r="N73" t="e">
        <f>Tabl_B1_RTO!#REF!</f>
        <v>#REF!</v>
      </c>
      <c r="O73" t="e">
        <f>Tabl_B1_RTO!#REF!</f>
        <v>#REF!</v>
      </c>
      <c r="P73" s="6" t="e">
        <f>Tabl_B1_RTO!#REF!</f>
        <v>#REF!</v>
      </c>
      <c r="Q73" s="6" t="e">
        <f>Tabl_B1_RTO!#REF!</f>
        <v>#REF!</v>
      </c>
    </row>
    <row r="74" spans="1:17">
      <c r="A74">
        <f t="shared" si="5"/>
        <v>7</v>
      </c>
      <c r="B74" t="e">
        <f t="shared" si="4"/>
        <v>#N/A</v>
      </c>
      <c r="C74" t="s">
        <v>930</v>
      </c>
      <c r="M74" t="s">
        <v>1398</v>
      </c>
      <c r="N74" t="str">
        <f>Tabl_B1_RTO!C172</f>
        <v>32598-10-0</v>
      </c>
      <c r="O74" t="str">
        <f>Tabl_B1_RTO!B172</f>
        <v>PCB-66 [2,3',4,4'-tetrachlorobiphenyl]</v>
      </c>
      <c r="P74" s="6">
        <f>Tabl_B1_RTO!E172</f>
        <v>3.2399999999999999E-8</v>
      </c>
      <c r="Q74" s="6">
        <f>Tabl_B1_RTO!D172</f>
        <v>1.1826000000000002E-5</v>
      </c>
    </row>
    <row r="75" spans="1:17">
      <c r="A75">
        <f t="shared" si="5"/>
        <v>8</v>
      </c>
      <c r="B75" t="e">
        <f t="shared" si="4"/>
        <v>#N/A</v>
      </c>
      <c r="C75" t="s">
        <v>948</v>
      </c>
      <c r="M75" t="s">
        <v>1398</v>
      </c>
      <c r="N75" t="str">
        <f>Tabl_B1_RTO!C173</f>
        <v>32598-13-3</v>
      </c>
      <c r="O75" t="str">
        <f>Tabl_B1_RTO!B173</f>
        <v>PCB 77 [3,3',4,4'-tetrachlorobiphenyl]</v>
      </c>
      <c r="P75" s="6">
        <f>Tabl_B1_RTO!E173</f>
        <v>3.9600000000000004E-9</v>
      </c>
      <c r="Q75" s="6">
        <f>Tabl_B1_RTO!D173</f>
        <v>1.4454E-6</v>
      </c>
    </row>
    <row r="76" spans="1:17">
      <c r="A76">
        <f t="shared" si="5"/>
        <v>9</v>
      </c>
      <c r="B76" t="e">
        <f t="shared" si="4"/>
        <v>#N/A</v>
      </c>
      <c r="C76" t="s">
        <v>932</v>
      </c>
      <c r="M76" t="s">
        <v>1398</v>
      </c>
      <c r="N76" t="str">
        <f>Tabl_B1_RTO!C174</f>
        <v>70362-50-4</v>
      </c>
      <c r="O76" t="str">
        <f>Tabl_B1_RTO!B174</f>
        <v>PCB 81 [3,4,4',5-tetrachlorobiphenyl]</v>
      </c>
      <c r="P76" s="6">
        <f>Tabl_B1_RTO!E174</f>
        <v>3.3976000000000002E-10</v>
      </c>
      <c r="Q76" s="6">
        <f>Tabl_B1_RTO!D174</f>
        <v>1.2401240000000001E-7</v>
      </c>
    </row>
    <row r="77" spans="1:17">
      <c r="A77">
        <f t="shared" si="5"/>
        <v>10</v>
      </c>
      <c r="B77" t="e">
        <f t="shared" si="4"/>
        <v>#N/A</v>
      </c>
      <c r="C77" s="18" t="s">
        <v>940</v>
      </c>
      <c r="E77" s="18"/>
      <c r="M77" t="s">
        <v>1398</v>
      </c>
      <c r="N77" t="str">
        <f>Tabl_B1_RTO!C175</f>
        <v>37680-73-2</v>
      </c>
      <c r="O77" t="str">
        <f>Tabl_B1_RTO!B175</f>
        <v>PCB-101 [2,2',4,5,5'-pentachlorobiphenyl]</v>
      </c>
      <c r="P77" s="6">
        <f>Tabl_B1_RTO!E175</f>
        <v>3.2880000000000001E-8</v>
      </c>
      <c r="Q77" s="6">
        <f>Tabl_B1_RTO!D175</f>
        <v>1.20012E-5</v>
      </c>
    </row>
    <row r="78" spans="1:17">
      <c r="A78">
        <f t="shared" si="5"/>
        <v>11</v>
      </c>
      <c r="B78" t="e">
        <f t="shared" si="4"/>
        <v>#N/A</v>
      </c>
      <c r="C78" t="s">
        <v>926</v>
      </c>
      <c r="M78" t="s">
        <v>1398</v>
      </c>
      <c r="N78" t="str">
        <f>Tabl_B1_RTO!C176</f>
        <v>32598-14-4</v>
      </c>
      <c r="O78" t="str">
        <f>Tabl_B1_RTO!B176</f>
        <v>PCB 105 [2,3,3',4,4'-pentachlorobiphenyl]</v>
      </c>
      <c r="P78" s="6">
        <f>Tabl_B1_RTO!E176</f>
        <v>7.8240000000000011E-9</v>
      </c>
      <c r="Q78" s="6">
        <f>Tabl_B1_RTO!D176</f>
        <v>2.85576E-6</v>
      </c>
    </row>
    <row r="79" spans="1:17">
      <c r="A79">
        <f t="shared" si="5"/>
        <v>12</v>
      </c>
      <c r="B79" t="str">
        <f t="shared" si="4"/>
        <v>106-99-0</v>
      </c>
      <c r="C79" t="s">
        <v>194</v>
      </c>
      <c r="M79" t="s">
        <v>1398</v>
      </c>
      <c r="N79" t="str">
        <f>Tabl_B1_RTO!C177</f>
        <v>31508-00-6</v>
      </c>
      <c r="O79" t="str">
        <f>Tabl_B1_RTO!B177</f>
        <v>PCB 118 [2,3',4,4',5-pentachlorobiphenyl]</v>
      </c>
      <c r="P79" s="6">
        <f>Tabl_B1_RTO!E177</f>
        <v>1.9872000000000001E-8</v>
      </c>
      <c r="Q79" s="6">
        <f>Tabl_B1_RTO!D177</f>
        <v>7.25328E-6</v>
      </c>
    </row>
    <row r="80" spans="1:17">
      <c r="A80">
        <f t="shared" si="5"/>
        <v>13</v>
      </c>
      <c r="B80" t="e">
        <f t="shared" si="4"/>
        <v>#N/A</v>
      </c>
      <c r="C80" t="s">
        <v>950</v>
      </c>
      <c r="M80" t="s">
        <v>1398</v>
      </c>
      <c r="N80" t="str">
        <f>Tabl_B1_RTO!C178</f>
        <v>65510-44-3</v>
      </c>
      <c r="O80" t="str">
        <f>Tabl_B1_RTO!B178</f>
        <v>PCB 123 [2,3',4,4',5'-pentachlorobiphenyl]</v>
      </c>
      <c r="P80" s="6">
        <f>Tabl_B1_RTO!E178</f>
        <v>5.0759999999999998E-10</v>
      </c>
      <c r="Q80" s="6">
        <f>Tabl_B1_RTO!D178</f>
        <v>1.85274E-7</v>
      </c>
    </row>
    <row r="81" spans="1:17">
      <c r="A81">
        <f t="shared" si="5"/>
        <v>14</v>
      </c>
      <c r="B81" t="e">
        <f t="shared" si="4"/>
        <v>#N/A</v>
      </c>
      <c r="C81" t="s">
        <v>942</v>
      </c>
      <c r="E81" s="18"/>
      <c r="M81" t="s">
        <v>1398</v>
      </c>
      <c r="N81" t="str">
        <f>Tabl_B1_RTO!C179</f>
        <v>38380-07-3</v>
      </c>
      <c r="O81" t="str">
        <f>Tabl_B1_RTO!B179</f>
        <v>PCB-128 [2,2',3,3',4,4'-hexachlorobiphenyl]</v>
      </c>
      <c r="P81" s="6">
        <f>Tabl_B1_RTO!E179</f>
        <v>1.6396E-9</v>
      </c>
      <c r="Q81" s="6">
        <f>Tabl_B1_RTO!D179</f>
        <v>5.9845400000000007E-7</v>
      </c>
    </row>
    <row r="82" spans="1:17">
      <c r="A82">
        <f t="shared" si="5"/>
        <v>15</v>
      </c>
      <c r="B82" t="str">
        <f t="shared" si="4"/>
        <v>51207-31-9</v>
      </c>
      <c r="C82" t="s">
        <v>1578</v>
      </c>
      <c r="M82" t="s">
        <v>1398</v>
      </c>
      <c r="N82" t="e">
        <f>Tabl_B1_RTO!#REF!</f>
        <v>#REF!</v>
      </c>
      <c r="O82" t="e">
        <f>Tabl_B1_RTO!#REF!</f>
        <v>#REF!</v>
      </c>
      <c r="P82" s="6" t="e">
        <f>Tabl_B1_RTO!#REF!</f>
        <v>#REF!</v>
      </c>
      <c r="Q82" s="6" t="e">
        <f>Tabl_B1_RTO!#REF!</f>
        <v>#REF!</v>
      </c>
    </row>
    <row r="83" spans="1:17">
      <c r="A83">
        <f t="shared" si="5"/>
        <v>16</v>
      </c>
      <c r="B83" t="e">
        <f t="shared" si="4"/>
        <v>#N/A</v>
      </c>
      <c r="C83" t="s">
        <v>924</v>
      </c>
      <c r="M83" t="s">
        <v>1398</v>
      </c>
      <c r="N83" t="str">
        <f>Tabl_B1_RTO!C180</f>
        <v>35065-28-2</v>
      </c>
      <c r="O83" t="str">
        <f>Tabl_B1_RTO!B180</f>
        <v>PCB-138 [2,2',3,4,4',5'-hexachlorobiphenyl]</v>
      </c>
      <c r="P83" s="6">
        <f>Tabl_B1_RTO!E180</f>
        <v>1.3271999999999998E-8</v>
      </c>
      <c r="Q83" s="6">
        <f>Tabl_B1_RTO!D180</f>
        <v>4.8442799999999998E-6</v>
      </c>
    </row>
    <row r="84" spans="1:17">
      <c r="A84">
        <f t="shared" si="5"/>
        <v>17</v>
      </c>
      <c r="B84" t="str">
        <f t="shared" si="4"/>
        <v>78-93-3</v>
      </c>
      <c r="C84" t="s">
        <v>196</v>
      </c>
      <c r="M84" t="s">
        <v>1398</v>
      </c>
      <c r="N84" t="str">
        <f>Tabl_B1_RTO!C181</f>
        <v>35065-27-1</v>
      </c>
      <c r="O84" t="str">
        <f>Tabl_B1_RTO!B181</f>
        <v>PCB-153 [2,2',4,4',5,5'-hexachlorobiphenyl]</v>
      </c>
      <c r="P84" s="6">
        <f>Tabl_B1_RTO!E181</f>
        <v>1.1952E-8</v>
      </c>
      <c r="Q84" s="6">
        <f>Tabl_B1_RTO!D181</f>
        <v>4.3624800000000005E-6</v>
      </c>
    </row>
    <row r="85" spans="1:17">
      <c r="A85">
        <f t="shared" si="5"/>
        <v>18</v>
      </c>
      <c r="B85" t="str">
        <f t="shared" si="4"/>
        <v>91-58-7</v>
      </c>
      <c r="C85" t="s">
        <v>69</v>
      </c>
      <c r="M85" t="s">
        <v>1398</v>
      </c>
      <c r="N85" t="str">
        <f>Tabl_B1_RTO!C182</f>
        <v>38380-08-4</v>
      </c>
      <c r="O85" t="str">
        <f>Tabl_B1_RTO!B182</f>
        <v>PCB 156 [2,3,3',4,4',5-hexachlorobiphenyl]</v>
      </c>
      <c r="P85" s="6">
        <f>Tabl_B1_RTO!E182</f>
        <v>1.0976E-9</v>
      </c>
      <c r="Q85" s="6">
        <f>Tabl_B1_RTO!D182</f>
        <v>4.00624E-7</v>
      </c>
    </row>
    <row r="86" spans="1:17">
      <c r="A86">
        <f t="shared" si="5"/>
        <v>19</v>
      </c>
      <c r="B86" t="str">
        <f t="shared" si="4"/>
        <v>91-57-6</v>
      </c>
      <c r="C86" t="s">
        <v>88</v>
      </c>
      <c r="M86" t="s">
        <v>1398</v>
      </c>
      <c r="N86" t="str">
        <f>Tabl_B1_RTO!C183</f>
        <v>52663-72-6</v>
      </c>
      <c r="O86" t="str">
        <f>Tabl_B1_RTO!B183</f>
        <v>PCB 167 [2,3',4,4',5,5'-hexachlorobiphenyl]</v>
      </c>
      <c r="P86" s="6">
        <f>Tabl_B1_RTO!E183</f>
        <v>3.6880000000000001E-10</v>
      </c>
      <c r="Q86" s="6">
        <f>Tabl_B1_RTO!D183</f>
        <v>1.3461199999999999E-7</v>
      </c>
    </row>
    <row r="87" spans="1:17">
      <c r="A87">
        <f t="shared" si="5"/>
        <v>20</v>
      </c>
      <c r="B87" t="e">
        <f t="shared" si="4"/>
        <v>#N/A</v>
      </c>
      <c r="C87" t="s">
        <v>1573</v>
      </c>
      <c r="M87" t="s">
        <v>1398</v>
      </c>
      <c r="N87" t="str">
        <f>Tabl_B1_RTO!C184</f>
        <v>32774-16-6</v>
      </c>
      <c r="O87" t="str">
        <f>Tabl_B1_RTO!B184</f>
        <v>PCB 169 [3,3',4,4',5,5'-hexachlorobiphenyl]</v>
      </c>
      <c r="P87" s="6">
        <f>Tabl_B1_RTO!E184</f>
        <v>8.5439999999999997E-10</v>
      </c>
      <c r="Q87" s="6">
        <f>Tabl_B1_RTO!D184</f>
        <v>3.1185599999999998E-7</v>
      </c>
    </row>
    <row r="88" spans="1:17">
      <c r="A88">
        <f t="shared" si="5"/>
        <v>21</v>
      </c>
      <c r="B88" t="str">
        <f t="shared" si="4"/>
        <v>83-32-9</v>
      </c>
      <c r="C88" t="s">
        <v>42</v>
      </c>
      <c r="M88" t="s">
        <v>1398</v>
      </c>
      <c r="N88" t="str">
        <f>Tabl_B1_RTO!C185</f>
        <v>35065-30-6</v>
      </c>
      <c r="O88" t="str">
        <f>Tabl_B1_RTO!B185</f>
        <v>PCB-170 [2,2',3,3',4,4',5-heptachlorobiphenyl]</v>
      </c>
      <c r="P88" s="6">
        <f>Tabl_B1_RTO!E185</f>
        <v>1.3291999999999999E-9</v>
      </c>
      <c r="Q88" s="6">
        <f>Tabl_B1_RTO!D185</f>
        <v>4.8515800000000004E-7</v>
      </c>
    </row>
    <row r="89" spans="1:17">
      <c r="A89">
        <f t="shared" si="5"/>
        <v>22</v>
      </c>
      <c r="B89" t="str">
        <f t="shared" si="4"/>
        <v>208-96-8</v>
      </c>
      <c r="C89" t="s">
        <v>45</v>
      </c>
      <c r="M89" t="s">
        <v>1398</v>
      </c>
      <c r="N89" t="str">
        <f>Tabl_B1_RTO!C186</f>
        <v>35065-29-3</v>
      </c>
      <c r="O89" t="str">
        <f>Tabl_B1_RTO!B186</f>
        <v>PCB-180 [2,2',3,4,4',5,5'-heptachlorobiphenyl]</v>
      </c>
      <c r="P89" s="6">
        <f>Tabl_B1_RTO!E186</f>
        <v>5.016E-9</v>
      </c>
      <c r="Q89" s="6">
        <f>Tabl_B1_RTO!D186</f>
        <v>1.8308399999999999E-6</v>
      </c>
    </row>
    <row r="90" spans="1:17">
      <c r="A90">
        <f t="shared" si="5"/>
        <v>23</v>
      </c>
      <c r="B90" t="str">
        <f t="shared" si="4"/>
        <v>75-07-0</v>
      </c>
      <c r="C90" t="s">
        <v>41</v>
      </c>
      <c r="M90" t="s">
        <v>1398</v>
      </c>
      <c r="N90" t="str">
        <f>Tabl_B1_RTO!C187</f>
        <v>52663-68-0</v>
      </c>
      <c r="O90" t="str">
        <f>Tabl_B1_RTO!B187</f>
        <v>PCB-187 [2,2',3,4',5,5',6-heptachlorobiphenyl]</v>
      </c>
      <c r="P90" s="6">
        <f>Tabl_B1_RTO!E187</f>
        <v>2.1027999999999998E-9</v>
      </c>
      <c r="Q90" s="6">
        <f>Tabl_B1_RTO!D187</f>
        <v>7.6752199999999993E-7</v>
      </c>
    </row>
    <row r="91" spans="1:17">
      <c r="A91">
        <f t="shared" si="5"/>
        <v>24</v>
      </c>
      <c r="B91" t="str">
        <f t="shared" si="4"/>
        <v>67-64-1</v>
      </c>
      <c r="C91" t="s">
        <v>47</v>
      </c>
      <c r="M91" t="s">
        <v>1398</v>
      </c>
      <c r="N91" t="str">
        <f>Tabl_B1_RTO!C188</f>
        <v>1336-36-3</v>
      </c>
      <c r="O91" t="str">
        <f>Tabl_B1_RTO!B188</f>
        <v>Polychlorinated biphenyls (PCBs)</v>
      </c>
      <c r="P91" s="6">
        <f>Tabl_B1_RTO!E188</f>
        <v>2.9519999999999999E-6</v>
      </c>
      <c r="Q91" s="6">
        <f>Tabl_B1_RTO!D188</f>
        <v>1.07748E-3</v>
      </c>
    </row>
    <row r="92" spans="1:17">
      <c r="A92">
        <f t="shared" si="5"/>
        <v>25</v>
      </c>
      <c r="B92" t="str">
        <f t="shared" si="4"/>
        <v>107-02-8</v>
      </c>
      <c r="C92" t="s">
        <v>56</v>
      </c>
      <c r="M92" t="s">
        <v>1398</v>
      </c>
      <c r="N92" t="str">
        <f>Tabl_B1_RTO!C189</f>
        <v>75-07-0</v>
      </c>
      <c r="O92" t="str">
        <f>Tabl_B1_RTO!B189</f>
        <v>Acetaldehyde</v>
      </c>
      <c r="P92" s="6">
        <f>Tabl_B1_RTO!E189</f>
        <v>3.3786671611848243E-2</v>
      </c>
      <c r="Q92" s="6">
        <f>Tabl_B1_RTO!D189</f>
        <v>12.332135138324611</v>
      </c>
    </row>
    <row r="93" spans="1:17">
      <c r="A93">
        <f t="shared" si="5"/>
        <v>26</v>
      </c>
      <c r="B93" t="str">
        <f t="shared" si="4"/>
        <v>7664-41-7</v>
      </c>
      <c r="C93" t="s">
        <v>110</v>
      </c>
      <c r="M93" t="s">
        <v>1398</v>
      </c>
      <c r="N93" t="str">
        <f>Tabl_B1_RTO!C190</f>
        <v>107-02-8</v>
      </c>
      <c r="O93" t="str">
        <f>Tabl_B1_RTO!B190</f>
        <v>Acrolein</v>
      </c>
      <c r="P93" s="6">
        <f>Tabl_B1_RTO!E190</f>
        <v>1.3193294117647058E-3</v>
      </c>
      <c r="Q93" s="6">
        <f>Tabl_B1_RTO!D190</f>
        <v>0.4815552352941177</v>
      </c>
    </row>
    <row r="94" spans="1:17">
      <c r="A94">
        <f t="shared" si="5"/>
        <v>27</v>
      </c>
      <c r="B94" t="str">
        <f t="shared" si="4"/>
        <v>120-12-7</v>
      </c>
      <c r="C94" t="s">
        <v>48</v>
      </c>
      <c r="M94" t="s">
        <v>1398</v>
      </c>
      <c r="N94" t="str">
        <f>Tabl_B1_RTO!C191</f>
        <v>71-43-2</v>
      </c>
      <c r="O94" t="str">
        <f>Tabl_B1_RTO!B191</f>
        <v>Benzene</v>
      </c>
      <c r="P94" s="6">
        <f>Tabl_B1_RTO!E191</f>
        <v>0.15850371892971213</v>
      </c>
      <c r="Q94" s="6">
        <f>Tabl_B1_RTO!D191</f>
        <v>57.85385740934494</v>
      </c>
    </row>
    <row r="95" spans="1:17">
      <c r="A95">
        <f t="shared" si="5"/>
        <v>28</v>
      </c>
      <c r="B95" t="str">
        <f t="shared" si="4"/>
        <v>7440-36-0</v>
      </c>
      <c r="C95" t="s">
        <v>124</v>
      </c>
      <c r="M95" t="s">
        <v>1398</v>
      </c>
      <c r="N95" t="str">
        <f>Tabl_B1_RTO!C192</f>
        <v>106-99-0</v>
      </c>
      <c r="O95" t="str">
        <f>Tabl_B1_RTO!B192</f>
        <v>1,3-Butadiene</v>
      </c>
      <c r="P95" s="6">
        <f>Tabl_B1_RTO!E192</f>
        <v>4.095E-2</v>
      </c>
      <c r="Q95" s="6">
        <f>Tabl_B1_RTO!D192</f>
        <v>14.94675</v>
      </c>
    </row>
    <row r="96" spans="1:17">
      <c r="A96">
        <f t="shared" si="5"/>
        <v>29</v>
      </c>
      <c r="B96" t="str">
        <f t="shared" si="4"/>
        <v>7440-38-2</v>
      </c>
      <c r="C96" t="s">
        <v>130</v>
      </c>
      <c r="M96" t="s">
        <v>1398</v>
      </c>
      <c r="N96" t="str">
        <f>Tabl_B1_RTO!C193</f>
        <v>67-66-3</v>
      </c>
      <c r="O96" t="str">
        <f>Tabl_B1_RTO!B193</f>
        <v>Chloroform</v>
      </c>
      <c r="P96" s="6">
        <f>Tabl_B1_RTO!E193</f>
        <v>1.8123E-2</v>
      </c>
      <c r="Q96" s="6">
        <f>Tabl_B1_RTO!D193</f>
        <v>6.6148950000000006</v>
      </c>
    </row>
    <row r="97" spans="1:17">
      <c r="A97">
        <f t="shared" si="5"/>
        <v>30</v>
      </c>
      <c r="B97" t="str">
        <f t="shared" si="4"/>
        <v>7440-39-3</v>
      </c>
      <c r="C97" t="s">
        <v>146</v>
      </c>
      <c r="M97" t="s">
        <v>1398</v>
      </c>
      <c r="N97" t="str">
        <f>Tabl_B1_RTO!C194</f>
        <v>91-58-7</v>
      </c>
      <c r="O97" t="str">
        <f>Tabl_B1_RTO!B194</f>
        <v>2-Chloronaphthalene</v>
      </c>
      <c r="P97" s="6">
        <f>Tabl_B1_RTO!E194</f>
        <v>2.4569999999999997E-5</v>
      </c>
      <c r="Q97" s="6">
        <f>Tabl_B1_RTO!D194</f>
        <v>8.96805E-3</v>
      </c>
    </row>
    <row r="98" spans="1:17">
      <c r="A98">
        <f t="shared" si="5"/>
        <v>31</v>
      </c>
      <c r="B98" t="str">
        <f t="shared" si="4"/>
        <v>71-43-2</v>
      </c>
      <c r="C98" t="s">
        <v>148</v>
      </c>
      <c r="M98" t="s">
        <v>1398</v>
      </c>
      <c r="N98" t="str">
        <f>Tabl_B1_RTO!C195</f>
        <v>50-00-0</v>
      </c>
      <c r="O98" t="str">
        <f>Tabl_B1_RTO!B195</f>
        <v>Formaldehyde</v>
      </c>
      <c r="P98" s="6">
        <f>Tabl_B1_RTO!E195</f>
        <v>0.26039663929898776</v>
      </c>
      <c r="Q98" s="6">
        <f>Tabl_B1_RTO!D195</f>
        <v>95.044773344130533</v>
      </c>
    </row>
    <row r="99" spans="1:17">
      <c r="A99">
        <f t="shared" si="5"/>
        <v>32</v>
      </c>
      <c r="B99" t="str">
        <f t="shared" si="4"/>
        <v>56-55-3</v>
      </c>
      <c r="C99" t="s">
        <v>51</v>
      </c>
      <c r="M99" t="s">
        <v>1398</v>
      </c>
      <c r="N99" t="str">
        <f>Tabl_B1_RTO!C196</f>
        <v>115-07-1</v>
      </c>
      <c r="O99" t="str">
        <f>Tabl_B1_RTO!B196</f>
        <v>Propylene</v>
      </c>
      <c r="P99" s="6">
        <f>Tabl_B1_RTO!E196</f>
        <v>3.5341417950747848E-2</v>
      </c>
      <c r="Q99" s="6">
        <f>Tabl_B1_RTO!D196</f>
        <v>12.899617552022963</v>
      </c>
    </row>
    <row r="100" spans="1:17">
      <c r="A100">
        <f t="shared" si="5"/>
        <v>33</v>
      </c>
      <c r="B100" t="str">
        <f t="shared" ref="B100:B131" si="6">INDEX(N$16:N$563,MATCH(C100,O$16:O$563,0))</f>
        <v>50-32-8</v>
      </c>
      <c r="C100" t="s">
        <v>54</v>
      </c>
      <c r="M100" t="s">
        <v>1398</v>
      </c>
      <c r="N100" t="str">
        <f>Tabl_B1_RTO!C197</f>
        <v>108-88-3</v>
      </c>
      <c r="O100" t="str">
        <f>Tabl_B1_RTO!B197</f>
        <v>Toluene</v>
      </c>
      <c r="P100" s="6">
        <f>Tabl_B1_RTO!E197</f>
        <v>0.25049103464251754</v>
      </c>
      <c r="Q100" s="6">
        <f>Tabl_B1_RTO!D197</f>
        <v>91.429227644518889</v>
      </c>
    </row>
    <row r="101" spans="1:17">
      <c r="A101">
        <f t="shared" si="5"/>
        <v>34</v>
      </c>
      <c r="B101" t="str">
        <f t="shared" si="6"/>
        <v>205-99-2</v>
      </c>
      <c r="C101" t="s">
        <v>57</v>
      </c>
      <c r="M101" t="s">
        <v>1398</v>
      </c>
      <c r="N101" t="str">
        <f>Tabl_B1_RTO!C198</f>
        <v>1330-20-7</v>
      </c>
      <c r="O101" t="str">
        <f>Tabl_B1_RTO!B198</f>
        <v>Xylene (mixture), including m-xylene, o-xylene, p-xylene</v>
      </c>
      <c r="P101" s="6">
        <f>Tabl_B1_RTO!E198</f>
        <v>0.10338001529657048</v>
      </c>
      <c r="Q101" s="6">
        <f>Tabl_B1_RTO!D198</f>
        <v>37.733705583248231</v>
      </c>
    </row>
    <row r="102" spans="1:17">
      <c r="A102">
        <f t="shared" si="5"/>
        <v>35</v>
      </c>
      <c r="B102" t="str">
        <f t="shared" si="6"/>
        <v>192-97-2</v>
      </c>
      <c r="C102" t="s">
        <v>60</v>
      </c>
      <c r="M102" t="s">
        <v>1398</v>
      </c>
      <c r="N102" t="str">
        <f>Tabl_B1_RTO!C199</f>
        <v>7647-01-0</v>
      </c>
      <c r="O102" t="str">
        <f>Tabl_B1_RTO!B199</f>
        <v>Hydrochloric acid</v>
      </c>
      <c r="P102" s="6">
        <f>Tabl_B1_RTO!E199</f>
        <v>0.39122999999999997</v>
      </c>
      <c r="Q102" s="6">
        <f>Tabl_B1_RTO!D199</f>
        <v>142.79894999999999</v>
      </c>
    </row>
    <row r="103" spans="1:17">
      <c r="A103">
        <f t="shared" si="5"/>
        <v>36</v>
      </c>
      <c r="B103" t="str">
        <f t="shared" si="6"/>
        <v>191-24-2</v>
      </c>
      <c r="C103" t="s">
        <v>63</v>
      </c>
      <c r="M103" t="s">
        <v>1398</v>
      </c>
      <c r="N103" t="str">
        <f>Tabl_B1_RTO!C200</f>
        <v>100-41-4</v>
      </c>
      <c r="O103" t="str">
        <f>Tabl_B1_RTO!B200</f>
        <v>Ethylbenzene</v>
      </c>
      <c r="P103" s="6">
        <f>Tabl_B1_RTO!E200</f>
        <v>5.0960654144805953E-2</v>
      </c>
      <c r="Q103" s="6">
        <f>Tabl_B1_RTO!D200</f>
        <v>18.600638762854167</v>
      </c>
    </row>
    <row r="104" spans="1:17">
      <c r="A104">
        <f t="shared" si="5"/>
        <v>37</v>
      </c>
      <c r="B104" t="str">
        <f t="shared" si="6"/>
        <v>207-08-9</v>
      </c>
      <c r="C104" t="s">
        <v>66</v>
      </c>
      <c r="M104" t="s">
        <v>1398</v>
      </c>
      <c r="N104" t="str">
        <f>Tabl_B1_RTO!C201</f>
        <v>7783-06-4</v>
      </c>
      <c r="O104" t="str">
        <f>Tabl_B1_RTO!B201</f>
        <v>Hydrogen Sulfide</v>
      </c>
      <c r="P104" s="6">
        <f>Tabl_B1_RTO!E201</f>
        <v>0.67593866831847715</v>
      </c>
      <c r="Q104" s="6">
        <f>Tabl_B1_RTO!D201</f>
        <v>246.71761393624416</v>
      </c>
    </row>
    <row r="105" spans="1:17">
      <c r="A105">
        <f t="shared" si="5"/>
        <v>38</v>
      </c>
      <c r="B105" t="str">
        <f t="shared" si="6"/>
        <v>7440-41-7</v>
      </c>
      <c r="C105" t="s">
        <v>164</v>
      </c>
      <c r="M105" t="s">
        <v>1398</v>
      </c>
      <c r="N105" t="str">
        <f>Tabl_B1_RTO!C202</f>
        <v>108-95-2</v>
      </c>
      <c r="O105" t="str">
        <f>Tabl_B1_RTO!B202</f>
        <v>Phenol</v>
      </c>
      <c r="P105" s="6">
        <f>Tabl_B1_RTO!E202</f>
        <v>1.1616131188880495E-2</v>
      </c>
      <c r="Q105" s="6">
        <f>Tabl_B1_RTO!D202</f>
        <v>4.2398878839413801</v>
      </c>
    </row>
    <row r="106" spans="1:17">
      <c r="A106">
        <f t="shared" si="5"/>
        <v>39</v>
      </c>
      <c r="B106" t="str">
        <f t="shared" si="6"/>
        <v>7440-43-9</v>
      </c>
      <c r="C106" t="s">
        <v>214</v>
      </c>
      <c r="M106" t="s">
        <v>1398</v>
      </c>
      <c r="N106" t="str">
        <f>Tabl_B1_RTO!C203</f>
        <v>7664-41-7</v>
      </c>
      <c r="O106" t="str">
        <f>Tabl_B1_RTO!B203</f>
        <v>Ammonia</v>
      </c>
      <c r="P106" s="6">
        <f>Tabl_B1_RTO!E203</f>
        <v>7.5294117647058831E-2</v>
      </c>
      <c r="Q106" s="6">
        <f>Tabl_B1_RTO!D203</f>
        <v>27.482352941176469</v>
      </c>
    </row>
    <row r="107" spans="1:17">
      <c r="A107">
        <f t="shared" si="5"/>
        <v>40</v>
      </c>
      <c r="B107" t="str">
        <f t="shared" si="6"/>
        <v>75-15-0</v>
      </c>
      <c r="C107" t="s">
        <v>1430</v>
      </c>
      <c r="M107" t="s">
        <v>1398</v>
      </c>
      <c r="N107" t="str">
        <f>Tabl_B1_RTO!C204</f>
        <v>110-54-3</v>
      </c>
      <c r="O107" t="str">
        <f>Tabl_B1_RTO!B204</f>
        <v>Hexane</v>
      </c>
      <c r="P107" s="6">
        <f>Tabl_B1_RTO!E204</f>
        <v>1.4823529411764707E-4</v>
      </c>
      <c r="Q107" s="6">
        <f>Tabl_B1_RTO!D204</f>
        <v>5.4105882352941177E-2</v>
      </c>
    </row>
    <row r="108" spans="1:17">
      <c r="A108">
        <f t="shared" si="5"/>
        <v>41</v>
      </c>
      <c r="B108" t="str">
        <f t="shared" si="6"/>
        <v>463-58-1</v>
      </c>
      <c r="C108" t="s">
        <v>1431</v>
      </c>
      <c r="M108" t="s">
        <v>1398</v>
      </c>
      <c r="N108" t="e">
        <f>Tabl_B1_RTO!#REF!</f>
        <v>#REF!</v>
      </c>
      <c r="O108" t="e">
        <f>Tabl_B1_RTO!#REF!</f>
        <v>#REF!</v>
      </c>
      <c r="P108" s="6" t="e">
        <f>Tabl_B1_RTO!#REF!</f>
        <v>#REF!</v>
      </c>
      <c r="Q108" s="6" t="e">
        <f>Tabl_B1_RTO!#REF!</f>
        <v>#REF!</v>
      </c>
    </row>
    <row r="109" spans="1:17">
      <c r="A109">
        <f t="shared" si="5"/>
        <v>42</v>
      </c>
      <c r="B109" t="str">
        <f t="shared" si="6"/>
        <v>75-00-3</v>
      </c>
      <c r="C109" t="s">
        <v>271</v>
      </c>
      <c r="M109" t="s">
        <v>1398</v>
      </c>
      <c r="N109" t="e">
        <f>Tabl_B1_RTO!#REF!</f>
        <v>#REF!</v>
      </c>
      <c r="O109" t="e">
        <f>Tabl_B1_RTO!#REF!</f>
        <v>#REF!</v>
      </c>
      <c r="P109" s="6" t="e">
        <f>Tabl_B1_RTO!#REF!</f>
        <v>#REF!</v>
      </c>
      <c r="Q109" s="6" t="e">
        <f>Tabl_B1_RTO!#REF!</f>
        <v>#REF!</v>
      </c>
    </row>
    <row r="110" spans="1:17">
      <c r="A110">
        <f t="shared" si="5"/>
        <v>43</v>
      </c>
      <c r="B110" t="str">
        <f t="shared" si="6"/>
        <v>67-66-3</v>
      </c>
      <c r="C110" t="s">
        <v>273</v>
      </c>
      <c r="M110" t="s">
        <v>1398</v>
      </c>
      <c r="N110" t="e">
        <f>Tabl_B1_RTO!#REF!</f>
        <v>#REF!</v>
      </c>
      <c r="O110" t="e">
        <f>Tabl_B1_RTO!#REF!</f>
        <v>#REF!</v>
      </c>
      <c r="P110" s="6" t="e">
        <f>Tabl_B1_RTO!#REF!</f>
        <v>#REF!</v>
      </c>
      <c r="Q110" s="6" t="e">
        <f>Tabl_B1_RTO!#REF!</f>
        <v>#REF!</v>
      </c>
    </row>
    <row r="111" spans="1:17">
      <c r="A111">
        <f t="shared" si="5"/>
        <v>44</v>
      </c>
      <c r="B111" t="str">
        <f t="shared" si="6"/>
        <v>18540-29-9</v>
      </c>
      <c r="C111" t="s">
        <v>297</v>
      </c>
      <c r="M111" t="s">
        <v>1398</v>
      </c>
      <c r="N111" t="e">
        <f>Tabl_B1_RTO!#REF!</f>
        <v>#REF!</v>
      </c>
      <c r="O111" t="e">
        <f>Tabl_B1_RTO!#REF!</f>
        <v>#REF!</v>
      </c>
      <c r="P111" s="6" t="e">
        <f>Tabl_B1_RTO!#REF!</f>
        <v>#REF!</v>
      </c>
      <c r="Q111" s="6" t="e">
        <f>Tabl_B1_RTO!#REF!</f>
        <v>#REF!</v>
      </c>
    </row>
    <row r="112" spans="1:17">
      <c r="A112">
        <f t="shared" si="5"/>
        <v>45</v>
      </c>
      <c r="B112" t="str">
        <f t="shared" si="6"/>
        <v>218-01-9</v>
      </c>
      <c r="C112" t="s">
        <v>73</v>
      </c>
      <c r="M112" t="s">
        <v>1398</v>
      </c>
      <c r="N112" t="e">
        <f>Tabl_B1_RTO!#REF!</f>
        <v>#REF!</v>
      </c>
      <c r="O112" t="e">
        <f>Tabl_B1_RTO!#REF!</f>
        <v>#REF!</v>
      </c>
      <c r="P112" s="6" t="e">
        <f>Tabl_B1_RTO!#REF!</f>
        <v>#REF!</v>
      </c>
      <c r="Q112" s="6" t="e">
        <f>Tabl_B1_RTO!#REF!</f>
        <v>#REF!</v>
      </c>
    </row>
    <row r="113" spans="1:17">
      <c r="A113">
        <f t="shared" si="5"/>
        <v>46</v>
      </c>
      <c r="B113" t="str">
        <f t="shared" si="6"/>
        <v>7440-48-4</v>
      </c>
      <c r="C113" s="18" t="s">
        <v>305</v>
      </c>
      <c r="F113" s="18"/>
      <c r="G113" s="18"/>
      <c r="H113" s="18"/>
      <c r="I113" s="18"/>
      <c r="J113" s="18"/>
      <c r="K113" s="18"/>
      <c r="L113" s="18"/>
      <c r="M113" s="18" t="s">
        <v>1398</v>
      </c>
      <c r="N113" s="18" t="e">
        <f>Tabl_B1_RTO!#REF!</f>
        <v>#REF!</v>
      </c>
      <c r="O113" s="18" t="e">
        <f>Tabl_B1_RTO!#REF!</f>
        <v>#REF!</v>
      </c>
      <c r="P113" s="19" t="e">
        <f>Tabl_B1_RTO!#REF!</f>
        <v>#REF!</v>
      </c>
      <c r="Q113" s="19" t="e">
        <f>Tabl_B1_RTO!#REF!</f>
        <v>#REF!</v>
      </c>
    </row>
    <row r="114" spans="1:17">
      <c r="A114">
        <f t="shared" si="5"/>
        <v>47</v>
      </c>
      <c r="B114" t="str">
        <f t="shared" si="6"/>
        <v>7440-50-8</v>
      </c>
      <c r="C114" s="18" t="s">
        <v>308</v>
      </c>
      <c r="D114" s="18"/>
      <c r="F114" s="18"/>
      <c r="G114" s="18"/>
      <c r="H114" s="18"/>
      <c r="I114" s="18"/>
      <c r="J114" s="18"/>
      <c r="K114" s="18"/>
      <c r="L114" s="18"/>
      <c r="M114" s="18" t="s">
        <v>1398</v>
      </c>
      <c r="N114" s="18" t="e">
        <f>Tabl_B1_RTO!#REF!</f>
        <v>#REF!</v>
      </c>
      <c r="O114" s="18" t="e">
        <f>Tabl_B1_RTO!#REF!</f>
        <v>#REF!</v>
      </c>
      <c r="P114" s="19" t="e">
        <f>Tabl_B1_RTO!#REF!</f>
        <v>#REF!</v>
      </c>
      <c r="Q114" s="19" t="e">
        <f>Tabl_B1_RTO!#REF!</f>
        <v>#REF!</v>
      </c>
    </row>
    <row r="115" spans="1:17">
      <c r="A115">
        <f t="shared" si="5"/>
        <v>48</v>
      </c>
      <c r="B115" t="str">
        <f t="shared" si="6"/>
        <v>1319-77-3</v>
      </c>
      <c r="C115" t="s">
        <v>313</v>
      </c>
      <c r="D115" s="18"/>
      <c r="J115" s="219"/>
      <c r="K115" s="219"/>
      <c r="L115" s="219"/>
      <c r="M115" s="219" t="s">
        <v>1398</v>
      </c>
      <c r="N115" s="219" t="str">
        <f>Tabl_B1_RTO!C205</f>
        <v>7446-11-9</v>
      </c>
      <c r="O115" s="219" t="str">
        <f>Tabl_B1_RTO!B205</f>
        <v>Sulfur Trioxide</v>
      </c>
      <c r="P115" s="220">
        <f>Tabl_B1_RTO!E205</f>
        <v>12.913395665591583</v>
      </c>
      <c r="Q115" s="220">
        <f>Tabl_B1_RTO!D205</f>
        <v>4713.3894179409281</v>
      </c>
    </row>
    <row r="116" spans="1:17">
      <c r="A116">
        <f t="shared" si="5"/>
        <v>49</v>
      </c>
      <c r="B116" t="e">
        <f t="shared" si="6"/>
        <v>#N/A</v>
      </c>
      <c r="C116" t="s">
        <v>1575</v>
      </c>
      <c r="K116">
        <v>1</v>
      </c>
      <c r="L116">
        <v>1</v>
      </c>
      <c r="M116" t="s">
        <v>1513</v>
      </c>
      <c r="N116" t="str" cm="1">
        <f t="array" ref="N116">INDEX(Tabl_B4_Tanks!F$5:P$5,X_EMIS!L116)</f>
        <v>91-57-6</v>
      </c>
      <c r="O116" t="str" cm="1">
        <f t="array" ref="O116">INDEX(Tabl_B4_Tanks!F$6:P$6,X_EMIS!L116)</f>
        <v>2-Methyl naphthalene</v>
      </c>
      <c r="P116" cm="1">
        <f t="array" ref="P116">INDEX(Tabl_B4_Tanks!Q$40:AA$40,X_EMIS!L116)</f>
        <v>6.2865783376611542E-4</v>
      </c>
      <c r="Q116" s="6" cm="1">
        <f t="array" ref="Q116">INDEX(Tabl_B4_Tanks!F$40:P$40,X_EMIS!L116)</f>
        <v>0.22946010932463212</v>
      </c>
    </row>
    <row r="117" spans="1:17">
      <c r="A117">
        <f t="shared" si="5"/>
        <v>50</v>
      </c>
      <c r="B117" t="str">
        <f t="shared" si="6"/>
        <v>100-41-4</v>
      </c>
      <c r="C117" t="s">
        <v>499</v>
      </c>
      <c r="L117">
        <f>L116+1</f>
        <v>2</v>
      </c>
      <c r="M117" t="str">
        <f>M116</f>
        <v>TCARBON</v>
      </c>
      <c r="N117" t="str" cm="1">
        <f t="array" ref="N117">INDEX(Tabl_B4_Tanks!F$5:P$5,X_EMIS!L117)</f>
        <v>91-20-3</v>
      </c>
      <c r="O117" t="str" cm="1">
        <f t="array" ref="O117">INDEX(Tabl_B4_Tanks!F$6:P$6,X_EMIS!L117)</f>
        <v>Naphthalene</v>
      </c>
      <c r="P117" cm="1">
        <f t="array" ref="P117">INDEX(Tabl_B4_Tanks!Q$40:AA$40,X_EMIS!L117)</f>
        <v>3.6488531610201101E-4</v>
      </c>
      <c r="Q117" s="6" cm="1">
        <f t="array" ref="Q117">INDEX(Tabl_B4_Tanks!F$40:P$40,X_EMIS!L117)</f>
        <v>0.13318314037723403</v>
      </c>
    </row>
    <row r="118" spans="1:17">
      <c r="A118">
        <f t="shared" si="5"/>
        <v>51</v>
      </c>
      <c r="B118" t="str">
        <f t="shared" si="6"/>
        <v>100-41-4</v>
      </c>
      <c r="C118" t="s">
        <v>1238</v>
      </c>
      <c r="L118">
        <f t="shared" ref="L118:L126" si="7">L117+1</f>
        <v>3</v>
      </c>
      <c r="M118" t="str">
        <f t="shared" ref="M118:M126" si="8">M117</f>
        <v>TCARBON</v>
      </c>
      <c r="N118" t="str" cm="1">
        <f t="array" ref="N118">INDEX(Tabl_B4_Tanks!F$5:P$5,X_EMIS!L118)</f>
        <v>108-95-2</v>
      </c>
      <c r="O118" t="str" cm="1">
        <f t="array" ref="O118">INDEX(Tabl_B4_Tanks!F$6:P$6,X_EMIS!L118)</f>
        <v>Phenol</v>
      </c>
      <c r="P118" cm="1">
        <f t="array" ref="P118">INDEX(Tabl_B4_Tanks!Q$40:AA$40,X_EMIS!L118)</f>
        <v>7.6713840553977017E-6</v>
      </c>
      <c r="Q118" s="6" cm="1">
        <f t="array" ref="Q118">INDEX(Tabl_B4_Tanks!F$40:P$40,X_EMIS!L118)</f>
        <v>2.8000551802201609E-3</v>
      </c>
    </row>
    <row r="119" spans="1:17">
      <c r="A119">
        <f t="shared" si="5"/>
        <v>52</v>
      </c>
      <c r="B119" t="str">
        <f t="shared" si="6"/>
        <v>206-44-0</v>
      </c>
      <c r="C119" t="s">
        <v>79</v>
      </c>
      <c r="L119">
        <f t="shared" si="7"/>
        <v>4</v>
      </c>
      <c r="M119" t="str">
        <f t="shared" si="8"/>
        <v>TCARBON</v>
      </c>
      <c r="N119" t="str" cm="1">
        <f t="array" ref="N119">INDEX(Tabl_B4_Tanks!F$5:P$5,X_EMIS!L119)</f>
        <v>1319-77-3</v>
      </c>
      <c r="O119" t="str" cm="1">
        <f t="array" ref="O119">INDEX(Tabl_B4_Tanks!F$6:P$6,X_EMIS!L119)</f>
        <v>Cresols (mixture), including m-cresol, o-cresol, p-cresol</v>
      </c>
      <c r="P119" cm="1">
        <f t="array" ref="P119">INDEX(Tabl_B4_Tanks!Q$40:AA$40,X_EMIS!L119)</f>
        <v>2.8575356080277968E-6</v>
      </c>
      <c r="Q119" s="6" cm="1">
        <f t="array" ref="Q119">INDEX(Tabl_B4_Tanks!F$40:P$40,X_EMIS!L119)</f>
        <v>1.043000496930146E-3</v>
      </c>
    </row>
    <row r="120" spans="1:17">
      <c r="A120">
        <f t="shared" si="5"/>
        <v>53</v>
      </c>
      <c r="B120" t="str">
        <f t="shared" si="6"/>
        <v>86-73-7</v>
      </c>
      <c r="C120" t="s">
        <v>82</v>
      </c>
      <c r="L120">
        <f t="shared" si="7"/>
        <v>5</v>
      </c>
      <c r="M120" t="str">
        <f t="shared" si="8"/>
        <v>TCARBON</v>
      </c>
      <c r="N120" t="str" cm="1">
        <f t="array" ref="N120">INDEX(Tabl_B4_Tanks!F$5:P$5,X_EMIS!L120)</f>
        <v>71-43-2</v>
      </c>
      <c r="O120" t="str" cm="1">
        <f t="array" ref="O120">INDEX(Tabl_B4_Tanks!F$6:P$6,X_EMIS!L120)</f>
        <v>Benzene</v>
      </c>
      <c r="P120" cm="1">
        <f t="array" ref="P120">INDEX(Tabl_B4_Tanks!Q$40:AA$40,X_EMIS!L120)</f>
        <v>5.0996020081726847E-5</v>
      </c>
      <c r="Q120" s="6" cm="1">
        <f t="array" ref="Q120">INDEX(Tabl_B4_Tanks!F$40:P$40,X_EMIS!L120)</f>
        <v>1.86135473298303E-2</v>
      </c>
    </row>
    <row r="121" spans="1:17">
      <c r="A121">
        <f t="shared" si="5"/>
        <v>54</v>
      </c>
      <c r="B121" t="str">
        <f t="shared" si="6"/>
        <v>50-00-0</v>
      </c>
      <c r="C121" t="s">
        <v>536</v>
      </c>
      <c r="L121">
        <f t="shared" si="7"/>
        <v>6</v>
      </c>
      <c r="M121" t="str">
        <f t="shared" si="8"/>
        <v>TCARBON</v>
      </c>
      <c r="N121" t="str" cm="1">
        <f t="array" ref="N121">INDEX(Tabl_B4_Tanks!F$5:P$5,X_EMIS!L121)</f>
        <v>100-41-4</v>
      </c>
      <c r="O121" t="str" cm="1">
        <f t="array" ref="O121">INDEX(Tabl_B4_Tanks!F$6:P$6,X_EMIS!L121)</f>
        <v>Ethyl benzene</v>
      </c>
      <c r="P121" cm="1">
        <f t="array" ref="P121">INDEX(Tabl_B4_Tanks!Q$40:AA$40,X_EMIS!L121)</f>
        <v>1.2946834408679789E-4</v>
      </c>
      <c r="Q121" s="6" cm="1">
        <f t="array" ref="Q121">INDEX(Tabl_B4_Tanks!F$40:P$40,X_EMIS!L121)</f>
        <v>4.7255945591681225E-2</v>
      </c>
    </row>
    <row r="122" spans="1:17">
      <c r="A122">
        <f t="shared" si="5"/>
        <v>55</v>
      </c>
      <c r="B122" t="str">
        <f t="shared" si="6"/>
        <v>110-54-3</v>
      </c>
      <c r="C122" t="s">
        <v>579</v>
      </c>
      <c r="L122">
        <f t="shared" si="7"/>
        <v>7</v>
      </c>
      <c r="M122" t="str">
        <f t="shared" si="8"/>
        <v>TCARBON</v>
      </c>
      <c r="N122" t="str" cm="1">
        <f t="array" ref="N122">INDEX(Tabl_B4_Tanks!F$5:P$5,X_EMIS!L122)</f>
        <v>98-82-8</v>
      </c>
      <c r="O122" t="str" cm="1">
        <f t="array" ref="O122">INDEX(Tabl_B4_Tanks!F$6:P$6,X_EMIS!L122)</f>
        <v>Isopropylbenzene (Cumene)</v>
      </c>
      <c r="P122" cm="1">
        <f t="array" ref="P122">INDEX(Tabl_B4_Tanks!Q$40:AA$40,X_EMIS!L122)</f>
        <v>2.6816872629183948E-5</v>
      </c>
      <c r="Q122" s="6" cm="1">
        <f t="array" ref="Q122">INDEX(Tabl_B4_Tanks!F$40:P$40,X_EMIS!L122)</f>
        <v>9.7881585096521399E-3</v>
      </c>
    </row>
    <row r="123" spans="1:17">
      <c r="A123">
        <f t="shared" si="5"/>
        <v>56</v>
      </c>
      <c r="B123" t="str">
        <f t="shared" si="6"/>
        <v>7647-01-0</v>
      </c>
      <c r="C123" t="s">
        <v>585</v>
      </c>
      <c r="L123">
        <f t="shared" si="7"/>
        <v>8</v>
      </c>
      <c r="M123" t="str">
        <f t="shared" si="8"/>
        <v>TCARBON</v>
      </c>
      <c r="N123" t="str" cm="1">
        <f t="array" ref="N123">INDEX(Tabl_B4_Tanks!F$5:P$5,X_EMIS!L123)</f>
        <v>108-88-3</v>
      </c>
      <c r="O123" t="str" cm="1">
        <f t="array" ref="O123">INDEX(Tabl_B4_Tanks!F$6:P$6,X_EMIS!L123)</f>
        <v>Toluene</v>
      </c>
      <c r="P123" cm="1">
        <f t="array" ref="P123">INDEX(Tabl_B4_Tanks!Q$40:AA$40,X_EMIS!L123)</f>
        <v>4.5940380159831506E-4</v>
      </c>
      <c r="Q123" s="6" cm="1">
        <f t="array" ref="Q123">INDEX(Tabl_B4_Tanks!F$40:P$40,X_EMIS!L123)</f>
        <v>0.167682387583385</v>
      </c>
    </row>
    <row r="124" spans="1:17">
      <c r="A124">
        <f t="shared" si="5"/>
        <v>57</v>
      </c>
      <c r="B124" t="str">
        <f t="shared" si="6"/>
        <v>7783-06-4</v>
      </c>
      <c r="C124" t="s">
        <v>1262</v>
      </c>
      <c r="L124">
        <f t="shared" si="7"/>
        <v>9</v>
      </c>
      <c r="M124" t="str">
        <f t="shared" si="8"/>
        <v>TCARBON</v>
      </c>
      <c r="N124" t="str" cm="1">
        <f t="array" ref="N124">INDEX(Tabl_B4_Tanks!F$5:P$5,X_EMIS!L124)</f>
        <v>110-54-3</v>
      </c>
      <c r="O124" t="str" cm="1">
        <f t="array" ref="O124">INDEX(Tabl_B4_Tanks!F$6:P$6,X_EMIS!L124)</f>
        <v>Hexane</v>
      </c>
      <c r="P124" cm="1">
        <f t="array" ref="P124">INDEX(Tabl_B4_Tanks!Q$40:AA$40,X_EMIS!L124)</f>
        <v>7.5834598828430005E-5</v>
      </c>
      <c r="Q124" s="6" cm="1">
        <f t="array" ref="Q124">INDEX(Tabl_B4_Tanks!F$40:P$40,X_EMIS!L124)</f>
        <v>2.7679628572376949E-2</v>
      </c>
    </row>
    <row r="125" spans="1:17">
      <c r="A125">
        <f t="shared" si="5"/>
        <v>58</v>
      </c>
      <c r="B125" t="e">
        <f t="shared" si="6"/>
        <v>#N/A</v>
      </c>
      <c r="C125" t="s">
        <v>85</v>
      </c>
      <c r="L125">
        <f t="shared" si="7"/>
        <v>10</v>
      </c>
      <c r="M125" t="str">
        <f t="shared" si="8"/>
        <v>TCARBON</v>
      </c>
      <c r="N125" t="str" cm="1">
        <f t="array" ref="N125">INDEX(Tabl_B4_Tanks!F$5:P$5,X_EMIS!L125)</f>
        <v>1330-20-7</v>
      </c>
      <c r="O125" t="str" cm="1">
        <f t="array" ref="O125">INDEX(Tabl_B4_Tanks!F$6:P$6,X_EMIS!L125)</f>
        <v>Xylene (mixture), including m-xylene, o-xylene, p-xylene</v>
      </c>
      <c r="P125" cm="1">
        <f t="array" ref="P125">INDEX(Tabl_B4_Tanks!Q$40:AA$40,X_EMIS!L125)</f>
        <v>7.6494030122590271E-4</v>
      </c>
      <c r="Q125" s="6" cm="1">
        <f t="array" ref="Q125">INDEX(Tabl_B4_Tanks!F$40:P$40,X_EMIS!L125)</f>
        <v>0.27920320994745451</v>
      </c>
    </row>
    <row r="126" spans="1:17" ht="17" thickBot="1">
      <c r="A126">
        <f t="shared" si="5"/>
        <v>59</v>
      </c>
      <c r="B126" t="str">
        <f t="shared" si="6"/>
        <v>98-82-8</v>
      </c>
      <c r="C126" t="s">
        <v>605</v>
      </c>
      <c r="J126" s="221"/>
      <c r="K126" s="221"/>
      <c r="L126" s="221">
        <f t="shared" si="7"/>
        <v>11</v>
      </c>
      <c r="M126" s="221" t="str">
        <f t="shared" si="8"/>
        <v>TCARBON</v>
      </c>
      <c r="N126" s="221" t="str" cm="1">
        <f t="array" ref="N126">INDEX(Tabl_B4_Tanks!F$5:P$5,X_EMIS!L126)</f>
        <v>7783-06-4</v>
      </c>
      <c r="O126" s="221" t="str" cm="1">
        <f t="array" ref="O126">INDEX(Tabl_B4_Tanks!F$6:P$6,X_EMIS!L126)</f>
        <v>Hydrogen sulfide</v>
      </c>
      <c r="P126" s="221" cm="1">
        <f t="array" ref="P126">INDEX(Tabl_B4_Tanks!Q$40:AA$40,X_EMIS!L126)</f>
        <v>3.7367773335748117E-5</v>
      </c>
      <c r="Q126" s="222" cm="1">
        <f t="array" ref="Q126">INDEX(Tabl_B4_Tanks!F$40:P$40,X_EMIS!L126)</f>
        <v>1.3639237267548066E-2</v>
      </c>
    </row>
    <row r="127" spans="1:17">
      <c r="A127">
        <f t="shared" si="5"/>
        <v>60</v>
      </c>
      <c r="B127" t="str">
        <f t="shared" si="6"/>
        <v>7439-92-1</v>
      </c>
      <c r="C127" t="s">
        <v>611</v>
      </c>
      <c r="L127">
        <v>1</v>
      </c>
      <c r="M127" t="s">
        <v>1508</v>
      </c>
      <c r="N127" t="str">
        <f>Tabl_B6_Carbon_BU!B21</f>
        <v>75-15-0</v>
      </c>
      <c r="O127" t="str">
        <f>Tabl_B6_Carbon_BU!A21</f>
        <v>Carbon Disulfide</v>
      </c>
      <c r="P127" s="6">
        <f>Tabl_B6_Carbon_BU!G21</f>
        <v>2.2139461682534254E-2</v>
      </c>
      <c r="Q127" s="6">
        <f>Tabl_B6_Carbon_BU!H21</f>
        <v>0.25460380934914389</v>
      </c>
    </row>
    <row r="128" spans="1:17">
      <c r="A128">
        <f t="shared" si="5"/>
        <v>61</v>
      </c>
      <c r="B128" t="str">
        <f t="shared" si="6"/>
        <v>7439-96-5</v>
      </c>
      <c r="C128" t="s">
        <v>617</v>
      </c>
      <c r="L128">
        <v>2</v>
      </c>
      <c r="M128" t="s">
        <v>1508</v>
      </c>
      <c r="N128" t="str">
        <f>Tabl_B6_Carbon_BU!B22</f>
        <v>463-58-1</v>
      </c>
      <c r="O128" t="str">
        <f>Tabl_B6_Carbon_BU!A22</f>
        <v>Carbonyl Sulfide</v>
      </c>
      <c r="P128" s="6">
        <f>Tabl_B6_Carbon_BU!G22</f>
        <v>0.19157319550607274</v>
      </c>
      <c r="Q128" s="6">
        <f>Tabl_B6_Carbon_BU!H22</f>
        <v>2.2030917483198365</v>
      </c>
    </row>
    <row r="129" spans="1:17">
      <c r="A129">
        <f t="shared" si="5"/>
        <v>62</v>
      </c>
      <c r="B129" t="str">
        <f t="shared" si="6"/>
        <v>7439-97-6</v>
      </c>
      <c r="C129" t="s">
        <v>623</v>
      </c>
      <c r="L129">
        <v>3</v>
      </c>
      <c r="M129" t="s">
        <v>1508</v>
      </c>
      <c r="N129" t="str">
        <f>Tabl_B6_Carbon_BU!B23</f>
        <v>7783-06-4</v>
      </c>
      <c r="O129" t="str">
        <f>Tabl_B6_Carbon_BU!A23</f>
        <v>Hydrogen Sulfide</v>
      </c>
      <c r="P129" s="6">
        <f>Tabl_B6_Carbon_BU!G23</f>
        <v>1.5992728989603013</v>
      </c>
      <c r="Q129" s="6">
        <f>Tabl_B6_Carbon_BU!H23</f>
        <v>18.391638338043464</v>
      </c>
    </row>
    <row r="130" spans="1:17">
      <c r="A130">
        <f t="shared" si="5"/>
        <v>63</v>
      </c>
      <c r="B130" t="str">
        <f t="shared" si="6"/>
        <v>91-20-3</v>
      </c>
      <c r="C130" t="s">
        <v>693</v>
      </c>
      <c r="L130">
        <v>4</v>
      </c>
      <c r="M130" t="s">
        <v>1508</v>
      </c>
      <c r="N130" t="str">
        <f>Tabl_B6_Carbon_BU!B24</f>
        <v>67-64-1</v>
      </c>
      <c r="O130" t="str">
        <f>Tabl_B6_Carbon_BU!A24</f>
        <v>Acetone</v>
      </c>
      <c r="P130" s="6">
        <f>Tabl_B6_Carbon_BU!G24</f>
        <v>0.14164398939952916</v>
      </c>
      <c r="Q130" s="6">
        <f>Tabl_B6_Carbon_BU!H24</f>
        <v>1.6289058780945853</v>
      </c>
    </row>
    <row r="131" spans="1:17">
      <c r="A131">
        <f t="shared" si="5"/>
        <v>64</v>
      </c>
      <c r="B131" t="str">
        <f t="shared" si="6"/>
        <v>C365</v>
      </c>
      <c r="C131" t="s">
        <v>696</v>
      </c>
      <c r="L131">
        <v>5</v>
      </c>
      <c r="M131" t="s">
        <v>1508</v>
      </c>
      <c r="N131" t="str">
        <f>Tabl_B6_Carbon_BU!B25</f>
        <v>71-43-2</v>
      </c>
      <c r="O131" t="str">
        <f>Tabl_B6_Carbon_BU!A25</f>
        <v>Benzene</v>
      </c>
      <c r="P131" s="6">
        <f>Tabl_B6_Carbon_BU!G25</f>
        <v>4.2494510005816825E-2</v>
      </c>
      <c r="Q131" s="6">
        <f>Tabl_B6_Carbon_BU!H25</f>
        <v>0.48868686506689352</v>
      </c>
    </row>
    <row r="132" spans="1:17">
      <c r="A132">
        <f t="shared" si="5"/>
        <v>65</v>
      </c>
      <c r="B132" t="e">
        <f t="shared" ref="B132:B163" si="9">INDEX(N$16:N$563,MATCH(C132,O$16:O$563,0))</f>
        <v>#N/A</v>
      </c>
      <c r="C132" t="s">
        <v>956</v>
      </c>
      <c r="L132">
        <v>6</v>
      </c>
      <c r="M132" t="s">
        <v>1508</v>
      </c>
      <c r="N132" t="str">
        <f>Tabl_B6_Carbon_BU!B26</f>
        <v>78-93-3</v>
      </c>
      <c r="O132" t="str">
        <f>Tabl_B6_Carbon_BU!A26</f>
        <v>2-Butanone (Methyl ethyl ketone)</v>
      </c>
      <c r="P132" s="6">
        <f>Tabl_B6_Carbon_BU!G26</f>
        <v>1.6684152662870034E-2</v>
      </c>
      <c r="Q132" s="6">
        <f>Tabl_B6_Carbon_BU!H26</f>
        <v>0.1918677556230054</v>
      </c>
    </row>
    <row r="133" spans="1:17">
      <c r="A133">
        <f t="shared" si="5"/>
        <v>66</v>
      </c>
      <c r="B133" t="str">
        <f t="shared" si="9"/>
        <v>3268-87-9</v>
      </c>
      <c r="C133" t="s">
        <v>936</v>
      </c>
      <c r="L133">
        <v>7</v>
      </c>
      <c r="M133" t="s">
        <v>1508</v>
      </c>
      <c r="N133" t="str">
        <f>Tabl_B6_Carbon_BU!B27</f>
        <v>75-00-3</v>
      </c>
      <c r="O133" t="str">
        <f>Tabl_B6_Carbon_BU!A27</f>
        <v>Chloroethane (Ethyl chloride)</v>
      </c>
      <c r="P133" s="6">
        <f>Tabl_B6_Carbon_BU!G27</f>
        <v>5.2441768573023555E-3</v>
      </c>
      <c r="Q133" s="6">
        <f>Tabl_B6_Carbon_BU!H27</f>
        <v>6.0308033858977088E-2</v>
      </c>
    </row>
    <row r="134" spans="1:17">
      <c r="A134">
        <f t="shared" ref="A134:A175" si="10">A133+1</f>
        <v>67</v>
      </c>
      <c r="B134" t="str">
        <f t="shared" si="9"/>
        <v>32598-14-4</v>
      </c>
      <c r="C134" t="s">
        <v>885</v>
      </c>
      <c r="J134" s="219"/>
      <c r="K134" s="219"/>
      <c r="L134" s="219">
        <v>8</v>
      </c>
      <c r="M134" s="219" t="s">
        <v>1508</v>
      </c>
      <c r="N134" s="219" t="str">
        <f>Tabl_B6_Carbon_BU!B28</f>
        <v>1330-20-7</v>
      </c>
      <c r="O134" s="219" t="str">
        <f>Tabl_B6_Carbon_BU!A28</f>
        <v>Xylene (mixture), including m-xylene, o-xylene, p-xylene</v>
      </c>
      <c r="P134" s="220">
        <f>Tabl_B6_Carbon_BU!G28</f>
        <v>1.394078213108949E-2</v>
      </c>
      <c r="Q134" s="220">
        <f>Tabl_B6_Carbon_BU!H28</f>
        <v>0.16031899450752915</v>
      </c>
    </row>
    <row r="135" spans="1:17">
      <c r="A135">
        <f t="shared" si="10"/>
        <v>68</v>
      </c>
      <c r="B135" t="e">
        <f t="shared" si="9"/>
        <v>#N/A</v>
      </c>
      <c r="C135" t="s">
        <v>887</v>
      </c>
      <c r="J135">
        <v>1</v>
      </c>
      <c r="K135" cm="1">
        <f t="array" ref="K135">INDEX(H$19:H$45,J135)</f>
        <v>1</v>
      </c>
      <c r="L135">
        <f t="shared" ref="L135:L145" si="11">L116</f>
        <v>1</v>
      </c>
      <c r="M135" t="str" cm="1">
        <f t="array" ref="M135">INDEX(Tabl_B4_Tanks!B$7:B$33,X_EMIS!K135)</f>
        <v>JAIL1</v>
      </c>
      <c r="N135" t="str">
        <f>N116</f>
        <v>91-57-6</v>
      </c>
      <c r="O135" t="str">
        <f>O116</f>
        <v>2-Methyl naphthalene</v>
      </c>
      <c r="P135" s="6" cm="1">
        <f t="array" ref="P135">INDEX(Tabl_B4_Tanks!$Q$7:$AA$33,X_EMIS!K135,X_EMIS!L135)</f>
        <v>4.8923529514464091E-4</v>
      </c>
      <c r="Q135" cm="1">
        <f t="array" ref="Q135">INDEX(Tabl_B4_Tanks!$F$7:$P$33,X_EMIS!J135,X_EMIS!L135)</f>
        <v>0.17857088272779392</v>
      </c>
    </row>
    <row r="136" spans="1:17">
      <c r="A136">
        <f t="shared" si="10"/>
        <v>69</v>
      </c>
      <c r="B136" t="str">
        <f t="shared" si="9"/>
        <v>31508-00-6</v>
      </c>
      <c r="C136" t="s">
        <v>889</v>
      </c>
      <c r="J136">
        <f t="shared" ref="J136:J199" si="12">IF(L136=1,J135+1,J135)</f>
        <v>1</v>
      </c>
      <c r="K136" cm="1">
        <f t="array" ref="K136">INDEX(H$19:H$45,J136)</f>
        <v>1</v>
      </c>
      <c r="L136">
        <f t="shared" si="11"/>
        <v>2</v>
      </c>
      <c r="M136" t="str" cm="1">
        <f t="array" ref="M136">INDEX(Tabl_B4_Tanks!B$7:B$33,X_EMIS!K136)</f>
        <v>JAIL1</v>
      </c>
      <c r="N136" t="str">
        <f t="shared" ref="N136:O145" si="13">N117</f>
        <v>91-20-3</v>
      </c>
      <c r="O136" t="str">
        <f t="shared" si="13"/>
        <v>Naphthalene</v>
      </c>
      <c r="P136" s="6" cm="1">
        <f t="array" ref="P136">INDEX(Tabl_B4_Tanks!$Q$7:$AA$33,X_EMIS!K136,X_EMIS!L136)</f>
        <v>2.8396174473430206E-4</v>
      </c>
      <c r="Q136" cm="1">
        <f t="array" ref="Q136">INDEX(Tabl_B4_Tanks!$F$7:$P$33,X_EMIS!J136,X_EMIS!L136)</f>
        <v>0.10364603682802025</v>
      </c>
    </row>
    <row r="137" spans="1:17">
      <c r="A137">
        <f t="shared" si="10"/>
        <v>70</v>
      </c>
      <c r="B137" t="str">
        <f t="shared" si="9"/>
        <v>65510-44-3</v>
      </c>
      <c r="C137" t="s">
        <v>891</v>
      </c>
      <c r="J137">
        <f t="shared" si="12"/>
        <v>1</v>
      </c>
      <c r="K137" cm="1">
        <f t="array" ref="K137">INDEX(H$19:H$45,J137)</f>
        <v>1</v>
      </c>
      <c r="L137">
        <f t="shared" si="11"/>
        <v>3</v>
      </c>
      <c r="M137" t="str" cm="1">
        <f t="array" ref="M137">INDEX(Tabl_B4_Tanks!B$7:B$33,X_EMIS!K137)</f>
        <v>JAIL1</v>
      </c>
      <c r="N137" t="str">
        <f t="shared" si="13"/>
        <v>108-95-2</v>
      </c>
      <c r="O137" t="str">
        <f t="shared" si="13"/>
        <v>Phenol</v>
      </c>
      <c r="P137" s="6" cm="1">
        <f t="array" ref="P137">INDEX(Tabl_B4_Tanks!$Q$7:$AA$33,X_EMIS!K137,X_EMIS!L137)</f>
        <v>5.9700390911006877E-6</v>
      </c>
      <c r="Q137" cm="1">
        <f t="array" ref="Q137">INDEX(Tabl_B4_Tanks!$F$7:$P$33,X_EMIS!J137,X_EMIS!L137)</f>
        <v>2.1790642682517508E-3</v>
      </c>
    </row>
    <row r="138" spans="1:17">
      <c r="A138">
        <f t="shared" si="10"/>
        <v>71</v>
      </c>
      <c r="B138" t="e">
        <f t="shared" si="9"/>
        <v>#N/A</v>
      </c>
      <c r="C138" t="s">
        <v>893</v>
      </c>
      <c r="J138">
        <f t="shared" si="12"/>
        <v>1</v>
      </c>
      <c r="K138" cm="1">
        <f t="array" ref="K138">INDEX(H$19:H$45,J138)</f>
        <v>1</v>
      </c>
      <c r="L138">
        <f t="shared" si="11"/>
        <v>4</v>
      </c>
      <c r="M138" t="str" cm="1">
        <f t="array" ref="M138">INDEX(Tabl_B4_Tanks!B$7:B$33,X_EMIS!K138)</f>
        <v>JAIL1</v>
      </c>
      <c r="N138" t="str">
        <f t="shared" si="13"/>
        <v>1319-77-3</v>
      </c>
      <c r="O138" t="str">
        <f t="shared" si="13"/>
        <v>Cresols (mixture), including m-cresol, o-cresol, p-cresol</v>
      </c>
      <c r="P138" s="6" cm="1">
        <f t="array" ref="P138">INDEX(Tabl_B4_Tanks!$Q$7:$AA$33,X_EMIS!K138,X_EMIS!L138)</f>
        <v>2.223796796112004E-6</v>
      </c>
      <c r="Q138" cm="1">
        <f t="array" ref="Q138">INDEX(Tabl_B4_Tanks!$F$7:$P$33,X_EMIS!J138,X_EMIS!L138)</f>
        <v>8.1168583058088134E-4</v>
      </c>
    </row>
    <row r="139" spans="1:17">
      <c r="A139">
        <f t="shared" si="10"/>
        <v>72</v>
      </c>
      <c r="B139" t="str">
        <f t="shared" si="9"/>
        <v>38380-08-4</v>
      </c>
      <c r="C139" t="s">
        <v>901</v>
      </c>
      <c r="J139">
        <f t="shared" si="12"/>
        <v>1</v>
      </c>
      <c r="K139" cm="1">
        <f t="array" ref="K139">INDEX(H$19:H$45,J139)</f>
        <v>1</v>
      </c>
      <c r="L139">
        <f t="shared" si="11"/>
        <v>5</v>
      </c>
      <c r="M139" t="str" cm="1">
        <f t="array" ref="M139">INDEX(Tabl_B4_Tanks!B$7:B$33,X_EMIS!K139)</f>
        <v>JAIL1</v>
      </c>
      <c r="N139" t="str">
        <f t="shared" si="13"/>
        <v>71-43-2</v>
      </c>
      <c r="O139" t="str">
        <f t="shared" si="13"/>
        <v>Benzene</v>
      </c>
      <c r="P139" s="6" cm="1">
        <f t="array" ref="P139">INDEX(Tabl_B4_Tanks!$Q$7:$AA$33,X_EMIS!K139,X_EMIS!L139)</f>
        <v>3.9686219745998842E-5</v>
      </c>
      <c r="Q139" cm="1">
        <f t="array" ref="Q139">INDEX(Tabl_B4_Tanks!$F$7:$P$33,X_EMIS!J139,X_EMIS!L139)</f>
        <v>1.4485470207289576E-2</v>
      </c>
    </row>
    <row r="140" spans="1:17">
      <c r="A140">
        <f t="shared" si="10"/>
        <v>73</v>
      </c>
      <c r="B140" t="e">
        <f t="shared" si="9"/>
        <v>#N/A</v>
      </c>
      <c r="C140" t="s">
        <v>903</v>
      </c>
      <c r="J140">
        <f t="shared" si="12"/>
        <v>1</v>
      </c>
      <c r="K140" cm="1">
        <f t="array" ref="K140">INDEX(H$19:H$45,J140)</f>
        <v>1</v>
      </c>
      <c r="L140">
        <f t="shared" si="11"/>
        <v>6</v>
      </c>
      <c r="M140" t="str" cm="1">
        <f t="array" ref="M140">INDEX(Tabl_B4_Tanks!B$7:B$33,X_EMIS!K140)</f>
        <v>JAIL1</v>
      </c>
      <c r="N140" t="str">
        <f t="shared" si="13"/>
        <v>100-41-4</v>
      </c>
      <c r="O140" t="str">
        <f t="shared" si="13"/>
        <v>Ethyl benzene</v>
      </c>
      <c r="P140" s="6" cm="1">
        <f t="array" ref="P140">INDEX(Tabl_B4_Tanks!$Q$7:$AA$33,X_EMIS!K140,X_EMIS!L140)</f>
        <v>1.0075510099307464E-4</v>
      </c>
      <c r="Q140" cm="1">
        <f t="array" ref="Q140">INDEX(Tabl_B4_Tanks!$F$7:$P$33,X_EMIS!J140,X_EMIS!L140)</f>
        <v>3.6775611862472246E-2</v>
      </c>
    </row>
    <row r="141" spans="1:17">
      <c r="A141">
        <f t="shared" si="10"/>
        <v>74</v>
      </c>
      <c r="B141" t="str">
        <f t="shared" si="9"/>
        <v>52663-72-6</v>
      </c>
      <c r="C141" t="s">
        <v>905</v>
      </c>
      <c r="J141">
        <f t="shared" si="12"/>
        <v>1</v>
      </c>
      <c r="K141" cm="1">
        <f t="array" ref="K141">INDEX(H$19:H$45,J141)</f>
        <v>1</v>
      </c>
      <c r="L141">
        <f t="shared" si="11"/>
        <v>7</v>
      </c>
      <c r="M141" t="str" cm="1">
        <f t="array" ref="M141">INDEX(Tabl_B4_Tanks!B$7:B$33,X_EMIS!K141)</f>
        <v>JAIL1</v>
      </c>
      <c r="N141" t="str">
        <f t="shared" si="13"/>
        <v>98-82-8</v>
      </c>
      <c r="O141" t="str">
        <f t="shared" si="13"/>
        <v>Isopropylbenzene (Cumene)</v>
      </c>
      <c r="P141" s="6" cm="1">
        <f t="array" ref="P141">INDEX(Tabl_B4_Tanks!$Q$7:$AA$33,X_EMIS!K141,X_EMIS!L141)</f>
        <v>2.0869477625051115E-5</v>
      </c>
      <c r="Q141" cm="1">
        <f t="array" ref="Q141">INDEX(Tabl_B4_Tanks!$F$7:$P$33,X_EMIS!J141,X_EMIS!L141)</f>
        <v>7.6173593331436565E-3</v>
      </c>
    </row>
    <row r="142" spans="1:17">
      <c r="A142">
        <f t="shared" si="10"/>
        <v>75</v>
      </c>
      <c r="B142" t="str">
        <f t="shared" si="9"/>
        <v>32774-16-6</v>
      </c>
      <c r="C142" t="s">
        <v>907</v>
      </c>
      <c r="J142">
        <f t="shared" si="12"/>
        <v>1</v>
      </c>
      <c r="K142" cm="1">
        <f t="array" ref="K142">INDEX(H$19:H$45,J142)</f>
        <v>1</v>
      </c>
      <c r="L142">
        <f t="shared" si="11"/>
        <v>8</v>
      </c>
      <c r="M142" t="str" cm="1">
        <f t="array" ref="M142">INDEX(Tabl_B4_Tanks!B$7:B$33,X_EMIS!K142)</f>
        <v>JAIL1</v>
      </c>
      <c r="N142" t="str">
        <f t="shared" si="13"/>
        <v>108-88-3</v>
      </c>
      <c r="O142" t="str">
        <f t="shared" si="13"/>
        <v>Toluene</v>
      </c>
      <c r="P142" s="6" cm="1">
        <f t="array" ref="P142">INDEX(Tabl_B4_Tanks!$Q$7:$AA$33,X_EMIS!K142,X_EMIS!L142)</f>
        <v>3.575181002980068E-4</v>
      </c>
      <c r="Q142" cm="1">
        <f t="array" ref="Q142">INDEX(Tabl_B4_Tanks!$F$7:$P$33,X_EMIS!J142,X_EMIS!L142)</f>
        <v>0.13049410660877248</v>
      </c>
    </row>
    <row r="143" spans="1:17">
      <c r="A143">
        <f t="shared" si="10"/>
        <v>76</v>
      </c>
      <c r="B143" t="str">
        <f t="shared" si="9"/>
        <v>37680-65-2</v>
      </c>
      <c r="C143" t="s">
        <v>869</v>
      </c>
      <c r="J143">
        <f t="shared" si="12"/>
        <v>1</v>
      </c>
      <c r="K143" cm="1">
        <f t="array" ref="K143">INDEX(H$19:H$45,J143)</f>
        <v>1</v>
      </c>
      <c r="L143">
        <f t="shared" si="11"/>
        <v>9</v>
      </c>
      <c r="M143" t="str" cm="1">
        <f t="array" ref="M143">INDEX(Tabl_B4_Tanks!B$7:B$33,X_EMIS!K143)</f>
        <v>JAIL1</v>
      </c>
      <c r="N143" t="str">
        <f t="shared" si="13"/>
        <v>110-54-3</v>
      </c>
      <c r="O143" t="str">
        <f t="shared" si="13"/>
        <v>Hexane</v>
      </c>
      <c r="P143" s="6" cm="1">
        <f t="array" ref="P143">INDEX(Tabl_B4_Tanks!$Q$7:$AA$33,X_EMIS!K143,X_EMIS!L143)</f>
        <v>5.9016145742972411E-5</v>
      </c>
      <c r="Q143" cm="1">
        <f t="array" ref="Q143">INDEX(Tabl_B4_Tanks!$F$7:$P$33,X_EMIS!J143,X_EMIS!L143)</f>
        <v>2.1540893196184928E-2</v>
      </c>
    </row>
    <row r="144" spans="1:17">
      <c r="A144">
        <f t="shared" si="10"/>
        <v>77</v>
      </c>
      <c r="B144" t="e">
        <f t="shared" si="9"/>
        <v>#N/A</v>
      </c>
      <c r="C144" t="s">
        <v>915</v>
      </c>
      <c r="J144">
        <f t="shared" si="12"/>
        <v>1</v>
      </c>
      <c r="K144" cm="1">
        <f t="array" ref="K144">INDEX(H$19:H$45,J144)</f>
        <v>1</v>
      </c>
      <c r="L144">
        <f t="shared" si="11"/>
        <v>10</v>
      </c>
      <c r="M144" t="str" cm="1">
        <f t="array" ref="M144">INDEX(Tabl_B4_Tanks!B$7:B$33,X_EMIS!K144)</f>
        <v>JAIL1</v>
      </c>
      <c r="N144" t="str">
        <f t="shared" si="13"/>
        <v>1330-20-7</v>
      </c>
      <c r="O144" t="str">
        <f t="shared" si="13"/>
        <v>Xylene (mixture), including m-xylene, o-xylene, p-xylene</v>
      </c>
      <c r="P144" s="6" cm="1">
        <f t="array" ref="P144">INDEX(Tabl_B4_Tanks!$Q$7:$AA$33,X_EMIS!K144,X_EMIS!L144)</f>
        <v>5.9529329618998258E-4</v>
      </c>
      <c r="Q144" cm="1">
        <f t="array" ref="Q144">INDEX(Tabl_B4_Tanks!$F$7:$P$33,X_EMIS!J144,X_EMIS!L144)</f>
        <v>0.21728205310934365</v>
      </c>
    </row>
    <row r="145" spans="1:17">
      <c r="A145">
        <f t="shared" si="10"/>
        <v>78</v>
      </c>
      <c r="B145" t="str">
        <f t="shared" si="9"/>
        <v>32598-13-3</v>
      </c>
      <c r="C145" t="s">
        <v>879</v>
      </c>
      <c r="J145">
        <f t="shared" si="12"/>
        <v>1</v>
      </c>
      <c r="K145" cm="1">
        <f t="array" ref="K145">INDEX(H$19:H$45,J145)</f>
        <v>1</v>
      </c>
      <c r="L145">
        <f t="shared" si="11"/>
        <v>11</v>
      </c>
      <c r="M145" t="str" cm="1">
        <f t="array" ref="M145">INDEX(Tabl_B4_Tanks!B$7:B$33,X_EMIS!K145)</f>
        <v>JAIL1</v>
      </c>
      <c r="N145" t="str">
        <f t="shared" si="13"/>
        <v>7783-06-4</v>
      </c>
      <c r="O145" t="str">
        <f t="shared" si="13"/>
        <v>Hydrogen sulfide</v>
      </c>
      <c r="P145" s="6" cm="1">
        <f t="array" ref="P145">INDEX(Tabl_B4_Tanks!$Q$7:$AA$33,X_EMIS!K145,X_EMIS!L145)</f>
        <v>2.908041964146467E-5</v>
      </c>
      <c r="Q145" cm="1">
        <f t="array" ref="Q145">INDEX(Tabl_B4_Tanks!$F$7:$P$33,X_EMIS!J145,X_EMIS!L145)</f>
        <v>1.0614353169134604E-2</v>
      </c>
    </row>
    <row r="146" spans="1:17">
      <c r="A146">
        <f t="shared" si="10"/>
        <v>79</v>
      </c>
      <c r="B146" t="str">
        <f t="shared" si="9"/>
        <v>70362-50-4</v>
      </c>
      <c r="C146" t="s">
        <v>881</v>
      </c>
      <c r="J146">
        <f t="shared" si="12"/>
        <v>2</v>
      </c>
      <c r="K146" cm="1">
        <f t="array" ref="K146">INDEX(H$19:H$45,J146)</f>
        <v>2</v>
      </c>
      <c r="L146">
        <f t="shared" ref="L146:L209" si="14">L135</f>
        <v>1</v>
      </c>
      <c r="M146" t="str" cm="1">
        <f t="array" ref="M146">INDEX(Tabl_B4_Tanks!B$7:B$33,X_EMIS!K146)</f>
        <v>JAIL2</v>
      </c>
      <c r="N146" t="str">
        <f t="shared" ref="N146:O161" si="15">N135</f>
        <v>91-57-6</v>
      </c>
      <c r="O146" t="str">
        <f t="shared" si="15"/>
        <v>2-Methyl naphthalene</v>
      </c>
      <c r="P146" s="6" cm="1">
        <f t="array" ref="P146">INDEX(Tabl_B4_Tanks!$Q$7:$AA$33,X_EMIS!K146,X_EMIS!L146)</f>
        <v>4.8923529514464091E-4</v>
      </c>
      <c r="Q146" cm="1">
        <f t="array" ref="Q146">INDEX(Tabl_B4_Tanks!$F$7:$P$33,X_EMIS!J146,X_EMIS!L146)</f>
        <v>0.17857088272779392</v>
      </c>
    </row>
    <row r="147" spans="1:17">
      <c r="A147">
        <f t="shared" si="10"/>
        <v>80</v>
      </c>
      <c r="B147" t="str">
        <f t="shared" si="9"/>
        <v>37680-73-2</v>
      </c>
      <c r="C147" t="s">
        <v>883</v>
      </c>
      <c r="J147">
        <f t="shared" si="12"/>
        <v>2</v>
      </c>
      <c r="K147" cm="1">
        <f t="array" ref="K147">INDEX(H$19:H$45,J147)</f>
        <v>2</v>
      </c>
      <c r="L147">
        <f t="shared" si="14"/>
        <v>2</v>
      </c>
      <c r="M147" t="str" cm="1">
        <f t="array" ref="M147">INDEX(Tabl_B4_Tanks!B$7:B$33,X_EMIS!K147)</f>
        <v>JAIL2</v>
      </c>
      <c r="N147" t="str">
        <f t="shared" si="15"/>
        <v>91-20-3</v>
      </c>
      <c r="O147" t="str">
        <f t="shared" si="15"/>
        <v>Naphthalene</v>
      </c>
      <c r="P147" s="6" cm="1">
        <f t="array" ref="P147">INDEX(Tabl_B4_Tanks!$Q$7:$AA$33,X_EMIS!K147,X_EMIS!L147)</f>
        <v>2.8396174473430206E-4</v>
      </c>
      <c r="Q147" cm="1">
        <f t="array" ref="Q147">INDEX(Tabl_B4_Tanks!$F$7:$P$33,X_EMIS!J147,X_EMIS!L147)</f>
        <v>0.10364603682802025</v>
      </c>
    </row>
    <row r="148" spans="1:17">
      <c r="A148">
        <f t="shared" si="10"/>
        <v>81</v>
      </c>
      <c r="B148" t="str">
        <f t="shared" si="9"/>
        <v>38380-07-3</v>
      </c>
      <c r="C148" t="s">
        <v>895</v>
      </c>
      <c r="J148">
        <f t="shared" si="12"/>
        <v>2</v>
      </c>
      <c r="K148" cm="1">
        <f t="array" ref="K148">INDEX(H$19:H$45,J148)</f>
        <v>2</v>
      </c>
      <c r="L148">
        <f t="shared" si="14"/>
        <v>3</v>
      </c>
      <c r="M148" t="str" cm="1">
        <f t="array" ref="M148">INDEX(Tabl_B4_Tanks!B$7:B$33,X_EMIS!K148)</f>
        <v>JAIL2</v>
      </c>
      <c r="N148" t="str">
        <f t="shared" si="15"/>
        <v>108-95-2</v>
      </c>
      <c r="O148" t="str">
        <f t="shared" si="15"/>
        <v>Phenol</v>
      </c>
      <c r="P148" s="6" cm="1">
        <f t="array" ref="P148">INDEX(Tabl_B4_Tanks!$Q$7:$AA$33,X_EMIS!K148,X_EMIS!L148)</f>
        <v>5.9700390911006877E-6</v>
      </c>
      <c r="Q148" cm="1">
        <f t="array" ref="Q148">INDEX(Tabl_B4_Tanks!$F$7:$P$33,X_EMIS!J148,X_EMIS!L148)</f>
        <v>2.1790642682517508E-3</v>
      </c>
    </row>
    <row r="149" spans="1:17">
      <c r="A149">
        <f t="shared" si="10"/>
        <v>82</v>
      </c>
      <c r="B149" t="str">
        <f t="shared" si="9"/>
        <v>35065-28-2</v>
      </c>
      <c r="C149" t="s">
        <v>897</v>
      </c>
      <c r="J149">
        <f t="shared" si="12"/>
        <v>2</v>
      </c>
      <c r="K149" cm="1">
        <f t="array" ref="K149">INDEX(H$19:H$45,J149)</f>
        <v>2</v>
      </c>
      <c r="L149">
        <f t="shared" si="14"/>
        <v>4</v>
      </c>
      <c r="M149" t="str" cm="1">
        <f t="array" ref="M149">INDEX(Tabl_B4_Tanks!B$7:B$33,X_EMIS!K149)</f>
        <v>JAIL2</v>
      </c>
      <c r="N149" t="str">
        <f t="shared" si="15"/>
        <v>1319-77-3</v>
      </c>
      <c r="O149" t="str">
        <f t="shared" si="15"/>
        <v>Cresols (mixture), including m-cresol, o-cresol, p-cresol</v>
      </c>
      <c r="P149" s="6" cm="1">
        <f t="array" ref="P149">INDEX(Tabl_B4_Tanks!$Q$7:$AA$33,X_EMIS!K149,X_EMIS!L149)</f>
        <v>2.223796796112004E-6</v>
      </c>
      <c r="Q149" cm="1">
        <f t="array" ref="Q149">INDEX(Tabl_B4_Tanks!$F$7:$P$33,X_EMIS!J149,X_EMIS!L149)</f>
        <v>8.1168583058088134E-4</v>
      </c>
    </row>
    <row r="150" spans="1:17">
      <c r="A150">
        <f t="shared" si="10"/>
        <v>83</v>
      </c>
      <c r="B150" t="str">
        <f t="shared" si="9"/>
        <v>35065-27-1</v>
      </c>
      <c r="C150" t="s">
        <v>899</v>
      </c>
      <c r="J150">
        <f t="shared" si="12"/>
        <v>2</v>
      </c>
      <c r="K150" cm="1">
        <f t="array" ref="K150">INDEX(H$19:H$45,J150)</f>
        <v>2</v>
      </c>
      <c r="L150">
        <f t="shared" si="14"/>
        <v>5</v>
      </c>
      <c r="M150" t="str" cm="1">
        <f t="array" ref="M150">INDEX(Tabl_B4_Tanks!B$7:B$33,X_EMIS!K150)</f>
        <v>JAIL2</v>
      </c>
      <c r="N150" t="str">
        <f t="shared" si="15"/>
        <v>71-43-2</v>
      </c>
      <c r="O150" t="str">
        <f t="shared" si="15"/>
        <v>Benzene</v>
      </c>
      <c r="P150" s="6" cm="1">
        <f t="array" ref="P150">INDEX(Tabl_B4_Tanks!$Q$7:$AA$33,X_EMIS!K150,X_EMIS!L150)</f>
        <v>3.9686219745998842E-5</v>
      </c>
      <c r="Q150" cm="1">
        <f t="array" ref="Q150">INDEX(Tabl_B4_Tanks!$F$7:$P$33,X_EMIS!J150,X_EMIS!L150)</f>
        <v>1.4485470207289576E-2</v>
      </c>
    </row>
    <row r="151" spans="1:17">
      <c r="A151">
        <f t="shared" si="10"/>
        <v>84</v>
      </c>
      <c r="B151" t="str">
        <f t="shared" si="9"/>
        <v>35065-30-6</v>
      </c>
      <c r="C151" t="s">
        <v>909</v>
      </c>
      <c r="J151">
        <f t="shared" si="12"/>
        <v>2</v>
      </c>
      <c r="K151" cm="1">
        <f t="array" ref="K151">INDEX(H$19:H$45,J151)</f>
        <v>2</v>
      </c>
      <c r="L151">
        <f t="shared" si="14"/>
        <v>6</v>
      </c>
      <c r="M151" t="str" cm="1">
        <f t="array" ref="M151">INDEX(Tabl_B4_Tanks!B$7:B$33,X_EMIS!K151)</f>
        <v>JAIL2</v>
      </c>
      <c r="N151" t="str">
        <f t="shared" si="15"/>
        <v>100-41-4</v>
      </c>
      <c r="O151" t="str">
        <f t="shared" si="15"/>
        <v>Ethyl benzene</v>
      </c>
      <c r="P151" s="6" cm="1">
        <f t="array" ref="P151">INDEX(Tabl_B4_Tanks!$Q$7:$AA$33,X_EMIS!K151,X_EMIS!L151)</f>
        <v>1.0075510099307464E-4</v>
      </c>
      <c r="Q151" cm="1">
        <f t="array" ref="Q151">INDEX(Tabl_B4_Tanks!$F$7:$P$33,X_EMIS!J151,X_EMIS!L151)</f>
        <v>3.6775611862472246E-2</v>
      </c>
    </row>
    <row r="152" spans="1:17">
      <c r="A152">
        <f t="shared" si="10"/>
        <v>85</v>
      </c>
      <c r="B152" t="str">
        <f t="shared" si="9"/>
        <v>35065-29-3</v>
      </c>
      <c r="C152" t="s">
        <v>911</v>
      </c>
      <c r="J152">
        <f t="shared" si="12"/>
        <v>2</v>
      </c>
      <c r="K152" cm="1">
        <f t="array" ref="K152">INDEX(H$19:H$45,J152)</f>
        <v>2</v>
      </c>
      <c r="L152">
        <f t="shared" si="14"/>
        <v>7</v>
      </c>
      <c r="M152" t="str" cm="1">
        <f t="array" ref="M152">INDEX(Tabl_B4_Tanks!B$7:B$33,X_EMIS!K152)</f>
        <v>JAIL2</v>
      </c>
      <c r="N152" t="str">
        <f t="shared" si="15"/>
        <v>98-82-8</v>
      </c>
      <c r="O152" t="str">
        <f t="shared" si="15"/>
        <v>Isopropylbenzene (Cumene)</v>
      </c>
      <c r="P152" s="6" cm="1">
        <f t="array" ref="P152">INDEX(Tabl_B4_Tanks!$Q$7:$AA$33,X_EMIS!K152,X_EMIS!L152)</f>
        <v>2.0869477625051115E-5</v>
      </c>
      <c r="Q152" cm="1">
        <f t="array" ref="Q152">INDEX(Tabl_B4_Tanks!$F$7:$P$33,X_EMIS!J152,X_EMIS!L152)</f>
        <v>7.6173593331436565E-3</v>
      </c>
    </row>
    <row r="153" spans="1:17">
      <c r="A153">
        <f t="shared" si="10"/>
        <v>86</v>
      </c>
      <c r="B153" t="str">
        <f t="shared" si="9"/>
        <v>52663-68-0</v>
      </c>
      <c r="C153" t="s">
        <v>913</v>
      </c>
      <c r="J153">
        <f t="shared" si="12"/>
        <v>2</v>
      </c>
      <c r="K153" cm="1">
        <f t="array" ref="K153">INDEX(H$19:H$45,J153)</f>
        <v>2</v>
      </c>
      <c r="L153">
        <f t="shared" si="14"/>
        <v>8</v>
      </c>
      <c r="M153" t="str" cm="1">
        <f t="array" ref="M153">INDEX(Tabl_B4_Tanks!B$7:B$33,X_EMIS!K153)</f>
        <v>JAIL2</v>
      </c>
      <c r="N153" t="str">
        <f t="shared" si="15"/>
        <v>108-88-3</v>
      </c>
      <c r="O153" t="str">
        <f t="shared" si="15"/>
        <v>Toluene</v>
      </c>
      <c r="P153" s="6" cm="1">
        <f t="array" ref="P153">INDEX(Tabl_B4_Tanks!$Q$7:$AA$33,X_EMIS!K153,X_EMIS!L153)</f>
        <v>3.575181002980068E-4</v>
      </c>
      <c r="Q153" cm="1">
        <f t="array" ref="Q153">INDEX(Tabl_B4_Tanks!$F$7:$P$33,X_EMIS!J153,X_EMIS!L153)</f>
        <v>0.13049410660877248</v>
      </c>
    </row>
    <row r="154" spans="1:17">
      <c r="A154">
        <f t="shared" si="10"/>
        <v>87</v>
      </c>
      <c r="B154" t="e">
        <f t="shared" si="9"/>
        <v>#N/A</v>
      </c>
      <c r="C154" t="s">
        <v>917</v>
      </c>
      <c r="J154">
        <f t="shared" si="12"/>
        <v>2</v>
      </c>
      <c r="K154" cm="1">
        <f t="array" ref="K154">INDEX(H$19:H$45,J154)</f>
        <v>2</v>
      </c>
      <c r="L154">
        <f t="shared" si="14"/>
        <v>9</v>
      </c>
      <c r="M154" t="str" cm="1">
        <f t="array" ref="M154">INDEX(Tabl_B4_Tanks!B$7:B$33,X_EMIS!K154)</f>
        <v>JAIL2</v>
      </c>
      <c r="N154" t="str">
        <f t="shared" si="15"/>
        <v>110-54-3</v>
      </c>
      <c r="O154" t="str">
        <f t="shared" si="15"/>
        <v>Hexane</v>
      </c>
      <c r="P154" s="6" cm="1">
        <f t="array" ref="P154">INDEX(Tabl_B4_Tanks!$Q$7:$AA$33,X_EMIS!K154,X_EMIS!L154)</f>
        <v>5.9016145742972411E-5</v>
      </c>
      <c r="Q154" cm="1">
        <f t="array" ref="Q154">INDEX(Tabl_B4_Tanks!$F$7:$P$33,X_EMIS!J154,X_EMIS!L154)</f>
        <v>2.1540893196184928E-2</v>
      </c>
    </row>
    <row r="155" spans="1:17">
      <c r="A155">
        <f t="shared" si="10"/>
        <v>88</v>
      </c>
      <c r="B155" t="e">
        <f t="shared" si="9"/>
        <v>#N/A</v>
      </c>
      <c r="C155" t="s">
        <v>919</v>
      </c>
      <c r="J155">
        <f t="shared" si="12"/>
        <v>2</v>
      </c>
      <c r="K155" cm="1">
        <f t="array" ref="K155">INDEX(H$19:H$45,J155)</f>
        <v>2</v>
      </c>
      <c r="L155">
        <f t="shared" si="14"/>
        <v>10</v>
      </c>
      <c r="M155" t="str" cm="1">
        <f t="array" ref="M155">INDEX(Tabl_B4_Tanks!B$7:B$33,X_EMIS!K155)</f>
        <v>JAIL2</v>
      </c>
      <c r="N155" t="str">
        <f t="shared" si="15"/>
        <v>1330-20-7</v>
      </c>
      <c r="O155" t="str">
        <f t="shared" si="15"/>
        <v>Xylene (mixture), including m-xylene, o-xylene, p-xylene</v>
      </c>
      <c r="P155" s="6" cm="1">
        <f t="array" ref="P155">INDEX(Tabl_B4_Tanks!$Q$7:$AA$33,X_EMIS!K155,X_EMIS!L155)</f>
        <v>5.9529329618998258E-4</v>
      </c>
      <c r="Q155" cm="1">
        <f t="array" ref="Q155">INDEX(Tabl_B4_Tanks!$F$7:$P$33,X_EMIS!J155,X_EMIS!L155)</f>
        <v>0.21728205310934365</v>
      </c>
    </row>
    <row r="156" spans="1:17">
      <c r="A156">
        <f t="shared" si="10"/>
        <v>89</v>
      </c>
      <c r="B156" t="e">
        <f t="shared" si="9"/>
        <v>#N/A</v>
      </c>
      <c r="C156" t="s">
        <v>1574</v>
      </c>
      <c r="J156">
        <f t="shared" si="12"/>
        <v>2</v>
      </c>
      <c r="K156" cm="1">
        <f t="array" ref="K156">INDEX(H$19:H$45,J156)</f>
        <v>2</v>
      </c>
      <c r="L156">
        <f t="shared" si="14"/>
        <v>11</v>
      </c>
      <c r="M156" t="str" cm="1">
        <f t="array" ref="M156">INDEX(Tabl_B4_Tanks!B$7:B$33,X_EMIS!K156)</f>
        <v>JAIL2</v>
      </c>
      <c r="N156" t="str">
        <f t="shared" si="15"/>
        <v>7783-06-4</v>
      </c>
      <c r="O156" t="str">
        <f t="shared" si="15"/>
        <v>Hydrogen sulfide</v>
      </c>
      <c r="P156" s="6" cm="1">
        <f t="array" ref="P156">INDEX(Tabl_B4_Tanks!$Q$7:$AA$33,X_EMIS!K156,X_EMIS!L156)</f>
        <v>2.908041964146467E-5</v>
      </c>
      <c r="Q156" cm="1">
        <f t="array" ref="Q156">INDEX(Tabl_B4_Tanks!$F$7:$P$33,X_EMIS!J156,X_EMIS!L156)</f>
        <v>1.0614353169134604E-2</v>
      </c>
    </row>
    <row r="157" spans="1:17">
      <c r="A157">
        <f t="shared" si="10"/>
        <v>90</v>
      </c>
      <c r="B157" t="e">
        <f t="shared" si="9"/>
        <v>#N/A</v>
      </c>
      <c r="C157" t="s">
        <v>871</v>
      </c>
      <c r="J157">
        <f t="shared" si="12"/>
        <v>3</v>
      </c>
      <c r="K157" cm="1">
        <f t="array" ref="K157">INDEX(H$19:H$45,J157)</f>
        <v>3</v>
      </c>
      <c r="L157">
        <f t="shared" si="14"/>
        <v>1</v>
      </c>
      <c r="M157" t="str" cm="1">
        <f t="array" ref="M157">INDEX(Tabl_B4_Tanks!B$7:B$33,X_EMIS!K157)</f>
        <v>JAIL3</v>
      </c>
      <c r="N157" t="str">
        <f t="shared" si="15"/>
        <v>91-57-6</v>
      </c>
      <c r="O157" t="str">
        <f t="shared" si="15"/>
        <v>2-Methyl naphthalene</v>
      </c>
      <c r="P157" s="6" cm="1">
        <f t="array" ref="P157">INDEX(Tabl_B4_Tanks!$Q$7:$AA$33,X_EMIS!K157,X_EMIS!L157)</f>
        <v>5.9516841639354809E-4</v>
      </c>
      <c r="Q157" cm="1">
        <f t="array" ref="Q157">INDEX(Tabl_B4_Tanks!$F$7:$P$33,X_EMIS!J157,X_EMIS!L157)</f>
        <v>0.21723647198364504</v>
      </c>
    </row>
    <row r="158" spans="1:17">
      <c r="A158">
        <f t="shared" si="10"/>
        <v>91</v>
      </c>
      <c r="B158" t="str">
        <f t="shared" si="9"/>
        <v>41464-39-5</v>
      </c>
      <c r="C158" t="s">
        <v>873</v>
      </c>
      <c r="J158">
        <f t="shared" si="12"/>
        <v>3</v>
      </c>
      <c r="K158" cm="1">
        <f t="array" ref="K158">INDEX(H$19:H$45,J158)</f>
        <v>3</v>
      </c>
      <c r="L158">
        <f t="shared" si="14"/>
        <v>2</v>
      </c>
      <c r="M158" t="str" cm="1">
        <f t="array" ref="M158">INDEX(Tabl_B4_Tanks!B$7:B$33,X_EMIS!K158)</f>
        <v>JAIL3</v>
      </c>
      <c r="N158" t="str">
        <f t="shared" si="15"/>
        <v>91-20-3</v>
      </c>
      <c r="O158" t="str">
        <f t="shared" si="15"/>
        <v>Naphthalene</v>
      </c>
      <c r="P158" s="6" cm="1">
        <f t="array" ref="P158">INDEX(Tabl_B4_Tanks!$Q$7:$AA$33,X_EMIS!K158,X_EMIS!L158)</f>
        <v>3.4544740252212932E-4</v>
      </c>
      <c r="Q158" cm="1">
        <f t="array" ref="Q158">INDEX(Tabl_B4_Tanks!$F$7:$P$33,X_EMIS!J158,X_EMIS!L158)</f>
        <v>0.12608830192057718</v>
      </c>
    </row>
    <row r="159" spans="1:17">
      <c r="A159">
        <f t="shared" si="10"/>
        <v>92</v>
      </c>
      <c r="B159" t="str">
        <f t="shared" si="9"/>
        <v>35693-99-3</v>
      </c>
      <c r="C159" t="s">
        <v>875</v>
      </c>
      <c r="J159">
        <f t="shared" si="12"/>
        <v>3</v>
      </c>
      <c r="K159" cm="1">
        <f t="array" ref="K159">INDEX(H$19:H$45,J159)</f>
        <v>3</v>
      </c>
      <c r="L159">
        <f t="shared" si="14"/>
        <v>3</v>
      </c>
      <c r="M159" t="str" cm="1">
        <f t="array" ref="M159">INDEX(Tabl_B4_Tanks!B$7:B$33,X_EMIS!K159)</f>
        <v>JAIL3</v>
      </c>
      <c r="N159" t="str">
        <f t="shared" si="15"/>
        <v>108-95-2</v>
      </c>
      <c r="O159" t="str">
        <f t="shared" si="15"/>
        <v>Phenol</v>
      </c>
      <c r="P159" s="6" cm="1">
        <f t="array" ref="P159">INDEX(Tabl_B4_Tanks!$Q$7:$AA$33,X_EMIS!K159,X_EMIS!L159)</f>
        <v>7.2627194867604294E-6</v>
      </c>
      <c r="Q159" cm="1">
        <f t="array" ref="Q159">INDEX(Tabl_B4_Tanks!$F$7:$P$33,X_EMIS!J159,X_EMIS!L159)</f>
        <v>2.6508926126675566E-3</v>
      </c>
    </row>
    <row r="160" spans="1:17">
      <c r="A160">
        <f t="shared" si="10"/>
        <v>93</v>
      </c>
      <c r="B160" t="str">
        <f t="shared" si="9"/>
        <v>32598-10-0</v>
      </c>
      <c r="C160" t="s">
        <v>877</v>
      </c>
      <c r="J160">
        <f t="shared" si="12"/>
        <v>3</v>
      </c>
      <c r="K160" cm="1">
        <f t="array" ref="K160">INDEX(H$19:H$45,J160)</f>
        <v>3</v>
      </c>
      <c r="L160">
        <f t="shared" si="14"/>
        <v>4</v>
      </c>
      <c r="M160" t="str" cm="1">
        <f t="array" ref="M160">INDEX(Tabl_B4_Tanks!B$7:B$33,X_EMIS!K160)</f>
        <v>JAIL3</v>
      </c>
      <c r="N160" t="str">
        <f t="shared" si="15"/>
        <v>1319-77-3</v>
      </c>
      <c r="O160" t="str">
        <f t="shared" si="15"/>
        <v>Cresols (mixture), including m-cresol, o-cresol, p-cresol</v>
      </c>
      <c r="P160" s="6" cm="1">
        <f t="array" ref="P160">INDEX(Tabl_B4_Tanks!$Q$7:$AA$33,X_EMIS!K160,X_EMIS!L160)</f>
        <v>2.7053109836070366E-6</v>
      </c>
      <c r="Q160" cm="1">
        <f t="array" ref="Q160">INDEX(Tabl_B4_Tanks!$F$7:$P$33,X_EMIS!J160,X_EMIS!L160)</f>
        <v>9.8743850901656825E-4</v>
      </c>
    </row>
    <row r="161" spans="1:17">
      <c r="A161">
        <f t="shared" si="10"/>
        <v>94</v>
      </c>
      <c r="B161" t="str">
        <f t="shared" si="9"/>
        <v>34883-43-7</v>
      </c>
      <c r="C161" t="s">
        <v>867</v>
      </c>
      <c r="J161">
        <f t="shared" si="12"/>
        <v>3</v>
      </c>
      <c r="K161" cm="1">
        <f t="array" ref="K161">INDEX(H$19:H$45,J161)</f>
        <v>3</v>
      </c>
      <c r="L161">
        <f t="shared" si="14"/>
        <v>5</v>
      </c>
      <c r="M161" t="str" cm="1">
        <f t="array" ref="M161">INDEX(Tabl_B4_Tanks!B$7:B$33,X_EMIS!K161)</f>
        <v>JAIL3</v>
      </c>
      <c r="N161" t="str">
        <f t="shared" si="15"/>
        <v>71-43-2</v>
      </c>
      <c r="O161" t="str">
        <f t="shared" si="15"/>
        <v>Benzene</v>
      </c>
      <c r="P161" s="6" cm="1">
        <f t="array" ref="P161">INDEX(Tabl_B4_Tanks!$Q$7:$AA$33,X_EMIS!K161,X_EMIS!L161)</f>
        <v>4.8279396015140964E-5</v>
      </c>
      <c r="Q161" cm="1">
        <f t="array" ref="Q161">INDEX(Tabl_B4_Tanks!$F$7:$P$33,X_EMIS!J161,X_EMIS!L161)</f>
        <v>1.762197954552645E-2</v>
      </c>
    </row>
    <row r="162" spans="1:17">
      <c r="A162">
        <f t="shared" si="10"/>
        <v>95</v>
      </c>
      <c r="B162" t="str">
        <f t="shared" si="9"/>
        <v>1336-36-3</v>
      </c>
      <c r="C162" t="s">
        <v>864</v>
      </c>
      <c r="J162">
        <f t="shared" si="12"/>
        <v>3</v>
      </c>
      <c r="K162" cm="1">
        <f t="array" ref="K162">INDEX(H$19:H$45,J162)</f>
        <v>3</v>
      </c>
      <c r="L162">
        <f t="shared" si="14"/>
        <v>6</v>
      </c>
      <c r="M162" t="str" cm="1">
        <f t="array" ref="M162">INDEX(Tabl_B4_Tanks!B$7:B$33,X_EMIS!K162)</f>
        <v>JAIL3</v>
      </c>
      <c r="N162" t="str">
        <f t="shared" ref="N162:O177" si="16">N151</f>
        <v>100-41-4</v>
      </c>
      <c r="O162" t="str">
        <f t="shared" si="16"/>
        <v>Ethyl benzene</v>
      </c>
      <c r="P162" s="6" cm="1">
        <f t="array" ref="P162">INDEX(Tabl_B4_Tanks!$Q$7:$AA$33,X_EMIS!K162,X_EMIS!L162)</f>
        <v>1.2257139764188803E-4</v>
      </c>
      <c r="Q162" cm="1">
        <f t="array" ref="Q162">INDEX(Tabl_B4_Tanks!$F$7:$P$33,X_EMIS!J162,X_EMIS!L162)</f>
        <v>4.4738560139289132E-2</v>
      </c>
    </row>
    <row r="163" spans="1:17">
      <c r="A163">
        <f t="shared" si="10"/>
        <v>96</v>
      </c>
      <c r="B163" t="e">
        <f t="shared" si="9"/>
        <v>#N/A</v>
      </c>
      <c r="C163" t="s">
        <v>91</v>
      </c>
      <c r="J163">
        <f t="shared" si="12"/>
        <v>3</v>
      </c>
      <c r="K163" cm="1">
        <f t="array" ref="K163">INDEX(H$19:H$45,J163)</f>
        <v>3</v>
      </c>
      <c r="L163">
        <f t="shared" si="14"/>
        <v>7</v>
      </c>
      <c r="M163" t="str" cm="1">
        <f t="array" ref="M163">INDEX(Tabl_B4_Tanks!B$7:B$33,X_EMIS!K163)</f>
        <v>JAIL3</v>
      </c>
      <c r="N163" t="str">
        <f t="shared" si="16"/>
        <v>98-82-8</v>
      </c>
      <c r="O163" t="str">
        <f t="shared" si="16"/>
        <v>Isopropylbenzene (Cumene)</v>
      </c>
      <c r="P163" s="6" cm="1">
        <f t="array" ref="P163">INDEX(Tabl_B4_Tanks!$Q$7:$AA$33,X_EMIS!K163,X_EMIS!L163)</f>
        <v>2.5388303076927573E-5</v>
      </c>
      <c r="Q163" cm="1">
        <f t="array" ref="Q163">INDEX(Tabl_B4_Tanks!$F$7:$P$33,X_EMIS!J163,X_EMIS!L163)</f>
        <v>9.2667306230785635E-3</v>
      </c>
    </row>
    <row r="164" spans="1:17">
      <c r="A164">
        <f t="shared" si="10"/>
        <v>97</v>
      </c>
      <c r="B164" t="str">
        <f t="shared" ref="B164:B175" si="17">INDEX(N$16:N$563,MATCH(C164,O$16:O$563,0))</f>
        <v>85-01-8</v>
      </c>
      <c r="C164" t="s">
        <v>94</v>
      </c>
      <c r="J164">
        <f t="shared" si="12"/>
        <v>3</v>
      </c>
      <c r="K164" cm="1">
        <f t="array" ref="K164">INDEX(H$19:H$45,J164)</f>
        <v>3</v>
      </c>
      <c r="L164">
        <f t="shared" si="14"/>
        <v>8</v>
      </c>
      <c r="M164" t="str" cm="1">
        <f t="array" ref="M164">INDEX(Tabl_B4_Tanks!B$7:B$33,X_EMIS!K164)</f>
        <v>JAIL3</v>
      </c>
      <c r="N164" t="str">
        <f t="shared" si="16"/>
        <v>108-88-3</v>
      </c>
      <c r="O164" t="str">
        <f t="shared" si="16"/>
        <v>Toluene</v>
      </c>
      <c r="P164" s="6" cm="1">
        <f t="array" ref="P164">INDEX(Tabl_B4_Tanks!$Q$7:$AA$33,X_EMIS!K164,X_EMIS!L164)</f>
        <v>4.349307658260543E-4</v>
      </c>
      <c r="Q164" cm="1">
        <f t="array" ref="Q164">INDEX(Tabl_B4_Tanks!$F$7:$P$33,X_EMIS!J164,X_EMIS!L164)</f>
        <v>0.15874972952650981</v>
      </c>
    </row>
    <row r="165" spans="1:17">
      <c r="A165">
        <f t="shared" si="10"/>
        <v>98</v>
      </c>
      <c r="B165" t="str">
        <f t="shared" si="17"/>
        <v>108-95-2</v>
      </c>
      <c r="C165" t="s">
        <v>814</v>
      </c>
      <c r="J165">
        <f t="shared" si="12"/>
        <v>3</v>
      </c>
      <c r="K165" cm="1">
        <f t="array" ref="K165">INDEX(H$19:H$45,J165)</f>
        <v>3</v>
      </c>
      <c r="L165">
        <f t="shared" si="14"/>
        <v>9</v>
      </c>
      <c r="M165" t="str" cm="1">
        <f t="array" ref="M165">INDEX(Tabl_B4_Tanks!B$7:B$33,X_EMIS!K165)</f>
        <v>JAIL3</v>
      </c>
      <c r="N165" t="str">
        <f t="shared" si="16"/>
        <v>110-54-3</v>
      </c>
      <c r="O165" t="str">
        <f t="shared" si="16"/>
        <v>Hexane</v>
      </c>
      <c r="P165" s="6" cm="1">
        <f t="array" ref="P165">INDEX(Tabl_B4_Tanks!$Q$7:$AA$33,X_EMIS!K165,X_EMIS!L165)</f>
        <v>7.1794791488032894E-5</v>
      </c>
      <c r="Q165" cm="1">
        <f t="array" ref="Q165">INDEX(Tabl_B4_Tanks!$F$7:$P$33,X_EMIS!J165,X_EMIS!L165)</f>
        <v>2.6205098893132005E-2</v>
      </c>
    </row>
    <row r="166" spans="1:17">
      <c r="A166">
        <f t="shared" si="10"/>
        <v>99</v>
      </c>
      <c r="B166" t="str">
        <f t="shared" si="17"/>
        <v>7723-14-0</v>
      </c>
      <c r="C166" t="s">
        <v>832</v>
      </c>
      <c r="J166">
        <f t="shared" si="12"/>
        <v>3</v>
      </c>
      <c r="K166" cm="1">
        <f t="array" ref="K166">INDEX(H$19:H$45,J166)</f>
        <v>3</v>
      </c>
      <c r="L166">
        <f t="shared" si="14"/>
        <v>10</v>
      </c>
      <c r="M166" t="str" cm="1">
        <f t="array" ref="M166">INDEX(Tabl_B4_Tanks!B$7:B$33,X_EMIS!K166)</f>
        <v>JAIL3</v>
      </c>
      <c r="N166" t="str">
        <f t="shared" si="16"/>
        <v>1330-20-7</v>
      </c>
      <c r="O166" t="str">
        <f t="shared" si="16"/>
        <v>Xylene (mixture), including m-xylene, o-xylene, p-xylene</v>
      </c>
      <c r="P166" s="6" cm="1">
        <f t="array" ref="P166">INDEX(Tabl_B4_Tanks!$Q$7:$AA$33,X_EMIS!K166,X_EMIS!L166)</f>
        <v>7.2419094022711436E-4</v>
      </c>
      <c r="Q166" cm="1">
        <f t="array" ref="Q166">INDEX(Tabl_B4_Tanks!$F$7:$P$33,X_EMIS!J166,X_EMIS!L166)</f>
        <v>0.26432969318289673</v>
      </c>
    </row>
    <row r="167" spans="1:17">
      <c r="A167">
        <f t="shared" si="10"/>
        <v>100</v>
      </c>
      <c r="B167" t="e">
        <f t="shared" si="17"/>
        <v>#N/A</v>
      </c>
      <c r="C167" t="s">
        <v>957</v>
      </c>
      <c r="J167">
        <f t="shared" si="12"/>
        <v>3</v>
      </c>
      <c r="K167" cm="1">
        <f t="array" ref="K167">INDEX(H$19:H$45,J167)</f>
        <v>3</v>
      </c>
      <c r="L167">
        <f t="shared" si="14"/>
        <v>11</v>
      </c>
      <c r="M167" t="str" cm="1">
        <f t="array" ref="M167">INDEX(Tabl_B4_Tanks!B$7:B$33,X_EMIS!K167)</f>
        <v>JAIL3</v>
      </c>
      <c r="N167" t="str">
        <f t="shared" si="16"/>
        <v>7783-06-4</v>
      </c>
      <c r="O167" t="str">
        <f t="shared" si="16"/>
        <v>Hydrogen sulfide</v>
      </c>
      <c r="P167" s="6" cm="1">
        <f t="array" ref="P167">INDEX(Tabl_B4_Tanks!$Q$7:$AA$33,X_EMIS!K167,X_EMIS!L167)</f>
        <v>3.5377143631784326E-5</v>
      </c>
      <c r="Q167" cm="1">
        <f t="array" ref="Q167">INDEX(Tabl_B4_Tanks!$F$7:$P$33,X_EMIS!J167,X_EMIS!L167)</f>
        <v>1.2912657425601279E-2</v>
      </c>
    </row>
    <row r="168" spans="1:17">
      <c r="A168">
        <f t="shared" si="10"/>
        <v>101</v>
      </c>
      <c r="B168" t="str">
        <f t="shared" si="17"/>
        <v>115-07-1</v>
      </c>
      <c r="C168" t="s">
        <v>1047</v>
      </c>
      <c r="J168">
        <f t="shared" si="12"/>
        <v>4</v>
      </c>
      <c r="K168" cm="1">
        <f t="array" ref="K168">INDEX(H$19:H$45,J168)</f>
        <v>4</v>
      </c>
      <c r="L168">
        <f t="shared" si="14"/>
        <v>1</v>
      </c>
      <c r="M168" t="str" cm="1">
        <f t="array" ref="M168">INDEX(Tabl_B4_Tanks!B$7:B$33,X_EMIS!K168)</f>
        <v>JAIL4</v>
      </c>
      <c r="N168" t="str">
        <f t="shared" si="16"/>
        <v>91-57-6</v>
      </c>
      <c r="O168" t="str">
        <f t="shared" si="16"/>
        <v>2-Methyl naphthalene</v>
      </c>
      <c r="P168" s="6" cm="1">
        <f t="array" ref="P168">INDEX(Tabl_B4_Tanks!$Q$7:$AA$33,X_EMIS!K168,X_EMIS!L168)</f>
        <v>5.9516841639354809E-4</v>
      </c>
      <c r="Q168" cm="1">
        <f t="array" ref="Q168">INDEX(Tabl_B4_Tanks!$F$7:$P$33,X_EMIS!J168,X_EMIS!L168)</f>
        <v>0.21723647198364504</v>
      </c>
    </row>
    <row r="169" spans="1:17">
      <c r="A169">
        <f t="shared" si="10"/>
        <v>102</v>
      </c>
      <c r="B169" t="str">
        <f t="shared" si="17"/>
        <v>129-00-0</v>
      </c>
      <c r="C169" t="s">
        <v>97</v>
      </c>
      <c r="J169">
        <f t="shared" si="12"/>
        <v>4</v>
      </c>
      <c r="K169" cm="1">
        <f t="array" ref="K169">INDEX(H$19:H$45,J169)</f>
        <v>4</v>
      </c>
      <c r="L169">
        <f t="shared" si="14"/>
        <v>2</v>
      </c>
      <c r="M169" t="str" cm="1">
        <f t="array" ref="M169">INDEX(Tabl_B4_Tanks!B$7:B$33,X_EMIS!K169)</f>
        <v>JAIL4</v>
      </c>
      <c r="N169" t="str">
        <f t="shared" si="16"/>
        <v>91-20-3</v>
      </c>
      <c r="O169" t="str">
        <f t="shared" si="16"/>
        <v>Naphthalene</v>
      </c>
      <c r="P169" s="6" cm="1">
        <f t="array" ref="P169">INDEX(Tabl_B4_Tanks!$Q$7:$AA$33,X_EMIS!K169,X_EMIS!L169)</f>
        <v>3.4544740252212932E-4</v>
      </c>
      <c r="Q169" cm="1">
        <f t="array" ref="Q169">INDEX(Tabl_B4_Tanks!$F$7:$P$33,X_EMIS!J169,X_EMIS!L169)</f>
        <v>0.12608830192057718</v>
      </c>
    </row>
    <row r="170" spans="1:17">
      <c r="A170">
        <f t="shared" si="10"/>
        <v>103</v>
      </c>
      <c r="B170" t="str">
        <f t="shared" si="17"/>
        <v>7782-49-2</v>
      </c>
      <c r="C170" t="s">
        <v>1077</v>
      </c>
      <c r="J170">
        <f t="shared" si="12"/>
        <v>4</v>
      </c>
      <c r="K170" cm="1">
        <f t="array" ref="K170">INDEX(H$19:H$45,J170)</f>
        <v>4</v>
      </c>
      <c r="L170">
        <f t="shared" si="14"/>
        <v>3</v>
      </c>
      <c r="M170" t="str" cm="1">
        <f t="array" ref="M170">INDEX(Tabl_B4_Tanks!B$7:B$33,X_EMIS!K170)</f>
        <v>JAIL4</v>
      </c>
      <c r="N170" t="str">
        <f t="shared" si="16"/>
        <v>108-95-2</v>
      </c>
      <c r="O170" t="str">
        <f t="shared" si="16"/>
        <v>Phenol</v>
      </c>
      <c r="P170" s="6" cm="1">
        <f t="array" ref="P170">INDEX(Tabl_B4_Tanks!$Q$7:$AA$33,X_EMIS!K170,X_EMIS!L170)</f>
        <v>7.2627194867604294E-6</v>
      </c>
      <c r="Q170" cm="1">
        <f t="array" ref="Q170">INDEX(Tabl_B4_Tanks!$F$7:$P$33,X_EMIS!J170,X_EMIS!L170)</f>
        <v>2.6508926126675566E-3</v>
      </c>
    </row>
    <row r="171" spans="1:17">
      <c r="A171">
        <f t="shared" si="10"/>
        <v>104</v>
      </c>
      <c r="B171" t="str">
        <f t="shared" si="17"/>
        <v>7440-22-4</v>
      </c>
      <c r="C171" t="s">
        <v>1083</v>
      </c>
      <c r="J171">
        <f t="shared" si="12"/>
        <v>4</v>
      </c>
      <c r="K171" cm="1">
        <f t="array" ref="K171">INDEX(H$19:H$45,J171)</f>
        <v>4</v>
      </c>
      <c r="L171">
        <f t="shared" si="14"/>
        <v>4</v>
      </c>
      <c r="M171" t="str" cm="1">
        <f t="array" ref="M171">INDEX(Tabl_B4_Tanks!B$7:B$33,X_EMIS!K171)</f>
        <v>JAIL4</v>
      </c>
      <c r="N171" t="str">
        <f t="shared" si="16"/>
        <v>1319-77-3</v>
      </c>
      <c r="O171" t="str">
        <f t="shared" si="16"/>
        <v>Cresols (mixture), including m-cresol, o-cresol, p-cresol</v>
      </c>
      <c r="P171" s="6" cm="1">
        <f t="array" ref="P171">INDEX(Tabl_B4_Tanks!$Q$7:$AA$33,X_EMIS!K171,X_EMIS!L171)</f>
        <v>2.7053109836070366E-6</v>
      </c>
      <c r="Q171" cm="1">
        <f t="array" ref="Q171">INDEX(Tabl_B4_Tanks!$F$7:$P$33,X_EMIS!J171,X_EMIS!L171)</f>
        <v>9.8743850901656825E-4</v>
      </c>
    </row>
    <row r="172" spans="1:17">
      <c r="A172">
        <f t="shared" si="10"/>
        <v>105</v>
      </c>
      <c r="B172" t="str">
        <f t="shared" si="17"/>
        <v>7440-28-0</v>
      </c>
      <c r="C172" t="s">
        <v>1119</v>
      </c>
      <c r="J172">
        <f t="shared" si="12"/>
        <v>4</v>
      </c>
      <c r="K172" cm="1">
        <f t="array" ref="K172">INDEX(H$19:H$45,J172)</f>
        <v>4</v>
      </c>
      <c r="L172">
        <f t="shared" si="14"/>
        <v>5</v>
      </c>
      <c r="M172" t="str" cm="1">
        <f t="array" ref="M172">INDEX(Tabl_B4_Tanks!B$7:B$33,X_EMIS!K172)</f>
        <v>JAIL4</v>
      </c>
      <c r="N172" t="str">
        <f t="shared" si="16"/>
        <v>71-43-2</v>
      </c>
      <c r="O172" t="str">
        <f t="shared" si="16"/>
        <v>Benzene</v>
      </c>
      <c r="P172" s="6" cm="1">
        <f t="array" ref="P172">INDEX(Tabl_B4_Tanks!$Q$7:$AA$33,X_EMIS!K172,X_EMIS!L172)</f>
        <v>4.8279396015140964E-5</v>
      </c>
      <c r="Q172" cm="1">
        <f t="array" ref="Q172">INDEX(Tabl_B4_Tanks!$F$7:$P$33,X_EMIS!J172,X_EMIS!L172)</f>
        <v>1.762197954552645E-2</v>
      </c>
    </row>
    <row r="173" spans="1:17">
      <c r="A173">
        <f t="shared" si="10"/>
        <v>106</v>
      </c>
      <c r="B173" t="str">
        <f t="shared" si="17"/>
        <v>108-88-3</v>
      </c>
      <c r="C173" t="s">
        <v>1129</v>
      </c>
      <c r="J173">
        <f t="shared" si="12"/>
        <v>4</v>
      </c>
      <c r="K173" cm="1">
        <f t="array" ref="K173">INDEX(H$19:H$45,J173)</f>
        <v>4</v>
      </c>
      <c r="L173">
        <f t="shared" si="14"/>
        <v>6</v>
      </c>
      <c r="M173" t="str" cm="1">
        <f t="array" ref="M173">INDEX(Tabl_B4_Tanks!B$7:B$33,X_EMIS!K173)</f>
        <v>JAIL4</v>
      </c>
      <c r="N173" t="str">
        <f t="shared" si="16"/>
        <v>100-41-4</v>
      </c>
      <c r="O173" t="str">
        <f t="shared" si="16"/>
        <v>Ethyl benzene</v>
      </c>
      <c r="P173" s="6" cm="1">
        <f t="array" ref="P173">INDEX(Tabl_B4_Tanks!$Q$7:$AA$33,X_EMIS!K173,X_EMIS!L173)</f>
        <v>1.2257139764188803E-4</v>
      </c>
      <c r="Q173" cm="1">
        <f t="array" ref="Q173">INDEX(Tabl_B4_Tanks!$F$7:$P$33,X_EMIS!J173,X_EMIS!L173)</f>
        <v>4.4738560139289132E-2</v>
      </c>
    </row>
    <row r="174" spans="1:17">
      <c r="A174">
        <f t="shared" si="10"/>
        <v>107</v>
      </c>
      <c r="B174" t="str">
        <f t="shared" si="17"/>
        <v>1330-20-7</v>
      </c>
      <c r="C174" t="s">
        <v>1223</v>
      </c>
      <c r="J174">
        <f t="shared" si="12"/>
        <v>4</v>
      </c>
      <c r="K174" cm="1">
        <f t="array" ref="K174">INDEX(H$19:H$45,J174)</f>
        <v>4</v>
      </c>
      <c r="L174">
        <f t="shared" si="14"/>
        <v>7</v>
      </c>
      <c r="M174" t="str" cm="1">
        <f t="array" ref="M174">INDEX(Tabl_B4_Tanks!B$7:B$33,X_EMIS!K174)</f>
        <v>JAIL4</v>
      </c>
      <c r="N174" t="str">
        <f t="shared" si="16"/>
        <v>98-82-8</v>
      </c>
      <c r="O174" t="str">
        <f t="shared" si="16"/>
        <v>Isopropylbenzene (Cumene)</v>
      </c>
      <c r="P174" s="6" cm="1">
        <f t="array" ref="P174">INDEX(Tabl_B4_Tanks!$Q$7:$AA$33,X_EMIS!K174,X_EMIS!L174)</f>
        <v>2.5388303076927573E-5</v>
      </c>
      <c r="Q174" cm="1">
        <f t="array" ref="Q174">INDEX(Tabl_B4_Tanks!$F$7:$P$33,X_EMIS!J174,X_EMIS!L174)</f>
        <v>9.2667306230785635E-3</v>
      </c>
    </row>
    <row r="175" spans="1:17">
      <c r="A175">
        <f t="shared" si="10"/>
        <v>108</v>
      </c>
      <c r="B175" t="str">
        <f t="shared" si="17"/>
        <v>7440-66-6</v>
      </c>
      <c r="C175" t="s">
        <v>1231</v>
      </c>
      <c r="J175">
        <f t="shared" si="12"/>
        <v>4</v>
      </c>
      <c r="K175" cm="1">
        <f t="array" ref="K175">INDEX(H$19:H$45,J175)</f>
        <v>4</v>
      </c>
      <c r="L175">
        <f t="shared" si="14"/>
        <v>8</v>
      </c>
      <c r="M175" t="str" cm="1">
        <f t="array" ref="M175">INDEX(Tabl_B4_Tanks!B$7:B$33,X_EMIS!K175)</f>
        <v>JAIL4</v>
      </c>
      <c r="N175" t="str">
        <f t="shared" si="16"/>
        <v>108-88-3</v>
      </c>
      <c r="O175" t="str">
        <f t="shared" si="16"/>
        <v>Toluene</v>
      </c>
      <c r="P175" s="6" cm="1">
        <f t="array" ref="P175">INDEX(Tabl_B4_Tanks!$Q$7:$AA$33,X_EMIS!K175,X_EMIS!L175)</f>
        <v>4.349307658260543E-4</v>
      </c>
      <c r="Q175" cm="1">
        <f t="array" ref="Q175">INDEX(Tabl_B4_Tanks!$F$7:$P$33,X_EMIS!J175,X_EMIS!L175)</f>
        <v>0.15874972952650981</v>
      </c>
    </row>
    <row r="176" spans="1:17">
      <c r="A176">
        <v>109</v>
      </c>
      <c r="B176" t="s">
        <v>1101</v>
      </c>
      <c r="C176" t="s">
        <v>1612</v>
      </c>
      <c r="J176">
        <f t="shared" si="12"/>
        <v>4</v>
      </c>
      <c r="K176" cm="1">
        <f t="array" ref="K176">INDEX(H$19:H$45,J176)</f>
        <v>4</v>
      </c>
      <c r="L176">
        <f t="shared" si="14"/>
        <v>9</v>
      </c>
      <c r="M176" t="str" cm="1">
        <f t="array" ref="M176">INDEX(Tabl_B4_Tanks!B$7:B$33,X_EMIS!K176)</f>
        <v>JAIL4</v>
      </c>
      <c r="N176" t="str">
        <f t="shared" si="16"/>
        <v>110-54-3</v>
      </c>
      <c r="O176" t="str">
        <f t="shared" si="16"/>
        <v>Hexane</v>
      </c>
      <c r="P176" s="6" cm="1">
        <f t="array" ref="P176">INDEX(Tabl_B4_Tanks!$Q$7:$AA$33,X_EMIS!K176,X_EMIS!L176)</f>
        <v>7.1794791488032894E-5</v>
      </c>
      <c r="Q176" cm="1">
        <f t="array" ref="Q176">INDEX(Tabl_B4_Tanks!$F$7:$P$33,X_EMIS!J176,X_EMIS!L176)</f>
        <v>2.6205098893132005E-2</v>
      </c>
    </row>
    <row r="177" spans="10:17">
      <c r="J177">
        <f t="shared" si="12"/>
        <v>4</v>
      </c>
      <c r="K177" cm="1">
        <f t="array" ref="K177">INDEX(H$19:H$45,J177)</f>
        <v>4</v>
      </c>
      <c r="L177">
        <f t="shared" si="14"/>
        <v>10</v>
      </c>
      <c r="M177" t="str" cm="1">
        <f t="array" ref="M177">INDEX(Tabl_B4_Tanks!B$7:B$33,X_EMIS!K177)</f>
        <v>JAIL4</v>
      </c>
      <c r="N177" t="str">
        <f t="shared" si="16"/>
        <v>1330-20-7</v>
      </c>
      <c r="O177" t="str">
        <f t="shared" si="16"/>
        <v>Xylene (mixture), including m-xylene, o-xylene, p-xylene</v>
      </c>
      <c r="P177" s="6" cm="1">
        <f t="array" ref="P177">INDEX(Tabl_B4_Tanks!$Q$7:$AA$33,X_EMIS!K177,X_EMIS!L177)</f>
        <v>7.2419094022711436E-4</v>
      </c>
      <c r="Q177" cm="1">
        <f t="array" ref="Q177">INDEX(Tabl_B4_Tanks!$F$7:$P$33,X_EMIS!J177,X_EMIS!L177)</f>
        <v>0.26432969318289673</v>
      </c>
    </row>
    <row r="178" spans="10:17">
      <c r="J178">
        <f t="shared" si="12"/>
        <v>4</v>
      </c>
      <c r="K178" cm="1">
        <f t="array" ref="K178">INDEX(H$19:H$45,J178)</f>
        <v>4</v>
      </c>
      <c r="L178">
        <f t="shared" si="14"/>
        <v>11</v>
      </c>
      <c r="M178" t="str" cm="1">
        <f t="array" ref="M178">INDEX(Tabl_B4_Tanks!B$7:B$33,X_EMIS!K178)</f>
        <v>JAIL4</v>
      </c>
      <c r="N178" t="str">
        <f t="shared" ref="N178:O193" si="18">N167</f>
        <v>7783-06-4</v>
      </c>
      <c r="O178" t="str">
        <f t="shared" si="18"/>
        <v>Hydrogen sulfide</v>
      </c>
      <c r="P178" s="6" cm="1">
        <f t="array" ref="P178">INDEX(Tabl_B4_Tanks!$Q$7:$AA$33,X_EMIS!K178,X_EMIS!L178)</f>
        <v>3.5377143631784326E-5</v>
      </c>
      <c r="Q178" cm="1">
        <f t="array" ref="Q178">INDEX(Tabl_B4_Tanks!$F$7:$P$33,X_EMIS!J178,X_EMIS!L178)</f>
        <v>1.2912657425601279E-2</v>
      </c>
    </row>
    <row r="179" spans="10:17">
      <c r="J179">
        <f t="shared" si="12"/>
        <v>5</v>
      </c>
      <c r="K179" cm="1">
        <f t="array" ref="K179">INDEX(H$19:H$45,J179)</f>
        <v>5</v>
      </c>
      <c r="L179">
        <f t="shared" si="14"/>
        <v>1</v>
      </c>
      <c r="M179" t="str" cm="1">
        <f t="array" ref="M179">INDEX(Tabl_B4_Tanks!B$7:B$33,X_EMIS!K179)</f>
        <v>JAIL7</v>
      </c>
      <c r="N179" t="str">
        <f t="shared" si="18"/>
        <v>91-57-6</v>
      </c>
      <c r="O179" t="str">
        <f t="shared" si="18"/>
        <v>2-Methyl naphthalene</v>
      </c>
      <c r="P179" s="6" cm="1">
        <f t="array" ref="P179">INDEX(Tabl_B4_Tanks!$Q$7:$AA$33,X_EMIS!K179,X_EMIS!L179)</f>
        <v>4.8923529514464091E-4</v>
      </c>
      <c r="Q179" cm="1">
        <f t="array" ref="Q179">INDEX(Tabl_B4_Tanks!$F$7:$P$33,X_EMIS!J179,X_EMIS!L179)</f>
        <v>0.17857088272779392</v>
      </c>
    </row>
    <row r="180" spans="10:17">
      <c r="J180">
        <f t="shared" si="12"/>
        <v>5</v>
      </c>
      <c r="K180" cm="1">
        <f t="array" ref="K180">INDEX(H$19:H$45,J180)</f>
        <v>5</v>
      </c>
      <c r="L180">
        <f t="shared" si="14"/>
        <v>2</v>
      </c>
      <c r="M180" t="str" cm="1">
        <f t="array" ref="M180">INDEX(Tabl_B4_Tanks!B$7:B$33,X_EMIS!K180)</f>
        <v>JAIL7</v>
      </c>
      <c r="N180" t="str">
        <f t="shared" si="18"/>
        <v>91-20-3</v>
      </c>
      <c r="O180" t="str">
        <f t="shared" si="18"/>
        <v>Naphthalene</v>
      </c>
      <c r="P180" s="6" cm="1">
        <f t="array" ref="P180">INDEX(Tabl_B4_Tanks!$Q$7:$AA$33,X_EMIS!K180,X_EMIS!L180)</f>
        <v>2.8396174473430206E-4</v>
      </c>
      <c r="Q180" cm="1">
        <f t="array" ref="Q180">INDEX(Tabl_B4_Tanks!$F$7:$P$33,X_EMIS!J180,X_EMIS!L180)</f>
        <v>0.10364603682802025</v>
      </c>
    </row>
    <row r="181" spans="10:17">
      <c r="J181">
        <f t="shared" si="12"/>
        <v>5</v>
      </c>
      <c r="K181" cm="1">
        <f t="array" ref="K181">INDEX(H$19:H$45,J181)</f>
        <v>5</v>
      </c>
      <c r="L181">
        <f t="shared" si="14"/>
        <v>3</v>
      </c>
      <c r="M181" t="str" cm="1">
        <f t="array" ref="M181">INDEX(Tabl_B4_Tanks!B$7:B$33,X_EMIS!K181)</f>
        <v>JAIL7</v>
      </c>
      <c r="N181" t="str">
        <f t="shared" si="18"/>
        <v>108-95-2</v>
      </c>
      <c r="O181" t="str">
        <f t="shared" si="18"/>
        <v>Phenol</v>
      </c>
      <c r="P181" s="6" cm="1">
        <f t="array" ref="P181">INDEX(Tabl_B4_Tanks!$Q$7:$AA$33,X_EMIS!K181,X_EMIS!L181)</f>
        <v>5.9700390911006877E-6</v>
      </c>
      <c r="Q181" cm="1">
        <f t="array" ref="Q181">INDEX(Tabl_B4_Tanks!$F$7:$P$33,X_EMIS!J181,X_EMIS!L181)</f>
        <v>2.1790642682517508E-3</v>
      </c>
    </row>
    <row r="182" spans="10:17">
      <c r="J182">
        <f t="shared" si="12"/>
        <v>5</v>
      </c>
      <c r="K182" cm="1">
        <f t="array" ref="K182">INDEX(H$19:H$45,J182)</f>
        <v>5</v>
      </c>
      <c r="L182">
        <f t="shared" si="14"/>
        <v>4</v>
      </c>
      <c r="M182" t="str" cm="1">
        <f t="array" ref="M182">INDEX(Tabl_B4_Tanks!B$7:B$33,X_EMIS!K182)</f>
        <v>JAIL7</v>
      </c>
      <c r="N182" t="str">
        <f t="shared" si="18"/>
        <v>1319-77-3</v>
      </c>
      <c r="O182" t="str">
        <f t="shared" si="18"/>
        <v>Cresols (mixture), including m-cresol, o-cresol, p-cresol</v>
      </c>
      <c r="P182" s="6" cm="1">
        <f t="array" ref="P182">INDEX(Tabl_B4_Tanks!$Q$7:$AA$33,X_EMIS!K182,X_EMIS!L182)</f>
        <v>2.223796796112004E-6</v>
      </c>
      <c r="Q182" cm="1">
        <f t="array" ref="Q182">INDEX(Tabl_B4_Tanks!$F$7:$P$33,X_EMIS!J182,X_EMIS!L182)</f>
        <v>8.1168583058088134E-4</v>
      </c>
    </row>
    <row r="183" spans="10:17">
      <c r="J183">
        <f t="shared" si="12"/>
        <v>5</v>
      </c>
      <c r="K183" cm="1">
        <f t="array" ref="K183">INDEX(H$19:H$45,J183)</f>
        <v>5</v>
      </c>
      <c r="L183">
        <f t="shared" si="14"/>
        <v>5</v>
      </c>
      <c r="M183" t="str" cm="1">
        <f t="array" ref="M183">INDEX(Tabl_B4_Tanks!B$7:B$33,X_EMIS!K183)</f>
        <v>JAIL7</v>
      </c>
      <c r="N183" t="str">
        <f t="shared" si="18"/>
        <v>71-43-2</v>
      </c>
      <c r="O183" t="str">
        <f t="shared" si="18"/>
        <v>Benzene</v>
      </c>
      <c r="P183" s="6" cm="1">
        <f t="array" ref="P183">INDEX(Tabl_B4_Tanks!$Q$7:$AA$33,X_EMIS!K183,X_EMIS!L183)</f>
        <v>3.9686219745998842E-5</v>
      </c>
      <c r="Q183" cm="1">
        <f t="array" ref="Q183">INDEX(Tabl_B4_Tanks!$F$7:$P$33,X_EMIS!J183,X_EMIS!L183)</f>
        <v>1.4485470207289576E-2</v>
      </c>
    </row>
    <row r="184" spans="10:17">
      <c r="J184">
        <f t="shared" si="12"/>
        <v>5</v>
      </c>
      <c r="K184" cm="1">
        <f t="array" ref="K184">INDEX(H$19:H$45,J184)</f>
        <v>5</v>
      </c>
      <c r="L184">
        <f t="shared" si="14"/>
        <v>6</v>
      </c>
      <c r="M184" t="str" cm="1">
        <f t="array" ref="M184">INDEX(Tabl_B4_Tanks!B$7:B$33,X_EMIS!K184)</f>
        <v>JAIL7</v>
      </c>
      <c r="N184" t="str">
        <f t="shared" si="18"/>
        <v>100-41-4</v>
      </c>
      <c r="O184" t="str">
        <f t="shared" si="18"/>
        <v>Ethyl benzene</v>
      </c>
      <c r="P184" s="6" cm="1">
        <f t="array" ref="P184">INDEX(Tabl_B4_Tanks!$Q$7:$AA$33,X_EMIS!K184,X_EMIS!L184)</f>
        <v>1.0075510099307464E-4</v>
      </c>
      <c r="Q184" cm="1">
        <f t="array" ref="Q184">INDEX(Tabl_B4_Tanks!$F$7:$P$33,X_EMIS!J184,X_EMIS!L184)</f>
        <v>3.6775611862472246E-2</v>
      </c>
    </row>
    <row r="185" spans="10:17">
      <c r="J185">
        <f t="shared" si="12"/>
        <v>5</v>
      </c>
      <c r="K185" cm="1">
        <f t="array" ref="K185">INDEX(H$19:H$45,J185)</f>
        <v>5</v>
      </c>
      <c r="L185">
        <f t="shared" si="14"/>
        <v>7</v>
      </c>
      <c r="M185" t="str" cm="1">
        <f t="array" ref="M185">INDEX(Tabl_B4_Tanks!B$7:B$33,X_EMIS!K185)</f>
        <v>JAIL7</v>
      </c>
      <c r="N185" t="str">
        <f t="shared" si="18"/>
        <v>98-82-8</v>
      </c>
      <c r="O185" t="str">
        <f t="shared" si="18"/>
        <v>Isopropylbenzene (Cumene)</v>
      </c>
      <c r="P185" s="6" cm="1">
        <f t="array" ref="P185">INDEX(Tabl_B4_Tanks!$Q$7:$AA$33,X_EMIS!K185,X_EMIS!L185)</f>
        <v>2.0869477625051115E-5</v>
      </c>
      <c r="Q185" cm="1">
        <f t="array" ref="Q185">INDEX(Tabl_B4_Tanks!$F$7:$P$33,X_EMIS!J185,X_EMIS!L185)</f>
        <v>7.6173593331436565E-3</v>
      </c>
    </row>
    <row r="186" spans="10:17">
      <c r="J186">
        <f t="shared" si="12"/>
        <v>5</v>
      </c>
      <c r="K186" cm="1">
        <f t="array" ref="K186">INDEX(H$19:H$45,J186)</f>
        <v>5</v>
      </c>
      <c r="L186">
        <f t="shared" si="14"/>
        <v>8</v>
      </c>
      <c r="M186" t="str" cm="1">
        <f t="array" ref="M186">INDEX(Tabl_B4_Tanks!B$7:B$33,X_EMIS!K186)</f>
        <v>JAIL7</v>
      </c>
      <c r="N186" t="str">
        <f t="shared" si="18"/>
        <v>108-88-3</v>
      </c>
      <c r="O186" t="str">
        <f t="shared" si="18"/>
        <v>Toluene</v>
      </c>
      <c r="P186" s="6" cm="1">
        <f t="array" ref="P186">INDEX(Tabl_B4_Tanks!$Q$7:$AA$33,X_EMIS!K186,X_EMIS!L186)</f>
        <v>3.575181002980068E-4</v>
      </c>
      <c r="Q186" cm="1">
        <f t="array" ref="Q186">INDEX(Tabl_B4_Tanks!$F$7:$P$33,X_EMIS!J186,X_EMIS!L186)</f>
        <v>0.13049410660877248</v>
      </c>
    </row>
    <row r="187" spans="10:17">
      <c r="J187">
        <f t="shared" si="12"/>
        <v>5</v>
      </c>
      <c r="K187" cm="1">
        <f t="array" ref="K187">INDEX(H$19:H$45,J187)</f>
        <v>5</v>
      </c>
      <c r="L187">
        <f t="shared" si="14"/>
        <v>9</v>
      </c>
      <c r="M187" t="str" cm="1">
        <f t="array" ref="M187">INDEX(Tabl_B4_Tanks!B$7:B$33,X_EMIS!K187)</f>
        <v>JAIL7</v>
      </c>
      <c r="N187" t="str">
        <f t="shared" si="18"/>
        <v>110-54-3</v>
      </c>
      <c r="O187" t="str">
        <f t="shared" si="18"/>
        <v>Hexane</v>
      </c>
      <c r="P187" s="6" cm="1">
        <f t="array" ref="P187">INDEX(Tabl_B4_Tanks!$Q$7:$AA$33,X_EMIS!K187,X_EMIS!L187)</f>
        <v>5.9016145742972411E-5</v>
      </c>
      <c r="Q187" cm="1">
        <f t="array" ref="Q187">INDEX(Tabl_B4_Tanks!$F$7:$P$33,X_EMIS!J187,X_EMIS!L187)</f>
        <v>2.1540893196184928E-2</v>
      </c>
    </row>
    <row r="188" spans="10:17">
      <c r="J188">
        <f t="shared" si="12"/>
        <v>5</v>
      </c>
      <c r="K188" cm="1">
        <f t="array" ref="K188">INDEX(H$19:H$45,J188)</f>
        <v>5</v>
      </c>
      <c r="L188">
        <f t="shared" si="14"/>
        <v>10</v>
      </c>
      <c r="M188" t="str" cm="1">
        <f t="array" ref="M188">INDEX(Tabl_B4_Tanks!B$7:B$33,X_EMIS!K188)</f>
        <v>JAIL7</v>
      </c>
      <c r="N188" t="str">
        <f t="shared" si="18"/>
        <v>1330-20-7</v>
      </c>
      <c r="O188" t="str">
        <f t="shared" si="18"/>
        <v>Xylene (mixture), including m-xylene, o-xylene, p-xylene</v>
      </c>
      <c r="P188" s="6" cm="1">
        <f t="array" ref="P188">INDEX(Tabl_B4_Tanks!$Q$7:$AA$33,X_EMIS!K188,X_EMIS!L188)</f>
        <v>5.9529329618998258E-4</v>
      </c>
      <c r="Q188" cm="1">
        <f t="array" ref="Q188">INDEX(Tabl_B4_Tanks!$F$7:$P$33,X_EMIS!J188,X_EMIS!L188)</f>
        <v>0.21728205310934365</v>
      </c>
    </row>
    <row r="189" spans="10:17">
      <c r="J189">
        <f t="shared" si="12"/>
        <v>5</v>
      </c>
      <c r="K189" cm="1">
        <f t="array" ref="K189">INDEX(H$19:H$45,J189)</f>
        <v>5</v>
      </c>
      <c r="L189">
        <f t="shared" si="14"/>
        <v>11</v>
      </c>
      <c r="M189" t="str" cm="1">
        <f t="array" ref="M189">INDEX(Tabl_B4_Tanks!B$7:B$33,X_EMIS!K189)</f>
        <v>JAIL7</v>
      </c>
      <c r="N189" t="str">
        <f t="shared" si="18"/>
        <v>7783-06-4</v>
      </c>
      <c r="O189" t="str">
        <f t="shared" si="18"/>
        <v>Hydrogen sulfide</v>
      </c>
      <c r="P189" s="6" cm="1">
        <f t="array" ref="P189">INDEX(Tabl_B4_Tanks!$Q$7:$AA$33,X_EMIS!K189,X_EMIS!L189)</f>
        <v>2.908041964146467E-5</v>
      </c>
      <c r="Q189" cm="1">
        <f t="array" ref="Q189">INDEX(Tabl_B4_Tanks!$F$7:$P$33,X_EMIS!J189,X_EMIS!L189)</f>
        <v>1.0614353169134604E-2</v>
      </c>
    </row>
    <row r="190" spans="10:17">
      <c r="J190">
        <f t="shared" si="12"/>
        <v>6</v>
      </c>
      <c r="K190" cm="1">
        <f t="array" ref="K190">INDEX(H$19:H$45,J190)</f>
        <v>6</v>
      </c>
      <c r="L190">
        <f t="shared" si="14"/>
        <v>1</v>
      </c>
      <c r="M190" t="str" cm="1">
        <f t="array" ref="M190">INDEX(Tabl_B4_Tanks!B$7:B$33,X_EMIS!K190)</f>
        <v>JAIL8</v>
      </c>
      <c r="N190" t="str">
        <f t="shared" si="18"/>
        <v>91-57-6</v>
      </c>
      <c r="O190" t="str">
        <f t="shared" si="18"/>
        <v>2-Methyl naphthalene</v>
      </c>
      <c r="P190" s="6" cm="1">
        <f t="array" ref="P190">INDEX(Tabl_B4_Tanks!$Q$7:$AA$33,X_EMIS!K190,X_EMIS!L190)</f>
        <v>4.8923529514464091E-4</v>
      </c>
      <c r="Q190" cm="1">
        <f t="array" ref="Q190">INDEX(Tabl_B4_Tanks!$F$7:$P$33,X_EMIS!J190,X_EMIS!L190)</f>
        <v>0.17857088272779392</v>
      </c>
    </row>
    <row r="191" spans="10:17">
      <c r="J191">
        <f t="shared" si="12"/>
        <v>6</v>
      </c>
      <c r="K191" cm="1">
        <f t="array" ref="K191">INDEX(H$19:H$45,J191)</f>
        <v>6</v>
      </c>
      <c r="L191">
        <f t="shared" si="14"/>
        <v>2</v>
      </c>
      <c r="M191" t="str" cm="1">
        <f t="array" ref="M191">INDEX(Tabl_B4_Tanks!B$7:B$33,X_EMIS!K191)</f>
        <v>JAIL8</v>
      </c>
      <c r="N191" t="str">
        <f t="shared" si="18"/>
        <v>91-20-3</v>
      </c>
      <c r="O191" t="str">
        <f t="shared" si="18"/>
        <v>Naphthalene</v>
      </c>
      <c r="P191" s="6" cm="1">
        <f t="array" ref="P191">INDEX(Tabl_B4_Tanks!$Q$7:$AA$33,X_EMIS!K191,X_EMIS!L191)</f>
        <v>2.8396174473430206E-4</v>
      </c>
      <c r="Q191" cm="1">
        <f t="array" ref="Q191">INDEX(Tabl_B4_Tanks!$F$7:$P$33,X_EMIS!J191,X_EMIS!L191)</f>
        <v>0.10364603682802025</v>
      </c>
    </row>
    <row r="192" spans="10:17">
      <c r="J192">
        <f t="shared" si="12"/>
        <v>6</v>
      </c>
      <c r="K192" cm="1">
        <f t="array" ref="K192">INDEX(H$19:H$45,J192)</f>
        <v>6</v>
      </c>
      <c r="L192">
        <f t="shared" si="14"/>
        <v>3</v>
      </c>
      <c r="M192" t="str" cm="1">
        <f t="array" ref="M192">INDEX(Tabl_B4_Tanks!B$7:B$33,X_EMIS!K192)</f>
        <v>JAIL8</v>
      </c>
      <c r="N192" t="str">
        <f t="shared" si="18"/>
        <v>108-95-2</v>
      </c>
      <c r="O192" t="str">
        <f t="shared" si="18"/>
        <v>Phenol</v>
      </c>
      <c r="P192" s="6" cm="1">
        <f t="array" ref="P192">INDEX(Tabl_B4_Tanks!$Q$7:$AA$33,X_EMIS!K192,X_EMIS!L192)</f>
        <v>5.9700390911006877E-6</v>
      </c>
      <c r="Q192" cm="1">
        <f t="array" ref="Q192">INDEX(Tabl_B4_Tanks!$F$7:$P$33,X_EMIS!J192,X_EMIS!L192)</f>
        <v>2.1790642682517508E-3</v>
      </c>
    </row>
    <row r="193" spans="10:17">
      <c r="J193">
        <f t="shared" si="12"/>
        <v>6</v>
      </c>
      <c r="K193" cm="1">
        <f t="array" ref="K193">INDEX(H$19:H$45,J193)</f>
        <v>6</v>
      </c>
      <c r="L193">
        <f t="shared" si="14"/>
        <v>4</v>
      </c>
      <c r="M193" t="str" cm="1">
        <f t="array" ref="M193">INDEX(Tabl_B4_Tanks!B$7:B$33,X_EMIS!K193)</f>
        <v>JAIL8</v>
      </c>
      <c r="N193" t="str">
        <f t="shared" si="18"/>
        <v>1319-77-3</v>
      </c>
      <c r="O193" t="str">
        <f t="shared" si="18"/>
        <v>Cresols (mixture), including m-cresol, o-cresol, p-cresol</v>
      </c>
      <c r="P193" s="6" cm="1">
        <f t="array" ref="P193">INDEX(Tabl_B4_Tanks!$Q$7:$AA$33,X_EMIS!K193,X_EMIS!L193)</f>
        <v>2.223796796112004E-6</v>
      </c>
      <c r="Q193" cm="1">
        <f t="array" ref="Q193">INDEX(Tabl_B4_Tanks!$F$7:$P$33,X_EMIS!J193,X_EMIS!L193)</f>
        <v>8.1168583058088134E-4</v>
      </c>
    </row>
    <row r="194" spans="10:17">
      <c r="J194">
        <f t="shared" si="12"/>
        <v>6</v>
      </c>
      <c r="K194" cm="1">
        <f t="array" ref="K194">INDEX(H$19:H$45,J194)</f>
        <v>6</v>
      </c>
      <c r="L194">
        <f t="shared" si="14"/>
        <v>5</v>
      </c>
      <c r="M194" t="str" cm="1">
        <f t="array" ref="M194">INDEX(Tabl_B4_Tanks!B$7:B$33,X_EMIS!K194)</f>
        <v>JAIL8</v>
      </c>
      <c r="N194" t="str">
        <f t="shared" ref="N194:O209" si="19">N183</f>
        <v>71-43-2</v>
      </c>
      <c r="O194" t="str">
        <f t="shared" si="19"/>
        <v>Benzene</v>
      </c>
      <c r="P194" s="6" cm="1">
        <f t="array" ref="P194">INDEX(Tabl_B4_Tanks!$Q$7:$AA$33,X_EMIS!K194,X_EMIS!L194)</f>
        <v>3.9686219745998842E-5</v>
      </c>
      <c r="Q194" cm="1">
        <f t="array" ref="Q194">INDEX(Tabl_B4_Tanks!$F$7:$P$33,X_EMIS!J194,X_EMIS!L194)</f>
        <v>1.4485470207289576E-2</v>
      </c>
    </row>
    <row r="195" spans="10:17">
      <c r="J195">
        <f t="shared" si="12"/>
        <v>6</v>
      </c>
      <c r="K195" cm="1">
        <f t="array" ref="K195">INDEX(H$19:H$45,J195)</f>
        <v>6</v>
      </c>
      <c r="L195">
        <f t="shared" si="14"/>
        <v>6</v>
      </c>
      <c r="M195" t="str" cm="1">
        <f t="array" ref="M195">INDEX(Tabl_B4_Tanks!B$7:B$33,X_EMIS!K195)</f>
        <v>JAIL8</v>
      </c>
      <c r="N195" t="str">
        <f t="shared" si="19"/>
        <v>100-41-4</v>
      </c>
      <c r="O195" t="str">
        <f t="shared" si="19"/>
        <v>Ethyl benzene</v>
      </c>
      <c r="P195" s="6" cm="1">
        <f t="array" ref="P195">INDEX(Tabl_B4_Tanks!$Q$7:$AA$33,X_EMIS!K195,X_EMIS!L195)</f>
        <v>1.0075510099307464E-4</v>
      </c>
      <c r="Q195" cm="1">
        <f t="array" ref="Q195">INDEX(Tabl_B4_Tanks!$F$7:$P$33,X_EMIS!J195,X_EMIS!L195)</f>
        <v>3.6775611862472246E-2</v>
      </c>
    </row>
    <row r="196" spans="10:17">
      <c r="J196">
        <f t="shared" si="12"/>
        <v>6</v>
      </c>
      <c r="K196" cm="1">
        <f t="array" ref="K196">INDEX(H$19:H$45,J196)</f>
        <v>6</v>
      </c>
      <c r="L196">
        <f t="shared" si="14"/>
        <v>7</v>
      </c>
      <c r="M196" t="str" cm="1">
        <f t="array" ref="M196">INDEX(Tabl_B4_Tanks!B$7:B$33,X_EMIS!K196)</f>
        <v>JAIL8</v>
      </c>
      <c r="N196" t="str">
        <f t="shared" si="19"/>
        <v>98-82-8</v>
      </c>
      <c r="O196" t="str">
        <f t="shared" si="19"/>
        <v>Isopropylbenzene (Cumene)</v>
      </c>
      <c r="P196" s="6" cm="1">
        <f t="array" ref="P196">INDEX(Tabl_B4_Tanks!$Q$7:$AA$33,X_EMIS!K196,X_EMIS!L196)</f>
        <v>2.0869477625051115E-5</v>
      </c>
      <c r="Q196" cm="1">
        <f t="array" ref="Q196">INDEX(Tabl_B4_Tanks!$F$7:$P$33,X_EMIS!J196,X_EMIS!L196)</f>
        <v>7.6173593331436565E-3</v>
      </c>
    </row>
    <row r="197" spans="10:17">
      <c r="J197">
        <f t="shared" si="12"/>
        <v>6</v>
      </c>
      <c r="K197" cm="1">
        <f t="array" ref="K197">INDEX(H$19:H$45,J197)</f>
        <v>6</v>
      </c>
      <c r="L197">
        <f t="shared" si="14"/>
        <v>8</v>
      </c>
      <c r="M197" t="str" cm="1">
        <f t="array" ref="M197">INDEX(Tabl_B4_Tanks!B$7:B$33,X_EMIS!K197)</f>
        <v>JAIL8</v>
      </c>
      <c r="N197" t="str">
        <f t="shared" si="19"/>
        <v>108-88-3</v>
      </c>
      <c r="O197" t="str">
        <f t="shared" si="19"/>
        <v>Toluene</v>
      </c>
      <c r="P197" s="6" cm="1">
        <f t="array" ref="P197">INDEX(Tabl_B4_Tanks!$Q$7:$AA$33,X_EMIS!K197,X_EMIS!L197)</f>
        <v>3.575181002980068E-4</v>
      </c>
      <c r="Q197" cm="1">
        <f t="array" ref="Q197">INDEX(Tabl_B4_Tanks!$F$7:$P$33,X_EMIS!J197,X_EMIS!L197)</f>
        <v>0.13049410660877248</v>
      </c>
    </row>
    <row r="198" spans="10:17">
      <c r="J198">
        <f t="shared" si="12"/>
        <v>6</v>
      </c>
      <c r="K198" cm="1">
        <f t="array" ref="K198">INDEX(H$19:H$45,J198)</f>
        <v>6</v>
      </c>
      <c r="L198">
        <f t="shared" si="14"/>
        <v>9</v>
      </c>
      <c r="M198" t="str" cm="1">
        <f t="array" ref="M198">INDEX(Tabl_B4_Tanks!B$7:B$33,X_EMIS!K198)</f>
        <v>JAIL8</v>
      </c>
      <c r="N198" t="str">
        <f t="shared" si="19"/>
        <v>110-54-3</v>
      </c>
      <c r="O198" t="str">
        <f t="shared" si="19"/>
        <v>Hexane</v>
      </c>
      <c r="P198" s="6" cm="1">
        <f t="array" ref="P198">INDEX(Tabl_B4_Tanks!$Q$7:$AA$33,X_EMIS!K198,X_EMIS!L198)</f>
        <v>5.9016145742972411E-5</v>
      </c>
      <c r="Q198" cm="1">
        <f t="array" ref="Q198">INDEX(Tabl_B4_Tanks!$F$7:$P$33,X_EMIS!J198,X_EMIS!L198)</f>
        <v>2.1540893196184928E-2</v>
      </c>
    </row>
    <row r="199" spans="10:17">
      <c r="J199">
        <f t="shared" si="12"/>
        <v>6</v>
      </c>
      <c r="K199" cm="1">
        <f t="array" ref="K199">INDEX(H$19:H$45,J199)</f>
        <v>6</v>
      </c>
      <c r="L199">
        <f t="shared" si="14"/>
        <v>10</v>
      </c>
      <c r="M199" t="str" cm="1">
        <f t="array" ref="M199">INDEX(Tabl_B4_Tanks!B$7:B$33,X_EMIS!K199)</f>
        <v>JAIL8</v>
      </c>
      <c r="N199" t="str">
        <f t="shared" si="19"/>
        <v>1330-20-7</v>
      </c>
      <c r="O199" t="str">
        <f t="shared" si="19"/>
        <v>Xylene (mixture), including m-xylene, o-xylene, p-xylene</v>
      </c>
      <c r="P199" s="6" cm="1">
        <f t="array" ref="P199">INDEX(Tabl_B4_Tanks!$Q$7:$AA$33,X_EMIS!K199,X_EMIS!L199)</f>
        <v>5.9529329618998258E-4</v>
      </c>
      <c r="Q199" cm="1">
        <f t="array" ref="Q199">INDEX(Tabl_B4_Tanks!$F$7:$P$33,X_EMIS!J199,X_EMIS!L199)</f>
        <v>0.21728205310934365</v>
      </c>
    </row>
    <row r="200" spans="10:17">
      <c r="J200">
        <f t="shared" ref="J200:J263" si="20">IF(L200=1,J199+1,J199)</f>
        <v>6</v>
      </c>
      <c r="K200" cm="1">
        <f t="array" ref="K200">INDEX(H$19:H$45,J200)</f>
        <v>6</v>
      </c>
      <c r="L200">
        <f t="shared" si="14"/>
        <v>11</v>
      </c>
      <c r="M200" t="str" cm="1">
        <f t="array" ref="M200">INDEX(Tabl_B4_Tanks!B$7:B$33,X_EMIS!K200)</f>
        <v>JAIL8</v>
      </c>
      <c r="N200" t="str">
        <f t="shared" si="19"/>
        <v>7783-06-4</v>
      </c>
      <c r="O200" t="str">
        <f t="shared" si="19"/>
        <v>Hydrogen sulfide</v>
      </c>
      <c r="P200" s="6" cm="1">
        <f t="array" ref="P200">INDEX(Tabl_B4_Tanks!$Q$7:$AA$33,X_EMIS!K200,X_EMIS!L200)</f>
        <v>2.908041964146467E-5</v>
      </c>
      <c r="Q200" cm="1">
        <f t="array" ref="Q200">INDEX(Tabl_B4_Tanks!$F$7:$P$33,X_EMIS!J200,X_EMIS!L200)</f>
        <v>1.0614353169134604E-2</v>
      </c>
    </row>
    <row r="201" spans="10:17">
      <c r="J201">
        <f t="shared" si="20"/>
        <v>7</v>
      </c>
      <c r="K201" cm="1">
        <f t="array" ref="K201">INDEX(H$19:H$45,J201)</f>
        <v>7</v>
      </c>
      <c r="L201">
        <f t="shared" si="14"/>
        <v>1</v>
      </c>
      <c r="M201" t="str" cm="1">
        <f t="array" ref="M201">INDEX(Tabl_B4_Tanks!B$7:B$33,X_EMIS!K201)</f>
        <v>JAIL9</v>
      </c>
      <c r="N201" t="str">
        <f t="shared" si="19"/>
        <v>91-57-6</v>
      </c>
      <c r="O201" t="str">
        <f t="shared" si="19"/>
        <v>2-Methyl naphthalene</v>
      </c>
      <c r="P201" s="6" cm="1">
        <f t="array" ref="P201">INDEX(Tabl_B4_Tanks!$Q$7:$AA$33,X_EMIS!K201,X_EMIS!L201)</f>
        <v>4.8923529514464091E-4</v>
      </c>
      <c r="Q201" cm="1">
        <f t="array" ref="Q201">INDEX(Tabl_B4_Tanks!$F$7:$P$33,X_EMIS!J201,X_EMIS!L201)</f>
        <v>0.17857088272779392</v>
      </c>
    </row>
    <row r="202" spans="10:17">
      <c r="J202">
        <f t="shared" si="20"/>
        <v>7</v>
      </c>
      <c r="K202" cm="1">
        <f t="array" ref="K202">INDEX(H$19:H$45,J202)</f>
        <v>7</v>
      </c>
      <c r="L202">
        <f t="shared" si="14"/>
        <v>2</v>
      </c>
      <c r="M202" t="str" cm="1">
        <f t="array" ref="M202">INDEX(Tabl_B4_Tanks!B$7:B$33,X_EMIS!K202)</f>
        <v>JAIL9</v>
      </c>
      <c r="N202" t="str">
        <f t="shared" si="19"/>
        <v>91-20-3</v>
      </c>
      <c r="O202" t="str">
        <f t="shared" si="19"/>
        <v>Naphthalene</v>
      </c>
      <c r="P202" s="6" cm="1">
        <f t="array" ref="P202">INDEX(Tabl_B4_Tanks!$Q$7:$AA$33,X_EMIS!K202,X_EMIS!L202)</f>
        <v>2.8396174473430206E-4</v>
      </c>
      <c r="Q202" cm="1">
        <f t="array" ref="Q202">INDEX(Tabl_B4_Tanks!$F$7:$P$33,X_EMIS!J202,X_EMIS!L202)</f>
        <v>0.10364603682802025</v>
      </c>
    </row>
    <row r="203" spans="10:17">
      <c r="J203">
        <f t="shared" si="20"/>
        <v>7</v>
      </c>
      <c r="K203" cm="1">
        <f t="array" ref="K203">INDEX(H$19:H$45,J203)</f>
        <v>7</v>
      </c>
      <c r="L203">
        <f t="shared" si="14"/>
        <v>3</v>
      </c>
      <c r="M203" t="str" cm="1">
        <f t="array" ref="M203">INDEX(Tabl_B4_Tanks!B$7:B$33,X_EMIS!K203)</f>
        <v>JAIL9</v>
      </c>
      <c r="N203" t="str">
        <f t="shared" si="19"/>
        <v>108-95-2</v>
      </c>
      <c r="O203" t="str">
        <f t="shared" si="19"/>
        <v>Phenol</v>
      </c>
      <c r="P203" s="6" cm="1">
        <f t="array" ref="P203">INDEX(Tabl_B4_Tanks!$Q$7:$AA$33,X_EMIS!K203,X_EMIS!L203)</f>
        <v>5.9700390911006877E-6</v>
      </c>
      <c r="Q203" cm="1">
        <f t="array" ref="Q203">INDEX(Tabl_B4_Tanks!$F$7:$P$33,X_EMIS!J203,X_EMIS!L203)</f>
        <v>2.1790642682517508E-3</v>
      </c>
    </row>
    <row r="204" spans="10:17">
      <c r="J204">
        <f t="shared" si="20"/>
        <v>7</v>
      </c>
      <c r="K204" cm="1">
        <f t="array" ref="K204">INDEX(H$19:H$45,J204)</f>
        <v>7</v>
      </c>
      <c r="L204">
        <f t="shared" si="14"/>
        <v>4</v>
      </c>
      <c r="M204" t="str" cm="1">
        <f t="array" ref="M204">INDEX(Tabl_B4_Tanks!B$7:B$33,X_EMIS!K204)</f>
        <v>JAIL9</v>
      </c>
      <c r="N204" t="str">
        <f t="shared" si="19"/>
        <v>1319-77-3</v>
      </c>
      <c r="O204" t="str">
        <f t="shared" si="19"/>
        <v>Cresols (mixture), including m-cresol, o-cresol, p-cresol</v>
      </c>
      <c r="P204" s="6" cm="1">
        <f t="array" ref="P204">INDEX(Tabl_B4_Tanks!$Q$7:$AA$33,X_EMIS!K204,X_EMIS!L204)</f>
        <v>2.223796796112004E-6</v>
      </c>
      <c r="Q204" cm="1">
        <f t="array" ref="Q204">INDEX(Tabl_B4_Tanks!$F$7:$P$33,X_EMIS!J204,X_EMIS!L204)</f>
        <v>8.1168583058088134E-4</v>
      </c>
    </row>
    <row r="205" spans="10:17">
      <c r="J205">
        <f t="shared" si="20"/>
        <v>7</v>
      </c>
      <c r="K205" cm="1">
        <f t="array" ref="K205">INDEX(H$19:H$45,J205)</f>
        <v>7</v>
      </c>
      <c r="L205">
        <f t="shared" si="14"/>
        <v>5</v>
      </c>
      <c r="M205" t="str" cm="1">
        <f t="array" ref="M205">INDEX(Tabl_B4_Tanks!B$7:B$33,X_EMIS!K205)</f>
        <v>JAIL9</v>
      </c>
      <c r="N205" t="str">
        <f t="shared" si="19"/>
        <v>71-43-2</v>
      </c>
      <c r="O205" t="str">
        <f t="shared" si="19"/>
        <v>Benzene</v>
      </c>
      <c r="P205" s="6" cm="1">
        <f t="array" ref="P205">INDEX(Tabl_B4_Tanks!$Q$7:$AA$33,X_EMIS!K205,X_EMIS!L205)</f>
        <v>3.9686219745998842E-5</v>
      </c>
      <c r="Q205" cm="1">
        <f t="array" ref="Q205">INDEX(Tabl_B4_Tanks!$F$7:$P$33,X_EMIS!J205,X_EMIS!L205)</f>
        <v>1.4485470207289576E-2</v>
      </c>
    </row>
    <row r="206" spans="10:17">
      <c r="J206">
        <f t="shared" si="20"/>
        <v>7</v>
      </c>
      <c r="K206" cm="1">
        <f t="array" ref="K206">INDEX(H$19:H$45,J206)</f>
        <v>7</v>
      </c>
      <c r="L206">
        <f t="shared" si="14"/>
        <v>6</v>
      </c>
      <c r="M206" t="str" cm="1">
        <f t="array" ref="M206">INDEX(Tabl_B4_Tanks!B$7:B$33,X_EMIS!K206)</f>
        <v>JAIL9</v>
      </c>
      <c r="N206" t="str">
        <f t="shared" si="19"/>
        <v>100-41-4</v>
      </c>
      <c r="O206" t="str">
        <f t="shared" si="19"/>
        <v>Ethyl benzene</v>
      </c>
      <c r="P206" s="6" cm="1">
        <f t="array" ref="P206">INDEX(Tabl_B4_Tanks!$Q$7:$AA$33,X_EMIS!K206,X_EMIS!L206)</f>
        <v>1.0075510099307464E-4</v>
      </c>
      <c r="Q206" cm="1">
        <f t="array" ref="Q206">INDEX(Tabl_B4_Tanks!$F$7:$P$33,X_EMIS!J206,X_EMIS!L206)</f>
        <v>3.6775611862472246E-2</v>
      </c>
    </row>
    <row r="207" spans="10:17">
      <c r="J207">
        <f t="shared" si="20"/>
        <v>7</v>
      </c>
      <c r="K207" cm="1">
        <f t="array" ref="K207">INDEX(H$19:H$45,J207)</f>
        <v>7</v>
      </c>
      <c r="L207">
        <f t="shared" si="14"/>
        <v>7</v>
      </c>
      <c r="M207" t="str" cm="1">
        <f t="array" ref="M207">INDEX(Tabl_B4_Tanks!B$7:B$33,X_EMIS!K207)</f>
        <v>JAIL9</v>
      </c>
      <c r="N207" t="str">
        <f t="shared" si="19"/>
        <v>98-82-8</v>
      </c>
      <c r="O207" t="str">
        <f t="shared" si="19"/>
        <v>Isopropylbenzene (Cumene)</v>
      </c>
      <c r="P207" s="6" cm="1">
        <f t="array" ref="P207">INDEX(Tabl_B4_Tanks!$Q$7:$AA$33,X_EMIS!K207,X_EMIS!L207)</f>
        <v>2.0869477625051115E-5</v>
      </c>
      <c r="Q207" cm="1">
        <f t="array" ref="Q207">INDEX(Tabl_B4_Tanks!$F$7:$P$33,X_EMIS!J207,X_EMIS!L207)</f>
        <v>7.6173593331436565E-3</v>
      </c>
    </row>
    <row r="208" spans="10:17">
      <c r="J208">
        <f t="shared" si="20"/>
        <v>7</v>
      </c>
      <c r="K208" cm="1">
        <f t="array" ref="K208">INDEX(H$19:H$45,J208)</f>
        <v>7</v>
      </c>
      <c r="L208">
        <f t="shared" si="14"/>
        <v>8</v>
      </c>
      <c r="M208" t="str" cm="1">
        <f t="array" ref="M208">INDEX(Tabl_B4_Tanks!B$7:B$33,X_EMIS!K208)</f>
        <v>JAIL9</v>
      </c>
      <c r="N208" t="str">
        <f t="shared" si="19"/>
        <v>108-88-3</v>
      </c>
      <c r="O208" t="str">
        <f t="shared" si="19"/>
        <v>Toluene</v>
      </c>
      <c r="P208" s="6" cm="1">
        <f t="array" ref="P208">INDEX(Tabl_B4_Tanks!$Q$7:$AA$33,X_EMIS!K208,X_EMIS!L208)</f>
        <v>3.575181002980068E-4</v>
      </c>
      <c r="Q208" cm="1">
        <f t="array" ref="Q208">INDEX(Tabl_B4_Tanks!$F$7:$P$33,X_EMIS!J208,X_EMIS!L208)</f>
        <v>0.13049410660877248</v>
      </c>
    </row>
    <row r="209" spans="10:17">
      <c r="J209">
        <f t="shared" si="20"/>
        <v>7</v>
      </c>
      <c r="K209" cm="1">
        <f t="array" ref="K209">INDEX(H$19:H$45,J209)</f>
        <v>7</v>
      </c>
      <c r="L209">
        <f t="shared" si="14"/>
        <v>9</v>
      </c>
      <c r="M209" t="str" cm="1">
        <f t="array" ref="M209">INDEX(Tabl_B4_Tanks!B$7:B$33,X_EMIS!K209)</f>
        <v>JAIL9</v>
      </c>
      <c r="N209" t="str">
        <f t="shared" si="19"/>
        <v>110-54-3</v>
      </c>
      <c r="O209" t="str">
        <f t="shared" si="19"/>
        <v>Hexane</v>
      </c>
      <c r="P209" s="6" cm="1">
        <f t="array" ref="P209">INDEX(Tabl_B4_Tanks!$Q$7:$AA$33,X_EMIS!K209,X_EMIS!L209)</f>
        <v>5.9016145742972411E-5</v>
      </c>
      <c r="Q209" cm="1">
        <f t="array" ref="Q209">INDEX(Tabl_B4_Tanks!$F$7:$P$33,X_EMIS!J209,X_EMIS!L209)</f>
        <v>2.1540893196184928E-2</v>
      </c>
    </row>
    <row r="210" spans="10:17">
      <c r="J210">
        <f t="shared" si="20"/>
        <v>7</v>
      </c>
      <c r="K210" cm="1">
        <f t="array" ref="K210">INDEX(H$19:H$45,J210)</f>
        <v>7</v>
      </c>
      <c r="L210">
        <f t="shared" ref="L210:L273" si="21">L199</f>
        <v>10</v>
      </c>
      <c r="M210" t="str" cm="1">
        <f t="array" ref="M210">INDEX(Tabl_B4_Tanks!B$7:B$33,X_EMIS!K210)</f>
        <v>JAIL9</v>
      </c>
      <c r="N210" t="str">
        <f t="shared" ref="N210:O225" si="22">N199</f>
        <v>1330-20-7</v>
      </c>
      <c r="O210" t="str">
        <f t="shared" si="22"/>
        <v>Xylene (mixture), including m-xylene, o-xylene, p-xylene</v>
      </c>
      <c r="P210" s="6" cm="1">
        <f t="array" ref="P210">INDEX(Tabl_B4_Tanks!$Q$7:$AA$33,X_EMIS!K210,X_EMIS!L210)</f>
        <v>5.9529329618998258E-4</v>
      </c>
      <c r="Q210" cm="1">
        <f t="array" ref="Q210">INDEX(Tabl_B4_Tanks!$F$7:$P$33,X_EMIS!J210,X_EMIS!L210)</f>
        <v>0.21728205310934365</v>
      </c>
    </row>
    <row r="211" spans="10:17">
      <c r="J211">
        <f t="shared" si="20"/>
        <v>7</v>
      </c>
      <c r="K211" cm="1">
        <f t="array" ref="K211">INDEX(H$19:H$45,J211)</f>
        <v>7</v>
      </c>
      <c r="L211">
        <f t="shared" si="21"/>
        <v>11</v>
      </c>
      <c r="M211" t="str" cm="1">
        <f t="array" ref="M211">INDEX(Tabl_B4_Tanks!B$7:B$33,X_EMIS!K211)</f>
        <v>JAIL9</v>
      </c>
      <c r="N211" t="str">
        <f t="shared" si="22"/>
        <v>7783-06-4</v>
      </c>
      <c r="O211" t="str">
        <f t="shared" si="22"/>
        <v>Hydrogen sulfide</v>
      </c>
      <c r="P211" s="6" cm="1">
        <f t="array" ref="P211">INDEX(Tabl_B4_Tanks!$Q$7:$AA$33,X_EMIS!K211,X_EMIS!L211)</f>
        <v>2.908041964146467E-5</v>
      </c>
      <c r="Q211" cm="1">
        <f t="array" ref="Q211">INDEX(Tabl_B4_Tanks!$F$7:$P$33,X_EMIS!J211,X_EMIS!L211)</f>
        <v>1.0614353169134604E-2</v>
      </c>
    </row>
    <row r="212" spans="10:17">
      <c r="J212">
        <f t="shared" si="20"/>
        <v>8</v>
      </c>
      <c r="K212" cm="1">
        <f t="array" ref="K212">INDEX(H$19:H$45,J212)</f>
        <v>8</v>
      </c>
      <c r="L212">
        <f t="shared" si="21"/>
        <v>1</v>
      </c>
      <c r="M212" t="str" cm="1">
        <f t="array" ref="M212">INDEX(Tabl_B4_Tanks!B$7:B$33,X_EMIS!K212)</f>
        <v>CT1</v>
      </c>
      <c r="N212" t="str">
        <f t="shared" si="22"/>
        <v>91-57-6</v>
      </c>
      <c r="O212" t="str">
        <f t="shared" si="22"/>
        <v>2-Methyl naphthalene</v>
      </c>
      <c r="P212" s="6" cm="1">
        <f t="array" ref="P212">INDEX(Tabl_B4_Tanks!$Q$7:$AA$33,X_EMIS!K212,X_EMIS!L212)</f>
        <v>5.9279135882911438E-4</v>
      </c>
      <c r="Q212" cm="1">
        <f t="array" ref="Q212">INDEX(Tabl_B4_Tanks!$F$7:$P$33,X_EMIS!J212,X_EMIS!L212)</f>
        <v>0.21636884597262673</v>
      </c>
    </row>
    <row r="213" spans="10:17">
      <c r="J213">
        <f t="shared" si="20"/>
        <v>8</v>
      </c>
      <c r="K213" cm="1">
        <f t="array" ref="K213">INDEX(H$19:H$45,J213)</f>
        <v>8</v>
      </c>
      <c r="L213">
        <f t="shared" si="21"/>
        <v>2</v>
      </c>
      <c r="M213" t="str" cm="1">
        <f t="array" ref="M213">INDEX(Tabl_B4_Tanks!B$7:B$33,X_EMIS!K213)</f>
        <v>CT1</v>
      </c>
      <c r="N213" t="str">
        <f t="shared" si="22"/>
        <v>91-20-3</v>
      </c>
      <c r="O213" t="str">
        <f t="shared" si="22"/>
        <v>Naphthalene</v>
      </c>
      <c r="P213" s="6" cm="1">
        <f t="array" ref="P213">INDEX(Tabl_B4_Tanks!$Q$7:$AA$33,X_EMIS!K213,X_EMIS!L213)</f>
        <v>3.4406771176794746E-4</v>
      </c>
      <c r="Q213" cm="1">
        <f t="array" ref="Q213">INDEX(Tabl_B4_Tanks!$F$7:$P$33,X_EMIS!J213,X_EMIS!L213)</f>
        <v>0.12558471479530084</v>
      </c>
    </row>
    <row r="214" spans="10:17">
      <c r="J214">
        <f t="shared" si="20"/>
        <v>8</v>
      </c>
      <c r="K214" cm="1">
        <f t="array" ref="K214">INDEX(H$19:H$45,J214)</f>
        <v>8</v>
      </c>
      <c r="L214">
        <f t="shared" si="21"/>
        <v>3</v>
      </c>
      <c r="M214" t="str" cm="1">
        <f t="array" ref="M214">INDEX(Tabl_B4_Tanks!B$7:B$33,X_EMIS!K214)</f>
        <v>CT1</v>
      </c>
      <c r="N214" t="str">
        <f t="shared" si="22"/>
        <v>108-95-2</v>
      </c>
      <c r="O214" t="str">
        <f t="shared" si="22"/>
        <v>Phenol</v>
      </c>
      <c r="P214" s="6" cm="1">
        <f t="array" ref="P214">INDEX(Tabl_B4_Tanks!$Q$7:$AA$33,X_EMIS!K214,X_EMIS!L214)</f>
        <v>7.2337127353622692E-6</v>
      </c>
      <c r="Q214" cm="1">
        <f t="array" ref="Q214">INDEX(Tabl_B4_Tanks!$F$7:$P$33,X_EMIS!J214,X_EMIS!L214)</f>
        <v>2.6403051484072283E-3</v>
      </c>
    </row>
    <row r="215" spans="10:17">
      <c r="J215">
        <f t="shared" si="20"/>
        <v>8</v>
      </c>
      <c r="K215" cm="1">
        <f t="array" ref="K215">INDEX(H$19:H$45,J215)</f>
        <v>8</v>
      </c>
      <c r="L215">
        <f t="shared" si="21"/>
        <v>4</v>
      </c>
      <c r="M215" t="str" cm="1">
        <f t="array" ref="M215">INDEX(Tabl_B4_Tanks!B$7:B$33,X_EMIS!K215)</f>
        <v>CT1</v>
      </c>
      <c r="N215" t="str">
        <f t="shared" si="22"/>
        <v>1319-77-3</v>
      </c>
      <c r="O215" t="str">
        <f t="shared" si="22"/>
        <v>Cresols (mixture), including m-cresol, o-cresol, p-cresol</v>
      </c>
      <c r="P215" s="6" cm="1">
        <f t="array" ref="P215">INDEX(Tabl_B4_Tanks!$Q$7:$AA$33,X_EMIS!K215,X_EMIS!L215)</f>
        <v>2.694506176495974E-6</v>
      </c>
      <c r="Q215" cm="1">
        <f t="array" ref="Q215">INDEX(Tabl_B4_Tanks!$F$7:$P$33,X_EMIS!J215,X_EMIS!L215)</f>
        <v>9.8349475442103054E-4</v>
      </c>
    </row>
    <row r="216" spans="10:17">
      <c r="J216">
        <f t="shared" si="20"/>
        <v>8</v>
      </c>
      <c r="K216" cm="1">
        <f t="array" ref="K216">INDEX(H$19:H$45,J216)</f>
        <v>8</v>
      </c>
      <c r="L216">
        <f t="shared" si="21"/>
        <v>5</v>
      </c>
      <c r="M216" t="str" cm="1">
        <f t="array" ref="M216">INDEX(Tabl_B4_Tanks!B$7:B$33,X_EMIS!K216)</f>
        <v>CT1</v>
      </c>
      <c r="N216" t="str">
        <f t="shared" si="22"/>
        <v>71-43-2</v>
      </c>
      <c r="O216" t="str">
        <f t="shared" si="22"/>
        <v>Benzene</v>
      </c>
      <c r="P216" s="6" cm="1">
        <f t="array" ref="P216">INDEX(Tabl_B4_Tanks!$Q$7:$AA$33,X_EMIS!K216,X_EMIS!L216)</f>
        <v>4.8086571765158928E-5</v>
      </c>
      <c r="Q216" cm="1">
        <f t="array" ref="Q216">INDEX(Tabl_B4_Tanks!$F$7:$P$33,X_EMIS!J216,X_EMIS!L216)</f>
        <v>1.7551598694283008E-2</v>
      </c>
    </row>
    <row r="217" spans="10:17">
      <c r="J217">
        <f t="shared" si="20"/>
        <v>8</v>
      </c>
      <c r="K217" cm="1">
        <f t="array" ref="K217">INDEX(H$19:H$45,J217)</f>
        <v>8</v>
      </c>
      <c r="L217">
        <f t="shared" si="21"/>
        <v>6</v>
      </c>
      <c r="M217" t="str" cm="1">
        <f t="array" ref="M217">INDEX(Tabl_B4_Tanks!B$7:B$33,X_EMIS!K217)</f>
        <v>CT1</v>
      </c>
      <c r="N217" t="str">
        <f t="shared" si="22"/>
        <v>100-41-4</v>
      </c>
      <c r="O217" t="str">
        <f t="shared" si="22"/>
        <v>Ethyl benzene</v>
      </c>
      <c r="P217" s="6" cm="1">
        <f t="array" ref="P217">INDEX(Tabl_B4_Tanks!$Q$7:$AA$33,X_EMIS!K217,X_EMIS!L217)</f>
        <v>1.2208185676585605E-4</v>
      </c>
      <c r="Q217" cm="1">
        <f t="array" ref="Q217">INDEX(Tabl_B4_Tanks!$F$7:$P$33,X_EMIS!J217,X_EMIS!L217)</f>
        <v>4.4559877719537462E-2</v>
      </c>
    </row>
    <row r="218" spans="10:17">
      <c r="J218">
        <f t="shared" si="20"/>
        <v>8</v>
      </c>
      <c r="K218" cm="1">
        <f t="array" ref="K218">INDEX(H$19:H$45,J218)</f>
        <v>8</v>
      </c>
      <c r="L218">
        <f t="shared" si="21"/>
        <v>7</v>
      </c>
      <c r="M218" t="str" cm="1">
        <f t="array" ref="M218">INDEX(Tabl_B4_Tanks!B$7:B$33,X_EMIS!K218)</f>
        <v>CT1</v>
      </c>
      <c r="N218" t="str">
        <f t="shared" si="22"/>
        <v>98-82-8</v>
      </c>
      <c r="O218" t="str">
        <f t="shared" si="22"/>
        <v>Isopropylbenzene (Cumene)</v>
      </c>
      <c r="P218" s="6" cm="1">
        <f t="array" ref="P218">INDEX(Tabl_B4_Tanks!$Q$7:$AA$33,X_EMIS!K218,X_EMIS!L218)</f>
        <v>2.5286904117885296E-5</v>
      </c>
      <c r="Q218" cm="1">
        <f t="array" ref="Q218">INDEX(Tabl_B4_Tanks!$F$7:$P$33,X_EMIS!J218,X_EMIS!L218)</f>
        <v>9.2297200030281336E-3</v>
      </c>
    </row>
    <row r="219" spans="10:17">
      <c r="J219">
        <f t="shared" si="20"/>
        <v>8</v>
      </c>
      <c r="K219" cm="1">
        <f t="array" ref="K219">INDEX(H$19:H$45,J219)</f>
        <v>8</v>
      </c>
      <c r="L219">
        <f t="shared" si="21"/>
        <v>8</v>
      </c>
      <c r="M219" t="str" cm="1">
        <f t="array" ref="M219">INDEX(Tabl_B4_Tanks!B$7:B$33,X_EMIS!K219)</f>
        <v>CT1</v>
      </c>
      <c r="N219" t="str">
        <f t="shared" si="22"/>
        <v>108-88-3</v>
      </c>
      <c r="O219" t="str">
        <f t="shared" si="22"/>
        <v>Toluene</v>
      </c>
      <c r="P219" s="6" cm="1">
        <f t="array" ref="P219">INDEX(Tabl_B4_Tanks!$Q$7:$AA$33,X_EMIS!K219,X_EMIS!L219)</f>
        <v>4.331936852981989E-4</v>
      </c>
      <c r="Q219" cm="1">
        <f t="array" ref="Q219">INDEX(Tabl_B4_Tanks!$F$7:$P$33,X_EMIS!J219,X_EMIS!L219)</f>
        <v>0.1581156951338426</v>
      </c>
    </row>
    <row r="220" spans="10:17">
      <c r="J220">
        <f t="shared" si="20"/>
        <v>8</v>
      </c>
      <c r="K220" cm="1">
        <f t="array" ref="K220">INDEX(H$19:H$45,J220)</f>
        <v>8</v>
      </c>
      <c r="L220">
        <f t="shared" si="21"/>
        <v>9</v>
      </c>
      <c r="M220" t="str" cm="1">
        <f t="array" ref="M220">INDEX(Tabl_B4_Tanks!B$7:B$33,X_EMIS!K220)</f>
        <v>CT1</v>
      </c>
      <c r="N220" t="str">
        <f t="shared" si="22"/>
        <v>110-54-3</v>
      </c>
      <c r="O220" t="str">
        <f t="shared" si="22"/>
        <v>Hexane</v>
      </c>
      <c r="P220" s="6" cm="1">
        <f t="array" ref="P220">INDEX(Tabl_B4_Tanks!$Q$7:$AA$33,X_EMIS!K220,X_EMIS!L220)</f>
        <v>7.1508048530085461E-5</v>
      </c>
      <c r="Q220" cm="1">
        <f t="array" ref="Q220">INDEX(Tabl_B4_Tanks!$F$7:$P$33,X_EMIS!J220,X_EMIS!L220)</f>
        <v>2.6100437713481195E-2</v>
      </c>
    </row>
    <row r="221" spans="10:17">
      <c r="J221">
        <f t="shared" si="20"/>
        <v>8</v>
      </c>
      <c r="K221" cm="1">
        <f t="array" ref="K221">INDEX(H$19:H$45,J221)</f>
        <v>8</v>
      </c>
      <c r="L221">
        <f t="shared" si="21"/>
        <v>10</v>
      </c>
      <c r="M221" t="str" cm="1">
        <f t="array" ref="M221">INDEX(Tabl_B4_Tanks!B$7:B$33,X_EMIS!K221)</f>
        <v>CT1</v>
      </c>
      <c r="N221" t="str">
        <f t="shared" si="22"/>
        <v>1330-20-7</v>
      </c>
      <c r="O221" t="str">
        <f t="shared" si="22"/>
        <v>Xylene (mixture), including m-xylene, o-xylene, p-xylene</v>
      </c>
      <c r="P221" s="6" cm="1">
        <f t="array" ref="P221">INDEX(Tabl_B4_Tanks!$Q$7:$AA$33,X_EMIS!K221,X_EMIS!L221)</f>
        <v>7.2129857647738383E-4</v>
      </c>
      <c r="Q221" cm="1">
        <f t="array" ref="Q221">INDEX(Tabl_B4_Tanks!$F$7:$P$33,X_EMIS!J221,X_EMIS!L221)</f>
        <v>0.2632739804142451</v>
      </c>
    </row>
    <row r="222" spans="10:17">
      <c r="J222">
        <f t="shared" si="20"/>
        <v>8</v>
      </c>
      <c r="K222" cm="1">
        <f t="array" ref="K222">INDEX(H$19:H$45,J222)</f>
        <v>8</v>
      </c>
      <c r="L222">
        <f t="shared" si="21"/>
        <v>11</v>
      </c>
      <c r="M222" t="str" cm="1">
        <f t="array" ref="M222">INDEX(Tabl_B4_Tanks!B$7:B$33,X_EMIS!K222)</f>
        <v>CT1</v>
      </c>
      <c r="N222" t="str">
        <f t="shared" si="22"/>
        <v>7783-06-4</v>
      </c>
      <c r="O222" t="str">
        <f t="shared" si="22"/>
        <v>Hydrogen sulfide</v>
      </c>
      <c r="P222" s="6" cm="1">
        <f t="array" ref="P222">INDEX(Tabl_B4_Tanks!$Q$7:$AA$33,X_EMIS!K222,X_EMIS!L222)</f>
        <v>3.5235850000331972E-5</v>
      </c>
      <c r="Q222" cm="1">
        <f t="array" ref="Q222">INDEX(Tabl_B4_Tanks!$F$7:$P$33,X_EMIS!J222,X_EMIS!L222)</f>
        <v>1.286108525012117E-2</v>
      </c>
    </row>
    <row r="223" spans="10:17">
      <c r="J223">
        <f t="shared" si="20"/>
        <v>9</v>
      </c>
      <c r="K223" cm="1">
        <f t="array" ref="K223">INDEX(H$19:H$45,J223)</f>
        <v>9</v>
      </c>
      <c r="L223">
        <f t="shared" si="21"/>
        <v>1</v>
      </c>
      <c r="M223" t="str" cm="1">
        <f t="array" ref="M223">INDEX(Tabl_B4_Tanks!B$7:B$33,X_EMIS!K223)</f>
        <v>CT2</v>
      </c>
      <c r="N223" t="str">
        <f t="shared" si="22"/>
        <v>91-57-6</v>
      </c>
      <c r="O223" t="str">
        <f t="shared" si="22"/>
        <v>2-Methyl naphthalene</v>
      </c>
      <c r="P223" s="6" cm="1">
        <f t="array" ref="P223">INDEX(Tabl_B4_Tanks!$Q$7:$AA$33,X_EMIS!K223,X_EMIS!L223)</f>
        <v>5.9279135882911438E-4</v>
      </c>
      <c r="Q223" cm="1">
        <f t="array" ref="Q223">INDEX(Tabl_B4_Tanks!$F$7:$P$33,X_EMIS!J223,X_EMIS!L223)</f>
        <v>0.21636884597262673</v>
      </c>
    </row>
    <row r="224" spans="10:17">
      <c r="J224">
        <f t="shared" si="20"/>
        <v>9</v>
      </c>
      <c r="K224" cm="1">
        <f t="array" ref="K224">INDEX(H$19:H$45,J224)</f>
        <v>9</v>
      </c>
      <c r="L224">
        <f t="shared" si="21"/>
        <v>2</v>
      </c>
      <c r="M224" t="str" cm="1">
        <f t="array" ref="M224">INDEX(Tabl_B4_Tanks!B$7:B$33,X_EMIS!K224)</f>
        <v>CT2</v>
      </c>
      <c r="N224" t="str">
        <f t="shared" si="22"/>
        <v>91-20-3</v>
      </c>
      <c r="O224" t="str">
        <f t="shared" si="22"/>
        <v>Naphthalene</v>
      </c>
      <c r="P224" s="6" cm="1">
        <f t="array" ref="P224">INDEX(Tabl_B4_Tanks!$Q$7:$AA$33,X_EMIS!K224,X_EMIS!L224)</f>
        <v>3.4406771176794746E-4</v>
      </c>
      <c r="Q224" cm="1">
        <f t="array" ref="Q224">INDEX(Tabl_B4_Tanks!$F$7:$P$33,X_EMIS!J224,X_EMIS!L224)</f>
        <v>0.12558471479530084</v>
      </c>
    </row>
    <row r="225" spans="10:17">
      <c r="J225">
        <f t="shared" si="20"/>
        <v>9</v>
      </c>
      <c r="K225" cm="1">
        <f t="array" ref="K225">INDEX(H$19:H$45,J225)</f>
        <v>9</v>
      </c>
      <c r="L225">
        <f t="shared" si="21"/>
        <v>3</v>
      </c>
      <c r="M225" t="str" cm="1">
        <f t="array" ref="M225">INDEX(Tabl_B4_Tanks!B$7:B$33,X_EMIS!K225)</f>
        <v>CT2</v>
      </c>
      <c r="N225" t="str">
        <f t="shared" si="22"/>
        <v>108-95-2</v>
      </c>
      <c r="O225" t="str">
        <f t="shared" si="22"/>
        <v>Phenol</v>
      </c>
      <c r="P225" s="6" cm="1">
        <f t="array" ref="P225">INDEX(Tabl_B4_Tanks!$Q$7:$AA$33,X_EMIS!K225,X_EMIS!L225)</f>
        <v>7.2337127353622692E-6</v>
      </c>
      <c r="Q225" cm="1">
        <f t="array" ref="Q225">INDEX(Tabl_B4_Tanks!$F$7:$P$33,X_EMIS!J225,X_EMIS!L225)</f>
        <v>2.6403051484072283E-3</v>
      </c>
    </row>
    <row r="226" spans="10:17">
      <c r="J226">
        <f t="shared" si="20"/>
        <v>9</v>
      </c>
      <c r="K226" cm="1">
        <f t="array" ref="K226">INDEX(H$19:H$45,J226)</f>
        <v>9</v>
      </c>
      <c r="L226">
        <f t="shared" si="21"/>
        <v>4</v>
      </c>
      <c r="M226" t="str" cm="1">
        <f t="array" ref="M226">INDEX(Tabl_B4_Tanks!B$7:B$33,X_EMIS!K226)</f>
        <v>CT2</v>
      </c>
      <c r="N226" t="str">
        <f t="shared" ref="N226:O241" si="23">N215</f>
        <v>1319-77-3</v>
      </c>
      <c r="O226" t="str">
        <f t="shared" si="23"/>
        <v>Cresols (mixture), including m-cresol, o-cresol, p-cresol</v>
      </c>
      <c r="P226" s="6" cm="1">
        <f t="array" ref="P226">INDEX(Tabl_B4_Tanks!$Q$7:$AA$33,X_EMIS!K226,X_EMIS!L226)</f>
        <v>2.694506176495974E-6</v>
      </c>
      <c r="Q226" cm="1">
        <f t="array" ref="Q226">INDEX(Tabl_B4_Tanks!$F$7:$P$33,X_EMIS!J226,X_EMIS!L226)</f>
        <v>9.8349475442103054E-4</v>
      </c>
    </row>
    <row r="227" spans="10:17">
      <c r="J227">
        <f t="shared" si="20"/>
        <v>9</v>
      </c>
      <c r="K227" cm="1">
        <f t="array" ref="K227">INDEX(H$19:H$45,J227)</f>
        <v>9</v>
      </c>
      <c r="L227">
        <f t="shared" si="21"/>
        <v>5</v>
      </c>
      <c r="M227" t="str" cm="1">
        <f t="array" ref="M227">INDEX(Tabl_B4_Tanks!B$7:B$33,X_EMIS!K227)</f>
        <v>CT2</v>
      </c>
      <c r="N227" t="str">
        <f t="shared" si="23"/>
        <v>71-43-2</v>
      </c>
      <c r="O227" t="str">
        <f t="shared" si="23"/>
        <v>Benzene</v>
      </c>
      <c r="P227" s="6" cm="1">
        <f t="array" ref="P227">INDEX(Tabl_B4_Tanks!$Q$7:$AA$33,X_EMIS!K227,X_EMIS!L227)</f>
        <v>4.8086571765158928E-5</v>
      </c>
      <c r="Q227" cm="1">
        <f t="array" ref="Q227">INDEX(Tabl_B4_Tanks!$F$7:$P$33,X_EMIS!J227,X_EMIS!L227)</f>
        <v>1.7551598694283008E-2</v>
      </c>
    </row>
    <row r="228" spans="10:17">
      <c r="J228">
        <f t="shared" si="20"/>
        <v>9</v>
      </c>
      <c r="K228" cm="1">
        <f t="array" ref="K228">INDEX(H$19:H$45,J228)</f>
        <v>9</v>
      </c>
      <c r="L228">
        <f t="shared" si="21"/>
        <v>6</v>
      </c>
      <c r="M228" t="str" cm="1">
        <f t="array" ref="M228">INDEX(Tabl_B4_Tanks!B$7:B$33,X_EMIS!K228)</f>
        <v>CT2</v>
      </c>
      <c r="N228" t="str">
        <f t="shared" si="23"/>
        <v>100-41-4</v>
      </c>
      <c r="O228" t="str">
        <f t="shared" si="23"/>
        <v>Ethyl benzene</v>
      </c>
      <c r="P228" s="6" cm="1">
        <f t="array" ref="P228">INDEX(Tabl_B4_Tanks!$Q$7:$AA$33,X_EMIS!K228,X_EMIS!L228)</f>
        <v>1.2208185676585605E-4</v>
      </c>
      <c r="Q228" cm="1">
        <f t="array" ref="Q228">INDEX(Tabl_B4_Tanks!$F$7:$P$33,X_EMIS!J228,X_EMIS!L228)</f>
        <v>4.4559877719537462E-2</v>
      </c>
    </row>
    <row r="229" spans="10:17">
      <c r="J229">
        <f t="shared" si="20"/>
        <v>9</v>
      </c>
      <c r="K229" cm="1">
        <f t="array" ref="K229">INDEX(H$19:H$45,J229)</f>
        <v>9</v>
      </c>
      <c r="L229">
        <f t="shared" si="21"/>
        <v>7</v>
      </c>
      <c r="M229" t="str" cm="1">
        <f t="array" ref="M229">INDEX(Tabl_B4_Tanks!B$7:B$33,X_EMIS!K229)</f>
        <v>CT2</v>
      </c>
      <c r="N229" t="str">
        <f t="shared" si="23"/>
        <v>98-82-8</v>
      </c>
      <c r="O229" t="str">
        <f t="shared" si="23"/>
        <v>Isopropylbenzene (Cumene)</v>
      </c>
      <c r="P229" s="6" cm="1">
        <f t="array" ref="P229">INDEX(Tabl_B4_Tanks!$Q$7:$AA$33,X_EMIS!K229,X_EMIS!L229)</f>
        <v>2.5286904117885296E-5</v>
      </c>
      <c r="Q229" cm="1">
        <f t="array" ref="Q229">INDEX(Tabl_B4_Tanks!$F$7:$P$33,X_EMIS!J229,X_EMIS!L229)</f>
        <v>9.2297200030281336E-3</v>
      </c>
    </row>
    <row r="230" spans="10:17">
      <c r="J230">
        <f t="shared" si="20"/>
        <v>9</v>
      </c>
      <c r="K230" cm="1">
        <f t="array" ref="K230">INDEX(H$19:H$45,J230)</f>
        <v>9</v>
      </c>
      <c r="L230">
        <f t="shared" si="21"/>
        <v>8</v>
      </c>
      <c r="M230" t="str" cm="1">
        <f t="array" ref="M230">INDEX(Tabl_B4_Tanks!B$7:B$33,X_EMIS!K230)</f>
        <v>CT2</v>
      </c>
      <c r="N230" t="str">
        <f t="shared" si="23"/>
        <v>108-88-3</v>
      </c>
      <c r="O230" t="str">
        <f t="shared" si="23"/>
        <v>Toluene</v>
      </c>
      <c r="P230" s="6" cm="1">
        <f t="array" ref="P230">INDEX(Tabl_B4_Tanks!$Q$7:$AA$33,X_EMIS!K230,X_EMIS!L230)</f>
        <v>4.331936852981989E-4</v>
      </c>
      <c r="Q230" cm="1">
        <f t="array" ref="Q230">INDEX(Tabl_B4_Tanks!$F$7:$P$33,X_EMIS!J230,X_EMIS!L230)</f>
        <v>0.1581156951338426</v>
      </c>
    </row>
    <row r="231" spans="10:17">
      <c r="J231">
        <f t="shared" si="20"/>
        <v>9</v>
      </c>
      <c r="K231" cm="1">
        <f t="array" ref="K231">INDEX(H$19:H$45,J231)</f>
        <v>9</v>
      </c>
      <c r="L231">
        <f t="shared" si="21"/>
        <v>9</v>
      </c>
      <c r="M231" t="str" cm="1">
        <f t="array" ref="M231">INDEX(Tabl_B4_Tanks!B$7:B$33,X_EMIS!K231)</f>
        <v>CT2</v>
      </c>
      <c r="N231" t="str">
        <f t="shared" si="23"/>
        <v>110-54-3</v>
      </c>
      <c r="O231" t="str">
        <f t="shared" si="23"/>
        <v>Hexane</v>
      </c>
      <c r="P231" s="6" cm="1">
        <f t="array" ref="P231">INDEX(Tabl_B4_Tanks!$Q$7:$AA$33,X_EMIS!K231,X_EMIS!L231)</f>
        <v>7.1508048530085461E-5</v>
      </c>
      <c r="Q231" cm="1">
        <f t="array" ref="Q231">INDEX(Tabl_B4_Tanks!$F$7:$P$33,X_EMIS!J231,X_EMIS!L231)</f>
        <v>2.6100437713481195E-2</v>
      </c>
    </row>
    <row r="232" spans="10:17">
      <c r="J232">
        <f t="shared" si="20"/>
        <v>9</v>
      </c>
      <c r="K232" cm="1">
        <f t="array" ref="K232">INDEX(H$19:H$45,J232)</f>
        <v>9</v>
      </c>
      <c r="L232">
        <f t="shared" si="21"/>
        <v>10</v>
      </c>
      <c r="M232" t="str" cm="1">
        <f t="array" ref="M232">INDEX(Tabl_B4_Tanks!B$7:B$33,X_EMIS!K232)</f>
        <v>CT2</v>
      </c>
      <c r="N232" t="str">
        <f t="shared" si="23"/>
        <v>1330-20-7</v>
      </c>
      <c r="O232" t="str">
        <f t="shared" si="23"/>
        <v>Xylene (mixture), including m-xylene, o-xylene, p-xylene</v>
      </c>
      <c r="P232" s="6" cm="1">
        <f t="array" ref="P232">INDEX(Tabl_B4_Tanks!$Q$7:$AA$33,X_EMIS!K232,X_EMIS!L232)</f>
        <v>7.2129857647738383E-4</v>
      </c>
      <c r="Q232" cm="1">
        <f t="array" ref="Q232">INDEX(Tabl_B4_Tanks!$F$7:$P$33,X_EMIS!J232,X_EMIS!L232)</f>
        <v>0.2632739804142451</v>
      </c>
    </row>
    <row r="233" spans="10:17">
      <c r="J233">
        <f t="shared" si="20"/>
        <v>9</v>
      </c>
      <c r="K233" cm="1">
        <f t="array" ref="K233">INDEX(H$19:H$45,J233)</f>
        <v>9</v>
      </c>
      <c r="L233">
        <f t="shared" si="21"/>
        <v>11</v>
      </c>
      <c r="M233" t="str" cm="1">
        <f t="array" ref="M233">INDEX(Tabl_B4_Tanks!B$7:B$33,X_EMIS!K233)</f>
        <v>CT2</v>
      </c>
      <c r="N233" t="str">
        <f t="shared" si="23"/>
        <v>7783-06-4</v>
      </c>
      <c r="O233" t="str">
        <f t="shared" si="23"/>
        <v>Hydrogen sulfide</v>
      </c>
      <c r="P233" s="6" cm="1">
        <f t="array" ref="P233">INDEX(Tabl_B4_Tanks!$Q$7:$AA$33,X_EMIS!K233,X_EMIS!L233)</f>
        <v>3.5235850000331972E-5</v>
      </c>
      <c r="Q233" cm="1">
        <f t="array" ref="Q233">INDEX(Tabl_B4_Tanks!$F$7:$P$33,X_EMIS!J233,X_EMIS!L233)</f>
        <v>1.286108525012117E-2</v>
      </c>
    </row>
    <row r="234" spans="10:17">
      <c r="J234">
        <f t="shared" si="20"/>
        <v>10</v>
      </c>
      <c r="K234" cm="1">
        <f t="array" ref="K234">INDEX(H$19:H$45,J234)</f>
        <v>10</v>
      </c>
      <c r="L234">
        <f t="shared" si="21"/>
        <v>1</v>
      </c>
      <c r="M234" t="str" cm="1">
        <f t="array" ref="M234">INDEX(Tabl_B4_Tanks!B$7:B$33,X_EMIS!K234)</f>
        <v>CT3</v>
      </c>
      <c r="N234" t="str">
        <f t="shared" si="23"/>
        <v>91-57-6</v>
      </c>
      <c r="O234" t="str">
        <f t="shared" si="23"/>
        <v>2-Methyl naphthalene</v>
      </c>
      <c r="P234" s="6" cm="1">
        <f t="array" ref="P234">INDEX(Tabl_B4_Tanks!$Q$7:$AA$33,X_EMIS!K234,X_EMIS!L234)</f>
        <v>6.3769584866473373E-4</v>
      </c>
      <c r="Q234" cm="1">
        <f t="array" ref="Q234">INDEX(Tabl_B4_Tanks!$F$7:$P$33,X_EMIS!J234,X_EMIS!L234)</f>
        <v>0.23275898476262782</v>
      </c>
    </row>
    <row r="235" spans="10:17">
      <c r="J235">
        <f t="shared" si="20"/>
        <v>10</v>
      </c>
      <c r="K235" cm="1">
        <f t="array" ref="K235">INDEX(H$19:H$45,J235)</f>
        <v>10</v>
      </c>
      <c r="L235">
        <f t="shared" si="21"/>
        <v>2</v>
      </c>
      <c r="M235" t="str" cm="1">
        <f t="array" ref="M235">INDEX(Tabl_B4_Tanks!B$7:B$33,X_EMIS!K235)</f>
        <v>CT3</v>
      </c>
      <c r="N235" t="str">
        <f t="shared" si="23"/>
        <v>91-20-3</v>
      </c>
      <c r="O235" t="str">
        <f t="shared" si="23"/>
        <v>Naphthalene</v>
      </c>
      <c r="P235" s="6" cm="1">
        <f t="array" ref="P235">INDEX(Tabl_B4_Tanks!$Q$7:$AA$33,X_EMIS!K235,X_EMIS!L235)</f>
        <v>3.7013115691729301E-4</v>
      </c>
      <c r="Q235" cm="1">
        <f t="array" ref="Q235">INDEX(Tabl_B4_Tanks!$F$7:$P$33,X_EMIS!J235,X_EMIS!L235)</f>
        <v>0.13509787227481196</v>
      </c>
    </row>
    <row r="236" spans="10:17">
      <c r="J236">
        <f t="shared" si="20"/>
        <v>10</v>
      </c>
      <c r="K236" cm="1">
        <f t="array" ref="K236">INDEX(H$19:H$45,J236)</f>
        <v>10</v>
      </c>
      <c r="L236">
        <f t="shared" si="21"/>
        <v>3</v>
      </c>
      <c r="M236" t="str" cm="1">
        <f t="array" ref="M236">INDEX(Tabl_B4_Tanks!B$7:B$33,X_EMIS!K236)</f>
        <v>CT3</v>
      </c>
      <c r="N236" t="str">
        <f t="shared" si="23"/>
        <v>108-95-2</v>
      </c>
      <c r="O236" t="str">
        <f t="shared" si="23"/>
        <v>Phenol</v>
      </c>
      <c r="P236" s="6" cm="1">
        <f t="array" ref="P236">INDEX(Tabl_B4_Tanks!$Q$7:$AA$33,X_EMIS!K236,X_EMIS!L236)</f>
        <v>7.7816731183214021E-6</v>
      </c>
      <c r="Q236" cm="1">
        <f t="array" ref="Q236">INDEX(Tabl_B4_Tanks!$F$7:$P$33,X_EMIS!J236,X_EMIS!L236)</f>
        <v>2.8403106881873114E-3</v>
      </c>
    </row>
    <row r="237" spans="10:17">
      <c r="J237">
        <f t="shared" si="20"/>
        <v>10</v>
      </c>
      <c r="K237" cm="1">
        <f t="array" ref="K237">INDEX(H$19:H$45,J237)</f>
        <v>10</v>
      </c>
      <c r="L237">
        <f t="shared" si="21"/>
        <v>4</v>
      </c>
      <c r="M237" t="str" cm="1">
        <f t="array" ref="M237">INDEX(Tabl_B4_Tanks!B$7:B$33,X_EMIS!K237)</f>
        <v>CT3</v>
      </c>
      <c r="N237" t="str">
        <f t="shared" si="23"/>
        <v>1319-77-3</v>
      </c>
      <c r="O237" t="str">
        <f t="shared" si="23"/>
        <v>Cresols (mixture), including m-cresol, o-cresol, p-cresol</v>
      </c>
      <c r="P237" s="6" cm="1">
        <f t="array" ref="P237">INDEX(Tabl_B4_Tanks!$Q$7:$AA$33,X_EMIS!K237,X_EMIS!L237)</f>
        <v>2.8986174939306079E-6</v>
      </c>
      <c r="Q237" cm="1">
        <f t="array" ref="Q237">INDEX(Tabl_B4_Tanks!$F$7:$P$33,X_EMIS!J237,X_EMIS!L237)</f>
        <v>1.0579953852846717E-3</v>
      </c>
    </row>
    <row r="238" spans="10:17">
      <c r="J238">
        <f t="shared" si="20"/>
        <v>10</v>
      </c>
      <c r="K238" cm="1">
        <f t="array" ref="K238">INDEX(H$19:H$45,J238)</f>
        <v>10</v>
      </c>
      <c r="L238">
        <f t="shared" si="21"/>
        <v>5</v>
      </c>
      <c r="M238" t="str" cm="1">
        <f t="array" ref="M238">INDEX(Tabl_B4_Tanks!B$7:B$33,X_EMIS!K238)</f>
        <v>CT3</v>
      </c>
      <c r="N238" t="str">
        <f t="shared" si="23"/>
        <v>71-43-2</v>
      </c>
      <c r="O238" t="str">
        <f t="shared" si="23"/>
        <v>Benzene</v>
      </c>
      <c r="P238" s="6" cm="1">
        <f t="array" ref="P238">INDEX(Tabl_B4_Tanks!$Q$7:$AA$33,X_EMIS!K238,X_EMIS!L238)</f>
        <v>5.1729173737838541E-5</v>
      </c>
      <c r="Q238" cm="1">
        <f t="array" ref="Q238">INDEX(Tabl_B4_Tanks!$F$7:$P$33,X_EMIS!J238,X_EMIS!L238)</f>
        <v>1.8881148414311068E-2</v>
      </c>
    </row>
    <row r="239" spans="10:17">
      <c r="J239">
        <f t="shared" si="20"/>
        <v>10</v>
      </c>
      <c r="K239" cm="1">
        <f t="array" ref="K239">INDEX(H$19:H$45,J239)</f>
        <v>10</v>
      </c>
      <c r="L239">
        <f t="shared" si="21"/>
        <v>6</v>
      </c>
      <c r="M239" t="str" cm="1">
        <f t="array" ref="M239">INDEX(Tabl_B4_Tanks!B$7:B$33,X_EMIS!K239)</f>
        <v>CT3</v>
      </c>
      <c r="N239" t="str">
        <f t="shared" si="23"/>
        <v>100-41-4</v>
      </c>
      <c r="O239" t="str">
        <f t="shared" si="23"/>
        <v>Ethyl benzene</v>
      </c>
      <c r="P239" s="6" cm="1">
        <f t="array" ref="P239">INDEX(Tabl_B4_Tanks!$Q$7:$AA$33,X_EMIS!K239,X_EMIS!L239)</f>
        <v>1.3132966953270216E-4</v>
      </c>
      <c r="Q239" cm="1">
        <f t="array" ref="Q239">INDEX(Tabl_B4_Tanks!$F$7:$P$33,X_EMIS!J239,X_EMIS!L239)</f>
        <v>4.7935329379436287E-2</v>
      </c>
    </row>
    <row r="240" spans="10:17">
      <c r="J240">
        <f t="shared" si="20"/>
        <v>10</v>
      </c>
      <c r="K240" cm="1">
        <f t="array" ref="K240">INDEX(H$19:H$45,J240)</f>
        <v>10</v>
      </c>
      <c r="L240">
        <f t="shared" si="21"/>
        <v>7</v>
      </c>
      <c r="M240" t="str" cm="1">
        <f t="array" ref="M240">INDEX(Tabl_B4_Tanks!B$7:B$33,X_EMIS!K240)</f>
        <v>CT3</v>
      </c>
      <c r="N240" t="str">
        <f t="shared" si="23"/>
        <v>98-82-8</v>
      </c>
      <c r="O240" t="str">
        <f t="shared" si="23"/>
        <v>Isopropylbenzene (Cumene)</v>
      </c>
      <c r="P240" s="6" cm="1">
        <f t="array" ref="P240">INDEX(Tabl_B4_Tanks!$Q$7:$AA$33,X_EMIS!K240,X_EMIS!L240)</f>
        <v>2.7202410327656474E-5</v>
      </c>
      <c r="Q240" cm="1">
        <f t="array" ref="Q240">INDEX(Tabl_B4_Tanks!$F$7:$P$33,X_EMIS!J240,X_EMIS!L240)</f>
        <v>9.9288797695946136E-3</v>
      </c>
    </row>
    <row r="241" spans="10:17">
      <c r="J241">
        <f t="shared" si="20"/>
        <v>10</v>
      </c>
      <c r="K241" cm="1">
        <f t="array" ref="K241">INDEX(H$19:H$45,J241)</f>
        <v>10</v>
      </c>
      <c r="L241">
        <f t="shared" si="21"/>
        <v>8</v>
      </c>
      <c r="M241" t="str" cm="1">
        <f t="array" ref="M241">INDEX(Tabl_B4_Tanks!B$7:B$33,X_EMIS!K241)</f>
        <v>CT3</v>
      </c>
      <c r="N241" t="str">
        <f t="shared" si="23"/>
        <v>108-88-3</v>
      </c>
      <c r="O241" t="str">
        <f t="shared" si="23"/>
        <v>Toluene</v>
      </c>
      <c r="P241" s="6" cm="1">
        <f t="array" ref="P241">INDEX(Tabl_B4_Tanks!$Q$7:$AA$33,X_EMIS!K241,X_EMIS!L241)</f>
        <v>4.6600850479345922E-4</v>
      </c>
      <c r="Q241" cm="1">
        <f t="array" ref="Q241">INDEX(Tabl_B4_Tanks!$F$7:$P$33,X_EMIS!J241,X_EMIS!L241)</f>
        <v>0.17009310424961263</v>
      </c>
    </row>
    <row r="242" spans="10:17">
      <c r="J242">
        <f t="shared" si="20"/>
        <v>10</v>
      </c>
      <c r="K242" cm="1">
        <f t="array" ref="K242">INDEX(H$19:H$45,J242)</f>
        <v>10</v>
      </c>
      <c r="L242">
        <f t="shared" si="21"/>
        <v>9</v>
      </c>
      <c r="M242" t="str" cm="1">
        <f t="array" ref="M242">INDEX(Tabl_B4_Tanks!B$7:B$33,X_EMIS!K242)</f>
        <v>CT3</v>
      </c>
      <c r="N242" t="str">
        <f t="shared" ref="N242:O257" si="24">N231</f>
        <v>110-54-3</v>
      </c>
      <c r="O242" t="str">
        <f t="shared" si="24"/>
        <v>Hexane</v>
      </c>
      <c r="P242" s="6" cm="1">
        <f t="array" ref="P242">INDEX(Tabl_B4_Tanks!$Q$7:$AA$33,X_EMIS!K242,X_EMIS!L242)</f>
        <v>7.6924848877389209E-5</v>
      </c>
      <c r="Q242" cm="1">
        <f t="array" ref="Q242">INDEX(Tabl_B4_Tanks!$F$7:$P$33,X_EMIS!J242,X_EMIS!L242)</f>
        <v>2.807756984024706E-2</v>
      </c>
    </row>
    <row r="243" spans="10:17">
      <c r="J243">
        <f t="shared" si="20"/>
        <v>10</v>
      </c>
      <c r="K243" cm="1">
        <f t="array" ref="K243">INDEX(H$19:H$45,J243)</f>
        <v>10</v>
      </c>
      <c r="L243">
        <f t="shared" si="21"/>
        <v>10</v>
      </c>
      <c r="M243" t="str" cm="1">
        <f t="array" ref="M243">INDEX(Tabl_B4_Tanks!B$7:B$33,X_EMIS!K243)</f>
        <v>CT3</v>
      </c>
      <c r="N243" t="str">
        <f t="shared" si="24"/>
        <v>1330-20-7</v>
      </c>
      <c r="O243" t="str">
        <f t="shared" si="24"/>
        <v>Xylene (mixture), including m-xylene, o-xylene, p-xylene</v>
      </c>
      <c r="P243" s="6" cm="1">
        <f t="array" ref="P243">INDEX(Tabl_B4_Tanks!$Q$7:$AA$33,X_EMIS!K243,X_EMIS!L243)</f>
        <v>7.7593760606757816E-4</v>
      </c>
      <c r="Q243" cm="1">
        <f t="array" ref="Q243">INDEX(Tabl_B4_Tanks!$F$7:$P$33,X_EMIS!J243,X_EMIS!L243)</f>
        <v>0.283217226214666</v>
      </c>
    </row>
    <row r="244" spans="10:17">
      <c r="J244">
        <f t="shared" si="20"/>
        <v>10</v>
      </c>
      <c r="K244" cm="1">
        <f t="array" ref="K244">INDEX(H$19:H$45,J244)</f>
        <v>10</v>
      </c>
      <c r="L244">
        <f t="shared" si="21"/>
        <v>11</v>
      </c>
      <c r="M244" t="str" cm="1">
        <f t="array" ref="M244">INDEX(Tabl_B4_Tanks!B$7:B$33,X_EMIS!K244)</f>
        <v>CT3</v>
      </c>
      <c r="N244" t="str">
        <f t="shared" si="24"/>
        <v>7783-06-4</v>
      </c>
      <c r="O244" t="str">
        <f t="shared" si="24"/>
        <v>Hydrogen sulfide</v>
      </c>
      <c r="P244" s="6" cm="1">
        <f t="array" ref="P244">INDEX(Tabl_B4_Tanks!$Q$7:$AA$33,X_EMIS!K244,X_EMIS!L244)</f>
        <v>3.7904997997554106E-5</v>
      </c>
      <c r="Q244" cm="1">
        <f t="array" ref="Q244">INDEX(Tabl_B4_Tanks!$F$7:$P$33,X_EMIS!J244,X_EMIS!L244)</f>
        <v>1.3835324269107248E-2</v>
      </c>
    </row>
    <row r="245" spans="10:17">
      <c r="J245">
        <f t="shared" si="20"/>
        <v>11</v>
      </c>
      <c r="K245" cm="1">
        <f t="array" ref="K245">INDEX(H$19:H$45,J245)</f>
        <v>11</v>
      </c>
      <c r="L245">
        <f t="shared" si="21"/>
        <v>1</v>
      </c>
      <c r="M245" t="str" cm="1">
        <f t="array" ref="M245">INDEX(Tabl_B4_Tanks!B$7:B$33,X_EMIS!K245)</f>
        <v>CT4</v>
      </c>
      <c r="N245" t="str">
        <f t="shared" si="24"/>
        <v>91-57-6</v>
      </c>
      <c r="O245" t="str">
        <f t="shared" si="24"/>
        <v>2-Methyl naphthalene</v>
      </c>
      <c r="P245" s="6" cm="1">
        <f t="array" ref="P245">INDEX(Tabl_B4_Tanks!$Q$7:$AA$33,X_EMIS!K245,X_EMIS!L245)</f>
        <v>6.1872510329098014E-4</v>
      </c>
      <c r="Q245" cm="1">
        <f t="array" ref="Q245">INDEX(Tabl_B4_Tanks!$F$7:$P$33,X_EMIS!J245,X_EMIS!L245)</f>
        <v>0.22583466270120772</v>
      </c>
    </row>
    <row r="246" spans="10:17">
      <c r="J246">
        <f t="shared" si="20"/>
        <v>11</v>
      </c>
      <c r="K246" cm="1">
        <f t="array" ref="K246">INDEX(H$19:H$45,J246)</f>
        <v>11</v>
      </c>
      <c r="L246">
        <f t="shared" si="21"/>
        <v>2</v>
      </c>
      <c r="M246" t="str" cm="1">
        <f t="array" ref="M246">INDEX(Tabl_B4_Tanks!B$7:B$33,X_EMIS!K246)</f>
        <v>CT4</v>
      </c>
      <c r="N246" t="str">
        <f t="shared" si="24"/>
        <v>91-20-3</v>
      </c>
      <c r="O246" t="str">
        <f t="shared" si="24"/>
        <v>Naphthalene</v>
      </c>
      <c r="P246" s="6" cm="1">
        <f t="array" ref="P246">INDEX(Tabl_B4_Tanks!$Q$7:$AA$33,X_EMIS!K246,X_EMIS!L246)</f>
        <v>3.5912016484721221E-4</v>
      </c>
      <c r="Q246" cm="1">
        <f t="array" ref="Q246">INDEX(Tabl_B4_Tanks!$F$7:$P$33,X_EMIS!J246,X_EMIS!L246)</f>
        <v>0.13107886016923245</v>
      </c>
    </row>
    <row r="247" spans="10:17">
      <c r="J247">
        <f t="shared" si="20"/>
        <v>11</v>
      </c>
      <c r="K247" cm="1">
        <f t="array" ref="K247">INDEX(H$19:H$45,J247)</f>
        <v>11</v>
      </c>
      <c r="L247">
        <f t="shared" si="21"/>
        <v>3</v>
      </c>
      <c r="M247" t="str" cm="1">
        <f t="array" ref="M247">INDEX(Tabl_B4_Tanks!B$7:B$33,X_EMIS!K247)</f>
        <v>CT4</v>
      </c>
      <c r="N247" t="str">
        <f t="shared" si="24"/>
        <v>108-95-2</v>
      </c>
      <c r="O247" t="str">
        <f t="shared" si="24"/>
        <v>Phenol</v>
      </c>
      <c r="P247" s="6" cm="1">
        <f t="array" ref="P247">INDEX(Tabl_B4_Tanks!$Q$7:$AA$33,X_EMIS!K247,X_EMIS!L247)</f>
        <v>7.5501769597395827E-6</v>
      </c>
      <c r="Q247" cm="1">
        <f t="array" ref="Q247">INDEX(Tabl_B4_Tanks!$F$7:$P$33,X_EMIS!J247,X_EMIS!L247)</f>
        <v>2.7558145903049474E-3</v>
      </c>
    </row>
    <row r="248" spans="10:17">
      <c r="J248">
        <f t="shared" si="20"/>
        <v>11</v>
      </c>
      <c r="K248" cm="1">
        <f t="array" ref="K248">INDEX(H$19:H$45,J248)</f>
        <v>11</v>
      </c>
      <c r="L248">
        <f t="shared" si="21"/>
        <v>4</v>
      </c>
      <c r="M248" t="str" cm="1">
        <f t="array" ref="M248">INDEX(Tabl_B4_Tanks!B$7:B$33,X_EMIS!K248)</f>
        <v>CT4</v>
      </c>
      <c r="N248" t="str">
        <f t="shared" si="24"/>
        <v>1319-77-3</v>
      </c>
      <c r="O248" t="str">
        <f t="shared" si="24"/>
        <v>Cresols (mixture), including m-cresol, o-cresol, p-cresol</v>
      </c>
      <c r="P248" s="6" cm="1">
        <f t="array" ref="P248">INDEX(Tabl_B4_Tanks!$Q$7:$AA$33,X_EMIS!K248,X_EMIS!L248)</f>
        <v>2.8123868331408183E-6</v>
      </c>
      <c r="Q248" cm="1">
        <f t="array" ref="Q248">INDEX(Tabl_B4_Tanks!$F$7:$P$33,X_EMIS!J248,X_EMIS!L248)</f>
        <v>1.0265211940963987E-3</v>
      </c>
    </row>
    <row r="249" spans="10:17">
      <c r="J249">
        <f t="shared" si="20"/>
        <v>11</v>
      </c>
      <c r="K249" cm="1">
        <f t="array" ref="K249">INDEX(H$19:H$45,J249)</f>
        <v>11</v>
      </c>
      <c r="L249">
        <f t="shared" si="21"/>
        <v>5</v>
      </c>
      <c r="M249" t="str" cm="1">
        <f t="array" ref="M249">INDEX(Tabl_B4_Tanks!B$7:B$33,X_EMIS!K249)</f>
        <v>CT4</v>
      </c>
      <c r="N249" t="str">
        <f t="shared" si="24"/>
        <v>71-43-2</v>
      </c>
      <c r="O249" t="str">
        <f t="shared" si="24"/>
        <v>Benzene</v>
      </c>
      <c r="P249" s="6" cm="1">
        <f t="array" ref="P249">INDEX(Tabl_B4_Tanks!$Q$7:$AA$33,X_EMIS!K249,X_EMIS!L249)</f>
        <v>5.0190288099128456E-5</v>
      </c>
      <c r="Q249" cm="1">
        <f t="array" ref="Q249">INDEX(Tabl_B4_Tanks!$F$7:$P$33,X_EMIS!J249,X_EMIS!L249)</f>
        <v>1.8319455156181885E-2</v>
      </c>
    </row>
    <row r="250" spans="10:17">
      <c r="J250">
        <f t="shared" si="20"/>
        <v>11</v>
      </c>
      <c r="K250" cm="1">
        <f t="array" ref="K250">INDEX(H$19:H$45,J250)</f>
        <v>11</v>
      </c>
      <c r="L250">
        <f t="shared" si="21"/>
        <v>6</v>
      </c>
      <c r="M250" t="str" cm="1">
        <f t="array" ref="M250">INDEX(Tabl_B4_Tanks!B$7:B$33,X_EMIS!K250)</f>
        <v>CT4</v>
      </c>
      <c r="N250" t="str">
        <f t="shared" si="24"/>
        <v>100-41-4</v>
      </c>
      <c r="O250" t="str">
        <f t="shared" si="24"/>
        <v>Ethyl benzene</v>
      </c>
      <c r="P250" s="6" cm="1">
        <f t="array" ref="P250">INDEX(Tabl_B4_Tanks!$Q$7:$AA$33,X_EMIS!K250,X_EMIS!L250)</f>
        <v>1.274227572861494E-4</v>
      </c>
      <c r="Q250" cm="1">
        <f t="array" ref="Q250">INDEX(Tabl_B4_Tanks!$F$7:$P$33,X_EMIS!J250,X_EMIS!L250)</f>
        <v>4.6509306409444527E-2</v>
      </c>
    </row>
    <row r="251" spans="10:17">
      <c r="J251">
        <f t="shared" si="20"/>
        <v>11</v>
      </c>
      <c r="K251" cm="1">
        <f t="array" ref="K251">INDEX(H$19:H$45,J251)</f>
        <v>11</v>
      </c>
      <c r="L251">
        <f t="shared" si="21"/>
        <v>7</v>
      </c>
      <c r="M251" t="str" cm="1">
        <f t="array" ref="M251">INDEX(Tabl_B4_Tanks!B$7:B$33,X_EMIS!K251)</f>
        <v>CT4</v>
      </c>
      <c r="N251" t="str">
        <f t="shared" si="24"/>
        <v>98-82-8</v>
      </c>
      <c r="O251" t="str">
        <f t="shared" si="24"/>
        <v>Isopropylbenzene (Cumene)</v>
      </c>
      <c r="P251" s="6" cm="1">
        <f t="array" ref="P251">INDEX(Tabl_B4_Tanks!$Q$7:$AA$33,X_EMIS!K251,X_EMIS!L251)</f>
        <v>2.6393168741783065E-5</v>
      </c>
      <c r="Q251" cm="1">
        <f t="array" ref="Q251">INDEX(Tabl_B4_Tanks!$F$7:$P$33,X_EMIS!J251,X_EMIS!L251)</f>
        <v>9.6335065907508181E-3</v>
      </c>
    </row>
    <row r="252" spans="10:17">
      <c r="J252">
        <f t="shared" si="20"/>
        <v>11</v>
      </c>
      <c r="K252" cm="1">
        <f t="array" ref="K252">INDEX(H$19:H$45,J252)</f>
        <v>11</v>
      </c>
      <c r="L252">
        <f t="shared" si="21"/>
        <v>8</v>
      </c>
      <c r="M252" t="str" cm="1">
        <f t="array" ref="M252">INDEX(Tabl_B4_Tanks!B$7:B$33,X_EMIS!K252)</f>
        <v>CT4</v>
      </c>
      <c r="N252" t="str">
        <f t="shared" si="24"/>
        <v>108-88-3</v>
      </c>
      <c r="O252" t="str">
        <f t="shared" si="24"/>
        <v>Toluene</v>
      </c>
      <c r="P252" s="6" cm="1">
        <f t="array" ref="P252">INDEX(Tabl_B4_Tanks!$Q$7:$AA$33,X_EMIS!K252,X_EMIS!L252)</f>
        <v>4.5214526778956232E-4</v>
      </c>
      <c r="Q252" cm="1">
        <f t="array" ref="Q252">INDEX(Tabl_B4_Tanks!$F$7:$P$33,X_EMIS!J252,X_EMIS!L252)</f>
        <v>0.16503302274319026</v>
      </c>
    </row>
    <row r="253" spans="10:17">
      <c r="J253">
        <f t="shared" si="20"/>
        <v>11</v>
      </c>
      <c r="K253" cm="1">
        <f t="array" ref="K253">INDEX(H$19:H$45,J253)</f>
        <v>11</v>
      </c>
      <c r="L253">
        <f t="shared" si="21"/>
        <v>9</v>
      </c>
      <c r="M253" t="str" cm="1">
        <f t="array" ref="M253">INDEX(Tabl_B4_Tanks!B$7:B$33,X_EMIS!K253)</f>
        <v>CT4</v>
      </c>
      <c r="N253" t="str">
        <f t="shared" si="24"/>
        <v>110-54-3</v>
      </c>
      <c r="O253" t="str">
        <f t="shared" si="24"/>
        <v>Hexane</v>
      </c>
      <c r="P253" s="6" cm="1">
        <f t="array" ref="P253">INDEX(Tabl_B4_Tanks!$Q$7:$AA$33,X_EMIS!K253,X_EMIS!L253)</f>
        <v>7.4636419802583261E-5</v>
      </c>
      <c r="Q253" cm="1">
        <f t="array" ref="Q253">INDEX(Tabl_B4_Tanks!$F$7:$P$33,X_EMIS!J253,X_EMIS!L253)</f>
        <v>2.7242293227942888E-2</v>
      </c>
    </row>
    <row r="254" spans="10:17">
      <c r="J254">
        <f t="shared" si="20"/>
        <v>11</v>
      </c>
      <c r="K254" cm="1">
        <f t="array" ref="K254">INDEX(H$19:H$45,J254)</f>
        <v>11</v>
      </c>
      <c r="L254">
        <f t="shared" si="21"/>
        <v>10</v>
      </c>
      <c r="M254" t="str" cm="1">
        <f t="array" ref="M254">INDEX(Tabl_B4_Tanks!B$7:B$33,X_EMIS!K254)</f>
        <v>CT4</v>
      </c>
      <c r="N254" t="str">
        <f t="shared" si="24"/>
        <v>1330-20-7</v>
      </c>
      <c r="O254" t="str">
        <f t="shared" si="24"/>
        <v>Xylene (mixture), including m-xylene, o-xylene, p-xylene</v>
      </c>
      <c r="P254" s="6" cm="1">
        <f t="array" ref="P254">INDEX(Tabl_B4_Tanks!$Q$7:$AA$33,X_EMIS!K254,X_EMIS!L254)</f>
        <v>7.5285432148692688E-4</v>
      </c>
      <c r="Q254" cm="1">
        <f t="array" ref="Q254">INDEX(Tabl_B4_Tanks!$F$7:$P$33,X_EMIS!J254,X_EMIS!L254)</f>
        <v>0.27479182734272828</v>
      </c>
    </row>
    <row r="255" spans="10:17">
      <c r="J255">
        <f t="shared" si="20"/>
        <v>11</v>
      </c>
      <c r="K255" cm="1">
        <f t="array" ref="K255">INDEX(H$19:H$45,J255)</f>
        <v>11</v>
      </c>
      <c r="L255">
        <f t="shared" si="21"/>
        <v>11</v>
      </c>
      <c r="M255" t="str" cm="1">
        <f t="array" ref="M255">INDEX(Tabl_B4_Tanks!B$7:B$33,X_EMIS!K255)</f>
        <v>CT4</v>
      </c>
      <c r="N255" t="str">
        <f t="shared" si="24"/>
        <v>7783-06-4</v>
      </c>
      <c r="O255" t="str">
        <f t="shared" si="24"/>
        <v>Hydrogen sulfide</v>
      </c>
      <c r="P255" s="6" cm="1">
        <f t="array" ref="P255">INDEX(Tabl_B4_Tanks!$Q$7:$AA$33,X_EMIS!K255,X_EMIS!L255)</f>
        <v>3.6777366279533786E-5</v>
      </c>
      <c r="Q255" cm="1">
        <f t="array" ref="Q255">INDEX(Tabl_B4_Tanks!$F$7:$P$33,X_EMIS!J255,X_EMIS!L255)</f>
        <v>1.342373869202983E-2</v>
      </c>
    </row>
    <row r="256" spans="10:17">
      <c r="J256">
        <f t="shared" si="20"/>
        <v>12</v>
      </c>
      <c r="K256" cm="1">
        <f t="array" ref="K256">INDEX(H$19:H$45,J256)</f>
        <v>12</v>
      </c>
      <c r="L256">
        <f t="shared" si="21"/>
        <v>1</v>
      </c>
      <c r="M256" t="str" cm="1">
        <f t="array" ref="M256">INDEX(Tabl_B4_Tanks!B$7:B$33,X_EMIS!K256)</f>
        <v>TANK12</v>
      </c>
      <c r="N256" t="str">
        <f t="shared" si="24"/>
        <v>91-57-6</v>
      </c>
      <c r="O256" t="str">
        <f t="shared" si="24"/>
        <v>2-Methyl naphthalene</v>
      </c>
      <c r="P256" s="6" cm="1">
        <f t="array" ref="P256">INDEX(Tabl_B4_Tanks!$Q$7:$AA$33,X_EMIS!K256,X_EMIS!L256)</f>
        <v>5.639932803247244E-2</v>
      </c>
      <c r="Q256" cm="1">
        <f t="array" ref="Q256">INDEX(Tabl_B4_Tanks!$F$7:$P$33,X_EMIS!J256,X_EMIS!L256)</f>
        <v>20.58575473185244</v>
      </c>
    </row>
    <row r="257" spans="10:17">
      <c r="J257">
        <f t="shared" si="20"/>
        <v>12</v>
      </c>
      <c r="K257" cm="1">
        <f t="array" ref="K257">INDEX(H$19:H$45,J257)</f>
        <v>12</v>
      </c>
      <c r="L257">
        <f t="shared" si="21"/>
        <v>2</v>
      </c>
      <c r="M257" t="str" cm="1">
        <f t="array" ref="M257">INDEX(Tabl_B4_Tanks!B$7:B$33,X_EMIS!K257)</f>
        <v>TANK12</v>
      </c>
      <c r="N257" t="str">
        <f t="shared" si="24"/>
        <v>91-20-3</v>
      </c>
      <c r="O257" t="str">
        <f t="shared" si="24"/>
        <v>Naphthalene</v>
      </c>
      <c r="P257" s="6" cm="1">
        <f t="array" ref="P257">INDEX(Tabl_B4_Tanks!$Q$7:$AA$33,X_EMIS!K257,X_EMIS!L257)</f>
        <v>3.2735274312553929E-2</v>
      </c>
      <c r="Q257" cm="1">
        <f t="array" ref="Q257">INDEX(Tabl_B4_Tanks!$F$7:$P$33,X_EMIS!J257,X_EMIS!L257)</f>
        <v>11.948375124082185</v>
      </c>
    </row>
    <row r="258" spans="10:17">
      <c r="J258">
        <f t="shared" si="20"/>
        <v>12</v>
      </c>
      <c r="K258" cm="1">
        <f t="array" ref="K258">INDEX(H$19:H$45,J258)</f>
        <v>12</v>
      </c>
      <c r="L258">
        <f t="shared" si="21"/>
        <v>3</v>
      </c>
      <c r="M258" t="str" cm="1">
        <f t="array" ref="M258">INDEX(Tabl_B4_Tanks!B$7:B$33,X_EMIS!K258)</f>
        <v>TANK12</v>
      </c>
      <c r="N258" t="str">
        <f t="shared" ref="N258:O273" si="25">N247</f>
        <v>108-95-2</v>
      </c>
      <c r="O258" t="str">
        <f t="shared" si="25"/>
        <v>Phenol</v>
      </c>
      <c r="P258" s="6" cm="1">
        <f t="array" ref="P258">INDEX(Tabl_B4_Tanks!$Q$7:$AA$33,X_EMIS!K258,X_EMIS!L258)</f>
        <v>6.8822956235429654E-4</v>
      </c>
      <c r="Q258" cm="1">
        <f t="array" ref="Q258">INDEX(Tabl_B4_Tanks!$F$7:$P$33,X_EMIS!J258,X_EMIS!L258)</f>
        <v>0.25120379025931822</v>
      </c>
    </row>
    <row r="259" spans="10:17">
      <c r="J259">
        <f t="shared" si="20"/>
        <v>12</v>
      </c>
      <c r="K259" cm="1">
        <f t="array" ref="K259">INDEX(H$19:H$45,J259)</f>
        <v>12</v>
      </c>
      <c r="L259">
        <f t="shared" si="21"/>
        <v>4</v>
      </c>
      <c r="M259" t="str" cm="1">
        <f t="array" ref="M259">INDEX(Tabl_B4_Tanks!B$7:B$33,X_EMIS!K259)</f>
        <v>TANK12</v>
      </c>
      <c r="N259" t="str">
        <f t="shared" si="25"/>
        <v>1319-77-3</v>
      </c>
      <c r="O259" t="str">
        <f t="shared" si="25"/>
        <v>Cresols (mixture), including m-cresol, o-cresol, p-cresol</v>
      </c>
      <c r="P259" s="6" cm="1">
        <f t="array" ref="P259">INDEX(Tabl_B4_Tanks!$Q$7:$AA$33,X_EMIS!K259,X_EMIS!L259)</f>
        <v>2.563605819657838E-4</v>
      </c>
      <c r="Q259" cm="1">
        <f t="array" ref="Q259">INDEX(Tabl_B4_Tanks!$F$7:$P$33,X_EMIS!J259,X_EMIS!L259)</f>
        <v>9.357161241751108E-2</v>
      </c>
    </row>
    <row r="260" spans="10:17">
      <c r="J260">
        <f t="shared" si="20"/>
        <v>12</v>
      </c>
      <c r="K260" cm="1">
        <f t="array" ref="K260">INDEX(H$19:H$45,J260)</f>
        <v>12</v>
      </c>
      <c r="L260">
        <f t="shared" si="21"/>
        <v>5</v>
      </c>
      <c r="M260" t="str" cm="1">
        <f t="array" ref="M260">INDEX(Tabl_B4_Tanks!B$7:B$33,X_EMIS!K260)</f>
        <v>TANK12</v>
      </c>
      <c r="N260" t="str">
        <f t="shared" si="25"/>
        <v>71-43-2</v>
      </c>
      <c r="O260" t="str">
        <f t="shared" si="25"/>
        <v>Benzene</v>
      </c>
      <c r="P260" s="6" cm="1">
        <f t="array" ref="P260">INDEX(Tabl_B4_Tanks!$Q$7:$AA$33,X_EMIS!K260,X_EMIS!L260)</f>
        <v>4.5750503858509109E-3</v>
      </c>
      <c r="Q260" cm="1">
        <f t="array" ref="Q260">INDEX(Tabl_B4_Tanks!$F$7:$P$33,X_EMIS!J260,X_EMIS!L260)</f>
        <v>1.6698933908355824</v>
      </c>
    </row>
    <row r="261" spans="10:17">
      <c r="J261">
        <f t="shared" si="20"/>
        <v>12</v>
      </c>
      <c r="K261" cm="1">
        <f t="array" ref="K261">INDEX(H$19:H$45,J261)</f>
        <v>12</v>
      </c>
      <c r="L261">
        <f t="shared" si="21"/>
        <v>6</v>
      </c>
      <c r="M261" t="str" cm="1">
        <f t="array" ref="M261">INDEX(Tabl_B4_Tanks!B$7:B$33,X_EMIS!K261)</f>
        <v>TANK12</v>
      </c>
      <c r="N261" t="str">
        <f t="shared" si="25"/>
        <v>100-41-4</v>
      </c>
      <c r="O261" t="str">
        <f t="shared" si="25"/>
        <v>Ethyl benzene</v>
      </c>
      <c r="P261" s="6" cm="1">
        <f t="array" ref="P261">INDEX(Tabl_B4_Tanks!$Q$7:$AA$33,X_EMIS!K261,X_EMIS!L261)</f>
        <v>1.1615106367526665E-2</v>
      </c>
      <c r="Q261" cm="1">
        <f t="array" ref="Q261">INDEX(Tabl_B4_Tanks!$F$7:$P$33,X_EMIS!J261,X_EMIS!L261)</f>
        <v>4.2395138241472337</v>
      </c>
    </row>
    <row r="262" spans="10:17">
      <c r="J262">
        <f t="shared" si="20"/>
        <v>12</v>
      </c>
      <c r="K262" cm="1">
        <f t="array" ref="K262">INDEX(H$19:H$45,J262)</f>
        <v>12</v>
      </c>
      <c r="L262">
        <f t="shared" si="21"/>
        <v>7</v>
      </c>
      <c r="M262" t="str" cm="1">
        <f t="array" ref="M262">INDEX(Tabl_B4_Tanks!B$7:B$33,X_EMIS!K262)</f>
        <v>TANK12</v>
      </c>
      <c r="N262" t="str">
        <f t="shared" si="25"/>
        <v>98-82-8</v>
      </c>
      <c r="O262" t="str">
        <f t="shared" si="25"/>
        <v>Isopropylbenzene (Cumene)</v>
      </c>
      <c r="P262" s="6" cm="1">
        <f t="array" ref="P262">INDEX(Tabl_B4_Tanks!$Q$7:$AA$33,X_EMIS!K262,X_EMIS!L262)</f>
        <v>2.405845461525048E-3</v>
      </c>
      <c r="Q262" cm="1">
        <f t="array" ref="Q262">INDEX(Tabl_B4_Tanks!$F$7:$P$33,X_EMIS!J262,X_EMIS!L262)</f>
        <v>0.87813359345664255</v>
      </c>
    </row>
    <row r="263" spans="10:17">
      <c r="J263">
        <f t="shared" si="20"/>
        <v>12</v>
      </c>
      <c r="K263" cm="1">
        <f t="array" ref="K263">INDEX(H$19:H$45,J263)</f>
        <v>12</v>
      </c>
      <c r="L263">
        <f t="shared" si="21"/>
        <v>8</v>
      </c>
      <c r="M263" t="str" cm="1">
        <f t="array" ref="M263">INDEX(Tabl_B4_Tanks!B$7:B$33,X_EMIS!K263)</f>
        <v>TANK12</v>
      </c>
      <c r="N263" t="str">
        <f t="shared" si="25"/>
        <v>108-88-3</v>
      </c>
      <c r="O263" t="str">
        <f t="shared" si="25"/>
        <v>Toluene</v>
      </c>
      <c r="P263" s="6" cm="1">
        <f t="array" ref="P263">INDEX(Tabl_B4_Tanks!$Q$7:$AA$33,X_EMIS!K263,X_EMIS!L263)</f>
        <v>4.1214893562191393E-2</v>
      </c>
      <c r="Q263" cm="1">
        <f t="array" ref="Q263">INDEX(Tabl_B4_Tanks!$F$7:$P$33,X_EMIS!J263,X_EMIS!L263)</f>
        <v>15.043436150199858</v>
      </c>
    </row>
    <row r="264" spans="10:17">
      <c r="J264">
        <f t="shared" ref="J264:J327" si="26">IF(L264=1,J263+1,J263)</f>
        <v>12</v>
      </c>
      <c r="K264" cm="1">
        <f t="array" ref="K264">INDEX(H$19:H$45,J264)</f>
        <v>12</v>
      </c>
      <c r="L264">
        <f t="shared" si="21"/>
        <v>9</v>
      </c>
      <c r="M264" t="str" cm="1">
        <f t="array" ref="M264">INDEX(Tabl_B4_Tanks!B$7:B$33,X_EMIS!K264)</f>
        <v>TANK12</v>
      </c>
      <c r="N264" t="str">
        <f t="shared" si="25"/>
        <v>110-54-3</v>
      </c>
      <c r="O264" t="str">
        <f t="shared" si="25"/>
        <v>Hexane</v>
      </c>
      <c r="P264" s="6" cm="1">
        <f t="array" ref="P264">INDEX(Tabl_B4_Tanks!$Q$7:$AA$33,X_EMIS!K264,X_EMIS!L264)</f>
        <v>6.8034154444765694E-3</v>
      </c>
      <c r="Q264" cm="1">
        <f t="array" ref="Q264">INDEX(Tabl_B4_Tanks!$F$7:$P$33,X_EMIS!J264,X_EMIS!L264)</f>
        <v>2.4832466372339481</v>
      </c>
    </row>
    <row r="265" spans="10:17">
      <c r="J265">
        <f t="shared" si="26"/>
        <v>12</v>
      </c>
      <c r="K265" cm="1">
        <f t="array" ref="K265">INDEX(H$19:H$45,J265)</f>
        <v>12</v>
      </c>
      <c r="L265">
        <f t="shared" si="21"/>
        <v>10</v>
      </c>
      <c r="M265" t="str" cm="1">
        <f t="array" ref="M265">INDEX(Tabl_B4_Tanks!B$7:B$33,X_EMIS!K265)</f>
        <v>TANK12</v>
      </c>
      <c r="N265" t="str">
        <f t="shared" si="25"/>
        <v>1330-20-7</v>
      </c>
      <c r="O265" t="str">
        <f t="shared" si="25"/>
        <v>Xylene (mixture), including m-xylene, o-xylene, p-xylene</v>
      </c>
      <c r="P265" s="6" cm="1">
        <f t="array" ref="P265">INDEX(Tabl_B4_Tanks!$Q$7:$AA$33,X_EMIS!K265,X_EMIS!L265)</f>
        <v>6.862575578776367E-2</v>
      </c>
      <c r="Q265" cm="1">
        <f t="array" ref="Q265">INDEX(Tabl_B4_Tanks!$F$7:$P$33,X_EMIS!J265,X_EMIS!L265)</f>
        <v>25.04840086253374</v>
      </c>
    </row>
    <row r="266" spans="10:17">
      <c r="J266">
        <f t="shared" si="26"/>
        <v>12</v>
      </c>
      <c r="K266" cm="1">
        <f t="array" ref="K266">INDEX(H$19:H$45,J266)</f>
        <v>12</v>
      </c>
      <c r="L266">
        <f t="shared" si="21"/>
        <v>11</v>
      </c>
      <c r="M266" t="str" cm="1">
        <f t="array" ref="M266">INDEX(Tabl_B4_Tanks!B$7:B$33,X_EMIS!K266)</f>
        <v>TANK12</v>
      </c>
      <c r="N266" t="str">
        <f t="shared" si="25"/>
        <v>7783-06-4</v>
      </c>
      <c r="O266" t="str">
        <f t="shared" si="25"/>
        <v>Hydrogen sulfide</v>
      </c>
      <c r="P266" s="6" cm="1">
        <f t="array" ref="P266">INDEX(Tabl_B4_Tanks!$Q$7:$AA$33,X_EMIS!K266,X_EMIS!L266)</f>
        <v>3.3524076103217883E-3</v>
      </c>
      <c r="Q266" cm="1">
        <f t="array" ref="Q266">INDEX(Tabl_B4_Tanks!$F$7:$P$33,X_EMIS!J266,X_EMIS!L266)</f>
        <v>1.2236287777674528</v>
      </c>
    </row>
    <row r="267" spans="10:17">
      <c r="J267">
        <f t="shared" si="26"/>
        <v>13</v>
      </c>
      <c r="K267" cm="1">
        <f t="array" ref="K267">INDEX(H$19:H$45,J267)</f>
        <v>13</v>
      </c>
      <c r="L267">
        <f t="shared" si="21"/>
        <v>1</v>
      </c>
      <c r="M267" t="str" cm="1">
        <f t="array" ref="M267">INDEX(Tabl_B4_Tanks!B$7:B$33,X_EMIS!K267)</f>
        <v>IT100-1</v>
      </c>
      <c r="N267" t="str">
        <f t="shared" si="25"/>
        <v>91-57-6</v>
      </c>
      <c r="O267" t="str">
        <f t="shared" si="25"/>
        <v>2-Methyl naphthalene</v>
      </c>
      <c r="P267" s="6" cm="1">
        <f t="array" ref="P267">INDEX(Tabl_B4_Tanks!$Q$7:$AA$33,X_EMIS!K267,X_EMIS!L267)</f>
        <v>1.0720862824875191E-3</v>
      </c>
      <c r="Q267" cm="1">
        <f t="array" ref="Q267">INDEX(Tabl_B4_Tanks!$F$7:$P$33,X_EMIS!J267,X_EMIS!L267)</f>
        <v>0.3913114931079445</v>
      </c>
    </row>
    <row r="268" spans="10:17">
      <c r="J268">
        <f t="shared" si="26"/>
        <v>13</v>
      </c>
      <c r="K268" cm="1">
        <f t="array" ref="K268">INDEX(H$19:H$45,J268)</f>
        <v>13</v>
      </c>
      <c r="L268">
        <f t="shared" si="21"/>
        <v>2</v>
      </c>
      <c r="M268" t="str" cm="1">
        <f t="array" ref="M268">INDEX(Tabl_B4_Tanks!B$7:B$33,X_EMIS!K268)</f>
        <v>IT100-1</v>
      </c>
      <c r="N268" t="str">
        <f t="shared" si="25"/>
        <v>91-20-3</v>
      </c>
      <c r="O268" t="str">
        <f t="shared" si="25"/>
        <v>Naphthalene</v>
      </c>
      <c r="P268" s="6" cm="1">
        <f t="array" ref="P268">INDEX(Tabl_B4_Tanks!$Q$7:$AA$33,X_EMIS!K268,X_EMIS!L268)</f>
        <v>6.2225987025499362E-4</v>
      </c>
      <c r="Q268" cm="1">
        <f t="array" ref="Q268">INDEX(Tabl_B4_Tanks!$F$7:$P$33,X_EMIS!J268,X_EMIS!L268)</f>
        <v>0.22712485264307267</v>
      </c>
    </row>
    <row r="269" spans="10:17">
      <c r="J269">
        <f t="shared" si="26"/>
        <v>13</v>
      </c>
      <c r="K269" cm="1">
        <f t="array" ref="K269">INDEX(H$19:H$45,J269)</f>
        <v>13</v>
      </c>
      <c r="L269">
        <f t="shared" si="21"/>
        <v>3</v>
      </c>
      <c r="M269" t="str" cm="1">
        <f t="array" ref="M269">INDEX(Tabl_B4_Tanks!B$7:B$33,X_EMIS!K269)</f>
        <v>IT100-1</v>
      </c>
      <c r="N269" t="str">
        <f t="shared" si="25"/>
        <v>108-95-2</v>
      </c>
      <c r="O269" t="str">
        <f t="shared" si="25"/>
        <v>Phenol</v>
      </c>
      <c r="P269" s="6" cm="1">
        <f t="array" ref="P269">INDEX(Tabl_B4_Tanks!$Q$7:$AA$33,X_EMIS!K269,X_EMIS!L269)</f>
        <v>1.3082451489095951E-5</v>
      </c>
      <c r="Q269" cm="1">
        <f t="array" ref="Q269">INDEX(Tabl_B4_Tanks!$F$7:$P$33,X_EMIS!J269,X_EMIS!L269)</f>
        <v>4.775094793520022E-3</v>
      </c>
    </row>
    <row r="270" spans="10:17">
      <c r="J270">
        <f t="shared" si="26"/>
        <v>13</v>
      </c>
      <c r="K270" cm="1">
        <f t="array" ref="K270">INDEX(H$19:H$45,J270)</f>
        <v>13</v>
      </c>
      <c r="L270">
        <f t="shared" si="21"/>
        <v>4</v>
      </c>
      <c r="M270" t="str" cm="1">
        <f t="array" ref="M270">INDEX(Tabl_B4_Tanks!B$7:B$33,X_EMIS!K270)</f>
        <v>IT100-1</v>
      </c>
      <c r="N270" t="str">
        <f t="shared" si="25"/>
        <v>1319-77-3</v>
      </c>
      <c r="O270" t="str">
        <f t="shared" si="25"/>
        <v>Cresols (mixture), including m-cresol, o-cresol, p-cresol</v>
      </c>
      <c r="P270" s="6" cm="1">
        <f t="array" ref="P270">INDEX(Tabl_B4_Tanks!$Q$7:$AA$33,X_EMIS!K270,X_EMIS!L270)</f>
        <v>4.8731194658523597E-6</v>
      </c>
      <c r="Q270" cm="1">
        <f t="array" ref="Q270">INDEX(Tabl_B4_Tanks!$F$7:$P$33,X_EMIS!J270,X_EMIS!L270)</f>
        <v>1.7786886050361111E-3</v>
      </c>
    </row>
    <row r="271" spans="10:17">
      <c r="J271">
        <f t="shared" si="26"/>
        <v>13</v>
      </c>
      <c r="K271" cm="1">
        <f t="array" ref="K271">INDEX(H$19:H$45,J271)</f>
        <v>13</v>
      </c>
      <c r="L271">
        <f t="shared" si="21"/>
        <v>5</v>
      </c>
      <c r="M271" t="str" cm="1">
        <f t="array" ref="M271">INDEX(Tabl_B4_Tanks!B$7:B$33,X_EMIS!K271)</f>
        <v>IT100-1</v>
      </c>
      <c r="N271" t="str">
        <f t="shared" si="25"/>
        <v>71-43-2</v>
      </c>
      <c r="O271" t="str">
        <f t="shared" si="25"/>
        <v>Benzene</v>
      </c>
      <c r="P271" s="6" cm="1">
        <f t="array" ref="P271">INDEX(Tabl_B4_Tanks!$Q$7:$AA$33,X_EMIS!K271,X_EMIS!L271)</f>
        <v>8.6966439698288271E-5</v>
      </c>
      <c r="Q271" cm="1">
        <f t="array" ref="Q271">INDEX(Tabl_B4_Tanks!$F$7:$P$33,X_EMIS!J271,X_EMIS!L271)</f>
        <v>3.1742750489875217E-2</v>
      </c>
    </row>
    <row r="272" spans="10:17">
      <c r="J272">
        <f t="shared" si="26"/>
        <v>13</v>
      </c>
      <c r="K272" cm="1">
        <f t="array" ref="K272">INDEX(H$19:H$45,J272)</f>
        <v>13</v>
      </c>
      <c r="L272">
        <f t="shared" si="21"/>
        <v>6</v>
      </c>
      <c r="M272" t="str" cm="1">
        <f t="array" ref="M272">INDEX(Tabl_B4_Tanks!B$7:B$33,X_EMIS!K272)</f>
        <v>IT100-1</v>
      </c>
      <c r="N272" t="str">
        <f t="shared" si="25"/>
        <v>100-41-4</v>
      </c>
      <c r="O272" t="str">
        <f t="shared" si="25"/>
        <v>Ethyl benzene</v>
      </c>
      <c r="P272" s="6" cm="1">
        <f t="array" ref="P272">INDEX(Tabl_B4_Tanks!$Q$7:$AA$33,X_EMIS!K272,X_EMIS!L272)</f>
        <v>2.207897973374646E-4</v>
      </c>
      <c r="Q272" cm="1">
        <f t="array" ref="Q272">INDEX(Tabl_B4_Tanks!$F$7:$P$33,X_EMIS!J272,X_EMIS!L272)</f>
        <v>8.0588276028174574E-2</v>
      </c>
    </row>
    <row r="273" spans="10:17">
      <c r="J273">
        <f t="shared" si="26"/>
        <v>13</v>
      </c>
      <c r="K273" cm="1">
        <f t="array" ref="K273">INDEX(H$19:H$45,J273)</f>
        <v>13</v>
      </c>
      <c r="L273">
        <f t="shared" si="21"/>
        <v>7</v>
      </c>
      <c r="M273" t="str" cm="1">
        <f t="array" ref="M273">INDEX(Tabl_B4_Tanks!B$7:B$33,X_EMIS!K273)</f>
        <v>IT100-1</v>
      </c>
      <c r="N273" t="str">
        <f t="shared" si="25"/>
        <v>98-82-8</v>
      </c>
      <c r="O273" t="str">
        <f t="shared" si="25"/>
        <v>Isopropylbenzene (Cumene)</v>
      </c>
      <c r="P273" s="6" cm="1">
        <f t="array" ref="P273">INDEX(Tabl_B4_Tanks!$Q$7:$AA$33,X_EMIS!K273,X_EMIS!L273)</f>
        <v>4.5732351910306758E-5</v>
      </c>
      <c r="Q273" cm="1">
        <f t="array" ref="Q273">INDEX(Tabl_B4_Tanks!$F$7:$P$33,X_EMIS!J273,X_EMIS!L273)</f>
        <v>1.6692308447261966E-2</v>
      </c>
    </row>
    <row r="274" spans="10:17">
      <c r="J274">
        <f t="shared" si="26"/>
        <v>13</v>
      </c>
      <c r="K274" cm="1">
        <f t="array" ref="K274">INDEX(H$19:H$45,J274)</f>
        <v>13</v>
      </c>
      <c r="L274">
        <f t="shared" ref="L274:L337" si="27">L263</f>
        <v>8</v>
      </c>
      <c r="M274" t="str" cm="1">
        <f t="array" ref="M274">INDEX(Tabl_B4_Tanks!B$7:B$33,X_EMIS!K274)</f>
        <v>IT100-1</v>
      </c>
      <c r="N274" t="str">
        <f t="shared" ref="N274:O289" si="28">N263</f>
        <v>108-88-3</v>
      </c>
      <c r="O274" t="str">
        <f t="shared" si="28"/>
        <v>Toluene</v>
      </c>
      <c r="P274" s="6" cm="1">
        <f t="array" ref="P274">INDEX(Tabl_B4_Tanks!$Q$7:$AA$33,X_EMIS!K274,X_EMIS!L274)</f>
        <v>7.8344766797164853E-4</v>
      </c>
      <c r="Q274" cm="1">
        <f t="array" ref="Q274">INDEX(Tabl_B4_Tanks!$F$7:$P$33,X_EMIS!J274,X_EMIS!L274)</f>
        <v>0.28595839880965168</v>
      </c>
    </row>
    <row r="275" spans="10:17">
      <c r="J275">
        <f t="shared" si="26"/>
        <v>13</v>
      </c>
      <c r="K275" cm="1">
        <f t="array" ref="K275">INDEX(H$19:H$45,J275)</f>
        <v>13</v>
      </c>
      <c r="L275">
        <f t="shared" si="27"/>
        <v>9</v>
      </c>
      <c r="M275" t="str" cm="1">
        <f t="array" ref="M275">INDEX(Tabl_B4_Tanks!B$7:B$33,X_EMIS!K275)</f>
        <v>IT100-1</v>
      </c>
      <c r="N275" t="str">
        <f t="shared" si="28"/>
        <v>110-54-3</v>
      </c>
      <c r="O275" t="str">
        <f t="shared" si="28"/>
        <v>Hexane</v>
      </c>
      <c r="P275" s="6" cm="1">
        <f t="array" ref="P275">INDEX(Tabl_B4_Tanks!$Q$7:$AA$33,X_EMIS!K275,X_EMIS!L275)</f>
        <v>1.2932509351685107E-4</v>
      </c>
      <c r="Q275" cm="1">
        <f t="array" ref="Q275">INDEX(Tabl_B4_Tanks!$F$7:$P$33,X_EMIS!J275,X_EMIS!L275)</f>
        <v>4.7203659133650641E-2</v>
      </c>
    </row>
    <row r="276" spans="10:17">
      <c r="J276">
        <f t="shared" si="26"/>
        <v>13</v>
      </c>
      <c r="K276" cm="1">
        <f t="array" ref="K276">INDEX(H$19:H$45,J276)</f>
        <v>13</v>
      </c>
      <c r="L276">
        <f t="shared" si="27"/>
        <v>10</v>
      </c>
      <c r="M276" t="str" cm="1">
        <f t="array" ref="M276">INDEX(Tabl_B4_Tanks!B$7:B$33,X_EMIS!K276)</f>
        <v>IT100-1</v>
      </c>
      <c r="N276" t="str">
        <f t="shared" si="28"/>
        <v>1330-20-7</v>
      </c>
      <c r="O276" t="str">
        <f t="shared" si="28"/>
        <v>Xylene (mixture), including m-xylene, o-xylene, p-xylene</v>
      </c>
      <c r="P276" s="6" cm="1">
        <f t="array" ref="P276">INDEX(Tabl_B4_Tanks!$Q$7:$AA$33,X_EMIS!K276,X_EMIS!L276)</f>
        <v>1.304496595474324E-3</v>
      </c>
      <c r="Q276" cm="1">
        <f t="array" ref="Q276">INDEX(Tabl_B4_Tanks!$F$7:$P$33,X_EMIS!J276,X_EMIS!L276)</f>
        <v>0.47614125734812823</v>
      </c>
    </row>
    <row r="277" spans="10:17">
      <c r="J277">
        <f t="shared" si="26"/>
        <v>13</v>
      </c>
      <c r="K277" cm="1">
        <f t="array" ref="K277">INDEX(H$19:H$45,J277)</f>
        <v>13</v>
      </c>
      <c r="L277">
        <f t="shared" si="27"/>
        <v>11</v>
      </c>
      <c r="M277" t="str" cm="1">
        <f t="array" ref="M277">INDEX(Tabl_B4_Tanks!B$7:B$33,X_EMIS!K277)</f>
        <v>IT100-1</v>
      </c>
      <c r="N277" t="str">
        <f t="shared" si="28"/>
        <v>7783-06-4</v>
      </c>
      <c r="O277" t="str">
        <f t="shared" si="28"/>
        <v>Hydrogen sulfide</v>
      </c>
      <c r="P277" s="6" cm="1">
        <f t="array" ref="P277">INDEX(Tabl_B4_Tanks!$Q$7:$AA$33,X_EMIS!K277,X_EMIS!L277)</f>
        <v>6.3725408399607783E-5</v>
      </c>
      <c r="Q277" cm="1">
        <f t="array" ref="Q277">INDEX(Tabl_B4_Tanks!$F$7:$P$33,X_EMIS!J277,X_EMIS!L277)</f>
        <v>2.3259774065856841E-2</v>
      </c>
    </row>
    <row r="278" spans="10:17">
      <c r="J278">
        <f t="shared" si="26"/>
        <v>14</v>
      </c>
      <c r="K278" cm="1">
        <f t="array" ref="K278">INDEX(H$19:H$45,J278)</f>
        <v>14</v>
      </c>
      <c r="L278">
        <f t="shared" si="27"/>
        <v>1</v>
      </c>
      <c r="M278" t="str" cm="1">
        <f t="array" ref="M278">INDEX(Tabl_B4_Tanks!B$7:B$33,X_EMIS!K278)</f>
        <v>IT220-2</v>
      </c>
      <c r="N278" t="str">
        <f t="shared" si="28"/>
        <v>91-57-6</v>
      </c>
      <c r="O278" t="str">
        <f t="shared" si="28"/>
        <v>2-Methyl naphthalene</v>
      </c>
      <c r="P278" s="6" cm="1">
        <f t="array" ref="P278">INDEX(Tabl_B4_Tanks!$Q$7:$AA$33,X_EMIS!K278,X_EMIS!L278)</f>
        <v>8.457202201180631E-4</v>
      </c>
      <c r="Q278" cm="1">
        <f t="array" ref="Q278">INDEX(Tabl_B4_Tanks!$F$7:$P$33,X_EMIS!J278,X_EMIS!L278)</f>
        <v>0.30868788034309302</v>
      </c>
    </row>
    <row r="279" spans="10:17">
      <c r="J279">
        <f t="shared" si="26"/>
        <v>14</v>
      </c>
      <c r="K279" cm="1">
        <f t="array" ref="K279">INDEX(H$19:H$45,J279)</f>
        <v>14</v>
      </c>
      <c r="L279">
        <f t="shared" si="27"/>
        <v>2</v>
      </c>
      <c r="M279" t="str" cm="1">
        <f t="array" ref="M279">INDEX(Tabl_B4_Tanks!B$7:B$33,X_EMIS!K279)</f>
        <v>IT220-2</v>
      </c>
      <c r="N279" t="str">
        <f t="shared" si="28"/>
        <v>91-20-3</v>
      </c>
      <c r="O279" t="str">
        <f t="shared" si="28"/>
        <v>Naphthalene</v>
      </c>
      <c r="P279" s="6" cm="1">
        <f t="array" ref="P279">INDEX(Tabl_B4_Tanks!$Q$7:$AA$33,X_EMIS!K279,X_EMIS!L279)</f>
        <v>4.9087257531328133E-4</v>
      </c>
      <c r="Q279" cm="1">
        <f t="array" ref="Q279">INDEX(Tabl_B4_Tanks!$F$7:$P$33,X_EMIS!J279,X_EMIS!L279)</f>
        <v>0.17916848998934767</v>
      </c>
    </row>
    <row r="280" spans="10:17">
      <c r="J280">
        <f t="shared" si="26"/>
        <v>14</v>
      </c>
      <c r="K280" cm="1">
        <f t="array" ref="K280">INDEX(H$19:H$45,J280)</f>
        <v>14</v>
      </c>
      <c r="L280">
        <f t="shared" si="27"/>
        <v>3</v>
      </c>
      <c r="M280" t="str" cm="1">
        <f t="array" ref="M280">INDEX(Tabl_B4_Tanks!B$7:B$33,X_EMIS!K280)</f>
        <v>IT220-2</v>
      </c>
      <c r="N280" t="str">
        <f t="shared" si="28"/>
        <v>108-95-2</v>
      </c>
      <c r="O280" t="str">
        <f t="shared" si="28"/>
        <v>Phenol</v>
      </c>
      <c r="P280" s="6" cm="1">
        <f t="array" ref="P280">INDEX(Tabl_B4_Tanks!$Q$7:$AA$33,X_EMIS!K280,X_EMIS!L280)</f>
        <v>1.0320152336405735E-5</v>
      </c>
      <c r="Q280" cm="1">
        <f t="array" ref="Q280">INDEX(Tabl_B4_Tanks!$F$7:$P$33,X_EMIS!J280,X_EMIS!L280)</f>
        <v>3.7668556027880928E-3</v>
      </c>
    </row>
    <row r="281" spans="10:17">
      <c r="J281">
        <f t="shared" si="26"/>
        <v>14</v>
      </c>
      <c r="K281" cm="1">
        <f t="array" ref="K281">INDEX(H$19:H$45,J281)</f>
        <v>14</v>
      </c>
      <c r="L281">
        <f t="shared" si="27"/>
        <v>4</v>
      </c>
      <c r="M281" t="str" cm="1">
        <f t="array" ref="M281">INDEX(Tabl_B4_Tanks!B$7:B$33,X_EMIS!K281)</f>
        <v>IT220-2</v>
      </c>
      <c r="N281" t="str">
        <f t="shared" si="28"/>
        <v>1319-77-3</v>
      </c>
      <c r="O281" t="str">
        <f t="shared" si="28"/>
        <v>Cresols (mixture), including m-cresol, o-cresol, p-cresol</v>
      </c>
      <c r="P281" s="6" cm="1">
        <f t="array" ref="P281">INDEX(Tabl_B4_Tanks!$Q$7:$AA$33,X_EMIS!K281,X_EMIS!L281)</f>
        <v>3.8441828187184683E-6</v>
      </c>
      <c r="Q281" cm="1">
        <f t="array" ref="Q281">INDEX(Tabl_B4_Tanks!$F$7:$P$33,X_EMIS!J281,X_EMIS!L281)</f>
        <v>1.4031267288322409E-3</v>
      </c>
    </row>
    <row r="282" spans="10:17">
      <c r="J282">
        <f t="shared" si="26"/>
        <v>14</v>
      </c>
      <c r="K282" cm="1">
        <f t="array" ref="K282">INDEX(H$19:H$45,J282)</f>
        <v>14</v>
      </c>
      <c r="L282">
        <f t="shared" si="27"/>
        <v>5</v>
      </c>
      <c r="M282" t="str" cm="1">
        <f t="array" ref="M282">INDEX(Tabl_B4_Tanks!B$7:B$33,X_EMIS!K282)</f>
        <v>IT220-2</v>
      </c>
      <c r="N282" t="str">
        <f t="shared" si="28"/>
        <v>71-43-2</v>
      </c>
      <c r="O282" t="str">
        <f t="shared" si="28"/>
        <v>Benzene</v>
      </c>
      <c r="P282" s="6" cm="1">
        <f t="array" ref="P282">INDEX(Tabl_B4_Tanks!$Q$7:$AA$33,X_EMIS!K282,X_EMIS!L282)</f>
        <v>6.8603877995591128E-5</v>
      </c>
      <c r="Q282" cm="1">
        <f t="array" ref="Q282">INDEX(Tabl_B4_Tanks!$F$7:$P$33,X_EMIS!J282,X_EMIS!L282)</f>
        <v>2.504041546839076E-2</v>
      </c>
    </row>
    <row r="283" spans="10:17">
      <c r="J283">
        <f t="shared" si="26"/>
        <v>14</v>
      </c>
      <c r="K283" cm="1">
        <f t="array" ref="K283">INDEX(H$19:H$45,J283)</f>
        <v>14</v>
      </c>
      <c r="L283">
        <f t="shared" si="27"/>
        <v>6</v>
      </c>
      <c r="M283" t="str" cm="1">
        <f t="array" ref="M283">INDEX(Tabl_B4_Tanks!B$7:B$33,X_EMIS!K283)</f>
        <v>IT220-2</v>
      </c>
      <c r="N283" t="str">
        <f t="shared" si="28"/>
        <v>100-41-4</v>
      </c>
      <c r="O283" t="str">
        <f t="shared" si="28"/>
        <v>Ethyl benzene</v>
      </c>
      <c r="P283" s="6" cm="1">
        <f t="array" ref="P283">INDEX(Tabl_B4_Tanks!$Q$7:$AA$33,X_EMIS!K283,X_EMIS!L283)</f>
        <v>1.7417105232501369E-4</v>
      </c>
      <c r="Q283" cm="1">
        <f t="array" ref="Q283">INDEX(Tabl_B4_Tanks!$F$7:$P$33,X_EMIS!J283,X_EMIS!L283)</f>
        <v>6.357243409862999E-2</v>
      </c>
    </row>
    <row r="284" spans="10:17">
      <c r="J284">
        <f t="shared" si="26"/>
        <v>14</v>
      </c>
      <c r="K284" cm="1">
        <f t="array" ref="K284">INDEX(H$19:H$45,J284)</f>
        <v>14</v>
      </c>
      <c r="L284">
        <f t="shared" si="27"/>
        <v>7</v>
      </c>
      <c r="M284" t="str" cm="1">
        <f t="array" ref="M284">INDEX(Tabl_B4_Tanks!B$7:B$33,X_EMIS!K284)</f>
        <v>IT220-2</v>
      </c>
      <c r="N284" t="str">
        <f t="shared" si="28"/>
        <v>98-82-8</v>
      </c>
      <c r="O284" t="str">
        <f t="shared" si="28"/>
        <v>Isopropylbenzene (Cumene)</v>
      </c>
      <c r="P284" s="6" cm="1">
        <f t="array" ref="P284">INDEX(Tabl_B4_Tanks!$Q$7:$AA$33,X_EMIS!K284,X_EMIS!L284)</f>
        <v>3.6076177221819473E-5</v>
      </c>
      <c r="Q284" cm="1">
        <f t="array" ref="Q284">INDEX(Tabl_B4_Tanks!$F$7:$P$33,X_EMIS!J284,X_EMIS!L284)</f>
        <v>1.3167804685964107E-2</v>
      </c>
    </row>
    <row r="285" spans="10:17">
      <c r="J285">
        <f t="shared" si="26"/>
        <v>14</v>
      </c>
      <c r="K285" cm="1">
        <f t="array" ref="K285">INDEX(H$19:H$45,J285)</f>
        <v>14</v>
      </c>
      <c r="L285">
        <f t="shared" si="27"/>
        <v>8</v>
      </c>
      <c r="M285" t="str" cm="1">
        <f t="array" ref="M285">INDEX(Tabl_B4_Tanks!B$7:B$33,X_EMIS!K285)</f>
        <v>IT220-2</v>
      </c>
      <c r="N285" t="str">
        <f t="shared" si="28"/>
        <v>108-88-3</v>
      </c>
      <c r="O285" t="str">
        <f t="shared" si="28"/>
        <v>Toluene</v>
      </c>
      <c r="P285" s="6" cm="1">
        <f t="array" ref="P285">INDEX(Tabl_B4_Tanks!$Q$7:$AA$33,X_EMIS!K285,X_EMIS!L285)</f>
        <v>6.1802631470166147E-4</v>
      </c>
      <c r="Q285" cm="1">
        <f t="array" ref="Q285">INDEX(Tabl_B4_Tanks!$F$7:$P$33,X_EMIS!J285,X_EMIS!L285)</f>
        <v>0.2255796048661064</v>
      </c>
    </row>
    <row r="286" spans="10:17">
      <c r="J286">
        <f t="shared" si="26"/>
        <v>14</v>
      </c>
      <c r="K286" cm="1">
        <f t="array" ref="K286">INDEX(H$19:H$45,J286)</f>
        <v>14</v>
      </c>
      <c r="L286">
        <f t="shared" si="27"/>
        <v>9</v>
      </c>
      <c r="M286" t="str" cm="1">
        <f t="array" ref="M286">INDEX(Tabl_B4_Tanks!B$7:B$33,X_EMIS!K286)</f>
        <v>IT220-2</v>
      </c>
      <c r="N286" t="str">
        <f t="shared" si="28"/>
        <v>110-54-3</v>
      </c>
      <c r="O286" t="str">
        <f t="shared" si="28"/>
        <v>Hexane</v>
      </c>
      <c r="P286" s="6" cm="1">
        <f t="array" ref="P286">INDEX(Tabl_B4_Tanks!$Q$7:$AA$33,X_EMIS!K286,X_EMIS!L286)</f>
        <v>1.0201869788137473E-4</v>
      </c>
      <c r="Q286" cm="1">
        <f t="array" ref="Q286">INDEX(Tabl_B4_Tanks!$F$7:$P$33,X_EMIS!J286,X_EMIS!L286)</f>
        <v>3.7236824726701777E-2</v>
      </c>
    </row>
    <row r="287" spans="10:17">
      <c r="J287">
        <f t="shared" si="26"/>
        <v>14</v>
      </c>
      <c r="K287" cm="1">
        <f t="array" ref="K287">INDEX(H$19:H$45,J287)</f>
        <v>14</v>
      </c>
      <c r="L287">
        <f t="shared" si="27"/>
        <v>10</v>
      </c>
      <c r="M287" t="str" cm="1">
        <f t="array" ref="M287">INDEX(Tabl_B4_Tanks!B$7:B$33,X_EMIS!K287)</f>
        <v>IT220-2</v>
      </c>
      <c r="N287" t="str">
        <f t="shared" si="28"/>
        <v>1330-20-7</v>
      </c>
      <c r="O287" t="str">
        <f t="shared" si="28"/>
        <v>Xylene (mixture), including m-xylene, o-xylene, p-xylene</v>
      </c>
      <c r="P287" s="6" cm="1">
        <f t="array" ref="P287">INDEX(Tabl_B4_Tanks!$Q$7:$AA$33,X_EMIS!K287,X_EMIS!L287)</f>
        <v>1.0290581699338669E-3</v>
      </c>
      <c r="Q287" cm="1">
        <f t="array" ref="Q287">INDEX(Tabl_B4_Tanks!$F$7:$P$33,X_EMIS!J287,X_EMIS!L287)</f>
        <v>0.37560623202586141</v>
      </c>
    </row>
    <row r="288" spans="10:17">
      <c r="J288">
        <f t="shared" si="26"/>
        <v>14</v>
      </c>
      <c r="K288" cm="1">
        <f t="array" ref="K288">INDEX(H$19:H$45,J288)</f>
        <v>14</v>
      </c>
      <c r="L288">
        <f t="shared" si="27"/>
        <v>11</v>
      </c>
      <c r="M288" t="str" cm="1">
        <f t="array" ref="M288">INDEX(Tabl_B4_Tanks!B$7:B$33,X_EMIS!K288)</f>
        <v>IT220-2</v>
      </c>
      <c r="N288" t="str">
        <f t="shared" si="28"/>
        <v>7783-06-4</v>
      </c>
      <c r="O288" t="str">
        <f t="shared" si="28"/>
        <v>Hydrogen sulfide</v>
      </c>
      <c r="P288" s="6" cm="1">
        <f t="array" ref="P288">INDEX(Tabl_B4_Tanks!$Q$7:$AA$33,X_EMIS!K288,X_EMIS!L288)</f>
        <v>5.0270083014010743E-5</v>
      </c>
      <c r="Q288" cm="1">
        <f t="array" ref="Q288">INDEX(Tabl_B4_Tanks!$F$7:$P$33,X_EMIS!J288,X_EMIS!L288)</f>
        <v>1.834858030011392E-2</v>
      </c>
    </row>
    <row r="289" spans="10:17">
      <c r="J289">
        <f t="shared" si="26"/>
        <v>15</v>
      </c>
      <c r="K289" cm="1">
        <f t="array" ref="K289">INDEX(H$19:H$45,J289)</f>
        <v>15</v>
      </c>
      <c r="L289">
        <f t="shared" si="27"/>
        <v>1</v>
      </c>
      <c r="M289" t="str" cm="1">
        <f t="array" ref="M289">INDEX(Tabl_B4_Tanks!B$7:B$33,X_EMIS!K289)</f>
        <v>TK10401</v>
      </c>
      <c r="N289" t="str">
        <f t="shared" si="28"/>
        <v>91-57-6</v>
      </c>
      <c r="O289" t="str">
        <f t="shared" si="28"/>
        <v>2-Methyl naphthalene</v>
      </c>
      <c r="P289" s="6" cm="1">
        <f t="array" ref="P289">INDEX(Tabl_B4_Tanks!$Q$7:$AA$33,X_EMIS!K289,X_EMIS!L289)</f>
        <v>8.9495054360425464E-4</v>
      </c>
      <c r="Q289" cm="1">
        <f t="array" ref="Q289">INDEX(Tabl_B4_Tanks!$F$7:$P$33,X_EMIS!J289,X_EMIS!L289)</f>
        <v>0.32665694841555298</v>
      </c>
    </row>
    <row r="290" spans="10:17">
      <c r="J290">
        <f t="shared" si="26"/>
        <v>15</v>
      </c>
      <c r="K290" cm="1">
        <f t="array" ref="K290">INDEX(H$19:H$45,J290)</f>
        <v>15</v>
      </c>
      <c r="L290">
        <f t="shared" si="27"/>
        <v>2</v>
      </c>
      <c r="M290" t="str" cm="1">
        <f t="array" ref="M290">INDEX(Tabl_B4_Tanks!B$7:B$33,X_EMIS!K290)</f>
        <v>TK10401</v>
      </c>
      <c r="N290" t="str">
        <f t="shared" ref="N290:O305" si="29">N279</f>
        <v>91-20-3</v>
      </c>
      <c r="O290" t="str">
        <f t="shared" si="29"/>
        <v>Naphthalene</v>
      </c>
      <c r="P290" s="6" cm="1">
        <f t="array" ref="P290">INDEX(Tabl_B4_Tanks!$Q$7:$AA$33,X_EMIS!K290,X_EMIS!L290)</f>
        <v>5.1944681901505685E-4</v>
      </c>
      <c r="Q290" cm="1">
        <f t="array" ref="Q290">INDEX(Tabl_B4_Tanks!$F$7:$P$33,X_EMIS!J290,X_EMIS!L290)</f>
        <v>0.18959808894049579</v>
      </c>
    </row>
    <row r="291" spans="10:17">
      <c r="J291">
        <f t="shared" si="26"/>
        <v>15</v>
      </c>
      <c r="K291" cm="1">
        <f t="array" ref="K291">INDEX(H$19:H$45,J291)</f>
        <v>15</v>
      </c>
      <c r="L291">
        <f t="shared" si="27"/>
        <v>3</v>
      </c>
      <c r="M291" t="str" cm="1">
        <f t="array" ref="M291">INDEX(Tabl_B4_Tanks!B$7:B$33,X_EMIS!K291)</f>
        <v>TK10401</v>
      </c>
      <c r="N291" t="str">
        <f t="shared" si="29"/>
        <v>108-95-2</v>
      </c>
      <c r="O291" t="str">
        <f t="shared" si="29"/>
        <v>Phenol</v>
      </c>
      <c r="P291" s="6" cm="1">
        <f t="array" ref="P291">INDEX(Tabl_B4_Tanks!$Q$7:$AA$33,X_EMIS!K291,X_EMIS!L291)</f>
        <v>1.0920899990135835E-5</v>
      </c>
      <c r="Q291" cm="1">
        <f t="array" ref="Q291">INDEX(Tabl_B4_Tanks!$F$7:$P$33,X_EMIS!J291,X_EMIS!L291)</f>
        <v>3.9861284963995797E-3</v>
      </c>
    </row>
    <row r="292" spans="10:17">
      <c r="J292">
        <f t="shared" si="26"/>
        <v>15</v>
      </c>
      <c r="K292" cm="1">
        <f t="array" ref="K292">INDEX(H$19:H$45,J292)</f>
        <v>15</v>
      </c>
      <c r="L292">
        <f t="shared" si="27"/>
        <v>4</v>
      </c>
      <c r="M292" t="str" cm="1">
        <f t="array" ref="M292">INDEX(Tabl_B4_Tanks!B$7:B$33,X_EMIS!K292)</f>
        <v>TK10401</v>
      </c>
      <c r="N292" t="str">
        <f t="shared" si="29"/>
        <v>1319-77-3</v>
      </c>
      <c r="O292" t="str">
        <f t="shared" si="29"/>
        <v>Cresols (mixture), including m-cresol, o-cresol, p-cresol</v>
      </c>
      <c r="P292" s="6" cm="1">
        <f t="array" ref="P292">INDEX(Tabl_B4_Tanks!$Q$7:$AA$33,X_EMIS!K292,X_EMIS!L292)</f>
        <v>4.0679570163829756E-6</v>
      </c>
      <c r="Q292" cm="1">
        <f t="array" ref="Q292">INDEX(Tabl_B4_Tanks!$F$7:$P$33,X_EMIS!J292,X_EMIS!L292)</f>
        <v>1.4848043109797861E-3</v>
      </c>
    </row>
    <row r="293" spans="10:17">
      <c r="J293">
        <f t="shared" si="26"/>
        <v>15</v>
      </c>
      <c r="K293" cm="1">
        <f t="array" ref="K293">INDEX(H$19:H$45,J293)</f>
        <v>15</v>
      </c>
      <c r="L293">
        <f t="shared" si="27"/>
        <v>5</v>
      </c>
      <c r="M293" t="str" cm="1">
        <f t="array" ref="M293">INDEX(Tabl_B4_Tanks!B$7:B$33,X_EMIS!K293)</f>
        <v>TK10401</v>
      </c>
      <c r="N293" t="str">
        <f t="shared" si="29"/>
        <v>71-43-2</v>
      </c>
      <c r="O293" t="str">
        <f t="shared" si="29"/>
        <v>Benzene</v>
      </c>
      <c r="P293" s="6" cm="1">
        <f t="array" ref="P293">INDEX(Tabl_B4_Tanks!$Q$7:$AA$33,X_EMIS!K293,X_EMIS!L293)</f>
        <v>7.2597386753911567E-5</v>
      </c>
      <c r="Q293" cm="1">
        <f t="array" ref="Q293">INDEX(Tabl_B4_Tanks!$F$7:$P$33,X_EMIS!J293,X_EMIS!L293)</f>
        <v>2.6498046165177723E-2</v>
      </c>
    </row>
    <row r="294" spans="10:17">
      <c r="J294">
        <f t="shared" si="26"/>
        <v>15</v>
      </c>
      <c r="K294" cm="1">
        <f t="array" ref="K294">INDEX(H$19:H$45,J294)</f>
        <v>15</v>
      </c>
      <c r="L294">
        <f t="shared" si="27"/>
        <v>6</v>
      </c>
      <c r="M294" t="str" cm="1">
        <f t="array" ref="M294">INDEX(Tabl_B4_Tanks!B$7:B$33,X_EMIS!K294)</f>
        <v>TK10401</v>
      </c>
      <c r="N294" t="str">
        <f t="shared" si="29"/>
        <v>100-41-4</v>
      </c>
      <c r="O294" t="str">
        <f t="shared" si="29"/>
        <v>Ethyl benzene</v>
      </c>
      <c r="P294" s="6" cm="1">
        <f t="array" ref="P294">INDEX(Tabl_B4_Tanks!$Q$7:$AA$33,X_EMIS!K294,X_EMIS!L294)</f>
        <v>1.8430974481919789E-4</v>
      </c>
      <c r="Q294" cm="1">
        <f t="array" ref="Q294">INDEX(Tabl_B4_Tanks!$F$7:$P$33,X_EMIS!J294,X_EMIS!L294)</f>
        <v>6.7273056859007238E-2</v>
      </c>
    </row>
    <row r="295" spans="10:17">
      <c r="J295">
        <f t="shared" si="26"/>
        <v>15</v>
      </c>
      <c r="K295" cm="1">
        <f t="array" ref="K295">INDEX(H$19:H$45,J295)</f>
        <v>15</v>
      </c>
      <c r="L295">
        <f t="shared" si="27"/>
        <v>7</v>
      </c>
      <c r="M295" t="str" cm="1">
        <f t="array" ref="M295">INDEX(Tabl_B4_Tanks!B$7:B$33,X_EMIS!K295)</f>
        <v>TK10401</v>
      </c>
      <c r="N295" t="str">
        <f t="shared" si="29"/>
        <v>98-82-8</v>
      </c>
      <c r="O295" t="str">
        <f t="shared" si="29"/>
        <v>Isopropylbenzene (Cumene)</v>
      </c>
      <c r="P295" s="6" cm="1">
        <f t="array" ref="P295">INDEX(Tabl_B4_Tanks!$Q$7:$AA$33,X_EMIS!K295,X_EMIS!L295)</f>
        <v>3.8176211999901766E-5</v>
      </c>
      <c r="Q295" cm="1">
        <f t="array" ref="Q295">INDEX(Tabl_B4_Tanks!$F$7:$P$33,X_EMIS!J295,X_EMIS!L295)</f>
        <v>1.3934317379964147E-2</v>
      </c>
    </row>
    <row r="296" spans="10:17">
      <c r="J296">
        <f t="shared" si="26"/>
        <v>15</v>
      </c>
      <c r="K296" cm="1">
        <f t="array" ref="K296">INDEX(H$19:H$45,J296)</f>
        <v>15</v>
      </c>
      <c r="L296">
        <f t="shared" si="27"/>
        <v>8</v>
      </c>
      <c r="M296" t="str" cm="1">
        <f t="array" ref="M296">INDEX(Tabl_B4_Tanks!B$7:B$33,X_EMIS!K296)</f>
        <v>TK10401</v>
      </c>
      <c r="N296" t="str">
        <f t="shared" si="29"/>
        <v>108-88-3</v>
      </c>
      <c r="O296" t="str">
        <f t="shared" si="29"/>
        <v>Toluene</v>
      </c>
      <c r="P296" s="6" cm="1">
        <f t="array" ref="P296">INDEX(Tabl_B4_Tanks!$Q$7:$AA$33,X_EMIS!K296,X_EMIS!L296)</f>
        <v>6.5400232032618603E-4</v>
      </c>
      <c r="Q296" cm="1">
        <f t="array" ref="Q296">INDEX(Tabl_B4_Tanks!$F$7:$P$33,X_EMIS!J296,X_EMIS!L296)</f>
        <v>0.23871084691905792</v>
      </c>
    </row>
    <row r="297" spans="10:17">
      <c r="J297">
        <f t="shared" si="26"/>
        <v>15</v>
      </c>
      <c r="K297" cm="1">
        <f t="array" ref="K297">INDEX(H$19:H$45,J297)</f>
        <v>15</v>
      </c>
      <c r="L297">
        <f t="shared" si="27"/>
        <v>9</v>
      </c>
      <c r="M297" t="str" cm="1">
        <f t="array" ref="M297">INDEX(Tabl_B4_Tanks!B$7:B$33,X_EMIS!K297)</f>
        <v>TK10401</v>
      </c>
      <c r="N297" t="str">
        <f t="shared" si="29"/>
        <v>110-54-3</v>
      </c>
      <c r="O297" t="str">
        <f t="shared" si="29"/>
        <v>Hexane</v>
      </c>
      <c r="P297" s="6" cm="1">
        <f t="array" ref="P297">INDEX(Tabl_B4_Tanks!$Q$7:$AA$33,X_EMIS!K297,X_EMIS!L297)</f>
        <v>1.0795732081939435E-4</v>
      </c>
      <c r="Q297" cm="1">
        <f t="array" ref="Q297">INDEX(Tabl_B4_Tanks!$F$7:$P$33,X_EMIS!J297,X_EMIS!L297)</f>
        <v>3.9404422099078941E-2</v>
      </c>
    </row>
    <row r="298" spans="10:17">
      <c r="J298">
        <f t="shared" si="26"/>
        <v>15</v>
      </c>
      <c r="K298" cm="1">
        <f t="array" ref="K298">INDEX(H$19:H$45,J298)</f>
        <v>15</v>
      </c>
      <c r="L298">
        <f t="shared" si="27"/>
        <v>10</v>
      </c>
      <c r="M298" t="str" cm="1">
        <f t="array" ref="M298">INDEX(Tabl_B4_Tanks!B$7:B$33,X_EMIS!K298)</f>
        <v>TK10401</v>
      </c>
      <c r="N298" t="str">
        <f t="shared" si="29"/>
        <v>1330-20-7</v>
      </c>
      <c r="O298" t="str">
        <f t="shared" si="29"/>
        <v>Xylene (mixture), including m-xylene, o-xylene, p-xylene</v>
      </c>
      <c r="P298" s="6" cm="1">
        <f t="array" ref="P298">INDEX(Tabl_B4_Tanks!$Q$7:$AA$33,X_EMIS!K298,X_EMIS!L298)</f>
        <v>1.0889608013086734E-3</v>
      </c>
      <c r="Q298" cm="1">
        <f t="array" ref="Q298">INDEX(Tabl_B4_Tanks!$F$7:$P$33,X_EMIS!J298,X_EMIS!L298)</f>
        <v>0.39747069247766587</v>
      </c>
    </row>
    <row r="299" spans="10:17">
      <c r="J299">
        <f t="shared" si="26"/>
        <v>15</v>
      </c>
      <c r="K299" cm="1">
        <f t="array" ref="K299">INDEX(H$19:H$45,J299)</f>
        <v>15</v>
      </c>
      <c r="L299">
        <f t="shared" si="27"/>
        <v>11</v>
      </c>
      <c r="M299" t="str" cm="1">
        <f t="array" ref="M299">INDEX(Tabl_B4_Tanks!B$7:B$33,X_EMIS!K299)</f>
        <v>TK10401</v>
      </c>
      <c r="N299" t="str">
        <f t="shared" si="29"/>
        <v>7783-06-4</v>
      </c>
      <c r="O299" t="str">
        <f t="shared" si="29"/>
        <v>Hydrogen sulfide</v>
      </c>
      <c r="P299" s="6" cm="1">
        <f t="array" ref="P299">INDEX(Tabl_B4_Tanks!$Q$7:$AA$33,X_EMIS!K299,X_EMIS!L299)</f>
        <v>5.3196360983469682E-5</v>
      </c>
      <c r="Q299" cm="1">
        <f t="array" ref="Q299">INDEX(Tabl_B4_Tanks!$F$7:$P$33,X_EMIS!J299,X_EMIS!L299)</f>
        <v>1.9416671758966435E-2</v>
      </c>
    </row>
    <row r="300" spans="10:17">
      <c r="J300">
        <f t="shared" si="26"/>
        <v>16</v>
      </c>
      <c r="K300" cm="1">
        <f t="array" ref="K300">INDEX(H$19:H$45,J300)</f>
        <v>16</v>
      </c>
      <c r="L300">
        <f t="shared" si="27"/>
        <v>1</v>
      </c>
      <c r="M300" t="str" cm="1">
        <f t="array" ref="M300">INDEX(Tabl_B4_Tanks!B$7:B$33,X_EMIS!K300)</f>
        <v>TK10402</v>
      </c>
      <c r="N300" t="str">
        <f t="shared" si="29"/>
        <v>91-57-6</v>
      </c>
      <c r="O300" t="str">
        <f t="shared" si="29"/>
        <v>2-Methyl naphthalene</v>
      </c>
      <c r="P300" s="6" cm="1">
        <f t="array" ref="P300">INDEX(Tabl_B4_Tanks!$Q$7:$AA$33,X_EMIS!K300,X_EMIS!L300)</f>
        <v>8.9495054360425464E-4</v>
      </c>
      <c r="Q300" cm="1">
        <f t="array" ref="Q300">INDEX(Tabl_B4_Tanks!$F$7:$P$33,X_EMIS!J300,X_EMIS!L300)</f>
        <v>0.32665694841555298</v>
      </c>
    </row>
    <row r="301" spans="10:17">
      <c r="J301">
        <f t="shared" si="26"/>
        <v>16</v>
      </c>
      <c r="K301" cm="1">
        <f t="array" ref="K301">INDEX(H$19:H$45,J301)</f>
        <v>16</v>
      </c>
      <c r="L301">
        <f t="shared" si="27"/>
        <v>2</v>
      </c>
      <c r="M301" t="str" cm="1">
        <f t="array" ref="M301">INDEX(Tabl_B4_Tanks!B$7:B$33,X_EMIS!K301)</f>
        <v>TK10402</v>
      </c>
      <c r="N301" t="str">
        <f t="shared" si="29"/>
        <v>91-20-3</v>
      </c>
      <c r="O301" t="str">
        <f t="shared" si="29"/>
        <v>Naphthalene</v>
      </c>
      <c r="P301" s="6" cm="1">
        <f t="array" ref="P301">INDEX(Tabl_B4_Tanks!$Q$7:$AA$33,X_EMIS!K301,X_EMIS!L301)</f>
        <v>5.1944681901505685E-4</v>
      </c>
      <c r="Q301" cm="1">
        <f t="array" ref="Q301">INDEX(Tabl_B4_Tanks!$F$7:$P$33,X_EMIS!J301,X_EMIS!L301)</f>
        <v>0.18959808894049579</v>
      </c>
    </row>
    <row r="302" spans="10:17">
      <c r="J302">
        <f t="shared" si="26"/>
        <v>16</v>
      </c>
      <c r="K302" cm="1">
        <f t="array" ref="K302">INDEX(H$19:H$45,J302)</f>
        <v>16</v>
      </c>
      <c r="L302">
        <f t="shared" si="27"/>
        <v>3</v>
      </c>
      <c r="M302" t="str" cm="1">
        <f t="array" ref="M302">INDEX(Tabl_B4_Tanks!B$7:B$33,X_EMIS!K302)</f>
        <v>TK10402</v>
      </c>
      <c r="N302" t="str">
        <f t="shared" si="29"/>
        <v>108-95-2</v>
      </c>
      <c r="O302" t="str">
        <f t="shared" si="29"/>
        <v>Phenol</v>
      </c>
      <c r="P302" s="6" cm="1">
        <f t="array" ref="P302">INDEX(Tabl_B4_Tanks!$Q$7:$AA$33,X_EMIS!K302,X_EMIS!L302)</f>
        <v>1.0920899990135835E-5</v>
      </c>
      <c r="Q302" cm="1">
        <f t="array" ref="Q302">INDEX(Tabl_B4_Tanks!$F$7:$P$33,X_EMIS!J302,X_EMIS!L302)</f>
        <v>3.9861284963995797E-3</v>
      </c>
    </row>
    <row r="303" spans="10:17">
      <c r="J303">
        <f t="shared" si="26"/>
        <v>16</v>
      </c>
      <c r="K303" cm="1">
        <f t="array" ref="K303">INDEX(H$19:H$45,J303)</f>
        <v>16</v>
      </c>
      <c r="L303">
        <f t="shared" si="27"/>
        <v>4</v>
      </c>
      <c r="M303" t="str" cm="1">
        <f t="array" ref="M303">INDEX(Tabl_B4_Tanks!B$7:B$33,X_EMIS!K303)</f>
        <v>TK10402</v>
      </c>
      <c r="N303" t="str">
        <f t="shared" si="29"/>
        <v>1319-77-3</v>
      </c>
      <c r="O303" t="str">
        <f t="shared" si="29"/>
        <v>Cresols (mixture), including m-cresol, o-cresol, p-cresol</v>
      </c>
      <c r="P303" s="6" cm="1">
        <f t="array" ref="P303">INDEX(Tabl_B4_Tanks!$Q$7:$AA$33,X_EMIS!K303,X_EMIS!L303)</f>
        <v>4.0679570163829756E-6</v>
      </c>
      <c r="Q303" cm="1">
        <f t="array" ref="Q303">INDEX(Tabl_B4_Tanks!$F$7:$P$33,X_EMIS!J303,X_EMIS!L303)</f>
        <v>1.4848043109797861E-3</v>
      </c>
    </row>
    <row r="304" spans="10:17">
      <c r="J304">
        <f t="shared" si="26"/>
        <v>16</v>
      </c>
      <c r="K304" cm="1">
        <f t="array" ref="K304">INDEX(H$19:H$45,J304)</f>
        <v>16</v>
      </c>
      <c r="L304">
        <f t="shared" si="27"/>
        <v>5</v>
      </c>
      <c r="M304" t="str" cm="1">
        <f t="array" ref="M304">INDEX(Tabl_B4_Tanks!B$7:B$33,X_EMIS!K304)</f>
        <v>TK10402</v>
      </c>
      <c r="N304" t="str">
        <f t="shared" si="29"/>
        <v>71-43-2</v>
      </c>
      <c r="O304" t="str">
        <f t="shared" si="29"/>
        <v>Benzene</v>
      </c>
      <c r="P304" s="6" cm="1">
        <f t="array" ref="P304">INDEX(Tabl_B4_Tanks!$Q$7:$AA$33,X_EMIS!K304,X_EMIS!L304)</f>
        <v>7.2597386753911567E-5</v>
      </c>
      <c r="Q304" cm="1">
        <f t="array" ref="Q304">INDEX(Tabl_B4_Tanks!$F$7:$P$33,X_EMIS!J304,X_EMIS!L304)</f>
        <v>2.6498046165177723E-2</v>
      </c>
    </row>
    <row r="305" spans="10:17">
      <c r="J305">
        <f t="shared" si="26"/>
        <v>16</v>
      </c>
      <c r="K305" cm="1">
        <f t="array" ref="K305">INDEX(H$19:H$45,J305)</f>
        <v>16</v>
      </c>
      <c r="L305">
        <f t="shared" si="27"/>
        <v>6</v>
      </c>
      <c r="M305" t="str" cm="1">
        <f t="array" ref="M305">INDEX(Tabl_B4_Tanks!B$7:B$33,X_EMIS!K305)</f>
        <v>TK10402</v>
      </c>
      <c r="N305" t="str">
        <f t="shared" si="29"/>
        <v>100-41-4</v>
      </c>
      <c r="O305" t="str">
        <f t="shared" si="29"/>
        <v>Ethyl benzene</v>
      </c>
      <c r="P305" s="6" cm="1">
        <f t="array" ref="P305">INDEX(Tabl_B4_Tanks!$Q$7:$AA$33,X_EMIS!K305,X_EMIS!L305)</f>
        <v>1.8430974481919789E-4</v>
      </c>
      <c r="Q305" cm="1">
        <f t="array" ref="Q305">INDEX(Tabl_B4_Tanks!$F$7:$P$33,X_EMIS!J305,X_EMIS!L305)</f>
        <v>6.7273056859007238E-2</v>
      </c>
    </row>
    <row r="306" spans="10:17">
      <c r="J306">
        <f t="shared" si="26"/>
        <v>16</v>
      </c>
      <c r="K306" cm="1">
        <f t="array" ref="K306">INDEX(H$19:H$45,J306)</f>
        <v>16</v>
      </c>
      <c r="L306">
        <f t="shared" si="27"/>
        <v>7</v>
      </c>
      <c r="M306" t="str" cm="1">
        <f t="array" ref="M306">INDEX(Tabl_B4_Tanks!B$7:B$33,X_EMIS!K306)</f>
        <v>TK10402</v>
      </c>
      <c r="N306" t="str">
        <f t="shared" ref="N306:O321" si="30">N295</f>
        <v>98-82-8</v>
      </c>
      <c r="O306" t="str">
        <f t="shared" si="30"/>
        <v>Isopropylbenzene (Cumene)</v>
      </c>
      <c r="P306" s="6" cm="1">
        <f t="array" ref="P306">INDEX(Tabl_B4_Tanks!$Q$7:$AA$33,X_EMIS!K306,X_EMIS!L306)</f>
        <v>3.8176211999901766E-5</v>
      </c>
      <c r="Q306" cm="1">
        <f t="array" ref="Q306">INDEX(Tabl_B4_Tanks!$F$7:$P$33,X_EMIS!J306,X_EMIS!L306)</f>
        <v>1.3934317379964147E-2</v>
      </c>
    </row>
    <row r="307" spans="10:17">
      <c r="J307">
        <f t="shared" si="26"/>
        <v>16</v>
      </c>
      <c r="K307" cm="1">
        <f t="array" ref="K307">INDEX(H$19:H$45,J307)</f>
        <v>16</v>
      </c>
      <c r="L307">
        <f t="shared" si="27"/>
        <v>8</v>
      </c>
      <c r="M307" t="str" cm="1">
        <f t="array" ref="M307">INDEX(Tabl_B4_Tanks!B$7:B$33,X_EMIS!K307)</f>
        <v>TK10402</v>
      </c>
      <c r="N307" t="str">
        <f t="shared" si="30"/>
        <v>108-88-3</v>
      </c>
      <c r="O307" t="str">
        <f t="shared" si="30"/>
        <v>Toluene</v>
      </c>
      <c r="P307" s="6" cm="1">
        <f t="array" ref="P307">INDEX(Tabl_B4_Tanks!$Q$7:$AA$33,X_EMIS!K307,X_EMIS!L307)</f>
        <v>6.5400232032618603E-4</v>
      </c>
      <c r="Q307" cm="1">
        <f t="array" ref="Q307">INDEX(Tabl_B4_Tanks!$F$7:$P$33,X_EMIS!J307,X_EMIS!L307)</f>
        <v>0.23871084691905792</v>
      </c>
    </row>
    <row r="308" spans="10:17">
      <c r="J308">
        <f t="shared" si="26"/>
        <v>16</v>
      </c>
      <c r="K308" cm="1">
        <f t="array" ref="K308">INDEX(H$19:H$45,J308)</f>
        <v>16</v>
      </c>
      <c r="L308">
        <f t="shared" si="27"/>
        <v>9</v>
      </c>
      <c r="M308" t="str" cm="1">
        <f t="array" ref="M308">INDEX(Tabl_B4_Tanks!B$7:B$33,X_EMIS!K308)</f>
        <v>TK10402</v>
      </c>
      <c r="N308" t="str">
        <f t="shared" si="30"/>
        <v>110-54-3</v>
      </c>
      <c r="O308" t="str">
        <f t="shared" si="30"/>
        <v>Hexane</v>
      </c>
      <c r="P308" s="6" cm="1">
        <f t="array" ref="P308">INDEX(Tabl_B4_Tanks!$Q$7:$AA$33,X_EMIS!K308,X_EMIS!L308)</f>
        <v>1.0795732081939435E-4</v>
      </c>
      <c r="Q308" cm="1">
        <f t="array" ref="Q308">INDEX(Tabl_B4_Tanks!$F$7:$P$33,X_EMIS!J308,X_EMIS!L308)</f>
        <v>3.9404422099078941E-2</v>
      </c>
    </row>
    <row r="309" spans="10:17">
      <c r="J309">
        <f t="shared" si="26"/>
        <v>16</v>
      </c>
      <c r="K309" cm="1">
        <f t="array" ref="K309">INDEX(H$19:H$45,J309)</f>
        <v>16</v>
      </c>
      <c r="L309">
        <f t="shared" si="27"/>
        <v>10</v>
      </c>
      <c r="M309" t="str" cm="1">
        <f t="array" ref="M309">INDEX(Tabl_B4_Tanks!B$7:B$33,X_EMIS!K309)</f>
        <v>TK10402</v>
      </c>
      <c r="N309" t="str">
        <f t="shared" si="30"/>
        <v>1330-20-7</v>
      </c>
      <c r="O309" t="str">
        <f t="shared" si="30"/>
        <v>Xylene (mixture), including m-xylene, o-xylene, p-xylene</v>
      </c>
      <c r="P309" s="6" cm="1">
        <f t="array" ref="P309">INDEX(Tabl_B4_Tanks!$Q$7:$AA$33,X_EMIS!K309,X_EMIS!L309)</f>
        <v>1.0889608013086734E-3</v>
      </c>
      <c r="Q309" cm="1">
        <f t="array" ref="Q309">INDEX(Tabl_B4_Tanks!$F$7:$P$33,X_EMIS!J309,X_EMIS!L309)</f>
        <v>0.39747069247766587</v>
      </c>
    </row>
    <row r="310" spans="10:17">
      <c r="J310">
        <f t="shared" si="26"/>
        <v>16</v>
      </c>
      <c r="K310" cm="1">
        <f t="array" ref="K310">INDEX(H$19:H$45,J310)</f>
        <v>16</v>
      </c>
      <c r="L310">
        <f t="shared" si="27"/>
        <v>11</v>
      </c>
      <c r="M310" t="str" cm="1">
        <f t="array" ref="M310">INDEX(Tabl_B4_Tanks!B$7:B$33,X_EMIS!K310)</f>
        <v>TK10402</v>
      </c>
      <c r="N310" t="str">
        <f t="shared" si="30"/>
        <v>7783-06-4</v>
      </c>
      <c r="O310" t="str">
        <f t="shared" si="30"/>
        <v>Hydrogen sulfide</v>
      </c>
      <c r="P310" s="6" cm="1">
        <f t="array" ref="P310">INDEX(Tabl_B4_Tanks!$Q$7:$AA$33,X_EMIS!K310,X_EMIS!L310)</f>
        <v>5.3196360983469682E-5</v>
      </c>
      <c r="Q310" cm="1">
        <f t="array" ref="Q310">INDEX(Tabl_B4_Tanks!$F$7:$P$33,X_EMIS!J310,X_EMIS!L310)</f>
        <v>1.9416671758966435E-2</v>
      </c>
    </row>
    <row r="311" spans="10:17">
      <c r="J311">
        <f t="shared" si="26"/>
        <v>17</v>
      </c>
      <c r="K311" cm="1">
        <f t="array" ref="K311">INDEX(H$19:H$45,J311)</f>
        <v>17</v>
      </c>
      <c r="L311">
        <f t="shared" si="27"/>
        <v>1</v>
      </c>
      <c r="M311" t="str" cm="1">
        <f t="array" ref="M311">INDEX(Tabl_B4_Tanks!B$7:B$33,X_EMIS!K311)</f>
        <v>TK10403</v>
      </c>
      <c r="N311" t="str">
        <f t="shared" si="30"/>
        <v>91-57-6</v>
      </c>
      <c r="O311" t="str">
        <f t="shared" si="30"/>
        <v>2-Methyl naphthalene</v>
      </c>
      <c r="P311" s="6" cm="1">
        <f t="array" ref="P311">INDEX(Tabl_B4_Tanks!$Q$7:$AA$33,X_EMIS!K311,X_EMIS!L311)</f>
        <v>8.9495054360425464E-4</v>
      </c>
      <c r="Q311" cm="1">
        <f t="array" ref="Q311">INDEX(Tabl_B4_Tanks!$F$7:$P$33,X_EMIS!J311,X_EMIS!L311)</f>
        <v>0.32665694841555298</v>
      </c>
    </row>
    <row r="312" spans="10:17">
      <c r="J312">
        <f t="shared" si="26"/>
        <v>17</v>
      </c>
      <c r="K312" cm="1">
        <f t="array" ref="K312">INDEX(H$19:H$45,J312)</f>
        <v>17</v>
      </c>
      <c r="L312">
        <f t="shared" si="27"/>
        <v>2</v>
      </c>
      <c r="M312" t="str" cm="1">
        <f t="array" ref="M312">INDEX(Tabl_B4_Tanks!B$7:B$33,X_EMIS!K312)</f>
        <v>TK10403</v>
      </c>
      <c r="N312" t="str">
        <f t="shared" si="30"/>
        <v>91-20-3</v>
      </c>
      <c r="O312" t="str">
        <f t="shared" si="30"/>
        <v>Naphthalene</v>
      </c>
      <c r="P312" s="6" cm="1">
        <f t="array" ref="P312">INDEX(Tabl_B4_Tanks!$Q$7:$AA$33,X_EMIS!K312,X_EMIS!L312)</f>
        <v>5.1944681901505685E-4</v>
      </c>
      <c r="Q312" cm="1">
        <f t="array" ref="Q312">INDEX(Tabl_B4_Tanks!$F$7:$P$33,X_EMIS!J312,X_EMIS!L312)</f>
        <v>0.18959808894049579</v>
      </c>
    </row>
    <row r="313" spans="10:17">
      <c r="J313">
        <f t="shared" si="26"/>
        <v>17</v>
      </c>
      <c r="K313" cm="1">
        <f t="array" ref="K313">INDEX(H$19:H$45,J313)</f>
        <v>17</v>
      </c>
      <c r="L313">
        <f t="shared" si="27"/>
        <v>3</v>
      </c>
      <c r="M313" t="str" cm="1">
        <f t="array" ref="M313">INDEX(Tabl_B4_Tanks!B$7:B$33,X_EMIS!K313)</f>
        <v>TK10403</v>
      </c>
      <c r="N313" t="str">
        <f t="shared" si="30"/>
        <v>108-95-2</v>
      </c>
      <c r="O313" t="str">
        <f t="shared" si="30"/>
        <v>Phenol</v>
      </c>
      <c r="P313" s="6" cm="1">
        <f t="array" ref="P313">INDEX(Tabl_B4_Tanks!$Q$7:$AA$33,X_EMIS!K313,X_EMIS!L313)</f>
        <v>1.0920899990135835E-5</v>
      </c>
      <c r="Q313" cm="1">
        <f t="array" ref="Q313">INDEX(Tabl_B4_Tanks!$F$7:$P$33,X_EMIS!J313,X_EMIS!L313)</f>
        <v>3.9861284963995797E-3</v>
      </c>
    </row>
    <row r="314" spans="10:17">
      <c r="J314">
        <f t="shared" si="26"/>
        <v>17</v>
      </c>
      <c r="K314" cm="1">
        <f t="array" ref="K314">INDEX(H$19:H$45,J314)</f>
        <v>17</v>
      </c>
      <c r="L314">
        <f t="shared" si="27"/>
        <v>4</v>
      </c>
      <c r="M314" t="str" cm="1">
        <f t="array" ref="M314">INDEX(Tabl_B4_Tanks!B$7:B$33,X_EMIS!K314)</f>
        <v>TK10403</v>
      </c>
      <c r="N314" t="str">
        <f t="shared" si="30"/>
        <v>1319-77-3</v>
      </c>
      <c r="O314" t="str">
        <f t="shared" si="30"/>
        <v>Cresols (mixture), including m-cresol, o-cresol, p-cresol</v>
      </c>
      <c r="P314" s="6" cm="1">
        <f t="array" ref="P314">INDEX(Tabl_B4_Tanks!$Q$7:$AA$33,X_EMIS!K314,X_EMIS!L314)</f>
        <v>4.0679570163829756E-6</v>
      </c>
      <c r="Q314" cm="1">
        <f t="array" ref="Q314">INDEX(Tabl_B4_Tanks!$F$7:$P$33,X_EMIS!J314,X_EMIS!L314)</f>
        <v>1.4848043109797861E-3</v>
      </c>
    </row>
    <row r="315" spans="10:17">
      <c r="J315">
        <f t="shared" si="26"/>
        <v>17</v>
      </c>
      <c r="K315" cm="1">
        <f t="array" ref="K315">INDEX(H$19:H$45,J315)</f>
        <v>17</v>
      </c>
      <c r="L315">
        <f t="shared" si="27"/>
        <v>5</v>
      </c>
      <c r="M315" t="str" cm="1">
        <f t="array" ref="M315">INDEX(Tabl_B4_Tanks!B$7:B$33,X_EMIS!K315)</f>
        <v>TK10403</v>
      </c>
      <c r="N315" t="str">
        <f t="shared" si="30"/>
        <v>71-43-2</v>
      </c>
      <c r="O315" t="str">
        <f t="shared" si="30"/>
        <v>Benzene</v>
      </c>
      <c r="P315" s="6" cm="1">
        <f t="array" ref="P315">INDEX(Tabl_B4_Tanks!$Q$7:$AA$33,X_EMIS!K315,X_EMIS!L315)</f>
        <v>7.2597386753911567E-5</v>
      </c>
      <c r="Q315" cm="1">
        <f t="array" ref="Q315">INDEX(Tabl_B4_Tanks!$F$7:$P$33,X_EMIS!J315,X_EMIS!L315)</f>
        <v>2.6498046165177723E-2</v>
      </c>
    </row>
    <row r="316" spans="10:17">
      <c r="J316">
        <f t="shared" si="26"/>
        <v>17</v>
      </c>
      <c r="K316" cm="1">
        <f t="array" ref="K316">INDEX(H$19:H$45,J316)</f>
        <v>17</v>
      </c>
      <c r="L316">
        <f t="shared" si="27"/>
        <v>6</v>
      </c>
      <c r="M316" t="str" cm="1">
        <f t="array" ref="M316">INDEX(Tabl_B4_Tanks!B$7:B$33,X_EMIS!K316)</f>
        <v>TK10403</v>
      </c>
      <c r="N316" t="str">
        <f t="shared" si="30"/>
        <v>100-41-4</v>
      </c>
      <c r="O316" t="str">
        <f t="shared" si="30"/>
        <v>Ethyl benzene</v>
      </c>
      <c r="P316" s="6" cm="1">
        <f t="array" ref="P316">INDEX(Tabl_B4_Tanks!$Q$7:$AA$33,X_EMIS!K316,X_EMIS!L316)</f>
        <v>1.8430974481919789E-4</v>
      </c>
      <c r="Q316" cm="1">
        <f t="array" ref="Q316">INDEX(Tabl_B4_Tanks!$F$7:$P$33,X_EMIS!J316,X_EMIS!L316)</f>
        <v>6.7273056859007238E-2</v>
      </c>
    </row>
    <row r="317" spans="10:17">
      <c r="J317">
        <f t="shared" si="26"/>
        <v>17</v>
      </c>
      <c r="K317" cm="1">
        <f t="array" ref="K317">INDEX(H$19:H$45,J317)</f>
        <v>17</v>
      </c>
      <c r="L317">
        <f t="shared" si="27"/>
        <v>7</v>
      </c>
      <c r="M317" t="str" cm="1">
        <f t="array" ref="M317">INDEX(Tabl_B4_Tanks!B$7:B$33,X_EMIS!K317)</f>
        <v>TK10403</v>
      </c>
      <c r="N317" t="str">
        <f t="shared" si="30"/>
        <v>98-82-8</v>
      </c>
      <c r="O317" t="str">
        <f t="shared" si="30"/>
        <v>Isopropylbenzene (Cumene)</v>
      </c>
      <c r="P317" s="6" cm="1">
        <f t="array" ref="P317">INDEX(Tabl_B4_Tanks!$Q$7:$AA$33,X_EMIS!K317,X_EMIS!L317)</f>
        <v>3.8176211999901766E-5</v>
      </c>
      <c r="Q317" cm="1">
        <f t="array" ref="Q317">INDEX(Tabl_B4_Tanks!$F$7:$P$33,X_EMIS!J317,X_EMIS!L317)</f>
        <v>1.3934317379964147E-2</v>
      </c>
    </row>
    <row r="318" spans="10:17">
      <c r="J318">
        <f t="shared" si="26"/>
        <v>17</v>
      </c>
      <c r="K318" cm="1">
        <f t="array" ref="K318">INDEX(H$19:H$45,J318)</f>
        <v>17</v>
      </c>
      <c r="L318">
        <f t="shared" si="27"/>
        <v>8</v>
      </c>
      <c r="M318" t="str" cm="1">
        <f t="array" ref="M318">INDEX(Tabl_B4_Tanks!B$7:B$33,X_EMIS!K318)</f>
        <v>TK10403</v>
      </c>
      <c r="N318" t="str">
        <f t="shared" si="30"/>
        <v>108-88-3</v>
      </c>
      <c r="O318" t="str">
        <f t="shared" si="30"/>
        <v>Toluene</v>
      </c>
      <c r="P318" s="6" cm="1">
        <f t="array" ref="P318">INDEX(Tabl_B4_Tanks!$Q$7:$AA$33,X_EMIS!K318,X_EMIS!L318)</f>
        <v>6.5400232032618603E-4</v>
      </c>
      <c r="Q318" cm="1">
        <f t="array" ref="Q318">INDEX(Tabl_B4_Tanks!$F$7:$P$33,X_EMIS!J318,X_EMIS!L318)</f>
        <v>0.23871084691905792</v>
      </c>
    </row>
    <row r="319" spans="10:17">
      <c r="J319">
        <f t="shared" si="26"/>
        <v>17</v>
      </c>
      <c r="K319" cm="1">
        <f t="array" ref="K319">INDEX(H$19:H$45,J319)</f>
        <v>17</v>
      </c>
      <c r="L319">
        <f t="shared" si="27"/>
        <v>9</v>
      </c>
      <c r="M319" t="str" cm="1">
        <f t="array" ref="M319">INDEX(Tabl_B4_Tanks!B$7:B$33,X_EMIS!K319)</f>
        <v>TK10403</v>
      </c>
      <c r="N319" t="str">
        <f t="shared" si="30"/>
        <v>110-54-3</v>
      </c>
      <c r="O319" t="str">
        <f t="shared" si="30"/>
        <v>Hexane</v>
      </c>
      <c r="P319" s="6" cm="1">
        <f t="array" ref="P319">INDEX(Tabl_B4_Tanks!$Q$7:$AA$33,X_EMIS!K319,X_EMIS!L319)</f>
        <v>1.0795732081939435E-4</v>
      </c>
      <c r="Q319" cm="1">
        <f t="array" ref="Q319">INDEX(Tabl_B4_Tanks!$F$7:$P$33,X_EMIS!J319,X_EMIS!L319)</f>
        <v>3.9404422099078941E-2</v>
      </c>
    </row>
    <row r="320" spans="10:17">
      <c r="J320">
        <f t="shared" si="26"/>
        <v>17</v>
      </c>
      <c r="K320" cm="1">
        <f t="array" ref="K320">INDEX(H$19:H$45,J320)</f>
        <v>17</v>
      </c>
      <c r="L320">
        <f t="shared" si="27"/>
        <v>10</v>
      </c>
      <c r="M320" t="str" cm="1">
        <f t="array" ref="M320">INDEX(Tabl_B4_Tanks!B$7:B$33,X_EMIS!K320)</f>
        <v>TK10403</v>
      </c>
      <c r="N320" t="str">
        <f t="shared" si="30"/>
        <v>1330-20-7</v>
      </c>
      <c r="O320" t="str">
        <f t="shared" si="30"/>
        <v>Xylene (mixture), including m-xylene, o-xylene, p-xylene</v>
      </c>
      <c r="P320" s="6" cm="1">
        <f t="array" ref="P320">INDEX(Tabl_B4_Tanks!$Q$7:$AA$33,X_EMIS!K320,X_EMIS!L320)</f>
        <v>1.0889608013086734E-3</v>
      </c>
      <c r="Q320" cm="1">
        <f t="array" ref="Q320">INDEX(Tabl_B4_Tanks!$F$7:$P$33,X_EMIS!J320,X_EMIS!L320)</f>
        <v>0.39747069247766587</v>
      </c>
    </row>
    <row r="321" spans="10:17">
      <c r="J321">
        <f t="shared" si="26"/>
        <v>17</v>
      </c>
      <c r="K321" cm="1">
        <f t="array" ref="K321">INDEX(H$19:H$45,J321)</f>
        <v>17</v>
      </c>
      <c r="L321">
        <f t="shared" si="27"/>
        <v>11</v>
      </c>
      <c r="M321" t="str" cm="1">
        <f t="array" ref="M321">INDEX(Tabl_B4_Tanks!B$7:B$33,X_EMIS!K321)</f>
        <v>TK10403</v>
      </c>
      <c r="N321" t="str">
        <f t="shared" si="30"/>
        <v>7783-06-4</v>
      </c>
      <c r="O321" t="str">
        <f t="shared" si="30"/>
        <v>Hydrogen sulfide</v>
      </c>
      <c r="P321" s="6" cm="1">
        <f t="array" ref="P321">INDEX(Tabl_B4_Tanks!$Q$7:$AA$33,X_EMIS!K321,X_EMIS!L321)</f>
        <v>5.3196360983469682E-5</v>
      </c>
      <c r="Q321" cm="1">
        <f t="array" ref="Q321">INDEX(Tabl_B4_Tanks!$F$7:$P$33,X_EMIS!J321,X_EMIS!L321)</f>
        <v>1.9416671758966435E-2</v>
      </c>
    </row>
    <row r="322" spans="10:17">
      <c r="J322">
        <f t="shared" si="26"/>
        <v>18</v>
      </c>
      <c r="K322" cm="1">
        <f t="array" ref="K322">INDEX(H$19:H$45,J322)</f>
        <v>18</v>
      </c>
      <c r="L322">
        <f t="shared" si="27"/>
        <v>1</v>
      </c>
      <c r="M322" t="str" cm="1">
        <f t="array" ref="M322">INDEX(Tabl_B4_Tanks!B$7:B$33,X_EMIS!K322)</f>
        <v>TK10404</v>
      </c>
      <c r="N322" t="str">
        <f t="shared" ref="N322:O337" si="31">N311</f>
        <v>91-57-6</v>
      </c>
      <c r="O322" t="str">
        <f t="shared" si="31"/>
        <v>2-Methyl naphthalene</v>
      </c>
      <c r="P322" s="6" cm="1">
        <f t="array" ref="P322">INDEX(Tabl_B4_Tanks!$Q$7:$AA$33,X_EMIS!K322,X_EMIS!L322)</f>
        <v>8.9495054360425464E-4</v>
      </c>
      <c r="Q322" cm="1">
        <f t="array" ref="Q322">INDEX(Tabl_B4_Tanks!$F$7:$P$33,X_EMIS!J322,X_EMIS!L322)</f>
        <v>0.32665694841555298</v>
      </c>
    </row>
    <row r="323" spans="10:17">
      <c r="J323">
        <f t="shared" si="26"/>
        <v>18</v>
      </c>
      <c r="K323" cm="1">
        <f t="array" ref="K323">INDEX(H$19:H$45,J323)</f>
        <v>18</v>
      </c>
      <c r="L323">
        <f t="shared" si="27"/>
        <v>2</v>
      </c>
      <c r="M323" t="str" cm="1">
        <f t="array" ref="M323">INDEX(Tabl_B4_Tanks!B$7:B$33,X_EMIS!K323)</f>
        <v>TK10404</v>
      </c>
      <c r="N323" t="str">
        <f t="shared" si="31"/>
        <v>91-20-3</v>
      </c>
      <c r="O323" t="str">
        <f t="shared" si="31"/>
        <v>Naphthalene</v>
      </c>
      <c r="P323" s="6" cm="1">
        <f t="array" ref="P323">INDEX(Tabl_B4_Tanks!$Q$7:$AA$33,X_EMIS!K323,X_EMIS!L323)</f>
        <v>5.1944681901505685E-4</v>
      </c>
      <c r="Q323" cm="1">
        <f t="array" ref="Q323">INDEX(Tabl_B4_Tanks!$F$7:$P$33,X_EMIS!J323,X_EMIS!L323)</f>
        <v>0.18959808894049579</v>
      </c>
    </row>
    <row r="324" spans="10:17">
      <c r="J324">
        <f t="shared" si="26"/>
        <v>18</v>
      </c>
      <c r="K324" cm="1">
        <f t="array" ref="K324">INDEX(H$19:H$45,J324)</f>
        <v>18</v>
      </c>
      <c r="L324">
        <f t="shared" si="27"/>
        <v>3</v>
      </c>
      <c r="M324" t="str" cm="1">
        <f t="array" ref="M324">INDEX(Tabl_B4_Tanks!B$7:B$33,X_EMIS!K324)</f>
        <v>TK10404</v>
      </c>
      <c r="N324" t="str">
        <f t="shared" si="31"/>
        <v>108-95-2</v>
      </c>
      <c r="O324" t="str">
        <f t="shared" si="31"/>
        <v>Phenol</v>
      </c>
      <c r="P324" s="6" cm="1">
        <f t="array" ref="P324">INDEX(Tabl_B4_Tanks!$Q$7:$AA$33,X_EMIS!K324,X_EMIS!L324)</f>
        <v>1.0920899990135835E-5</v>
      </c>
      <c r="Q324" cm="1">
        <f t="array" ref="Q324">INDEX(Tabl_B4_Tanks!$F$7:$P$33,X_EMIS!J324,X_EMIS!L324)</f>
        <v>3.9861284963995797E-3</v>
      </c>
    </row>
    <row r="325" spans="10:17">
      <c r="J325">
        <f t="shared" si="26"/>
        <v>18</v>
      </c>
      <c r="K325" cm="1">
        <f t="array" ref="K325">INDEX(H$19:H$45,J325)</f>
        <v>18</v>
      </c>
      <c r="L325">
        <f t="shared" si="27"/>
        <v>4</v>
      </c>
      <c r="M325" t="str" cm="1">
        <f t="array" ref="M325">INDEX(Tabl_B4_Tanks!B$7:B$33,X_EMIS!K325)</f>
        <v>TK10404</v>
      </c>
      <c r="N325" t="str">
        <f t="shared" si="31"/>
        <v>1319-77-3</v>
      </c>
      <c r="O325" t="str">
        <f t="shared" si="31"/>
        <v>Cresols (mixture), including m-cresol, o-cresol, p-cresol</v>
      </c>
      <c r="P325" s="6" cm="1">
        <f t="array" ref="P325">INDEX(Tabl_B4_Tanks!$Q$7:$AA$33,X_EMIS!K325,X_EMIS!L325)</f>
        <v>4.0679570163829756E-6</v>
      </c>
      <c r="Q325" cm="1">
        <f t="array" ref="Q325">INDEX(Tabl_B4_Tanks!$F$7:$P$33,X_EMIS!J325,X_EMIS!L325)</f>
        <v>1.4848043109797861E-3</v>
      </c>
    </row>
    <row r="326" spans="10:17">
      <c r="J326">
        <f t="shared" si="26"/>
        <v>18</v>
      </c>
      <c r="K326" cm="1">
        <f t="array" ref="K326">INDEX(H$19:H$45,J326)</f>
        <v>18</v>
      </c>
      <c r="L326">
        <f t="shared" si="27"/>
        <v>5</v>
      </c>
      <c r="M326" t="str" cm="1">
        <f t="array" ref="M326">INDEX(Tabl_B4_Tanks!B$7:B$33,X_EMIS!K326)</f>
        <v>TK10404</v>
      </c>
      <c r="N326" t="str">
        <f t="shared" si="31"/>
        <v>71-43-2</v>
      </c>
      <c r="O326" t="str">
        <f t="shared" si="31"/>
        <v>Benzene</v>
      </c>
      <c r="P326" s="6" cm="1">
        <f t="array" ref="P326">INDEX(Tabl_B4_Tanks!$Q$7:$AA$33,X_EMIS!K326,X_EMIS!L326)</f>
        <v>7.2597386753911567E-5</v>
      </c>
      <c r="Q326" cm="1">
        <f t="array" ref="Q326">INDEX(Tabl_B4_Tanks!$F$7:$P$33,X_EMIS!J326,X_EMIS!L326)</f>
        <v>2.6498046165177723E-2</v>
      </c>
    </row>
    <row r="327" spans="10:17">
      <c r="J327">
        <f t="shared" si="26"/>
        <v>18</v>
      </c>
      <c r="K327" cm="1">
        <f t="array" ref="K327">INDEX(H$19:H$45,J327)</f>
        <v>18</v>
      </c>
      <c r="L327">
        <f t="shared" si="27"/>
        <v>6</v>
      </c>
      <c r="M327" t="str" cm="1">
        <f t="array" ref="M327">INDEX(Tabl_B4_Tanks!B$7:B$33,X_EMIS!K327)</f>
        <v>TK10404</v>
      </c>
      <c r="N327" t="str">
        <f t="shared" si="31"/>
        <v>100-41-4</v>
      </c>
      <c r="O327" t="str">
        <f t="shared" si="31"/>
        <v>Ethyl benzene</v>
      </c>
      <c r="P327" s="6" cm="1">
        <f t="array" ref="P327">INDEX(Tabl_B4_Tanks!$Q$7:$AA$33,X_EMIS!K327,X_EMIS!L327)</f>
        <v>1.8430974481919789E-4</v>
      </c>
      <c r="Q327" cm="1">
        <f t="array" ref="Q327">INDEX(Tabl_B4_Tanks!$F$7:$P$33,X_EMIS!J327,X_EMIS!L327)</f>
        <v>6.7273056859007238E-2</v>
      </c>
    </row>
    <row r="328" spans="10:17">
      <c r="J328">
        <f t="shared" ref="J328:J391" si="32">IF(L328=1,J327+1,J327)</f>
        <v>18</v>
      </c>
      <c r="K328" cm="1">
        <f t="array" ref="K328">INDEX(H$19:H$45,J328)</f>
        <v>18</v>
      </c>
      <c r="L328">
        <f t="shared" si="27"/>
        <v>7</v>
      </c>
      <c r="M328" t="str" cm="1">
        <f t="array" ref="M328">INDEX(Tabl_B4_Tanks!B$7:B$33,X_EMIS!K328)</f>
        <v>TK10404</v>
      </c>
      <c r="N328" t="str">
        <f t="shared" si="31"/>
        <v>98-82-8</v>
      </c>
      <c r="O328" t="str">
        <f t="shared" si="31"/>
        <v>Isopropylbenzene (Cumene)</v>
      </c>
      <c r="P328" s="6" cm="1">
        <f t="array" ref="P328">INDEX(Tabl_B4_Tanks!$Q$7:$AA$33,X_EMIS!K328,X_EMIS!L328)</f>
        <v>3.8176211999901766E-5</v>
      </c>
      <c r="Q328" cm="1">
        <f t="array" ref="Q328">INDEX(Tabl_B4_Tanks!$F$7:$P$33,X_EMIS!J328,X_EMIS!L328)</f>
        <v>1.3934317379964147E-2</v>
      </c>
    </row>
    <row r="329" spans="10:17">
      <c r="J329">
        <f t="shared" si="32"/>
        <v>18</v>
      </c>
      <c r="K329" cm="1">
        <f t="array" ref="K329">INDEX(H$19:H$45,J329)</f>
        <v>18</v>
      </c>
      <c r="L329">
        <f t="shared" si="27"/>
        <v>8</v>
      </c>
      <c r="M329" t="str" cm="1">
        <f t="array" ref="M329">INDEX(Tabl_B4_Tanks!B$7:B$33,X_EMIS!K329)</f>
        <v>TK10404</v>
      </c>
      <c r="N329" t="str">
        <f t="shared" si="31"/>
        <v>108-88-3</v>
      </c>
      <c r="O329" t="str">
        <f t="shared" si="31"/>
        <v>Toluene</v>
      </c>
      <c r="P329" s="6" cm="1">
        <f t="array" ref="P329">INDEX(Tabl_B4_Tanks!$Q$7:$AA$33,X_EMIS!K329,X_EMIS!L329)</f>
        <v>6.5400232032618603E-4</v>
      </c>
      <c r="Q329" cm="1">
        <f t="array" ref="Q329">INDEX(Tabl_B4_Tanks!$F$7:$P$33,X_EMIS!J329,X_EMIS!L329)</f>
        <v>0.23871084691905792</v>
      </c>
    </row>
    <row r="330" spans="10:17">
      <c r="J330">
        <f t="shared" si="32"/>
        <v>18</v>
      </c>
      <c r="K330" cm="1">
        <f t="array" ref="K330">INDEX(H$19:H$45,J330)</f>
        <v>18</v>
      </c>
      <c r="L330">
        <f t="shared" si="27"/>
        <v>9</v>
      </c>
      <c r="M330" t="str" cm="1">
        <f t="array" ref="M330">INDEX(Tabl_B4_Tanks!B$7:B$33,X_EMIS!K330)</f>
        <v>TK10404</v>
      </c>
      <c r="N330" t="str">
        <f t="shared" si="31"/>
        <v>110-54-3</v>
      </c>
      <c r="O330" t="str">
        <f t="shared" si="31"/>
        <v>Hexane</v>
      </c>
      <c r="P330" s="6" cm="1">
        <f t="array" ref="P330">INDEX(Tabl_B4_Tanks!$Q$7:$AA$33,X_EMIS!K330,X_EMIS!L330)</f>
        <v>1.0795732081939435E-4</v>
      </c>
      <c r="Q330" cm="1">
        <f t="array" ref="Q330">INDEX(Tabl_B4_Tanks!$F$7:$P$33,X_EMIS!J330,X_EMIS!L330)</f>
        <v>3.9404422099078941E-2</v>
      </c>
    </row>
    <row r="331" spans="10:17">
      <c r="J331">
        <f t="shared" si="32"/>
        <v>18</v>
      </c>
      <c r="K331" cm="1">
        <f t="array" ref="K331">INDEX(H$19:H$45,J331)</f>
        <v>18</v>
      </c>
      <c r="L331">
        <f t="shared" si="27"/>
        <v>10</v>
      </c>
      <c r="M331" t="str" cm="1">
        <f t="array" ref="M331">INDEX(Tabl_B4_Tanks!B$7:B$33,X_EMIS!K331)</f>
        <v>TK10404</v>
      </c>
      <c r="N331" t="str">
        <f t="shared" si="31"/>
        <v>1330-20-7</v>
      </c>
      <c r="O331" t="str">
        <f t="shared" si="31"/>
        <v>Xylene (mixture), including m-xylene, o-xylene, p-xylene</v>
      </c>
      <c r="P331" s="6" cm="1">
        <f t="array" ref="P331">INDEX(Tabl_B4_Tanks!$Q$7:$AA$33,X_EMIS!K331,X_EMIS!L331)</f>
        <v>1.0889608013086734E-3</v>
      </c>
      <c r="Q331" cm="1">
        <f t="array" ref="Q331">INDEX(Tabl_B4_Tanks!$F$7:$P$33,X_EMIS!J331,X_EMIS!L331)</f>
        <v>0.39747069247766587</v>
      </c>
    </row>
    <row r="332" spans="10:17">
      <c r="J332">
        <f t="shared" si="32"/>
        <v>18</v>
      </c>
      <c r="K332" cm="1">
        <f t="array" ref="K332">INDEX(H$19:H$45,J332)</f>
        <v>18</v>
      </c>
      <c r="L332">
        <f t="shared" si="27"/>
        <v>11</v>
      </c>
      <c r="M332" t="str" cm="1">
        <f t="array" ref="M332">INDEX(Tabl_B4_Tanks!B$7:B$33,X_EMIS!K332)</f>
        <v>TK10404</v>
      </c>
      <c r="N332" t="str">
        <f t="shared" si="31"/>
        <v>7783-06-4</v>
      </c>
      <c r="O332" t="str">
        <f t="shared" si="31"/>
        <v>Hydrogen sulfide</v>
      </c>
      <c r="P332" s="6" cm="1">
        <f t="array" ref="P332">INDEX(Tabl_B4_Tanks!$Q$7:$AA$33,X_EMIS!K332,X_EMIS!L332)</f>
        <v>5.3196360983469682E-5</v>
      </c>
      <c r="Q332" cm="1">
        <f t="array" ref="Q332">INDEX(Tabl_B4_Tanks!$F$7:$P$33,X_EMIS!J332,X_EMIS!L332)</f>
        <v>1.9416671758966435E-2</v>
      </c>
    </row>
    <row r="333" spans="10:17">
      <c r="J333">
        <f t="shared" si="32"/>
        <v>19</v>
      </c>
      <c r="K333" cm="1">
        <f t="array" ref="K333">INDEX(H$19:H$45,J333)</f>
        <v>19</v>
      </c>
      <c r="L333">
        <f t="shared" si="27"/>
        <v>1</v>
      </c>
      <c r="M333" t="str" cm="1">
        <f t="array" ref="M333">INDEX(Tabl_B4_Tanks!B$7:B$33,X_EMIS!K333)</f>
        <v>TK10405</v>
      </c>
      <c r="N333" t="str">
        <f t="shared" si="31"/>
        <v>91-57-6</v>
      </c>
      <c r="O333" t="str">
        <f t="shared" si="31"/>
        <v>2-Methyl naphthalene</v>
      </c>
      <c r="P333" s="6" cm="1">
        <f t="array" ref="P333">INDEX(Tabl_B4_Tanks!$Q$7:$AA$33,X_EMIS!K333,X_EMIS!L333)</f>
        <v>9.0461539238681976E-4</v>
      </c>
      <c r="Q333" cm="1">
        <f t="array" ref="Q333">INDEX(Tabl_B4_Tanks!$F$7:$P$33,X_EMIS!J333,X_EMIS!L333)</f>
        <v>0.33018461822118922</v>
      </c>
    </row>
    <row r="334" spans="10:17">
      <c r="J334">
        <f t="shared" si="32"/>
        <v>19</v>
      </c>
      <c r="K334" cm="1">
        <f t="array" ref="K334">INDEX(H$19:H$45,J334)</f>
        <v>19</v>
      </c>
      <c r="L334">
        <f t="shared" si="27"/>
        <v>2</v>
      </c>
      <c r="M334" t="str" cm="1">
        <f t="array" ref="M334">INDEX(Tabl_B4_Tanks!B$7:B$33,X_EMIS!K334)</f>
        <v>TK10405</v>
      </c>
      <c r="N334" t="str">
        <f t="shared" si="31"/>
        <v>91-20-3</v>
      </c>
      <c r="O334" t="str">
        <f t="shared" si="31"/>
        <v>Naphthalene</v>
      </c>
      <c r="P334" s="6" cm="1">
        <f t="array" ref="P334">INDEX(Tabl_B4_Tanks!$Q$7:$AA$33,X_EMIS!K334,X_EMIS!L334)</f>
        <v>5.2505648649025204E-4</v>
      </c>
      <c r="Q334" cm="1">
        <f t="array" ref="Q334">INDEX(Tabl_B4_Tanks!$F$7:$P$33,X_EMIS!J334,X_EMIS!L334)</f>
        <v>0.19164561756894199</v>
      </c>
    </row>
    <row r="335" spans="10:17">
      <c r="J335">
        <f t="shared" si="32"/>
        <v>19</v>
      </c>
      <c r="K335" cm="1">
        <f t="array" ref="K335">INDEX(H$19:H$45,J335)</f>
        <v>19</v>
      </c>
      <c r="L335">
        <f t="shared" si="27"/>
        <v>3</v>
      </c>
      <c r="M335" t="str" cm="1">
        <f t="array" ref="M335">INDEX(Tabl_B4_Tanks!B$7:B$33,X_EMIS!K335)</f>
        <v>TK10405</v>
      </c>
      <c r="N335" t="str">
        <f t="shared" si="31"/>
        <v>108-95-2</v>
      </c>
      <c r="O335" t="str">
        <f t="shared" si="31"/>
        <v>Phenol</v>
      </c>
      <c r="P335" s="6" cm="1">
        <f t="array" ref="P335">INDEX(Tabl_B4_Tanks!$Q$7:$AA$33,X_EMIS!K335,X_EMIS!L335)</f>
        <v>1.1038838179825178E-5</v>
      </c>
      <c r="Q335" cm="1">
        <f t="array" ref="Q335">INDEX(Tabl_B4_Tanks!$F$7:$P$33,X_EMIS!J335,X_EMIS!L335)</f>
        <v>4.0291759356361903E-3</v>
      </c>
    </row>
    <row r="336" spans="10:17">
      <c r="J336">
        <f t="shared" si="32"/>
        <v>19</v>
      </c>
      <c r="K336" cm="1">
        <f t="array" ref="K336">INDEX(H$19:H$45,J336)</f>
        <v>19</v>
      </c>
      <c r="L336">
        <f t="shared" si="27"/>
        <v>4</v>
      </c>
      <c r="M336" t="str" cm="1">
        <f t="array" ref="M336">INDEX(Tabl_B4_Tanks!B$7:B$33,X_EMIS!K336)</f>
        <v>TK10405</v>
      </c>
      <c r="N336" t="str">
        <f t="shared" si="31"/>
        <v>1319-77-3</v>
      </c>
      <c r="O336" t="str">
        <f t="shared" si="31"/>
        <v>Cresols (mixture), including m-cresol, o-cresol, p-cresol</v>
      </c>
      <c r="P336" s="6" cm="1">
        <f t="array" ref="P336">INDEX(Tabl_B4_Tanks!$Q$7:$AA$33,X_EMIS!K336,X_EMIS!L336)</f>
        <v>4.1118881472128169E-6</v>
      </c>
      <c r="Q336" cm="1">
        <f t="array" ref="Q336">INDEX(Tabl_B4_Tanks!$F$7:$P$33,X_EMIS!J336,X_EMIS!L336)</f>
        <v>1.5008391737326781E-3</v>
      </c>
    </row>
    <row r="337" spans="10:17">
      <c r="J337">
        <f t="shared" si="32"/>
        <v>19</v>
      </c>
      <c r="K337" cm="1">
        <f t="array" ref="K337">INDEX(H$19:H$45,J337)</f>
        <v>19</v>
      </c>
      <c r="L337">
        <f t="shared" si="27"/>
        <v>5</v>
      </c>
      <c r="M337" t="str" cm="1">
        <f t="array" ref="M337">INDEX(Tabl_B4_Tanks!B$7:B$33,X_EMIS!K337)</f>
        <v>TK10405</v>
      </c>
      <c r="N337" t="str">
        <f t="shared" si="31"/>
        <v>71-43-2</v>
      </c>
      <c r="O337" t="str">
        <f t="shared" si="31"/>
        <v>Benzene</v>
      </c>
      <c r="P337" s="6" cm="1">
        <f t="array" ref="P337">INDEX(Tabl_B4_Tanks!$Q$7:$AA$33,X_EMIS!K337,X_EMIS!L337)</f>
        <v>7.338138847333642E-5</v>
      </c>
      <c r="Q337" cm="1">
        <f t="array" ref="Q337">INDEX(Tabl_B4_Tanks!$F$7:$P$33,X_EMIS!J337,X_EMIS!L337)</f>
        <v>2.6784206792767794E-2</v>
      </c>
    </row>
    <row r="338" spans="10:17">
      <c r="J338">
        <f t="shared" si="32"/>
        <v>19</v>
      </c>
      <c r="K338" cm="1">
        <f t="array" ref="K338">INDEX(H$19:H$45,J338)</f>
        <v>19</v>
      </c>
      <c r="L338">
        <f t="shared" ref="L338:L401" si="33">L327</f>
        <v>6</v>
      </c>
      <c r="M338" t="str" cm="1">
        <f t="array" ref="M338">INDEX(Tabl_B4_Tanks!B$7:B$33,X_EMIS!K338)</f>
        <v>TK10405</v>
      </c>
      <c r="N338" t="str">
        <f t="shared" ref="N338:O353" si="34">N327</f>
        <v>100-41-4</v>
      </c>
      <c r="O338" t="str">
        <f t="shared" si="34"/>
        <v>Ethyl benzene</v>
      </c>
      <c r="P338" s="6" cm="1">
        <f t="array" ref="P338">INDEX(Tabl_B4_Tanks!$Q$7:$AA$33,X_EMIS!K338,X_EMIS!L338)</f>
        <v>1.8630016297756531E-4</v>
      </c>
      <c r="Q338" cm="1">
        <f t="array" ref="Q338">INDEX(Tabl_B4_Tanks!$F$7:$P$33,X_EMIS!J338,X_EMIS!L338)</f>
        <v>6.7999559486811342E-2</v>
      </c>
    </row>
    <row r="339" spans="10:17">
      <c r="J339">
        <f t="shared" si="32"/>
        <v>19</v>
      </c>
      <c r="K339" cm="1">
        <f t="array" ref="K339">INDEX(H$19:H$45,J339)</f>
        <v>19</v>
      </c>
      <c r="L339">
        <f t="shared" si="33"/>
        <v>7</v>
      </c>
      <c r="M339" t="str" cm="1">
        <f t="array" ref="M339">INDEX(Tabl_B4_Tanks!B$7:B$33,X_EMIS!K339)</f>
        <v>TK10405</v>
      </c>
      <c r="N339" t="str">
        <f t="shared" si="34"/>
        <v>98-82-8</v>
      </c>
      <c r="O339" t="str">
        <f t="shared" si="34"/>
        <v>Isopropylbenzene (Cumene)</v>
      </c>
      <c r="P339" s="6" cm="1">
        <f t="array" ref="P339">INDEX(Tabl_B4_Tanks!$Q$7:$AA$33,X_EMIS!K339,X_EMIS!L339)</f>
        <v>3.8588488766151051E-5</v>
      </c>
      <c r="Q339" cm="1">
        <f t="array" ref="Q339">INDEX(Tabl_B4_Tanks!$F$7:$P$33,X_EMIS!J339,X_EMIS!L339)</f>
        <v>1.4084798399645134E-2</v>
      </c>
    </row>
    <row r="340" spans="10:17">
      <c r="J340">
        <f t="shared" si="32"/>
        <v>19</v>
      </c>
      <c r="K340" cm="1">
        <f t="array" ref="K340">INDEX(H$19:H$45,J340)</f>
        <v>19</v>
      </c>
      <c r="L340">
        <f t="shared" si="33"/>
        <v>8</v>
      </c>
      <c r="M340" t="str" cm="1">
        <f t="array" ref="M340">INDEX(Tabl_B4_Tanks!B$7:B$33,X_EMIS!K340)</f>
        <v>TK10405</v>
      </c>
      <c r="N340" t="str">
        <f t="shared" si="34"/>
        <v>108-88-3</v>
      </c>
      <c r="O340" t="str">
        <f t="shared" si="34"/>
        <v>Toluene</v>
      </c>
      <c r="P340" s="6" cm="1">
        <f t="array" ref="P340">INDEX(Tabl_B4_Tanks!$Q$7:$AA$33,X_EMIS!K340,X_EMIS!L340)</f>
        <v>6.6106509443652204E-4</v>
      </c>
      <c r="Q340" cm="1">
        <f t="array" ref="Q340">INDEX(Tabl_B4_Tanks!$F$7:$P$33,X_EMIS!J340,X_EMIS!L340)</f>
        <v>0.24128875946933054</v>
      </c>
    </row>
    <row r="341" spans="10:17">
      <c r="J341">
        <f t="shared" si="32"/>
        <v>19</v>
      </c>
      <c r="K341" cm="1">
        <f t="array" ref="K341">INDEX(H$19:H$45,J341)</f>
        <v>19</v>
      </c>
      <c r="L341">
        <f t="shared" si="33"/>
        <v>9</v>
      </c>
      <c r="M341" t="str" cm="1">
        <f t="array" ref="M341">INDEX(Tabl_B4_Tanks!B$7:B$33,X_EMIS!K341)</f>
        <v>TK10405</v>
      </c>
      <c r="N341" t="str">
        <f t="shared" si="34"/>
        <v>110-54-3</v>
      </c>
      <c r="O341" t="str">
        <f t="shared" si="34"/>
        <v>Hexane</v>
      </c>
      <c r="P341" s="6" cm="1">
        <f t="array" ref="P341">INDEX(Tabl_B4_Tanks!$Q$7:$AA$33,X_EMIS!K341,X_EMIS!L341)</f>
        <v>1.0912318544526321E-4</v>
      </c>
      <c r="Q341" cm="1">
        <f t="array" ref="Q341">INDEX(Tabl_B4_Tanks!$F$7:$P$33,X_EMIS!J341,X_EMIS!L341)</f>
        <v>3.9829962687521071E-2</v>
      </c>
    </row>
    <row r="342" spans="10:17">
      <c r="J342">
        <f t="shared" si="32"/>
        <v>19</v>
      </c>
      <c r="K342" cm="1">
        <f t="array" ref="K342">INDEX(H$19:H$45,J342)</f>
        <v>19</v>
      </c>
      <c r="L342">
        <f t="shared" si="33"/>
        <v>10</v>
      </c>
      <c r="M342" t="str" cm="1">
        <f t="array" ref="M342">INDEX(Tabl_B4_Tanks!B$7:B$33,X_EMIS!K342)</f>
        <v>TK10405</v>
      </c>
      <c r="N342" t="str">
        <f t="shared" si="34"/>
        <v>1330-20-7</v>
      </c>
      <c r="O342" t="str">
        <f t="shared" si="34"/>
        <v>Xylene (mixture), including m-xylene, o-xylene, p-xylene</v>
      </c>
      <c r="P342" s="6" cm="1">
        <f t="array" ref="P342">INDEX(Tabl_B4_Tanks!$Q$7:$AA$33,X_EMIS!K342,X_EMIS!L342)</f>
        <v>1.1007208271000463E-3</v>
      </c>
      <c r="Q342" cm="1">
        <f t="array" ref="Q342">INDEX(Tabl_B4_Tanks!$F$7:$P$33,X_EMIS!J342,X_EMIS!L342)</f>
        <v>0.40176310189151693</v>
      </c>
    </row>
    <row r="343" spans="10:17">
      <c r="J343">
        <f t="shared" si="32"/>
        <v>19</v>
      </c>
      <c r="K343" cm="1">
        <f t="array" ref="K343">INDEX(H$19:H$45,J343)</f>
        <v>19</v>
      </c>
      <c r="L343">
        <f t="shared" si="33"/>
        <v>11</v>
      </c>
      <c r="M343" t="str" cm="1">
        <f t="array" ref="M343">INDEX(Tabl_B4_Tanks!B$7:B$33,X_EMIS!K343)</f>
        <v>TK10405</v>
      </c>
      <c r="N343" t="str">
        <f t="shared" si="34"/>
        <v>7783-06-4</v>
      </c>
      <c r="O343" t="str">
        <f t="shared" si="34"/>
        <v>Hydrogen sulfide</v>
      </c>
      <c r="P343" s="6" cm="1">
        <f t="array" ref="P343">INDEX(Tabl_B4_Tanks!$Q$7:$AA$33,X_EMIS!K343,X_EMIS!L343)</f>
        <v>5.3770845002013763E-5</v>
      </c>
      <c r="Q343" cm="1">
        <f t="array" ref="Q343">INDEX(Tabl_B4_Tanks!$F$7:$P$33,X_EMIS!J343,X_EMIS!L343)</f>
        <v>1.9626358425735024E-2</v>
      </c>
    </row>
    <row r="344" spans="10:17">
      <c r="J344">
        <f t="shared" si="32"/>
        <v>20</v>
      </c>
      <c r="K344" cm="1">
        <f t="array" ref="K344">INDEX(H$19:H$45,J344)</f>
        <v>20</v>
      </c>
      <c r="L344">
        <f t="shared" si="33"/>
        <v>1</v>
      </c>
      <c r="M344" t="str" cm="1">
        <f t="array" ref="M344">INDEX(Tabl_B4_Tanks!B$7:B$33,X_EMIS!K344)</f>
        <v>TK10406</v>
      </c>
      <c r="N344" t="str">
        <f t="shared" si="34"/>
        <v>91-57-6</v>
      </c>
      <c r="O344" t="str">
        <f t="shared" si="34"/>
        <v>2-Methyl naphthalene</v>
      </c>
      <c r="P344" s="6" cm="1">
        <f t="array" ref="P344">INDEX(Tabl_B4_Tanks!$Q$7:$AA$33,X_EMIS!K344,X_EMIS!L344)</f>
        <v>9.0461539238681976E-4</v>
      </c>
      <c r="Q344" cm="1">
        <f t="array" ref="Q344">INDEX(Tabl_B4_Tanks!$F$7:$P$33,X_EMIS!J344,X_EMIS!L344)</f>
        <v>0.33018461822118922</v>
      </c>
    </row>
    <row r="345" spans="10:17">
      <c r="J345">
        <f t="shared" si="32"/>
        <v>20</v>
      </c>
      <c r="K345" cm="1">
        <f t="array" ref="K345">INDEX(H$19:H$45,J345)</f>
        <v>20</v>
      </c>
      <c r="L345">
        <f t="shared" si="33"/>
        <v>2</v>
      </c>
      <c r="M345" t="str" cm="1">
        <f t="array" ref="M345">INDEX(Tabl_B4_Tanks!B$7:B$33,X_EMIS!K345)</f>
        <v>TK10406</v>
      </c>
      <c r="N345" t="str">
        <f t="shared" si="34"/>
        <v>91-20-3</v>
      </c>
      <c r="O345" t="str">
        <f t="shared" si="34"/>
        <v>Naphthalene</v>
      </c>
      <c r="P345" s="6" cm="1">
        <f t="array" ref="P345">INDEX(Tabl_B4_Tanks!$Q$7:$AA$33,X_EMIS!K345,X_EMIS!L345)</f>
        <v>5.2505648649025204E-4</v>
      </c>
      <c r="Q345" cm="1">
        <f t="array" ref="Q345">INDEX(Tabl_B4_Tanks!$F$7:$P$33,X_EMIS!J345,X_EMIS!L345)</f>
        <v>0.19164561756894199</v>
      </c>
    </row>
    <row r="346" spans="10:17">
      <c r="J346">
        <f t="shared" si="32"/>
        <v>20</v>
      </c>
      <c r="K346" cm="1">
        <f t="array" ref="K346">INDEX(H$19:H$45,J346)</f>
        <v>20</v>
      </c>
      <c r="L346">
        <f t="shared" si="33"/>
        <v>3</v>
      </c>
      <c r="M346" t="str" cm="1">
        <f t="array" ref="M346">INDEX(Tabl_B4_Tanks!B$7:B$33,X_EMIS!K346)</f>
        <v>TK10406</v>
      </c>
      <c r="N346" t="str">
        <f t="shared" si="34"/>
        <v>108-95-2</v>
      </c>
      <c r="O346" t="str">
        <f t="shared" si="34"/>
        <v>Phenol</v>
      </c>
      <c r="P346" s="6" cm="1">
        <f t="array" ref="P346">INDEX(Tabl_B4_Tanks!$Q$7:$AA$33,X_EMIS!K346,X_EMIS!L346)</f>
        <v>1.1038838179825178E-5</v>
      </c>
      <c r="Q346" cm="1">
        <f t="array" ref="Q346">INDEX(Tabl_B4_Tanks!$F$7:$P$33,X_EMIS!J346,X_EMIS!L346)</f>
        <v>4.0291759356361903E-3</v>
      </c>
    </row>
    <row r="347" spans="10:17">
      <c r="J347">
        <f t="shared" si="32"/>
        <v>20</v>
      </c>
      <c r="K347" cm="1">
        <f t="array" ref="K347">INDEX(H$19:H$45,J347)</f>
        <v>20</v>
      </c>
      <c r="L347">
        <f t="shared" si="33"/>
        <v>4</v>
      </c>
      <c r="M347" t="str" cm="1">
        <f t="array" ref="M347">INDEX(Tabl_B4_Tanks!B$7:B$33,X_EMIS!K347)</f>
        <v>TK10406</v>
      </c>
      <c r="N347" t="str">
        <f t="shared" si="34"/>
        <v>1319-77-3</v>
      </c>
      <c r="O347" t="str">
        <f t="shared" si="34"/>
        <v>Cresols (mixture), including m-cresol, o-cresol, p-cresol</v>
      </c>
      <c r="P347" s="6" cm="1">
        <f t="array" ref="P347">INDEX(Tabl_B4_Tanks!$Q$7:$AA$33,X_EMIS!K347,X_EMIS!L347)</f>
        <v>4.1118881472128169E-6</v>
      </c>
      <c r="Q347" cm="1">
        <f t="array" ref="Q347">INDEX(Tabl_B4_Tanks!$F$7:$P$33,X_EMIS!J347,X_EMIS!L347)</f>
        <v>1.5008391737326781E-3</v>
      </c>
    </row>
    <row r="348" spans="10:17">
      <c r="J348">
        <f t="shared" si="32"/>
        <v>20</v>
      </c>
      <c r="K348" cm="1">
        <f t="array" ref="K348">INDEX(H$19:H$45,J348)</f>
        <v>20</v>
      </c>
      <c r="L348">
        <f t="shared" si="33"/>
        <v>5</v>
      </c>
      <c r="M348" t="str" cm="1">
        <f t="array" ref="M348">INDEX(Tabl_B4_Tanks!B$7:B$33,X_EMIS!K348)</f>
        <v>TK10406</v>
      </c>
      <c r="N348" t="str">
        <f t="shared" si="34"/>
        <v>71-43-2</v>
      </c>
      <c r="O348" t="str">
        <f t="shared" si="34"/>
        <v>Benzene</v>
      </c>
      <c r="P348" s="6" cm="1">
        <f t="array" ref="P348">INDEX(Tabl_B4_Tanks!$Q$7:$AA$33,X_EMIS!K348,X_EMIS!L348)</f>
        <v>7.338138847333642E-5</v>
      </c>
      <c r="Q348" cm="1">
        <f t="array" ref="Q348">INDEX(Tabl_B4_Tanks!$F$7:$P$33,X_EMIS!J348,X_EMIS!L348)</f>
        <v>2.6784206792767794E-2</v>
      </c>
    </row>
    <row r="349" spans="10:17">
      <c r="J349">
        <f t="shared" si="32"/>
        <v>20</v>
      </c>
      <c r="K349" cm="1">
        <f t="array" ref="K349">INDEX(H$19:H$45,J349)</f>
        <v>20</v>
      </c>
      <c r="L349">
        <f t="shared" si="33"/>
        <v>6</v>
      </c>
      <c r="M349" t="str" cm="1">
        <f t="array" ref="M349">INDEX(Tabl_B4_Tanks!B$7:B$33,X_EMIS!K349)</f>
        <v>TK10406</v>
      </c>
      <c r="N349" t="str">
        <f t="shared" si="34"/>
        <v>100-41-4</v>
      </c>
      <c r="O349" t="str">
        <f t="shared" si="34"/>
        <v>Ethyl benzene</v>
      </c>
      <c r="P349" s="6" cm="1">
        <f t="array" ref="P349">INDEX(Tabl_B4_Tanks!$Q$7:$AA$33,X_EMIS!K349,X_EMIS!L349)</f>
        <v>1.8630016297756531E-4</v>
      </c>
      <c r="Q349" cm="1">
        <f t="array" ref="Q349">INDEX(Tabl_B4_Tanks!$F$7:$P$33,X_EMIS!J349,X_EMIS!L349)</f>
        <v>6.7999559486811342E-2</v>
      </c>
    </row>
    <row r="350" spans="10:17">
      <c r="J350">
        <f t="shared" si="32"/>
        <v>20</v>
      </c>
      <c r="K350" cm="1">
        <f t="array" ref="K350">INDEX(H$19:H$45,J350)</f>
        <v>20</v>
      </c>
      <c r="L350">
        <f t="shared" si="33"/>
        <v>7</v>
      </c>
      <c r="M350" t="str" cm="1">
        <f t="array" ref="M350">INDEX(Tabl_B4_Tanks!B$7:B$33,X_EMIS!K350)</f>
        <v>TK10406</v>
      </c>
      <c r="N350" t="str">
        <f t="shared" si="34"/>
        <v>98-82-8</v>
      </c>
      <c r="O350" t="str">
        <f t="shared" si="34"/>
        <v>Isopropylbenzene (Cumene)</v>
      </c>
      <c r="P350" s="6" cm="1">
        <f t="array" ref="P350">INDEX(Tabl_B4_Tanks!$Q$7:$AA$33,X_EMIS!K350,X_EMIS!L350)</f>
        <v>3.8588488766151051E-5</v>
      </c>
      <c r="Q350" cm="1">
        <f t="array" ref="Q350">INDEX(Tabl_B4_Tanks!$F$7:$P$33,X_EMIS!J350,X_EMIS!L350)</f>
        <v>1.4084798399645134E-2</v>
      </c>
    </row>
    <row r="351" spans="10:17">
      <c r="J351">
        <f t="shared" si="32"/>
        <v>20</v>
      </c>
      <c r="K351" cm="1">
        <f t="array" ref="K351">INDEX(H$19:H$45,J351)</f>
        <v>20</v>
      </c>
      <c r="L351">
        <f t="shared" si="33"/>
        <v>8</v>
      </c>
      <c r="M351" t="str" cm="1">
        <f t="array" ref="M351">INDEX(Tabl_B4_Tanks!B$7:B$33,X_EMIS!K351)</f>
        <v>TK10406</v>
      </c>
      <c r="N351" t="str">
        <f t="shared" si="34"/>
        <v>108-88-3</v>
      </c>
      <c r="O351" t="str">
        <f t="shared" si="34"/>
        <v>Toluene</v>
      </c>
      <c r="P351" s="6" cm="1">
        <f t="array" ref="P351">INDEX(Tabl_B4_Tanks!$Q$7:$AA$33,X_EMIS!K351,X_EMIS!L351)</f>
        <v>6.6106509443652204E-4</v>
      </c>
      <c r="Q351" cm="1">
        <f t="array" ref="Q351">INDEX(Tabl_B4_Tanks!$F$7:$P$33,X_EMIS!J351,X_EMIS!L351)</f>
        <v>0.24128875946933054</v>
      </c>
    </row>
    <row r="352" spans="10:17">
      <c r="J352">
        <f t="shared" si="32"/>
        <v>20</v>
      </c>
      <c r="K352" cm="1">
        <f t="array" ref="K352">INDEX(H$19:H$45,J352)</f>
        <v>20</v>
      </c>
      <c r="L352">
        <f t="shared" si="33"/>
        <v>9</v>
      </c>
      <c r="M352" t="str" cm="1">
        <f t="array" ref="M352">INDEX(Tabl_B4_Tanks!B$7:B$33,X_EMIS!K352)</f>
        <v>TK10406</v>
      </c>
      <c r="N352" t="str">
        <f t="shared" si="34"/>
        <v>110-54-3</v>
      </c>
      <c r="O352" t="str">
        <f t="shared" si="34"/>
        <v>Hexane</v>
      </c>
      <c r="P352" s="6" cm="1">
        <f t="array" ref="P352">INDEX(Tabl_B4_Tanks!$Q$7:$AA$33,X_EMIS!K352,X_EMIS!L352)</f>
        <v>1.0912318544526321E-4</v>
      </c>
      <c r="Q352" cm="1">
        <f t="array" ref="Q352">INDEX(Tabl_B4_Tanks!$F$7:$P$33,X_EMIS!J352,X_EMIS!L352)</f>
        <v>3.9829962687521071E-2</v>
      </c>
    </row>
    <row r="353" spans="10:17">
      <c r="J353">
        <f t="shared" si="32"/>
        <v>20</v>
      </c>
      <c r="K353" cm="1">
        <f t="array" ref="K353">INDEX(H$19:H$45,J353)</f>
        <v>20</v>
      </c>
      <c r="L353">
        <f t="shared" si="33"/>
        <v>10</v>
      </c>
      <c r="M353" t="str" cm="1">
        <f t="array" ref="M353">INDEX(Tabl_B4_Tanks!B$7:B$33,X_EMIS!K353)</f>
        <v>TK10406</v>
      </c>
      <c r="N353" t="str">
        <f t="shared" si="34"/>
        <v>1330-20-7</v>
      </c>
      <c r="O353" t="str">
        <f t="shared" si="34"/>
        <v>Xylene (mixture), including m-xylene, o-xylene, p-xylene</v>
      </c>
      <c r="P353" s="6" cm="1">
        <f t="array" ref="P353">INDEX(Tabl_B4_Tanks!$Q$7:$AA$33,X_EMIS!K353,X_EMIS!L353)</f>
        <v>1.1007208271000463E-3</v>
      </c>
      <c r="Q353" cm="1">
        <f t="array" ref="Q353">INDEX(Tabl_B4_Tanks!$F$7:$P$33,X_EMIS!J353,X_EMIS!L353)</f>
        <v>0.40176310189151693</v>
      </c>
    </row>
    <row r="354" spans="10:17">
      <c r="J354">
        <f t="shared" si="32"/>
        <v>20</v>
      </c>
      <c r="K354" cm="1">
        <f t="array" ref="K354">INDEX(H$19:H$45,J354)</f>
        <v>20</v>
      </c>
      <c r="L354">
        <f t="shared" si="33"/>
        <v>11</v>
      </c>
      <c r="M354" t="str" cm="1">
        <f t="array" ref="M354">INDEX(Tabl_B4_Tanks!B$7:B$33,X_EMIS!K354)</f>
        <v>TK10406</v>
      </c>
      <c r="N354" t="str">
        <f t="shared" ref="N354:O369" si="35">N343</f>
        <v>7783-06-4</v>
      </c>
      <c r="O354" t="str">
        <f t="shared" si="35"/>
        <v>Hydrogen sulfide</v>
      </c>
      <c r="P354" s="6" cm="1">
        <f t="array" ref="P354">INDEX(Tabl_B4_Tanks!$Q$7:$AA$33,X_EMIS!K354,X_EMIS!L354)</f>
        <v>5.3770845002013763E-5</v>
      </c>
      <c r="Q354" cm="1">
        <f t="array" ref="Q354">INDEX(Tabl_B4_Tanks!$F$7:$P$33,X_EMIS!J354,X_EMIS!L354)</f>
        <v>1.9626358425735024E-2</v>
      </c>
    </row>
    <row r="355" spans="10:17">
      <c r="J355">
        <f t="shared" si="32"/>
        <v>21</v>
      </c>
      <c r="K355" cm="1">
        <f t="array" ref="K355">INDEX(H$19:H$45,J355)</f>
        <v>21</v>
      </c>
      <c r="L355">
        <f t="shared" si="33"/>
        <v>1</v>
      </c>
      <c r="M355" t="str" cm="1">
        <f t="array" ref="M355">INDEX(Tabl_B4_Tanks!B$7:B$33,X_EMIS!K355)</f>
        <v>UO1</v>
      </c>
      <c r="N355" t="str">
        <f t="shared" si="35"/>
        <v>91-57-6</v>
      </c>
      <c r="O355" t="str">
        <f t="shared" si="35"/>
        <v>2-Methyl naphthalene</v>
      </c>
      <c r="P355" s="6" cm="1">
        <f t="array" ref="P355">INDEX(Tabl_B4_Tanks!$Q$7:$AA$33,X_EMIS!K355,X_EMIS!L355)</f>
        <v>7.6718067749128986E-4</v>
      </c>
      <c r="Q355" cm="1">
        <f t="array" ref="Q355">INDEX(Tabl_B4_Tanks!$F$7:$P$33,X_EMIS!J355,X_EMIS!L355)</f>
        <v>0.28002094728432081</v>
      </c>
    </row>
    <row r="356" spans="10:17">
      <c r="J356">
        <f t="shared" si="32"/>
        <v>21</v>
      </c>
      <c r="K356" cm="1">
        <f t="array" ref="K356">INDEX(H$19:H$45,J356)</f>
        <v>21</v>
      </c>
      <c r="L356">
        <f t="shared" si="33"/>
        <v>2</v>
      </c>
      <c r="M356" t="str" cm="1">
        <f t="array" ref="M356">INDEX(Tabl_B4_Tanks!B$7:B$33,X_EMIS!K356)</f>
        <v>UO1</v>
      </c>
      <c r="N356" t="str">
        <f t="shared" si="35"/>
        <v>91-20-3</v>
      </c>
      <c r="O356" t="str">
        <f t="shared" si="35"/>
        <v>Naphthalene</v>
      </c>
      <c r="P356" s="6" cm="1">
        <f t="array" ref="P356">INDEX(Tabl_B4_Tanks!$Q$7:$AA$33,X_EMIS!K356,X_EMIS!L356)</f>
        <v>4.452866869355039E-4</v>
      </c>
      <c r="Q356" cm="1">
        <f t="array" ref="Q356">INDEX(Tabl_B4_Tanks!$F$7:$P$33,X_EMIS!J356,X_EMIS!L356)</f>
        <v>0.16252964073145892</v>
      </c>
    </row>
    <row r="357" spans="10:17">
      <c r="J357">
        <f t="shared" si="32"/>
        <v>21</v>
      </c>
      <c r="K357" cm="1">
        <f t="array" ref="K357">INDEX(H$19:H$45,J357)</f>
        <v>21</v>
      </c>
      <c r="L357">
        <f t="shared" si="33"/>
        <v>3</v>
      </c>
      <c r="M357" t="str" cm="1">
        <f t="array" ref="M357">INDEX(Tabl_B4_Tanks!B$7:B$33,X_EMIS!K357)</f>
        <v>UO1</v>
      </c>
      <c r="N357" t="str">
        <f t="shared" si="35"/>
        <v>108-95-2</v>
      </c>
      <c r="O357" t="str">
        <f t="shared" si="35"/>
        <v>Phenol</v>
      </c>
      <c r="P357" s="6" cm="1">
        <f t="array" ref="P357">INDEX(Tabl_B4_Tanks!$Q$7:$AA$33,X_EMIS!K357,X_EMIS!L357)</f>
        <v>9.3617502253307749E-6</v>
      </c>
      <c r="Q357" cm="1">
        <f t="array" ref="Q357">INDEX(Tabl_B4_Tanks!$F$7:$P$33,X_EMIS!J357,X_EMIS!L357)</f>
        <v>3.4170388322457327E-3</v>
      </c>
    </row>
    <row r="358" spans="10:17">
      <c r="J358">
        <f t="shared" si="32"/>
        <v>21</v>
      </c>
      <c r="K358" cm="1">
        <f t="array" ref="K358">INDEX(H$19:H$45,J358)</f>
        <v>21</v>
      </c>
      <c r="L358">
        <f t="shared" si="33"/>
        <v>4</v>
      </c>
      <c r="M358" t="str" cm="1">
        <f t="array" ref="M358">INDEX(Tabl_B4_Tanks!B$7:B$33,X_EMIS!K358)</f>
        <v>UO1</v>
      </c>
      <c r="N358" t="str">
        <f t="shared" si="35"/>
        <v>1319-77-3</v>
      </c>
      <c r="O358" t="str">
        <f t="shared" si="35"/>
        <v>Cresols (mixture), including m-cresol, o-cresol, p-cresol</v>
      </c>
      <c r="P358" s="6" cm="1">
        <f t="array" ref="P358">INDEX(Tabl_B4_Tanks!$Q$7:$AA$33,X_EMIS!K358,X_EMIS!L358)</f>
        <v>3.4871848976876806E-6</v>
      </c>
      <c r="Q358" cm="1">
        <f t="array" ref="Q358">INDEX(Tabl_B4_Tanks!$F$7:$P$33,X_EMIS!J358,X_EMIS!L358)</f>
        <v>1.2728224876560035E-3</v>
      </c>
    </row>
    <row r="359" spans="10:17">
      <c r="J359">
        <f t="shared" si="32"/>
        <v>21</v>
      </c>
      <c r="K359" cm="1">
        <f t="array" ref="K359">INDEX(H$19:H$45,J359)</f>
        <v>21</v>
      </c>
      <c r="L359">
        <f t="shared" si="33"/>
        <v>5</v>
      </c>
      <c r="M359" t="str" cm="1">
        <f t="array" ref="M359">INDEX(Tabl_B4_Tanks!B$7:B$33,X_EMIS!K359)</f>
        <v>UO1</v>
      </c>
      <c r="N359" t="str">
        <f t="shared" si="35"/>
        <v>71-43-2</v>
      </c>
      <c r="O359" t="str">
        <f t="shared" si="35"/>
        <v>Benzene</v>
      </c>
      <c r="P359" s="6" cm="1">
        <f t="array" ref="P359">INDEX(Tabl_B4_Tanks!$Q$7:$AA$33,X_EMIS!K359,X_EMIS!L359)</f>
        <v>6.2232838174118609E-5</v>
      </c>
      <c r="Q359" cm="1">
        <f t="array" ref="Q359">INDEX(Tabl_B4_Tanks!$F$7:$P$33,X_EMIS!J359,X_EMIS!L359)</f>
        <v>2.2714985933553294E-2</v>
      </c>
    </row>
    <row r="360" spans="10:17">
      <c r="J360">
        <f t="shared" si="32"/>
        <v>21</v>
      </c>
      <c r="K360" cm="1">
        <f t="array" ref="K360">INDEX(H$19:H$45,J360)</f>
        <v>21</v>
      </c>
      <c r="L360">
        <f t="shared" si="33"/>
        <v>6</v>
      </c>
      <c r="M360" t="str" cm="1">
        <f t="array" ref="M360">INDEX(Tabl_B4_Tanks!B$7:B$33,X_EMIS!K360)</f>
        <v>UO1</v>
      </c>
      <c r="N360" t="str">
        <f t="shared" si="35"/>
        <v>100-41-4</v>
      </c>
      <c r="O360" t="str">
        <f t="shared" si="35"/>
        <v>Ethyl benzene</v>
      </c>
      <c r="P360" s="6" cm="1">
        <f t="array" ref="P360">INDEX(Tabl_B4_Tanks!$Q$7:$AA$33,X_EMIS!K360,X_EMIS!L360)</f>
        <v>1.5799630036446492E-4</v>
      </c>
      <c r="Q360" cm="1">
        <f t="array" ref="Q360">INDEX(Tabl_B4_Tanks!$F$7:$P$33,X_EMIS!J360,X_EMIS!L360)</f>
        <v>5.76686496330297E-2</v>
      </c>
    </row>
    <row r="361" spans="10:17">
      <c r="J361">
        <f t="shared" si="32"/>
        <v>21</v>
      </c>
      <c r="K361" cm="1">
        <f t="array" ref="K361">INDEX(H$19:H$45,J361)</f>
        <v>21</v>
      </c>
      <c r="L361">
        <f t="shared" si="33"/>
        <v>7</v>
      </c>
      <c r="M361" t="str" cm="1">
        <f t="array" ref="M361">INDEX(Tabl_B4_Tanks!B$7:B$33,X_EMIS!K361)</f>
        <v>UO1</v>
      </c>
      <c r="N361" t="str">
        <f t="shared" si="35"/>
        <v>98-82-8</v>
      </c>
      <c r="O361" t="str">
        <f t="shared" si="35"/>
        <v>Isopropylbenzene (Cumene)</v>
      </c>
      <c r="P361" s="6" cm="1">
        <f t="array" ref="P361">INDEX(Tabl_B4_Tanks!$Q$7:$AA$33,X_EMIS!K361,X_EMIS!L361)</f>
        <v>3.2725889039838237E-5</v>
      </c>
      <c r="Q361" cm="1">
        <f t="array" ref="Q361">INDEX(Tabl_B4_Tanks!$F$7:$P$33,X_EMIS!J361,X_EMIS!L361)</f>
        <v>1.1944949499540955E-2</v>
      </c>
    </row>
    <row r="362" spans="10:17">
      <c r="J362">
        <f t="shared" si="32"/>
        <v>21</v>
      </c>
      <c r="K362" cm="1">
        <f t="array" ref="K362">INDEX(H$19:H$45,J362)</f>
        <v>21</v>
      </c>
      <c r="L362">
        <f t="shared" si="33"/>
        <v>8</v>
      </c>
      <c r="M362" t="str" cm="1">
        <f t="array" ref="M362">INDEX(Tabl_B4_Tanks!B$7:B$33,X_EMIS!K362)</f>
        <v>UO1</v>
      </c>
      <c r="N362" t="str">
        <f t="shared" si="35"/>
        <v>108-88-3</v>
      </c>
      <c r="O362" t="str">
        <f t="shared" si="35"/>
        <v>Toluene</v>
      </c>
      <c r="P362" s="6" cm="1">
        <f t="array" ref="P362">INDEX(Tabl_B4_Tanks!$Q$7:$AA$33,X_EMIS!K362,X_EMIS!L362)</f>
        <v>5.6063203355132712E-4</v>
      </c>
      <c r="Q362" cm="1">
        <f t="array" ref="Q362">INDEX(Tabl_B4_Tanks!$F$7:$P$33,X_EMIS!J362,X_EMIS!L362)</f>
        <v>0.2046306922462344</v>
      </c>
    </row>
    <row r="363" spans="10:17">
      <c r="J363">
        <f t="shared" si="32"/>
        <v>21</v>
      </c>
      <c r="K363" cm="1">
        <f t="array" ref="K363">INDEX(H$19:H$45,J363)</f>
        <v>21</v>
      </c>
      <c r="L363">
        <f t="shared" si="33"/>
        <v>9</v>
      </c>
      <c r="M363" t="str" cm="1">
        <f t="array" ref="M363">INDEX(Tabl_B4_Tanks!B$7:B$33,X_EMIS!K363)</f>
        <v>UO1</v>
      </c>
      <c r="N363" t="str">
        <f t="shared" si="35"/>
        <v>110-54-3</v>
      </c>
      <c r="O363" t="str">
        <f t="shared" si="35"/>
        <v>Hexane</v>
      </c>
      <c r="P363" s="6" cm="1">
        <f t="array" ref="P363">INDEX(Tabl_B4_Tanks!$Q$7:$AA$33,X_EMIS!K363,X_EMIS!L363)</f>
        <v>9.2544522284788457E-5</v>
      </c>
      <c r="Q363" cm="1">
        <f t="array" ref="Q363">INDEX(Tabl_B4_Tanks!$F$7:$P$33,X_EMIS!J363,X_EMIS!L363)</f>
        <v>3.3778750633947786E-2</v>
      </c>
    </row>
    <row r="364" spans="10:17">
      <c r="J364">
        <f t="shared" si="32"/>
        <v>21</v>
      </c>
      <c r="K364" cm="1">
        <f t="array" ref="K364">INDEX(H$19:H$45,J364)</f>
        <v>21</v>
      </c>
      <c r="L364">
        <f t="shared" si="33"/>
        <v>10</v>
      </c>
      <c r="M364" t="str" cm="1">
        <f t="array" ref="M364">INDEX(Tabl_B4_Tanks!B$7:B$33,X_EMIS!K364)</f>
        <v>UO1</v>
      </c>
      <c r="N364" t="str">
        <f t="shared" si="35"/>
        <v>1330-20-7</v>
      </c>
      <c r="O364" t="str">
        <f t="shared" si="35"/>
        <v>Xylene (mixture), including m-xylene, o-xylene, p-xylene</v>
      </c>
      <c r="P364" s="6" cm="1">
        <f t="array" ref="P364">INDEX(Tabl_B4_Tanks!$Q$7:$AA$33,X_EMIS!K364,X_EMIS!L364)</f>
        <v>9.3349257261177924E-4</v>
      </c>
      <c r="Q364" cm="1">
        <f t="array" ref="Q364">INDEX(Tabl_B4_Tanks!$F$7:$P$33,X_EMIS!J364,X_EMIS!L364)</f>
        <v>0.34072478900329939</v>
      </c>
    </row>
    <row r="365" spans="10:17">
      <c r="J365">
        <f t="shared" si="32"/>
        <v>21</v>
      </c>
      <c r="K365" cm="1">
        <f t="array" ref="K365">INDEX(H$19:H$45,J365)</f>
        <v>21</v>
      </c>
      <c r="L365">
        <f t="shared" si="33"/>
        <v>11</v>
      </c>
      <c r="M365" t="str" cm="1">
        <f t="array" ref="M365">INDEX(Tabl_B4_Tanks!B$7:B$33,X_EMIS!K365)</f>
        <v>UO1</v>
      </c>
      <c r="N365" t="str">
        <f t="shared" si="35"/>
        <v>7783-06-4</v>
      </c>
      <c r="O365" t="str">
        <f t="shared" si="35"/>
        <v>Hydrogen sulfide</v>
      </c>
      <c r="P365" s="6" cm="1">
        <f t="array" ref="P365">INDEX(Tabl_B4_Tanks!$Q$7:$AA$33,X_EMIS!K365,X_EMIS!L365)</f>
        <v>4.5601648662069675E-5</v>
      </c>
      <c r="Q365" cm="1">
        <f t="array" ref="Q365">INDEX(Tabl_B4_Tanks!$F$7:$P$33,X_EMIS!J365,X_EMIS!L365)</f>
        <v>1.6644601761655432E-2</v>
      </c>
    </row>
    <row r="366" spans="10:17">
      <c r="J366">
        <f t="shared" si="32"/>
        <v>22</v>
      </c>
      <c r="K366" cm="1">
        <f t="array" ref="K366">INDEX(H$19:H$45,J366)</f>
        <v>22</v>
      </c>
      <c r="L366">
        <f t="shared" si="33"/>
        <v>1</v>
      </c>
      <c r="M366" t="str" cm="1">
        <f t="array" ref="M366">INDEX(Tabl_B4_Tanks!B$7:B$33,X_EMIS!K366)</f>
        <v>UO2</v>
      </c>
      <c r="N366" t="str">
        <f t="shared" si="35"/>
        <v>91-57-6</v>
      </c>
      <c r="O366" t="str">
        <f t="shared" si="35"/>
        <v>2-Methyl naphthalene</v>
      </c>
      <c r="P366" s="6" cm="1">
        <f t="array" ref="P366">INDEX(Tabl_B4_Tanks!$Q$7:$AA$33,X_EMIS!K366,X_EMIS!L366)</f>
        <v>7.6718067749128986E-4</v>
      </c>
      <c r="Q366" cm="1">
        <f t="array" ref="Q366">INDEX(Tabl_B4_Tanks!$F$7:$P$33,X_EMIS!J366,X_EMIS!L366)</f>
        <v>0.28002094728432081</v>
      </c>
    </row>
    <row r="367" spans="10:17">
      <c r="J367">
        <f t="shared" si="32"/>
        <v>22</v>
      </c>
      <c r="K367" cm="1">
        <f t="array" ref="K367">INDEX(H$19:H$45,J367)</f>
        <v>22</v>
      </c>
      <c r="L367">
        <f t="shared" si="33"/>
        <v>2</v>
      </c>
      <c r="M367" t="str" cm="1">
        <f t="array" ref="M367">INDEX(Tabl_B4_Tanks!B$7:B$33,X_EMIS!K367)</f>
        <v>UO2</v>
      </c>
      <c r="N367" t="str">
        <f t="shared" si="35"/>
        <v>91-20-3</v>
      </c>
      <c r="O367" t="str">
        <f t="shared" si="35"/>
        <v>Naphthalene</v>
      </c>
      <c r="P367" s="6" cm="1">
        <f t="array" ref="P367">INDEX(Tabl_B4_Tanks!$Q$7:$AA$33,X_EMIS!K367,X_EMIS!L367)</f>
        <v>4.452866869355039E-4</v>
      </c>
      <c r="Q367" cm="1">
        <f t="array" ref="Q367">INDEX(Tabl_B4_Tanks!$F$7:$P$33,X_EMIS!J367,X_EMIS!L367)</f>
        <v>0.16252964073145892</v>
      </c>
    </row>
    <row r="368" spans="10:17">
      <c r="J368">
        <f t="shared" si="32"/>
        <v>22</v>
      </c>
      <c r="K368" cm="1">
        <f t="array" ref="K368">INDEX(H$19:H$45,J368)</f>
        <v>22</v>
      </c>
      <c r="L368">
        <f t="shared" si="33"/>
        <v>3</v>
      </c>
      <c r="M368" t="str" cm="1">
        <f t="array" ref="M368">INDEX(Tabl_B4_Tanks!B$7:B$33,X_EMIS!K368)</f>
        <v>UO2</v>
      </c>
      <c r="N368" t="str">
        <f t="shared" si="35"/>
        <v>108-95-2</v>
      </c>
      <c r="O368" t="str">
        <f t="shared" si="35"/>
        <v>Phenol</v>
      </c>
      <c r="P368" s="6" cm="1">
        <f t="array" ref="P368">INDEX(Tabl_B4_Tanks!$Q$7:$AA$33,X_EMIS!K368,X_EMIS!L368)</f>
        <v>9.3617502253307749E-6</v>
      </c>
      <c r="Q368" cm="1">
        <f t="array" ref="Q368">INDEX(Tabl_B4_Tanks!$F$7:$P$33,X_EMIS!J368,X_EMIS!L368)</f>
        <v>3.4170388322457327E-3</v>
      </c>
    </row>
    <row r="369" spans="10:17">
      <c r="J369">
        <f t="shared" si="32"/>
        <v>22</v>
      </c>
      <c r="K369" cm="1">
        <f t="array" ref="K369">INDEX(H$19:H$45,J369)</f>
        <v>22</v>
      </c>
      <c r="L369">
        <f t="shared" si="33"/>
        <v>4</v>
      </c>
      <c r="M369" t="str" cm="1">
        <f t="array" ref="M369">INDEX(Tabl_B4_Tanks!B$7:B$33,X_EMIS!K369)</f>
        <v>UO2</v>
      </c>
      <c r="N369" t="str">
        <f t="shared" si="35"/>
        <v>1319-77-3</v>
      </c>
      <c r="O369" t="str">
        <f t="shared" si="35"/>
        <v>Cresols (mixture), including m-cresol, o-cresol, p-cresol</v>
      </c>
      <c r="P369" s="6" cm="1">
        <f t="array" ref="P369">INDEX(Tabl_B4_Tanks!$Q$7:$AA$33,X_EMIS!K369,X_EMIS!L369)</f>
        <v>3.4871848976876806E-6</v>
      </c>
      <c r="Q369" cm="1">
        <f t="array" ref="Q369">INDEX(Tabl_B4_Tanks!$F$7:$P$33,X_EMIS!J369,X_EMIS!L369)</f>
        <v>1.2728224876560035E-3</v>
      </c>
    </row>
    <row r="370" spans="10:17">
      <c r="J370">
        <f t="shared" si="32"/>
        <v>22</v>
      </c>
      <c r="K370" cm="1">
        <f t="array" ref="K370">INDEX(H$19:H$45,J370)</f>
        <v>22</v>
      </c>
      <c r="L370">
        <f t="shared" si="33"/>
        <v>5</v>
      </c>
      <c r="M370" t="str" cm="1">
        <f t="array" ref="M370">INDEX(Tabl_B4_Tanks!B$7:B$33,X_EMIS!K370)</f>
        <v>UO2</v>
      </c>
      <c r="N370" t="str">
        <f t="shared" ref="N370:O385" si="36">N359</f>
        <v>71-43-2</v>
      </c>
      <c r="O370" t="str">
        <f t="shared" si="36"/>
        <v>Benzene</v>
      </c>
      <c r="P370" s="6" cm="1">
        <f t="array" ref="P370">INDEX(Tabl_B4_Tanks!$Q$7:$AA$33,X_EMIS!K370,X_EMIS!L370)</f>
        <v>6.2232838174118609E-5</v>
      </c>
      <c r="Q370" cm="1">
        <f t="array" ref="Q370">INDEX(Tabl_B4_Tanks!$F$7:$P$33,X_EMIS!J370,X_EMIS!L370)</f>
        <v>2.2714985933553294E-2</v>
      </c>
    </row>
    <row r="371" spans="10:17">
      <c r="J371">
        <f t="shared" si="32"/>
        <v>22</v>
      </c>
      <c r="K371" cm="1">
        <f t="array" ref="K371">INDEX(H$19:H$45,J371)</f>
        <v>22</v>
      </c>
      <c r="L371">
        <f t="shared" si="33"/>
        <v>6</v>
      </c>
      <c r="M371" t="str" cm="1">
        <f t="array" ref="M371">INDEX(Tabl_B4_Tanks!B$7:B$33,X_EMIS!K371)</f>
        <v>UO2</v>
      </c>
      <c r="N371" t="str">
        <f t="shared" si="36"/>
        <v>100-41-4</v>
      </c>
      <c r="O371" t="str">
        <f t="shared" si="36"/>
        <v>Ethyl benzene</v>
      </c>
      <c r="P371" s="6" cm="1">
        <f t="array" ref="P371">INDEX(Tabl_B4_Tanks!$Q$7:$AA$33,X_EMIS!K371,X_EMIS!L371)</f>
        <v>1.5799630036446492E-4</v>
      </c>
      <c r="Q371" cm="1">
        <f t="array" ref="Q371">INDEX(Tabl_B4_Tanks!$F$7:$P$33,X_EMIS!J371,X_EMIS!L371)</f>
        <v>5.76686496330297E-2</v>
      </c>
    </row>
    <row r="372" spans="10:17">
      <c r="J372">
        <f t="shared" si="32"/>
        <v>22</v>
      </c>
      <c r="K372" cm="1">
        <f t="array" ref="K372">INDEX(H$19:H$45,J372)</f>
        <v>22</v>
      </c>
      <c r="L372">
        <f t="shared" si="33"/>
        <v>7</v>
      </c>
      <c r="M372" t="str" cm="1">
        <f t="array" ref="M372">INDEX(Tabl_B4_Tanks!B$7:B$33,X_EMIS!K372)</f>
        <v>UO2</v>
      </c>
      <c r="N372" t="str">
        <f t="shared" si="36"/>
        <v>98-82-8</v>
      </c>
      <c r="O372" t="str">
        <f t="shared" si="36"/>
        <v>Isopropylbenzene (Cumene)</v>
      </c>
      <c r="P372" s="6" cm="1">
        <f t="array" ref="P372">INDEX(Tabl_B4_Tanks!$Q$7:$AA$33,X_EMIS!K372,X_EMIS!L372)</f>
        <v>3.2725889039838237E-5</v>
      </c>
      <c r="Q372" cm="1">
        <f t="array" ref="Q372">INDEX(Tabl_B4_Tanks!$F$7:$P$33,X_EMIS!J372,X_EMIS!L372)</f>
        <v>1.1944949499540955E-2</v>
      </c>
    </row>
    <row r="373" spans="10:17">
      <c r="J373">
        <f t="shared" si="32"/>
        <v>22</v>
      </c>
      <c r="K373" cm="1">
        <f t="array" ref="K373">INDEX(H$19:H$45,J373)</f>
        <v>22</v>
      </c>
      <c r="L373">
        <f t="shared" si="33"/>
        <v>8</v>
      </c>
      <c r="M373" t="str" cm="1">
        <f t="array" ref="M373">INDEX(Tabl_B4_Tanks!B$7:B$33,X_EMIS!K373)</f>
        <v>UO2</v>
      </c>
      <c r="N373" t="str">
        <f t="shared" si="36"/>
        <v>108-88-3</v>
      </c>
      <c r="O373" t="str">
        <f t="shared" si="36"/>
        <v>Toluene</v>
      </c>
      <c r="P373" s="6" cm="1">
        <f t="array" ref="P373">INDEX(Tabl_B4_Tanks!$Q$7:$AA$33,X_EMIS!K373,X_EMIS!L373)</f>
        <v>5.6063203355132712E-4</v>
      </c>
      <c r="Q373" cm="1">
        <f t="array" ref="Q373">INDEX(Tabl_B4_Tanks!$F$7:$P$33,X_EMIS!J373,X_EMIS!L373)</f>
        <v>0.2046306922462344</v>
      </c>
    </row>
    <row r="374" spans="10:17">
      <c r="J374">
        <f t="shared" si="32"/>
        <v>22</v>
      </c>
      <c r="K374" cm="1">
        <f t="array" ref="K374">INDEX(H$19:H$45,J374)</f>
        <v>22</v>
      </c>
      <c r="L374">
        <f t="shared" si="33"/>
        <v>9</v>
      </c>
      <c r="M374" t="str" cm="1">
        <f t="array" ref="M374">INDEX(Tabl_B4_Tanks!B$7:B$33,X_EMIS!K374)</f>
        <v>UO2</v>
      </c>
      <c r="N374" t="str">
        <f t="shared" si="36"/>
        <v>110-54-3</v>
      </c>
      <c r="O374" t="str">
        <f t="shared" si="36"/>
        <v>Hexane</v>
      </c>
      <c r="P374" s="6" cm="1">
        <f t="array" ref="P374">INDEX(Tabl_B4_Tanks!$Q$7:$AA$33,X_EMIS!K374,X_EMIS!L374)</f>
        <v>9.2544522284788457E-5</v>
      </c>
      <c r="Q374" cm="1">
        <f t="array" ref="Q374">INDEX(Tabl_B4_Tanks!$F$7:$P$33,X_EMIS!J374,X_EMIS!L374)</f>
        <v>3.3778750633947786E-2</v>
      </c>
    </row>
    <row r="375" spans="10:17">
      <c r="J375">
        <f t="shared" si="32"/>
        <v>22</v>
      </c>
      <c r="K375" cm="1">
        <f t="array" ref="K375">INDEX(H$19:H$45,J375)</f>
        <v>22</v>
      </c>
      <c r="L375">
        <f t="shared" si="33"/>
        <v>10</v>
      </c>
      <c r="M375" t="str" cm="1">
        <f t="array" ref="M375">INDEX(Tabl_B4_Tanks!B$7:B$33,X_EMIS!K375)</f>
        <v>UO2</v>
      </c>
      <c r="N375" t="str">
        <f t="shared" si="36"/>
        <v>1330-20-7</v>
      </c>
      <c r="O375" t="str">
        <f t="shared" si="36"/>
        <v>Xylene (mixture), including m-xylene, o-xylene, p-xylene</v>
      </c>
      <c r="P375" s="6" cm="1">
        <f t="array" ref="P375">INDEX(Tabl_B4_Tanks!$Q$7:$AA$33,X_EMIS!K375,X_EMIS!L375)</f>
        <v>9.3349257261177924E-4</v>
      </c>
      <c r="Q375" cm="1">
        <f t="array" ref="Q375">INDEX(Tabl_B4_Tanks!$F$7:$P$33,X_EMIS!J375,X_EMIS!L375)</f>
        <v>0.34072478900329939</v>
      </c>
    </row>
    <row r="376" spans="10:17">
      <c r="J376">
        <f t="shared" si="32"/>
        <v>22</v>
      </c>
      <c r="K376" cm="1">
        <f t="array" ref="K376">INDEX(H$19:H$45,J376)</f>
        <v>22</v>
      </c>
      <c r="L376">
        <f t="shared" si="33"/>
        <v>11</v>
      </c>
      <c r="M376" t="str" cm="1">
        <f t="array" ref="M376">INDEX(Tabl_B4_Tanks!B$7:B$33,X_EMIS!K376)</f>
        <v>UO2</v>
      </c>
      <c r="N376" t="str">
        <f t="shared" si="36"/>
        <v>7783-06-4</v>
      </c>
      <c r="O376" t="str">
        <f t="shared" si="36"/>
        <v>Hydrogen sulfide</v>
      </c>
      <c r="P376" s="6" cm="1">
        <f t="array" ref="P376">INDEX(Tabl_B4_Tanks!$Q$7:$AA$33,X_EMIS!K376,X_EMIS!L376)</f>
        <v>4.5601648662069675E-5</v>
      </c>
      <c r="Q376" cm="1">
        <f t="array" ref="Q376">INDEX(Tabl_B4_Tanks!$F$7:$P$33,X_EMIS!J376,X_EMIS!L376)</f>
        <v>1.6644601761655432E-2</v>
      </c>
    </row>
    <row r="377" spans="10:17">
      <c r="J377">
        <f t="shared" si="32"/>
        <v>23</v>
      </c>
      <c r="K377" cm="1">
        <f t="array" ref="K377">INDEX(H$19:H$45,J377)</f>
        <v>23</v>
      </c>
      <c r="L377">
        <f t="shared" si="33"/>
        <v>1</v>
      </c>
      <c r="M377" t="str" cm="1">
        <f t="array" ref="M377">INDEX(Tabl_B4_Tanks!B$7:B$33,X_EMIS!K377)</f>
        <v>UO3</v>
      </c>
      <c r="N377" t="str">
        <f t="shared" si="36"/>
        <v>91-57-6</v>
      </c>
      <c r="O377" t="str">
        <f t="shared" si="36"/>
        <v>2-Methyl naphthalene</v>
      </c>
      <c r="P377" s="6" cm="1">
        <f t="array" ref="P377">INDEX(Tabl_B4_Tanks!$Q$7:$AA$33,X_EMIS!K377,X_EMIS!L377)</f>
        <v>7.6718067749128986E-4</v>
      </c>
      <c r="Q377" cm="1">
        <f t="array" ref="Q377">INDEX(Tabl_B4_Tanks!$F$7:$P$33,X_EMIS!J377,X_EMIS!L377)</f>
        <v>0.28002094728432081</v>
      </c>
    </row>
    <row r="378" spans="10:17">
      <c r="J378">
        <f t="shared" si="32"/>
        <v>23</v>
      </c>
      <c r="K378" cm="1">
        <f t="array" ref="K378">INDEX(H$19:H$45,J378)</f>
        <v>23</v>
      </c>
      <c r="L378">
        <f t="shared" si="33"/>
        <v>2</v>
      </c>
      <c r="M378" t="str" cm="1">
        <f t="array" ref="M378">INDEX(Tabl_B4_Tanks!B$7:B$33,X_EMIS!K378)</f>
        <v>UO3</v>
      </c>
      <c r="N378" t="str">
        <f t="shared" si="36"/>
        <v>91-20-3</v>
      </c>
      <c r="O378" t="str">
        <f t="shared" si="36"/>
        <v>Naphthalene</v>
      </c>
      <c r="P378" s="6" cm="1">
        <f t="array" ref="P378">INDEX(Tabl_B4_Tanks!$Q$7:$AA$33,X_EMIS!K378,X_EMIS!L378)</f>
        <v>4.452866869355039E-4</v>
      </c>
      <c r="Q378" cm="1">
        <f t="array" ref="Q378">INDEX(Tabl_B4_Tanks!$F$7:$P$33,X_EMIS!J378,X_EMIS!L378)</f>
        <v>0.16252964073145892</v>
      </c>
    </row>
    <row r="379" spans="10:17">
      <c r="J379">
        <f t="shared" si="32"/>
        <v>23</v>
      </c>
      <c r="K379" cm="1">
        <f t="array" ref="K379">INDEX(H$19:H$45,J379)</f>
        <v>23</v>
      </c>
      <c r="L379">
        <f t="shared" si="33"/>
        <v>3</v>
      </c>
      <c r="M379" t="str" cm="1">
        <f t="array" ref="M379">INDEX(Tabl_B4_Tanks!B$7:B$33,X_EMIS!K379)</f>
        <v>UO3</v>
      </c>
      <c r="N379" t="str">
        <f t="shared" si="36"/>
        <v>108-95-2</v>
      </c>
      <c r="O379" t="str">
        <f t="shared" si="36"/>
        <v>Phenol</v>
      </c>
      <c r="P379" s="6" cm="1">
        <f t="array" ref="P379">INDEX(Tabl_B4_Tanks!$Q$7:$AA$33,X_EMIS!K379,X_EMIS!L379)</f>
        <v>9.3617502253307749E-6</v>
      </c>
      <c r="Q379" cm="1">
        <f t="array" ref="Q379">INDEX(Tabl_B4_Tanks!$F$7:$P$33,X_EMIS!J379,X_EMIS!L379)</f>
        <v>3.4170388322457327E-3</v>
      </c>
    </row>
    <row r="380" spans="10:17">
      <c r="J380">
        <f t="shared" si="32"/>
        <v>23</v>
      </c>
      <c r="K380" cm="1">
        <f t="array" ref="K380">INDEX(H$19:H$45,J380)</f>
        <v>23</v>
      </c>
      <c r="L380">
        <f t="shared" si="33"/>
        <v>4</v>
      </c>
      <c r="M380" t="str" cm="1">
        <f t="array" ref="M380">INDEX(Tabl_B4_Tanks!B$7:B$33,X_EMIS!K380)</f>
        <v>UO3</v>
      </c>
      <c r="N380" t="str">
        <f t="shared" si="36"/>
        <v>1319-77-3</v>
      </c>
      <c r="O380" t="str">
        <f t="shared" si="36"/>
        <v>Cresols (mixture), including m-cresol, o-cresol, p-cresol</v>
      </c>
      <c r="P380" s="6" cm="1">
        <f t="array" ref="P380">INDEX(Tabl_B4_Tanks!$Q$7:$AA$33,X_EMIS!K380,X_EMIS!L380)</f>
        <v>3.4871848976876806E-6</v>
      </c>
      <c r="Q380" cm="1">
        <f t="array" ref="Q380">INDEX(Tabl_B4_Tanks!$F$7:$P$33,X_EMIS!J380,X_EMIS!L380)</f>
        <v>1.2728224876560035E-3</v>
      </c>
    </row>
    <row r="381" spans="10:17">
      <c r="J381">
        <f t="shared" si="32"/>
        <v>23</v>
      </c>
      <c r="K381" cm="1">
        <f t="array" ref="K381">INDEX(H$19:H$45,J381)</f>
        <v>23</v>
      </c>
      <c r="L381">
        <f t="shared" si="33"/>
        <v>5</v>
      </c>
      <c r="M381" t="str" cm="1">
        <f t="array" ref="M381">INDEX(Tabl_B4_Tanks!B$7:B$33,X_EMIS!K381)</f>
        <v>UO3</v>
      </c>
      <c r="N381" t="str">
        <f t="shared" si="36"/>
        <v>71-43-2</v>
      </c>
      <c r="O381" t="str">
        <f t="shared" si="36"/>
        <v>Benzene</v>
      </c>
      <c r="P381" s="6" cm="1">
        <f t="array" ref="P381">INDEX(Tabl_B4_Tanks!$Q$7:$AA$33,X_EMIS!K381,X_EMIS!L381)</f>
        <v>6.2232838174118609E-5</v>
      </c>
      <c r="Q381" cm="1">
        <f t="array" ref="Q381">INDEX(Tabl_B4_Tanks!$F$7:$P$33,X_EMIS!J381,X_EMIS!L381)</f>
        <v>2.2714985933553294E-2</v>
      </c>
    </row>
    <row r="382" spans="10:17">
      <c r="J382">
        <f t="shared" si="32"/>
        <v>23</v>
      </c>
      <c r="K382" cm="1">
        <f t="array" ref="K382">INDEX(H$19:H$45,J382)</f>
        <v>23</v>
      </c>
      <c r="L382">
        <f t="shared" si="33"/>
        <v>6</v>
      </c>
      <c r="M382" t="str" cm="1">
        <f t="array" ref="M382">INDEX(Tabl_B4_Tanks!B$7:B$33,X_EMIS!K382)</f>
        <v>UO3</v>
      </c>
      <c r="N382" t="str">
        <f t="shared" si="36"/>
        <v>100-41-4</v>
      </c>
      <c r="O382" t="str">
        <f t="shared" si="36"/>
        <v>Ethyl benzene</v>
      </c>
      <c r="P382" s="6" cm="1">
        <f t="array" ref="P382">INDEX(Tabl_B4_Tanks!$Q$7:$AA$33,X_EMIS!K382,X_EMIS!L382)</f>
        <v>1.5799630036446492E-4</v>
      </c>
      <c r="Q382" cm="1">
        <f t="array" ref="Q382">INDEX(Tabl_B4_Tanks!$F$7:$P$33,X_EMIS!J382,X_EMIS!L382)</f>
        <v>5.76686496330297E-2</v>
      </c>
    </row>
    <row r="383" spans="10:17">
      <c r="J383">
        <f t="shared" si="32"/>
        <v>23</v>
      </c>
      <c r="K383" cm="1">
        <f t="array" ref="K383">INDEX(H$19:H$45,J383)</f>
        <v>23</v>
      </c>
      <c r="L383">
        <f t="shared" si="33"/>
        <v>7</v>
      </c>
      <c r="M383" t="str" cm="1">
        <f t="array" ref="M383">INDEX(Tabl_B4_Tanks!B$7:B$33,X_EMIS!K383)</f>
        <v>UO3</v>
      </c>
      <c r="N383" t="str">
        <f t="shared" si="36"/>
        <v>98-82-8</v>
      </c>
      <c r="O383" t="str">
        <f t="shared" si="36"/>
        <v>Isopropylbenzene (Cumene)</v>
      </c>
      <c r="P383" s="6" cm="1">
        <f t="array" ref="P383">INDEX(Tabl_B4_Tanks!$Q$7:$AA$33,X_EMIS!K383,X_EMIS!L383)</f>
        <v>3.2725889039838237E-5</v>
      </c>
      <c r="Q383" cm="1">
        <f t="array" ref="Q383">INDEX(Tabl_B4_Tanks!$F$7:$P$33,X_EMIS!J383,X_EMIS!L383)</f>
        <v>1.1944949499540955E-2</v>
      </c>
    </row>
    <row r="384" spans="10:17">
      <c r="J384">
        <f t="shared" si="32"/>
        <v>23</v>
      </c>
      <c r="K384" cm="1">
        <f t="array" ref="K384">INDEX(H$19:H$45,J384)</f>
        <v>23</v>
      </c>
      <c r="L384">
        <f t="shared" si="33"/>
        <v>8</v>
      </c>
      <c r="M384" t="str" cm="1">
        <f t="array" ref="M384">INDEX(Tabl_B4_Tanks!B$7:B$33,X_EMIS!K384)</f>
        <v>UO3</v>
      </c>
      <c r="N384" t="str">
        <f t="shared" si="36"/>
        <v>108-88-3</v>
      </c>
      <c r="O384" t="str">
        <f t="shared" si="36"/>
        <v>Toluene</v>
      </c>
      <c r="P384" s="6" cm="1">
        <f t="array" ref="P384">INDEX(Tabl_B4_Tanks!$Q$7:$AA$33,X_EMIS!K384,X_EMIS!L384)</f>
        <v>5.6063203355132712E-4</v>
      </c>
      <c r="Q384" cm="1">
        <f t="array" ref="Q384">INDEX(Tabl_B4_Tanks!$F$7:$P$33,X_EMIS!J384,X_EMIS!L384)</f>
        <v>0.2046306922462344</v>
      </c>
    </row>
    <row r="385" spans="10:17">
      <c r="J385">
        <f t="shared" si="32"/>
        <v>23</v>
      </c>
      <c r="K385" cm="1">
        <f t="array" ref="K385">INDEX(H$19:H$45,J385)</f>
        <v>23</v>
      </c>
      <c r="L385">
        <f t="shared" si="33"/>
        <v>9</v>
      </c>
      <c r="M385" t="str" cm="1">
        <f t="array" ref="M385">INDEX(Tabl_B4_Tanks!B$7:B$33,X_EMIS!K385)</f>
        <v>UO3</v>
      </c>
      <c r="N385" t="str">
        <f t="shared" si="36"/>
        <v>110-54-3</v>
      </c>
      <c r="O385" t="str">
        <f t="shared" si="36"/>
        <v>Hexane</v>
      </c>
      <c r="P385" s="6" cm="1">
        <f t="array" ref="P385">INDEX(Tabl_B4_Tanks!$Q$7:$AA$33,X_EMIS!K385,X_EMIS!L385)</f>
        <v>9.2544522284788457E-5</v>
      </c>
      <c r="Q385" cm="1">
        <f t="array" ref="Q385">INDEX(Tabl_B4_Tanks!$F$7:$P$33,X_EMIS!J385,X_EMIS!L385)</f>
        <v>3.3778750633947786E-2</v>
      </c>
    </row>
    <row r="386" spans="10:17">
      <c r="J386">
        <f t="shared" si="32"/>
        <v>23</v>
      </c>
      <c r="K386" cm="1">
        <f t="array" ref="K386">INDEX(H$19:H$45,J386)</f>
        <v>23</v>
      </c>
      <c r="L386">
        <f t="shared" si="33"/>
        <v>10</v>
      </c>
      <c r="M386" t="str" cm="1">
        <f t="array" ref="M386">INDEX(Tabl_B4_Tanks!B$7:B$33,X_EMIS!K386)</f>
        <v>UO3</v>
      </c>
      <c r="N386" t="str">
        <f t="shared" ref="N386:O401" si="37">N375</f>
        <v>1330-20-7</v>
      </c>
      <c r="O386" t="str">
        <f t="shared" si="37"/>
        <v>Xylene (mixture), including m-xylene, o-xylene, p-xylene</v>
      </c>
      <c r="P386" s="6" cm="1">
        <f t="array" ref="P386">INDEX(Tabl_B4_Tanks!$Q$7:$AA$33,X_EMIS!K386,X_EMIS!L386)</f>
        <v>9.3349257261177924E-4</v>
      </c>
      <c r="Q386" cm="1">
        <f t="array" ref="Q386">INDEX(Tabl_B4_Tanks!$F$7:$P$33,X_EMIS!J386,X_EMIS!L386)</f>
        <v>0.34072478900329939</v>
      </c>
    </row>
    <row r="387" spans="10:17">
      <c r="J387">
        <f t="shared" si="32"/>
        <v>23</v>
      </c>
      <c r="K387" cm="1">
        <f t="array" ref="K387">INDEX(H$19:H$45,J387)</f>
        <v>23</v>
      </c>
      <c r="L387">
        <f t="shared" si="33"/>
        <v>11</v>
      </c>
      <c r="M387" t="str" cm="1">
        <f t="array" ref="M387">INDEX(Tabl_B4_Tanks!B$7:B$33,X_EMIS!K387)</f>
        <v>UO3</v>
      </c>
      <c r="N387" t="str">
        <f t="shared" si="37"/>
        <v>7783-06-4</v>
      </c>
      <c r="O387" t="str">
        <f t="shared" si="37"/>
        <v>Hydrogen sulfide</v>
      </c>
      <c r="P387" s="6" cm="1">
        <f t="array" ref="P387">INDEX(Tabl_B4_Tanks!$Q$7:$AA$33,X_EMIS!K387,X_EMIS!L387)</f>
        <v>4.5601648662069675E-5</v>
      </c>
      <c r="Q387" cm="1">
        <f t="array" ref="Q387">INDEX(Tabl_B4_Tanks!$F$7:$P$33,X_EMIS!J387,X_EMIS!L387)</f>
        <v>1.6644601761655432E-2</v>
      </c>
    </row>
    <row r="388" spans="10:17">
      <c r="J388">
        <f t="shared" si="32"/>
        <v>24</v>
      </c>
      <c r="K388" cm="1">
        <f t="array" ref="K388">INDEX(H$19:H$45,J388)</f>
        <v>24</v>
      </c>
      <c r="L388">
        <f t="shared" si="33"/>
        <v>1</v>
      </c>
      <c r="M388" t="str" cm="1">
        <f t="array" ref="M388">INDEX(Tabl_B4_Tanks!B$7:B$33,X_EMIS!K388)</f>
        <v>UO4</v>
      </c>
      <c r="N388" t="str">
        <f t="shared" si="37"/>
        <v>91-57-6</v>
      </c>
      <c r="O388" t="str">
        <f t="shared" si="37"/>
        <v>2-Methyl naphthalene</v>
      </c>
      <c r="P388" s="6" cm="1">
        <f t="array" ref="P388">INDEX(Tabl_B4_Tanks!$Q$7:$AA$33,X_EMIS!K388,X_EMIS!L388)</f>
        <v>7.6718067749128986E-4</v>
      </c>
      <c r="Q388" cm="1">
        <f t="array" ref="Q388">INDEX(Tabl_B4_Tanks!$F$7:$P$33,X_EMIS!J388,X_EMIS!L388)</f>
        <v>0.28002094728432081</v>
      </c>
    </row>
    <row r="389" spans="10:17">
      <c r="J389">
        <f t="shared" si="32"/>
        <v>24</v>
      </c>
      <c r="K389" cm="1">
        <f t="array" ref="K389">INDEX(H$19:H$45,J389)</f>
        <v>24</v>
      </c>
      <c r="L389">
        <f t="shared" si="33"/>
        <v>2</v>
      </c>
      <c r="M389" t="str" cm="1">
        <f t="array" ref="M389">INDEX(Tabl_B4_Tanks!B$7:B$33,X_EMIS!K389)</f>
        <v>UO4</v>
      </c>
      <c r="N389" t="str">
        <f t="shared" si="37"/>
        <v>91-20-3</v>
      </c>
      <c r="O389" t="str">
        <f t="shared" si="37"/>
        <v>Naphthalene</v>
      </c>
      <c r="P389" s="6" cm="1">
        <f t="array" ref="P389">INDEX(Tabl_B4_Tanks!$Q$7:$AA$33,X_EMIS!K389,X_EMIS!L389)</f>
        <v>4.452866869355039E-4</v>
      </c>
      <c r="Q389" cm="1">
        <f t="array" ref="Q389">INDEX(Tabl_B4_Tanks!$F$7:$P$33,X_EMIS!J389,X_EMIS!L389)</f>
        <v>0.16252964073145892</v>
      </c>
    </row>
    <row r="390" spans="10:17">
      <c r="J390">
        <f t="shared" si="32"/>
        <v>24</v>
      </c>
      <c r="K390" cm="1">
        <f t="array" ref="K390">INDEX(H$19:H$45,J390)</f>
        <v>24</v>
      </c>
      <c r="L390">
        <f t="shared" si="33"/>
        <v>3</v>
      </c>
      <c r="M390" t="str" cm="1">
        <f t="array" ref="M390">INDEX(Tabl_B4_Tanks!B$7:B$33,X_EMIS!K390)</f>
        <v>UO4</v>
      </c>
      <c r="N390" t="str">
        <f t="shared" si="37"/>
        <v>108-95-2</v>
      </c>
      <c r="O390" t="str">
        <f t="shared" si="37"/>
        <v>Phenol</v>
      </c>
      <c r="P390" s="6" cm="1">
        <f t="array" ref="P390">INDEX(Tabl_B4_Tanks!$Q$7:$AA$33,X_EMIS!K390,X_EMIS!L390)</f>
        <v>9.3617502253307749E-6</v>
      </c>
      <c r="Q390" cm="1">
        <f t="array" ref="Q390">INDEX(Tabl_B4_Tanks!$F$7:$P$33,X_EMIS!J390,X_EMIS!L390)</f>
        <v>3.4170388322457327E-3</v>
      </c>
    </row>
    <row r="391" spans="10:17">
      <c r="J391">
        <f t="shared" si="32"/>
        <v>24</v>
      </c>
      <c r="K391" cm="1">
        <f t="array" ref="K391">INDEX(H$19:H$45,J391)</f>
        <v>24</v>
      </c>
      <c r="L391">
        <f t="shared" si="33"/>
        <v>4</v>
      </c>
      <c r="M391" t="str" cm="1">
        <f t="array" ref="M391">INDEX(Tabl_B4_Tanks!B$7:B$33,X_EMIS!K391)</f>
        <v>UO4</v>
      </c>
      <c r="N391" t="str">
        <f t="shared" si="37"/>
        <v>1319-77-3</v>
      </c>
      <c r="O391" t="str">
        <f t="shared" si="37"/>
        <v>Cresols (mixture), including m-cresol, o-cresol, p-cresol</v>
      </c>
      <c r="P391" s="6" cm="1">
        <f t="array" ref="P391">INDEX(Tabl_B4_Tanks!$Q$7:$AA$33,X_EMIS!K391,X_EMIS!L391)</f>
        <v>3.4871848976876806E-6</v>
      </c>
      <c r="Q391" cm="1">
        <f t="array" ref="Q391">INDEX(Tabl_B4_Tanks!$F$7:$P$33,X_EMIS!J391,X_EMIS!L391)</f>
        <v>1.2728224876560035E-3</v>
      </c>
    </row>
    <row r="392" spans="10:17">
      <c r="J392">
        <f t="shared" ref="J392:J431" si="38">IF(L392=1,J391+1,J391)</f>
        <v>24</v>
      </c>
      <c r="K392" cm="1">
        <f t="array" ref="K392">INDEX(H$19:H$45,J392)</f>
        <v>24</v>
      </c>
      <c r="L392">
        <f t="shared" si="33"/>
        <v>5</v>
      </c>
      <c r="M392" t="str" cm="1">
        <f t="array" ref="M392">INDEX(Tabl_B4_Tanks!B$7:B$33,X_EMIS!K392)</f>
        <v>UO4</v>
      </c>
      <c r="N392" t="str">
        <f t="shared" si="37"/>
        <v>71-43-2</v>
      </c>
      <c r="O392" t="str">
        <f t="shared" si="37"/>
        <v>Benzene</v>
      </c>
      <c r="P392" s="6" cm="1">
        <f t="array" ref="P392">INDEX(Tabl_B4_Tanks!$Q$7:$AA$33,X_EMIS!K392,X_EMIS!L392)</f>
        <v>6.2232838174118609E-5</v>
      </c>
      <c r="Q392" cm="1">
        <f t="array" ref="Q392">INDEX(Tabl_B4_Tanks!$F$7:$P$33,X_EMIS!J392,X_EMIS!L392)</f>
        <v>2.2714985933553294E-2</v>
      </c>
    </row>
    <row r="393" spans="10:17">
      <c r="J393">
        <f t="shared" si="38"/>
        <v>24</v>
      </c>
      <c r="K393" cm="1">
        <f t="array" ref="K393">INDEX(H$19:H$45,J393)</f>
        <v>24</v>
      </c>
      <c r="L393">
        <f t="shared" si="33"/>
        <v>6</v>
      </c>
      <c r="M393" t="str" cm="1">
        <f t="array" ref="M393">INDEX(Tabl_B4_Tanks!B$7:B$33,X_EMIS!K393)</f>
        <v>UO4</v>
      </c>
      <c r="N393" t="str">
        <f t="shared" si="37"/>
        <v>100-41-4</v>
      </c>
      <c r="O393" t="str">
        <f t="shared" si="37"/>
        <v>Ethyl benzene</v>
      </c>
      <c r="P393" s="6" cm="1">
        <f t="array" ref="P393">INDEX(Tabl_B4_Tanks!$Q$7:$AA$33,X_EMIS!K393,X_EMIS!L393)</f>
        <v>1.5799630036446492E-4</v>
      </c>
      <c r="Q393" cm="1">
        <f t="array" ref="Q393">INDEX(Tabl_B4_Tanks!$F$7:$P$33,X_EMIS!J393,X_EMIS!L393)</f>
        <v>5.76686496330297E-2</v>
      </c>
    </row>
    <row r="394" spans="10:17">
      <c r="J394">
        <f t="shared" si="38"/>
        <v>24</v>
      </c>
      <c r="K394" cm="1">
        <f t="array" ref="K394">INDEX(H$19:H$45,J394)</f>
        <v>24</v>
      </c>
      <c r="L394">
        <f t="shared" si="33"/>
        <v>7</v>
      </c>
      <c r="M394" t="str" cm="1">
        <f t="array" ref="M394">INDEX(Tabl_B4_Tanks!B$7:B$33,X_EMIS!K394)</f>
        <v>UO4</v>
      </c>
      <c r="N394" t="str">
        <f t="shared" si="37"/>
        <v>98-82-8</v>
      </c>
      <c r="O394" t="str">
        <f t="shared" si="37"/>
        <v>Isopropylbenzene (Cumene)</v>
      </c>
      <c r="P394" s="6" cm="1">
        <f t="array" ref="P394">INDEX(Tabl_B4_Tanks!$Q$7:$AA$33,X_EMIS!K394,X_EMIS!L394)</f>
        <v>3.2725889039838237E-5</v>
      </c>
      <c r="Q394" cm="1">
        <f t="array" ref="Q394">INDEX(Tabl_B4_Tanks!$F$7:$P$33,X_EMIS!J394,X_EMIS!L394)</f>
        <v>1.1944949499540955E-2</v>
      </c>
    </row>
    <row r="395" spans="10:17">
      <c r="J395">
        <f t="shared" si="38"/>
        <v>24</v>
      </c>
      <c r="K395" cm="1">
        <f t="array" ref="K395">INDEX(H$19:H$45,J395)</f>
        <v>24</v>
      </c>
      <c r="L395">
        <f t="shared" si="33"/>
        <v>8</v>
      </c>
      <c r="M395" t="str" cm="1">
        <f t="array" ref="M395">INDEX(Tabl_B4_Tanks!B$7:B$33,X_EMIS!K395)</f>
        <v>UO4</v>
      </c>
      <c r="N395" t="str">
        <f t="shared" si="37"/>
        <v>108-88-3</v>
      </c>
      <c r="O395" t="str">
        <f t="shared" si="37"/>
        <v>Toluene</v>
      </c>
      <c r="P395" s="6" cm="1">
        <f t="array" ref="P395">INDEX(Tabl_B4_Tanks!$Q$7:$AA$33,X_EMIS!K395,X_EMIS!L395)</f>
        <v>5.6063203355132712E-4</v>
      </c>
      <c r="Q395" cm="1">
        <f t="array" ref="Q395">INDEX(Tabl_B4_Tanks!$F$7:$P$33,X_EMIS!J395,X_EMIS!L395)</f>
        <v>0.2046306922462344</v>
      </c>
    </row>
    <row r="396" spans="10:17">
      <c r="J396">
        <f t="shared" si="38"/>
        <v>24</v>
      </c>
      <c r="K396" cm="1">
        <f t="array" ref="K396">INDEX(H$19:H$45,J396)</f>
        <v>24</v>
      </c>
      <c r="L396">
        <f t="shared" si="33"/>
        <v>9</v>
      </c>
      <c r="M396" t="str" cm="1">
        <f t="array" ref="M396">INDEX(Tabl_B4_Tanks!B$7:B$33,X_EMIS!K396)</f>
        <v>UO4</v>
      </c>
      <c r="N396" t="str">
        <f t="shared" si="37"/>
        <v>110-54-3</v>
      </c>
      <c r="O396" t="str">
        <f t="shared" si="37"/>
        <v>Hexane</v>
      </c>
      <c r="P396" s="6" cm="1">
        <f t="array" ref="P396">INDEX(Tabl_B4_Tanks!$Q$7:$AA$33,X_EMIS!K396,X_EMIS!L396)</f>
        <v>9.2544522284788457E-5</v>
      </c>
      <c r="Q396" cm="1">
        <f t="array" ref="Q396">INDEX(Tabl_B4_Tanks!$F$7:$P$33,X_EMIS!J396,X_EMIS!L396)</f>
        <v>3.3778750633947786E-2</v>
      </c>
    </row>
    <row r="397" spans="10:17">
      <c r="J397">
        <f t="shared" si="38"/>
        <v>24</v>
      </c>
      <c r="K397" cm="1">
        <f t="array" ref="K397">INDEX(H$19:H$45,J397)</f>
        <v>24</v>
      </c>
      <c r="L397">
        <f t="shared" si="33"/>
        <v>10</v>
      </c>
      <c r="M397" t="str" cm="1">
        <f t="array" ref="M397">INDEX(Tabl_B4_Tanks!B$7:B$33,X_EMIS!K397)</f>
        <v>UO4</v>
      </c>
      <c r="N397" t="str">
        <f t="shared" si="37"/>
        <v>1330-20-7</v>
      </c>
      <c r="O397" t="str">
        <f t="shared" si="37"/>
        <v>Xylene (mixture), including m-xylene, o-xylene, p-xylene</v>
      </c>
      <c r="P397" s="6" cm="1">
        <f t="array" ref="P397">INDEX(Tabl_B4_Tanks!$Q$7:$AA$33,X_EMIS!K397,X_EMIS!L397)</f>
        <v>9.3349257261177924E-4</v>
      </c>
      <c r="Q397" cm="1">
        <f t="array" ref="Q397">INDEX(Tabl_B4_Tanks!$F$7:$P$33,X_EMIS!J397,X_EMIS!L397)</f>
        <v>0.34072478900329939</v>
      </c>
    </row>
    <row r="398" spans="10:17">
      <c r="J398">
        <f t="shared" si="38"/>
        <v>24</v>
      </c>
      <c r="K398" cm="1">
        <f t="array" ref="K398">INDEX(H$19:H$45,J398)</f>
        <v>24</v>
      </c>
      <c r="L398">
        <f t="shared" si="33"/>
        <v>11</v>
      </c>
      <c r="M398" t="str" cm="1">
        <f t="array" ref="M398">INDEX(Tabl_B4_Tanks!B$7:B$33,X_EMIS!K398)</f>
        <v>UO4</v>
      </c>
      <c r="N398" t="str">
        <f t="shared" si="37"/>
        <v>7783-06-4</v>
      </c>
      <c r="O398" t="str">
        <f t="shared" si="37"/>
        <v>Hydrogen sulfide</v>
      </c>
      <c r="P398" s="6" cm="1">
        <f t="array" ref="P398">INDEX(Tabl_B4_Tanks!$Q$7:$AA$33,X_EMIS!K398,X_EMIS!L398)</f>
        <v>4.5601648662069675E-5</v>
      </c>
      <c r="Q398" cm="1">
        <f t="array" ref="Q398">INDEX(Tabl_B4_Tanks!$F$7:$P$33,X_EMIS!J398,X_EMIS!L398)</f>
        <v>1.6644601761655432E-2</v>
      </c>
    </row>
    <row r="399" spans="10:17">
      <c r="J399">
        <f t="shared" si="38"/>
        <v>25</v>
      </c>
      <c r="K399" cm="1">
        <f t="array" ref="K399">INDEX(H$19:H$45,J399)</f>
        <v>25</v>
      </c>
      <c r="L399">
        <f t="shared" si="33"/>
        <v>1</v>
      </c>
      <c r="M399" t="str" cm="1">
        <f t="array" ref="M399">INDEX(Tabl_B4_Tanks!B$7:B$33,X_EMIS!K399)</f>
        <v>UO5</v>
      </c>
      <c r="N399" t="str">
        <f t="shared" si="37"/>
        <v>91-57-6</v>
      </c>
      <c r="O399" t="str">
        <f t="shared" si="37"/>
        <v>2-Methyl naphthalene</v>
      </c>
      <c r="P399" s="6" cm="1">
        <f t="array" ref="P399">INDEX(Tabl_B4_Tanks!$Q$7:$AA$33,X_EMIS!K399,X_EMIS!L399)</f>
        <v>7.6718067749128986E-4</v>
      </c>
      <c r="Q399" cm="1">
        <f t="array" ref="Q399">INDEX(Tabl_B4_Tanks!$F$7:$P$33,X_EMIS!J399,X_EMIS!L399)</f>
        <v>0.28002094728432081</v>
      </c>
    </row>
    <row r="400" spans="10:17">
      <c r="J400">
        <f t="shared" si="38"/>
        <v>25</v>
      </c>
      <c r="K400" cm="1">
        <f t="array" ref="K400">INDEX(H$19:H$45,J400)</f>
        <v>25</v>
      </c>
      <c r="L400">
        <f t="shared" si="33"/>
        <v>2</v>
      </c>
      <c r="M400" t="str" cm="1">
        <f t="array" ref="M400">INDEX(Tabl_B4_Tanks!B$7:B$33,X_EMIS!K400)</f>
        <v>UO5</v>
      </c>
      <c r="N400" t="str">
        <f t="shared" si="37"/>
        <v>91-20-3</v>
      </c>
      <c r="O400" t="str">
        <f t="shared" si="37"/>
        <v>Naphthalene</v>
      </c>
      <c r="P400" s="6" cm="1">
        <f t="array" ref="P400">INDEX(Tabl_B4_Tanks!$Q$7:$AA$33,X_EMIS!K400,X_EMIS!L400)</f>
        <v>4.452866869355039E-4</v>
      </c>
      <c r="Q400" cm="1">
        <f t="array" ref="Q400">INDEX(Tabl_B4_Tanks!$F$7:$P$33,X_EMIS!J400,X_EMIS!L400)</f>
        <v>0.16252964073145892</v>
      </c>
    </row>
    <row r="401" spans="10:17">
      <c r="J401">
        <f t="shared" si="38"/>
        <v>25</v>
      </c>
      <c r="K401" cm="1">
        <f t="array" ref="K401">INDEX(H$19:H$45,J401)</f>
        <v>25</v>
      </c>
      <c r="L401">
        <f t="shared" si="33"/>
        <v>3</v>
      </c>
      <c r="M401" t="str" cm="1">
        <f t="array" ref="M401">INDEX(Tabl_B4_Tanks!B$7:B$33,X_EMIS!K401)</f>
        <v>UO5</v>
      </c>
      <c r="N401" t="str">
        <f t="shared" si="37"/>
        <v>108-95-2</v>
      </c>
      <c r="O401" t="str">
        <f t="shared" si="37"/>
        <v>Phenol</v>
      </c>
      <c r="P401" s="6" cm="1">
        <f t="array" ref="P401">INDEX(Tabl_B4_Tanks!$Q$7:$AA$33,X_EMIS!K401,X_EMIS!L401)</f>
        <v>9.3617502253307749E-6</v>
      </c>
      <c r="Q401" cm="1">
        <f t="array" ref="Q401">INDEX(Tabl_B4_Tanks!$F$7:$P$33,X_EMIS!J401,X_EMIS!L401)</f>
        <v>3.4170388322457327E-3</v>
      </c>
    </row>
    <row r="402" spans="10:17">
      <c r="J402">
        <f t="shared" si="38"/>
        <v>25</v>
      </c>
      <c r="K402" cm="1">
        <f t="array" ref="K402">INDEX(H$19:H$45,J402)</f>
        <v>25</v>
      </c>
      <c r="L402">
        <f t="shared" ref="L402:L431" si="39">L391</f>
        <v>4</v>
      </c>
      <c r="M402" t="str" cm="1">
        <f t="array" ref="M402">INDEX(Tabl_B4_Tanks!B$7:B$33,X_EMIS!K402)</f>
        <v>UO5</v>
      </c>
      <c r="N402" t="str">
        <f t="shared" ref="N402:O417" si="40">N391</f>
        <v>1319-77-3</v>
      </c>
      <c r="O402" t="str">
        <f t="shared" si="40"/>
        <v>Cresols (mixture), including m-cresol, o-cresol, p-cresol</v>
      </c>
      <c r="P402" s="6" cm="1">
        <f t="array" ref="P402">INDEX(Tabl_B4_Tanks!$Q$7:$AA$33,X_EMIS!K402,X_EMIS!L402)</f>
        <v>3.4871848976876806E-6</v>
      </c>
      <c r="Q402" cm="1">
        <f t="array" ref="Q402">INDEX(Tabl_B4_Tanks!$F$7:$P$33,X_EMIS!J402,X_EMIS!L402)</f>
        <v>1.2728224876560035E-3</v>
      </c>
    </row>
    <row r="403" spans="10:17">
      <c r="J403">
        <f t="shared" si="38"/>
        <v>25</v>
      </c>
      <c r="K403" cm="1">
        <f t="array" ref="K403">INDEX(H$19:H$45,J403)</f>
        <v>25</v>
      </c>
      <c r="L403">
        <f t="shared" si="39"/>
        <v>5</v>
      </c>
      <c r="M403" t="str" cm="1">
        <f t="array" ref="M403">INDEX(Tabl_B4_Tanks!B$7:B$33,X_EMIS!K403)</f>
        <v>UO5</v>
      </c>
      <c r="N403" t="str">
        <f t="shared" si="40"/>
        <v>71-43-2</v>
      </c>
      <c r="O403" t="str">
        <f t="shared" si="40"/>
        <v>Benzene</v>
      </c>
      <c r="P403" s="6" cm="1">
        <f t="array" ref="P403">INDEX(Tabl_B4_Tanks!$Q$7:$AA$33,X_EMIS!K403,X_EMIS!L403)</f>
        <v>6.2232838174118609E-5</v>
      </c>
      <c r="Q403" cm="1">
        <f t="array" ref="Q403">INDEX(Tabl_B4_Tanks!$F$7:$P$33,X_EMIS!J403,X_EMIS!L403)</f>
        <v>2.2714985933553294E-2</v>
      </c>
    </row>
    <row r="404" spans="10:17">
      <c r="J404">
        <f t="shared" si="38"/>
        <v>25</v>
      </c>
      <c r="K404" cm="1">
        <f t="array" ref="K404">INDEX(H$19:H$45,J404)</f>
        <v>25</v>
      </c>
      <c r="L404">
        <f t="shared" si="39"/>
        <v>6</v>
      </c>
      <c r="M404" t="str" cm="1">
        <f t="array" ref="M404">INDEX(Tabl_B4_Tanks!B$7:B$33,X_EMIS!K404)</f>
        <v>UO5</v>
      </c>
      <c r="N404" t="str">
        <f t="shared" si="40"/>
        <v>100-41-4</v>
      </c>
      <c r="O404" t="str">
        <f t="shared" si="40"/>
        <v>Ethyl benzene</v>
      </c>
      <c r="P404" s="6" cm="1">
        <f t="array" ref="P404">INDEX(Tabl_B4_Tanks!$Q$7:$AA$33,X_EMIS!K404,X_EMIS!L404)</f>
        <v>1.5799630036446492E-4</v>
      </c>
      <c r="Q404" cm="1">
        <f t="array" ref="Q404">INDEX(Tabl_B4_Tanks!$F$7:$P$33,X_EMIS!J404,X_EMIS!L404)</f>
        <v>5.76686496330297E-2</v>
      </c>
    </row>
    <row r="405" spans="10:17">
      <c r="J405">
        <f t="shared" si="38"/>
        <v>25</v>
      </c>
      <c r="K405" cm="1">
        <f t="array" ref="K405">INDEX(H$19:H$45,J405)</f>
        <v>25</v>
      </c>
      <c r="L405">
        <f t="shared" si="39"/>
        <v>7</v>
      </c>
      <c r="M405" t="str" cm="1">
        <f t="array" ref="M405">INDEX(Tabl_B4_Tanks!B$7:B$33,X_EMIS!K405)</f>
        <v>UO5</v>
      </c>
      <c r="N405" t="str">
        <f t="shared" si="40"/>
        <v>98-82-8</v>
      </c>
      <c r="O405" t="str">
        <f t="shared" si="40"/>
        <v>Isopropylbenzene (Cumene)</v>
      </c>
      <c r="P405" s="6" cm="1">
        <f t="array" ref="P405">INDEX(Tabl_B4_Tanks!$Q$7:$AA$33,X_EMIS!K405,X_EMIS!L405)</f>
        <v>3.2725889039838237E-5</v>
      </c>
      <c r="Q405" cm="1">
        <f t="array" ref="Q405">INDEX(Tabl_B4_Tanks!$F$7:$P$33,X_EMIS!J405,X_EMIS!L405)</f>
        <v>1.1944949499540955E-2</v>
      </c>
    </row>
    <row r="406" spans="10:17">
      <c r="J406">
        <f t="shared" si="38"/>
        <v>25</v>
      </c>
      <c r="K406" cm="1">
        <f t="array" ref="K406">INDEX(H$19:H$45,J406)</f>
        <v>25</v>
      </c>
      <c r="L406">
        <f t="shared" si="39"/>
        <v>8</v>
      </c>
      <c r="M406" t="str" cm="1">
        <f t="array" ref="M406">INDEX(Tabl_B4_Tanks!B$7:B$33,X_EMIS!K406)</f>
        <v>UO5</v>
      </c>
      <c r="N406" t="str">
        <f t="shared" si="40"/>
        <v>108-88-3</v>
      </c>
      <c r="O406" t="str">
        <f t="shared" si="40"/>
        <v>Toluene</v>
      </c>
      <c r="P406" s="6" cm="1">
        <f t="array" ref="P406">INDEX(Tabl_B4_Tanks!$Q$7:$AA$33,X_EMIS!K406,X_EMIS!L406)</f>
        <v>5.6063203355132712E-4</v>
      </c>
      <c r="Q406" cm="1">
        <f t="array" ref="Q406">INDEX(Tabl_B4_Tanks!$F$7:$P$33,X_EMIS!J406,X_EMIS!L406)</f>
        <v>0.2046306922462344</v>
      </c>
    </row>
    <row r="407" spans="10:17">
      <c r="J407">
        <f t="shared" si="38"/>
        <v>25</v>
      </c>
      <c r="K407" cm="1">
        <f t="array" ref="K407">INDEX(H$19:H$45,J407)</f>
        <v>25</v>
      </c>
      <c r="L407">
        <f t="shared" si="39"/>
        <v>9</v>
      </c>
      <c r="M407" t="str" cm="1">
        <f t="array" ref="M407">INDEX(Tabl_B4_Tanks!B$7:B$33,X_EMIS!K407)</f>
        <v>UO5</v>
      </c>
      <c r="N407" t="str">
        <f t="shared" si="40"/>
        <v>110-54-3</v>
      </c>
      <c r="O407" t="str">
        <f t="shared" si="40"/>
        <v>Hexane</v>
      </c>
      <c r="P407" s="6" cm="1">
        <f t="array" ref="P407">INDEX(Tabl_B4_Tanks!$Q$7:$AA$33,X_EMIS!K407,X_EMIS!L407)</f>
        <v>9.2544522284788457E-5</v>
      </c>
      <c r="Q407" cm="1">
        <f t="array" ref="Q407">INDEX(Tabl_B4_Tanks!$F$7:$P$33,X_EMIS!J407,X_EMIS!L407)</f>
        <v>3.3778750633947786E-2</v>
      </c>
    </row>
    <row r="408" spans="10:17">
      <c r="J408">
        <f t="shared" si="38"/>
        <v>25</v>
      </c>
      <c r="K408" cm="1">
        <f t="array" ref="K408">INDEX(H$19:H$45,J408)</f>
        <v>25</v>
      </c>
      <c r="L408">
        <f t="shared" si="39"/>
        <v>10</v>
      </c>
      <c r="M408" t="str" cm="1">
        <f t="array" ref="M408">INDEX(Tabl_B4_Tanks!B$7:B$33,X_EMIS!K408)</f>
        <v>UO5</v>
      </c>
      <c r="N408" t="str">
        <f t="shared" si="40"/>
        <v>1330-20-7</v>
      </c>
      <c r="O408" t="str">
        <f t="shared" si="40"/>
        <v>Xylene (mixture), including m-xylene, o-xylene, p-xylene</v>
      </c>
      <c r="P408" s="6" cm="1">
        <f t="array" ref="P408">INDEX(Tabl_B4_Tanks!$Q$7:$AA$33,X_EMIS!K408,X_EMIS!L408)</f>
        <v>9.3349257261177924E-4</v>
      </c>
      <c r="Q408" cm="1">
        <f t="array" ref="Q408">INDEX(Tabl_B4_Tanks!$F$7:$P$33,X_EMIS!J408,X_EMIS!L408)</f>
        <v>0.34072478900329939</v>
      </c>
    </row>
    <row r="409" spans="10:17">
      <c r="J409">
        <f t="shared" si="38"/>
        <v>25</v>
      </c>
      <c r="K409" cm="1">
        <f t="array" ref="K409">INDEX(H$19:H$45,J409)</f>
        <v>25</v>
      </c>
      <c r="L409">
        <f t="shared" si="39"/>
        <v>11</v>
      </c>
      <c r="M409" t="str" cm="1">
        <f t="array" ref="M409">INDEX(Tabl_B4_Tanks!B$7:B$33,X_EMIS!K409)</f>
        <v>UO5</v>
      </c>
      <c r="N409" t="str">
        <f t="shared" si="40"/>
        <v>7783-06-4</v>
      </c>
      <c r="O409" t="str">
        <f t="shared" si="40"/>
        <v>Hydrogen sulfide</v>
      </c>
      <c r="P409" s="6" cm="1">
        <f t="array" ref="P409">INDEX(Tabl_B4_Tanks!$Q$7:$AA$33,X_EMIS!K409,X_EMIS!L409)</f>
        <v>4.5601648662069675E-5</v>
      </c>
      <c r="Q409" cm="1">
        <f t="array" ref="Q409">INDEX(Tabl_B4_Tanks!$F$7:$P$33,X_EMIS!J409,X_EMIS!L409)</f>
        <v>1.6644601761655432E-2</v>
      </c>
    </row>
    <row r="410" spans="10:17">
      <c r="J410">
        <f t="shared" si="38"/>
        <v>26</v>
      </c>
      <c r="K410" cm="1">
        <f t="array" ref="K410">INDEX(H$19:H$45,J410)</f>
        <v>26</v>
      </c>
      <c r="L410">
        <f t="shared" si="39"/>
        <v>1</v>
      </c>
      <c r="M410" t="str" cm="1">
        <f t="array" ref="M410">INDEX(Tabl_B4_Tanks!B$7:B$33,X_EMIS!K410)</f>
        <v>UO6</v>
      </c>
      <c r="N410" t="str">
        <f t="shared" si="40"/>
        <v>91-57-6</v>
      </c>
      <c r="O410" t="str">
        <f t="shared" si="40"/>
        <v>2-Methyl naphthalene</v>
      </c>
      <c r="P410" s="6" cm="1">
        <f t="array" ref="P410">INDEX(Tabl_B4_Tanks!$Q$7:$AA$33,X_EMIS!K410,X_EMIS!L410)</f>
        <v>7.6718067749128986E-4</v>
      </c>
      <c r="Q410" cm="1">
        <f t="array" ref="Q410">INDEX(Tabl_B4_Tanks!$F$7:$P$33,X_EMIS!J410,X_EMIS!L410)</f>
        <v>0.28002094728432081</v>
      </c>
    </row>
    <row r="411" spans="10:17">
      <c r="J411">
        <f t="shared" si="38"/>
        <v>26</v>
      </c>
      <c r="K411" cm="1">
        <f t="array" ref="K411">INDEX(H$19:H$45,J411)</f>
        <v>26</v>
      </c>
      <c r="L411">
        <f t="shared" si="39"/>
        <v>2</v>
      </c>
      <c r="M411" t="str" cm="1">
        <f t="array" ref="M411">INDEX(Tabl_B4_Tanks!B$7:B$33,X_EMIS!K411)</f>
        <v>UO6</v>
      </c>
      <c r="N411" t="str">
        <f t="shared" si="40"/>
        <v>91-20-3</v>
      </c>
      <c r="O411" t="str">
        <f t="shared" si="40"/>
        <v>Naphthalene</v>
      </c>
      <c r="P411" s="6" cm="1">
        <f t="array" ref="P411">INDEX(Tabl_B4_Tanks!$Q$7:$AA$33,X_EMIS!K411,X_EMIS!L411)</f>
        <v>4.452866869355039E-4</v>
      </c>
      <c r="Q411" cm="1">
        <f t="array" ref="Q411">INDEX(Tabl_B4_Tanks!$F$7:$P$33,X_EMIS!J411,X_EMIS!L411)</f>
        <v>0.16252964073145892</v>
      </c>
    </row>
    <row r="412" spans="10:17">
      <c r="J412">
        <f t="shared" si="38"/>
        <v>26</v>
      </c>
      <c r="K412" cm="1">
        <f t="array" ref="K412">INDEX(H$19:H$45,J412)</f>
        <v>26</v>
      </c>
      <c r="L412">
        <f t="shared" si="39"/>
        <v>3</v>
      </c>
      <c r="M412" t="str" cm="1">
        <f t="array" ref="M412">INDEX(Tabl_B4_Tanks!B$7:B$33,X_EMIS!K412)</f>
        <v>UO6</v>
      </c>
      <c r="N412" t="str">
        <f t="shared" si="40"/>
        <v>108-95-2</v>
      </c>
      <c r="O412" t="str">
        <f t="shared" si="40"/>
        <v>Phenol</v>
      </c>
      <c r="P412" s="6" cm="1">
        <f t="array" ref="P412">INDEX(Tabl_B4_Tanks!$Q$7:$AA$33,X_EMIS!K412,X_EMIS!L412)</f>
        <v>9.3617502253307749E-6</v>
      </c>
      <c r="Q412" cm="1">
        <f t="array" ref="Q412">INDEX(Tabl_B4_Tanks!$F$7:$P$33,X_EMIS!J412,X_EMIS!L412)</f>
        <v>3.4170388322457327E-3</v>
      </c>
    </row>
    <row r="413" spans="10:17">
      <c r="J413">
        <f t="shared" si="38"/>
        <v>26</v>
      </c>
      <c r="K413" cm="1">
        <f t="array" ref="K413">INDEX(H$19:H$45,J413)</f>
        <v>26</v>
      </c>
      <c r="L413">
        <f t="shared" si="39"/>
        <v>4</v>
      </c>
      <c r="M413" t="str" cm="1">
        <f t="array" ref="M413">INDEX(Tabl_B4_Tanks!B$7:B$33,X_EMIS!K413)</f>
        <v>UO6</v>
      </c>
      <c r="N413" t="str">
        <f t="shared" si="40"/>
        <v>1319-77-3</v>
      </c>
      <c r="O413" t="str">
        <f t="shared" si="40"/>
        <v>Cresols (mixture), including m-cresol, o-cresol, p-cresol</v>
      </c>
      <c r="P413" s="6" cm="1">
        <f t="array" ref="P413">INDEX(Tabl_B4_Tanks!$Q$7:$AA$33,X_EMIS!K413,X_EMIS!L413)</f>
        <v>3.4871848976876806E-6</v>
      </c>
      <c r="Q413" cm="1">
        <f t="array" ref="Q413">INDEX(Tabl_B4_Tanks!$F$7:$P$33,X_EMIS!J413,X_EMIS!L413)</f>
        <v>1.2728224876560035E-3</v>
      </c>
    </row>
    <row r="414" spans="10:17">
      <c r="J414">
        <f t="shared" si="38"/>
        <v>26</v>
      </c>
      <c r="K414" cm="1">
        <f t="array" ref="K414">INDEX(H$19:H$45,J414)</f>
        <v>26</v>
      </c>
      <c r="L414">
        <f t="shared" si="39"/>
        <v>5</v>
      </c>
      <c r="M414" t="str" cm="1">
        <f t="array" ref="M414">INDEX(Tabl_B4_Tanks!B$7:B$33,X_EMIS!K414)</f>
        <v>UO6</v>
      </c>
      <c r="N414" t="str">
        <f t="shared" si="40"/>
        <v>71-43-2</v>
      </c>
      <c r="O414" t="str">
        <f t="shared" si="40"/>
        <v>Benzene</v>
      </c>
      <c r="P414" s="6" cm="1">
        <f t="array" ref="P414">INDEX(Tabl_B4_Tanks!$Q$7:$AA$33,X_EMIS!K414,X_EMIS!L414)</f>
        <v>6.2232838174118609E-5</v>
      </c>
      <c r="Q414" cm="1">
        <f t="array" ref="Q414">INDEX(Tabl_B4_Tanks!$F$7:$P$33,X_EMIS!J414,X_EMIS!L414)</f>
        <v>2.2714985933553294E-2</v>
      </c>
    </row>
    <row r="415" spans="10:17">
      <c r="J415">
        <f t="shared" si="38"/>
        <v>26</v>
      </c>
      <c r="K415" cm="1">
        <f t="array" ref="K415">INDEX(H$19:H$45,J415)</f>
        <v>26</v>
      </c>
      <c r="L415">
        <f t="shared" si="39"/>
        <v>6</v>
      </c>
      <c r="M415" t="str" cm="1">
        <f t="array" ref="M415">INDEX(Tabl_B4_Tanks!B$7:B$33,X_EMIS!K415)</f>
        <v>UO6</v>
      </c>
      <c r="N415" t="str">
        <f t="shared" si="40"/>
        <v>100-41-4</v>
      </c>
      <c r="O415" t="str">
        <f t="shared" si="40"/>
        <v>Ethyl benzene</v>
      </c>
      <c r="P415" s="6" cm="1">
        <f t="array" ref="P415">INDEX(Tabl_B4_Tanks!$Q$7:$AA$33,X_EMIS!K415,X_EMIS!L415)</f>
        <v>1.5799630036446492E-4</v>
      </c>
      <c r="Q415" cm="1">
        <f t="array" ref="Q415">INDEX(Tabl_B4_Tanks!$F$7:$P$33,X_EMIS!J415,X_EMIS!L415)</f>
        <v>5.76686496330297E-2</v>
      </c>
    </row>
    <row r="416" spans="10:17">
      <c r="J416">
        <f t="shared" si="38"/>
        <v>26</v>
      </c>
      <c r="K416" cm="1">
        <f t="array" ref="K416">INDEX(H$19:H$45,J416)</f>
        <v>26</v>
      </c>
      <c r="L416">
        <f t="shared" si="39"/>
        <v>7</v>
      </c>
      <c r="M416" t="str" cm="1">
        <f t="array" ref="M416">INDEX(Tabl_B4_Tanks!B$7:B$33,X_EMIS!K416)</f>
        <v>UO6</v>
      </c>
      <c r="N416" t="str">
        <f t="shared" si="40"/>
        <v>98-82-8</v>
      </c>
      <c r="O416" t="str">
        <f t="shared" si="40"/>
        <v>Isopropylbenzene (Cumene)</v>
      </c>
      <c r="P416" s="6" cm="1">
        <f t="array" ref="P416">INDEX(Tabl_B4_Tanks!$Q$7:$AA$33,X_EMIS!K416,X_EMIS!L416)</f>
        <v>3.2725889039838237E-5</v>
      </c>
      <c r="Q416" cm="1">
        <f t="array" ref="Q416">INDEX(Tabl_B4_Tanks!$F$7:$P$33,X_EMIS!J416,X_EMIS!L416)</f>
        <v>1.1944949499540955E-2</v>
      </c>
    </row>
    <row r="417" spans="9:17">
      <c r="J417">
        <f t="shared" si="38"/>
        <v>26</v>
      </c>
      <c r="K417" cm="1">
        <f t="array" ref="K417">INDEX(H$19:H$45,J417)</f>
        <v>26</v>
      </c>
      <c r="L417">
        <f t="shared" si="39"/>
        <v>8</v>
      </c>
      <c r="M417" t="str" cm="1">
        <f t="array" ref="M417">INDEX(Tabl_B4_Tanks!B$7:B$33,X_EMIS!K417)</f>
        <v>UO6</v>
      </c>
      <c r="N417" t="str">
        <f t="shared" si="40"/>
        <v>108-88-3</v>
      </c>
      <c r="O417" t="str">
        <f t="shared" si="40"/>
        <v>Toluene</v>
      </c>
      <c r="P417" s="6" cm="1">
        <f t="array" ref="P417">INDEX(Tabl_B4_Tanks!$Q$7:$AA$33,X_EMIS!K417,X_EMIS!L417)</f>
        <v>5.6063203355132712E-4</v>
      </c>
      <c r="Q417" cm="1">
        <f t="array" ref="Q417">INDEX(Tabl_B4_Tanks!$F$7:$P$33,X_EMIS!J417,X_EMIS!L417)</f>
        <v>0.2046306922462344</v>
      </c>
    </row>
    <row r="418" spans="9:17">
      <c r="J418">
        <f t="shared" si="38"/>
        <v>26</v>
      </c>
      <c r="K418" cm="1">
        <f t="array" ref="K418">INDEX(H$19:H$45,J418)</f>
        <v>26</v>
      </c>
      <c r="L418">
        <f t="shared" si="39"/>
        <v>9</v>
      </c>
      <c r="M418" t="str" cm="1">
        <f t="array" ref="M418">INDEX(Tabl_B4_Tanks!B$7:B$33,X_EMIS!K418)</f>
        <v>UO6</v>
      </c>
      <c r="N418" t="str">
        <f t="shared" ref="N418:O431" si="41">N407</f>
        <v>110-54-3</v>
      </c>
      <c r="O418" t="str">
        <f t="shared" si="41"/>
        <v>Hexane</v>
      </c>
      <c r="P418" s="6" cm="1">
        <f t="array" ref="P418">INDEX(Tabl_B4_Tanks!$Q$7:$AA$33,X_EMIS!K418,X_EMIS!L418)</f>
        <v>9.2544522284788457E-5</v>
      </c>
      <c r="Q418" cm="1">
        <f t="array" ref="Q418">INDEX(Tabl_B4_Tanks!$F$7:$P$33,X_EMIS!J418,X_EMIS!L418)</f>
        <v>3.3778750633947786E-2</v>
      </c>
    </row>
    <row r="419" spans="9:17">
      <c r="J419">
        <f t="shared" si="38"/>
        <v>26</v>
      </c>
      <c r="K419" cm="1">
        <f t="array" ref="K419">INDEX(H$19:H$45,J419)</f>
        <v>26</v>
      </c>
      <c r="L419">
        <f t="shared" si="39"/>
        <v>10</v>
      </c>
      <c r="M419" t="str" cm="1">
        <f t="array" ref="M419">INDEX(Tabl_B4_Tanks!B$7:B$33,X_EMIS!K419)</f>
        <v>UO6</v>
      </c>
      <c r="N419" t="str">
        <f t="shared" si="41"/>
        <v>1330-20-7</v>
      </c>
      <c r="O419" t="str">
        <f t="shared" si="41"/>
        <v>Xylene (mixture), including m-xylene, o-xylene, p-xylene</v>
      </c>
      <c r="P419" s="6" cm="1">
        <f t="array" ref="P419">INDEX(Tabl_B4_Tanks!$Q$7:$AA$33,X_EMIS!K419,X_EMIS!L419)</f>
        <v>9.3349257261177924E-4</v>
      </c>
      <c r="Q419" cm="1">
        <f t="array" ref="Q419">INDEX(Tabl_B4_Tanks!$F$7:$P$33,X_EMIS!J419,X_EMIS!L419)</f>
        <v>0.34072478900329939</v>
      </c>
    </row>
    <row r="420" spans="9:17">
      <c r="J420">
        <f t="shared" si="38"/>
        <v>26</v>
      </c>
      <c r="K420" cm="1">
        <f t="array" ref="K420">INDEX(H$19:H$45,J420)</f>
        <v>26</v>
      </c>
      <c r="L420">
        <f t="shared" si="39"/>
        <v>11</v>
      </c>
      <c r="M420" t="str" cm="1">
        <f t="array" ref="M420">INDEX(Tabl_B4_Tanks!B$7:B$33,X_EMIS!K420)</f>
        <v>UO6</v>
      </c>
      <c r="N420" t="str">
        <f t="shared" si="41"/>
        <v>7783-06-4</v>
      </c>
      <c r="O420" t="str">
        <f t="shared" si="41"/>
        <v>Hydrogen sulfide</v>
      </c>
      <c r="P420" s="6" cm="1">
        <f t="array" ref="P420">INDEX(Tabl_B4_Tanks!$Q$7:$AA$33,X_EMIS!K420,X_EMIS!L420)</f>
        <v>4.5601648662069675E-5</v>
      </c>
      <c r="Q420" cm="1">
        <f t="array" ref="Q420">INDEX(Tabl_B4_Tanks!$F$7:$P$33,X_EMIS!J420,X_EMIS!L420)</f>
        <v>1.6644601761655432E-2</v>
      </c>
    </row>
    <row r="421" spans="9:17">
      <c r="J421">
        <f t="shared" si="38"/>
        <v>27</v>
      </c>
      <c r="K421" cm="1">
        <f t="array" ref="K421">INDEX(H$19:H$45,J421)</f>
        <v>27</v>
      </c>
      <c r="L421">
        <f t="shared" si="39"/>
        <v>1</v>
      </c>
      <c r="M421" t="str" cm="1">
        <f t="array" ref="M421">INDEX(Tabl_B4_Tanks!B$7:B$33,X_EMIS!K421)</f>
        <v>MDO1</v>
      </c>
      <c r="N421" t="str">
        <f t="shared" si="41"/>
        <v>91-57-6</v>
      </c>
      <c r="O421" t="str">
        <f t="shared" si="41"/>
        <v>2-Methyl naphthalene</v>
      </c>
      <c r="P421" s="6" cm="1">
        <f t="array" ref="P421">INDEX(Tabl_B4_Tanks!$Q$7:$AA$33,X_EMIS!K421,X_EMIS!L421)</f>
        <v>1.4123219799959503E-3</v>
      </c>
      <c r="Q421" cm="1">
        <f t="array" ref="Q421">INDEX(Tabl_B4_Tanks!$F$7:$P$33,X_EMIS!J421,X_EMIS!L421)</f>
        <v>0.51549752269852189</v>
      </c>
    </row>
    <row r="422" spans="9:17">
      <c r="J422">
        <f t="shared" si="38"/>
        <v>27</v>
      </c>
      <c r="K422" cm="1">
        <f t="array" ref="K422">INDEX(H$19:H$45,J422)</f>
        <v>27</v>
      </c>
      <c r="L422">
        <f t="shared" si="39"/>
        <v>2</v>
      </c>
      <c r="M422" t="str" cm="1">
        <f t="array" ref="M422">INDEX(Tabl_B4_Tanks!B$7:B$33,X_EMIS!K422)</f>
        <v>MDO1</v>
      </c>
      <c r="N422" t="str">
        <f t="shared" si="41"/>
        <v>91-20-3</v>
      </c>
      <c r="O422" t="str">
        <f t="shared" si="41"/>
        <v>Naphthalene</v>
      </c>
      <c r="P422" s="6" cm="1">
        <f t="array" ref="P422">INDEX(Tabl_B4_Tanks!$Q$7:$AA$33,X_EMIS!K422,X_EMIS!L422)</f>
        <v>8.197393310466005E-4</v>
      </c>
      <c r="Q422" cm="1">
        <f t="array" ref="Q422">INDEX(Tabl_B4_Tanks!$F$7:$P$33,X_EMIS!J422,X_EMIS!L422)</f>
        <v>0.29920485583200918</v>
      </c>
    </row>
    <row r="423" spans="9:17">
      <c r="J423">
        <f t="shared" si="38"/>
        <v>27</v>
      </c>
      <c r="K423" cm="1">
        <f t="array" ref="K423">INDEX(H$19:H$45,J423)</f>
        <v>27</v>
      </c>
      <c r="L423">
        <f t="shared" si="39"/>
        <v>3</v>
      </c>
      <c r="M423" t="str" cm="1">
        <f t="array" ref="M423">INDEX(Tabl_B4_Tanks!B$7:B$33,X_EMIS!K423)</f>
        <v>MDO1</v>
      </c>
      <c r="N423" t="str">
        <f t="shared" si="41"/>
        <v>108-95-2</v>
      </c>
      <c r="O423" t="str">
        <f t="shared" si="41"/>
        <v>Phenol</v>
      </c>
      <c r="P423" s="6" cm="1">
        <f t="array" ref="P423">INDEX(Tabl_B4_Tanks!$Q$7:$AA$33,X_EMIS!K423,X_EMIS!L423)</f>
        <v>1.723427870694359E-5</v>
      </c>
      <c r="Q423" cm="1">
        <f t="array" ref="Q423">INDEX(Tabl_B4_Tanks!$F$7:$P$33,X_EMIS!J423,X_EMIS!L423)</f>
        <v>6.29051172803441E-3</v>
      </c>
    </row>
    <row r="424" spans="9:17">
      <c r="J424">
        <f t="shared" si="38"/>
        <v>27</v>
      </c>
      <c r="K424" cm="1">
        <f t="array" ref="K424">INDEX(H$19:H$45,J424)</f>
        <v>27</v>
      </c>
      <c r="L424">
        <f t="shared" si="39"/>
        <v>4</v>
      </c>
      <c r="M424" t="str" cm="1">
        <f t="array" ref="M424">INDEX(Tabl_B4_Tanks!B$7:B$33,X_EMIS!K424)</f>
        <v>MDO1</v>
      </c>
      <c r="N424" t="str">
        <f t="shared" si="41"/>
        <v>1319-77-3</v>
      </c>
      <c r="O424" t="str">
        <f t="shared" si="41"/>
        <v>Cresols (mixture), including m-cresol, o-cresol, p-cresol</v>
      </c>
      <c r="P424" s="6" cm="1">
        <f t="array" ref="P424">INDEX(Tabl_B4_Tanks!$Q$7:$AA$33,X_EMIS!K424,X_EMIS!L424)</f>
        <v>6.4196453636179553E-6</v>
      </c>
      <c r="Q424" cm="1">
        <f t="array" ref="Q424">INDEX(Tabl_B4_Tanks!$F$7:$P$33,X_EMIS!J424,X_EMIS!L424)</f>
        <v>2.3431705577205537E-3</v>
      </c>
    </row>
    <row r="425" spans="9:17">
      <c r="J425">
        <f t="shared" si="38"/>
        <v>27</v>
      </c>
      <c r="K425" cm="1">
        <f t="array" ref="K425">INDEX(H$19:H$45,J425)</f>
        <v>27</v>
      </c>
      <c r="L425">
        <f t="shared" si="39"/>
        <v>5</v>
      </c>
      <c r="M425" t="str" cm="1">
        <f t="array" ref="M425">INDEX(Tabl_B4_Tanks!B$7:B$33,X_EMIS!K425)</f>
        <v>MDO1</v>
      </c>
      <c r="N425" t="str">
        <f t="shared" si="41"/>
        <v>71-43-2</v>
      </c>
      <c r="O425" t="str">
        <f t="shared" si="41"/>
        <v>Benzene</v>
      </c>
      <c r="P425" s="6" cm="1">
        <f t="array" ref="P425">INDEX(Tabl_B4_Tanks!$Q$7:$AA$33,X_EMIS!K425,X_EMIS!L425)</f>
        <v>1.1456597879687429E-4</v>
      </c>
      <c r="Q425" cm="1">
        <f t="array" ref="Q425">INDEX(Tabl_B4_Tanks!$F$7:$P$33,X_EMIS!J425,X_EMIS!L425)</f>
        <v>4.1816582260859117E-2</v>
      </c>
    </row>
    <row r="426" spans="9:17">
      <c r="J426">
        <f t="shared" si="38"/>
        <v>27</v>
      </c>
      <c r="K426" cm="1">
        <f t="array" ref="K426">INDEX(H$19:H$45,J426)</f>
        <v>27</v>
      </c>
      <c r="L426">
        <f t="shared" si="39"/>
        <v>6</v>
      </c>
      <c r="M426" t="str" cm="1">
        <f t="array" ref="M426">INDEX(Tabl_B4_Tanks!B$7:B$33,X_EMIS!K426)</f>
        <v>MDO1</v>
      </c>
      <c r="N426" t="str">
        <f t="shared" si="41"/>
        <v>100-41-4</v>
      </c>
      <c r="O426" t="str">
        <f t="shared" si="41"/>
        <v>Ethyl benzene</v>
      </c>
      <c r="P426" s="6" cm="1">
        <f t="array" ref="P426">INDEX(Tabl_B4_Tanks!$Q$7:$AA$33,X_EMIS!K426,X_EMIS!L426)</f>
        <v>2.9085931685930586E-4</v>
      </c>
      <c r="Q426" cm="1">
        <f t="array" ref="Q426">INDEX(Tabl_B4_Tanks!$F$7:$P$33,X_EMIS!J426,X_EMIS!L426)</f>
        <v>0.10616365065364664</v>
      </c>
    </row>
    <row r="427" spans="9:17">
      <c r="J427">
        <f t="shared" si="38"/>
        <v>27</v>
      </c>
      <c r="K427" cm="1">
        <f t="array" ref="K427">INDEX(H$19:H$45,J427)</f>
        <v>27</v>
      </c>
      <c r="L427">
        <f t="shared" si="39"/>
        <v>7</v>
      </c>
      <c r="M427" t="str" cm="1">
        <f t="array" ref="M427">INDEX(Tabl_B4_Tanks!B$7:B$33,X_EMIS!K427)</f>
        <v>MDO1</v>
      </c>
      <c r="N427" t="str">
        <f t="shared" si="41"/>
        <v>98-82-8</v>
      </c>
      <c r="O427" t="str">
        <f t="shared" si="41"/>
        <v>Isopropylbenzene (Cumene)</v>
      </c>
      <c r="P427" s="6" cm="1">
        <f t="array" ref="P427">INDEX(Tabl_B4_Tanks!$Q$7:$AA$33,X_EMIS!K427,X_EMIS!L427)</f>
        <v>6.0245902643183888E-5</v>
      </c>
      <c r="Q427" cm="1">
        <f t="array" ref="Q427">INDEX(Tabl_B4_Tanks!$F$7:$P$33,X_EMIS!J427,X_EMIS!L427)</f>
        <v>2.1989754464762121E-2</v>
      </c>
    </row>
    <row r="428" spans="9:17">
      <c r="J428">
        <f t="shared" si="38"/>
        <v>27</v>
      </c>
      <c r="K428" cm="1">
        <f t="array" ref="K428">INDEX(H$19:H$45,J428)</f>
        <v>27</v>
      </c>
      <c r="L428">
        <f t="shared" si="39"/>
        <v>8</v>
      </c>
      <c r="M428" t="str" cm="1">
        <f t="array" ref="M428">INDEX(Tabl_B4_Tanks!B$7:B$33,X_EMIS!K428)</f>
        <v>MDO1</v>
      </c>
      <c r="N428" t="str">
        <f t="shared" si="41"/>
        <v>108-88-3</v>
      </c>
      <c r="O428" t="str">
        <f t="shared" si="41"/>
        <v>Toluene</v>
      </c>
      <c r="P428" s="6" cm="1">
        <f t="array" ref="P428">INDEX(Tabl_B4_Tanks!$Q$7:$AA$33,X_EMIS!K428,X_EMIS!L428)</f>
        <v>1.0320814469201175E-3</v>
      </c>
      <c r="Q428" cm="1">
        <f t="array" ref="Q428">INDEX(Tabl_B4_Tanks!$F$7:$P$33,X_EMIS!J428,X_EMIS!L428)</f>
        <v>0.37670972812584286</v>
      </c>
    </row>
    <row r="429" spans="9:17">
      <c r="I429">
        <v>1</v>
      </c>
      <c r="J429">
        <f t="shared" si="38"/>
        <v>27</v>
      </c>
      <c r="K429" cm="1">
        <f t="array" ref="K429">INDEX(H$19:H$45,J429)</f>
        <v>27</v>
      </c>
      <c r="L429">
        <f t="shared" si="39"/>
        <v>9</v>
      </c>
      <c r="M429" t="str" cm="1">
        <f t="array" ref="M429">INDEX(Tabl_B4_Tanks!B$7:B$33,X_EMIS!K429)</f>
        <v>MDO1</v>
      </c>
      <c r="N429" t="str">
        <f t="shared" si="41"/>
        <v>110-54-3</v>
      </c>
      <c r="O429" t="str">
        <f t="shared" si="41"/>
        <v>Hexane</v>
      </c>
      <c r="P429" s="6" cm="1">
        <f t="array" ref="P429">INDEX(Tabl_B4_Tanks!$Q$7:$AA$33,X_EMIS!K429,X_EMIS!L429)</f>
        <v>1.7036751157293805E-4</v>
      </c>
      <c r="Q429" cm="1">
        <f t="array" ref="Q429">INDEX(Tabl_B4_Tanks!$F$7:$P$33,X_EMIS!J429,X_EMIS!L429)</f>
        <v>6.2184141724122385E-2</v>
      </c>
    </row>
    <row r="430" spans="9:17">
      <c r="J430">
        <f t="shared" si="38"/>
        <v>27</v>
      </c>
      <c r="K430" cm="1">
        <f t="array" ref="K430">INDEX(H$19:H$45,J430)</f>
        <v>27</v>
      </c>
      <c r="L430">
        <f t="shared" si="39"/>
        <v>10</v>
      </c>
      <c r="M430" t="str" cm="1">
        <f t="array" ref="M430">INDEX(Tabl_B4_Tanks!B$7:B$33,X_EMIS!K430)</f>
        <v>MDO1</v>
      </c>
      <c r="N430" t="str">
        <f t="shared" si="41"/>
        <v>1330-20-7</v>
      </c>
      <c r="O430" t="str">
        <f t="shared" si="41"/>
        <v>Xylene (mixture), including m-xylene, o-xylene, p-xylene</v>
      </c>
      <c r="P430" s="6" cm="1">
        <f t="array" ref="P430">INDEX(Tabl_B4_Tanks!$Q$7:$AA$33,X_EMIS!K430,X_EMIS!L430)</f>
        <v>1.7184896819531143E-3</v>
      </c>
      <c r="Q430" cm="1">
        <f t="array" ref="Q430">INDEX(Tabl_B4_Tanks!$F$7:$P$33,X_EMIS!J430,X_EMIS!L430)</f>
        <v>0.62724873391288671</v>
      </c>
    </row>
    <row r="431" spans="9:17">
      <c r="J431">
        <f t="shared" si="38"/>
        <v>27</v>
      </c>
      <c r="K431" cm="1">
        <f t="array" ref="K431">INDEX(H$19:H$45,J431)</f>
        <v>27</v>
      </c>
      <c r="L431">
        <f t="shared" si="39"/>
        <v>11</v>
      </c>
      <c r="M431" t="str" cm="1">
        <f t="array" ref="M431">INDEX(Tabl_B4_Tanks!B$7:B$33,X_EMIS!K431)</f>
        <v>MDO1</v>
      </c>
      <c r="N431" t="str">
        <f t="shared" si="41"/>
        <v>7783-06-4</v>
      </c>
      <c r="O431" t="str">
        <f t="shared" si="41"/>
        <v>Hydrogen sulfide</v>
      </c>
      <c r="P431" s="6" cm="1">
        <f t="array" ref="P431">INDEX(Tabl_B4_Tanks!$Q$7:$AA$33,X_EMIS!K431,X_EMIS!L431)</f>
        <v>8.3949208601157891E-5</v>
      </c>
      <c r="Q431" cm="1">
        <f t="array" ref="Q431">INDEX(Tabl_B4_Tanks!$F$7:$P$33,X_EMIS!J431,X_EMIS!L431)</f>
        <v>3.0641461139422628E-2</v>
      </c>
    </row>
    <row r="432" spans="9:17">
      <c r="K432">
        <v>1</v>
      </c>
      <c r="L432">
        <f>L421</f>
        <v>1</v>
      </c>
      <c r="M432" t="str" cm="1">
        <f t="array" ref="M432">INDEX(Tabl_B2_Fug!$A$61:$A$71,X_EMIS!K432)</f>
        <v>Front</v>
      </c>
      <c r="N432" t="str" cm="1">
        <f t="array" ref="N432">INDEX(Tabl_B2_Fug!$D$59:$N$59,X_EMIS!L432)</f>
        <v>91-57-6</v>
      </c>
      <c r="O432" t="str" cm="1">
        <f t="array" ref="O432">INDEX(Tabl_B2_Fug!$D$60:$N$60,X_EMIS!L432)</f>
        <v>2-Methyl naphthalene</v>
      </c>
      <c r="P432" s="6" cm="1">
        <f t="array" aca="1" ref="P432" ca="1">INDEX(Tabl_B2_Fug!$O$61:$Y$71,K432,X_EMIS!L432)</f>
        <v>6.2309264160000013E-3</v>
      </c>
      <c r="Q432" cm="1">
        <f t="array" aca="1" ref="Q432" ca="1">INDEX(Tabl_B2_Fug!$D$61:$N$71,X_EMIS!K432,X_EMIS!L432)</f>
        <v>2.2707828926640001</v>
      </c>
    </row>
    <row r="433" spans="11:17">
      <c r="K433">
        <f>IF(L433=1,K432+1,K432)</f>
        <v>1</v>
      </c>
      <c r="L433">
        <f>L422</f>
        <v>2</v>
      </c>
      <c r="M433" t="str" cm="1">
        <f t="array" ref="M433">INDEX(Tabl_B2_Fug!$A$61:$A$71,X_EMIS!K433)</f>
        <v>Front</v>
      </c>
      <c r="N433" t="str" cm="1">
        <f t="array" ref="N433">INDEX(Tabl_B2_Fug!$D$59:$N$59,X_EMIS!L433)</f>
        <v>91-20-3</v>
      </c>
      <c r="O433" t="str" cm="1">
        <f t="array" ref="O433">INDEX(Tabl_B2_Fug!$D$60:$N$60,X_EMIS!L433)</f>
        <v>Naphthalene</v>
      </c>
      <c r="P433" s="6" cm="1">
        <f t="array" aca="1" ref="P433" ca="1">INDEX(Tabl_B2_Fug!$O$61:$Y$71,K433,X_EMIS!L433)</f>
        <v>3.6165516960000007E-3</v>
      </c>
      <c r="Q433" cm="1">
        <f t="array" aca="1" ref="Q433" ca="1">INDEX(Tabl_B2_Fug!$D$61:$N$71,X_EMIS!K433,X_EMIS!L433)</f>
        <v>1.318006853784</v>
      </c>
    </row>
    <row r="434" spans="11:17">
      <c r="K434">
        <f>IF(L434=1,K433+1,K433)</f>
        <v>1</v>
      </c>
      <c r="L434">
        <f>IF(L433=11,1,L433+1)</f>
        <v>3</v>
      </c>
      <c r="M434" t="str" cm="1">
        <f t="array" ref="M434">INDEX(Tabl_B2_Fug!$A$61:$A$71,X_EMIS!K434)</f>
        <v>Front</v>
      </c>
      <c r="N434" t="str" cm="1">
        <f t="array" ref="N434">INDEX(Tabl_B2_Fug!$D$59:$N$59,X_EMIS!L434)</f>
        <v>108-95-2</v>
      </c>
      <c r="O434" t="str" cm="1">
        <f t="array" ref="O434">INDEX(Tabl_B2_Fug!$D$60:$N$60,X_EMIS!L434)</f>
        <v>Phenol</v>
      </c>
      <c r="P434" s="6" cm="1">
        <f t="array" aca="1" ref="P434" ca="1">INDEX(Tabl_B2_Fug!$O$61:$Y$71,K434,X_EMIS!L434)</f>
        <v>7.603473144000001E-5</v>
      </c>
      <c r="Q434" cm="1">
        <f t="array" aca="1" ref="Q434" ca="1">INDEX(Tabl_B2_Fug!$D$61:$N$71,X_EMIS!K434,X_EMIS!L434)</f>
        <v>2.7709903130760001E-2</v>
      </c>
    </row>
    <row r="435" spans="11:17">
      <c r="K435">
        <f t="shared" ref="K435:K498" si="42">IF(L435=1,K434+1,K434)</f>
        <v>1</v>
      </c>
      <c r="L435">
        <f t="shared" ref="L435:L498" si="43">IF(L434=11,1,L434+1)</f>
        <v>4</v>
      </c>
      <c r="M435" t="str" cm="1">
        <f t="array" ref="M435">INDEX(Tabl_B2_Fug!$A$61:$A$71,X_EMIS!K435)</f>
        <v>Front</v>
      </c>
      <c r="N435" t="str" cm="1">
        <f t="array" ref="N435">INDEX(Tabl_B2_Fug!$D$59:$N$59,X_EMIS!L435)</f>
        <v>1319-77-3</v>
      </c>
      <c r="O435" t="str" cm="1">
        <f t="array" ref="O435">INDEX(Tabl_B2_Fug!$D$60:$N$60,X_EMIS!L435)</f>
        <v>Cresols (mixture), including m-cresol, o-cresol, p-cresol</v>
      </c>
      <c r="P435" s="6" cm="1">
        <f t="array" aca="1" ref="P435" ca="1">INDEX(Tabl_B2_Fug!$O$61:$Y$71,K435,X_EMIS!L435)</f>
        <v>2.8322392800000003E-5</v>
      </c>
      <c r="Q435" cm="1">
        <f t="array" aca="1" ref="Q435" ca="1">INDEX(Tabl_B2_Fug!$D$61:$N$71,X_EMIS!K435,X_EMIS!L435)</f>
        <v>1.03217404212E-2</v>
      </c>
    </row>
    <row r="436" spans="11:17">
      <c r="K436">
        <f t="shared" si="42"/>
        <v>1</v>
      </c>
      <c r="L436">
        <f t="shared" si="43"/>
        <v>5</v>
      </c>
      <c r="M436" t="str" cm="1">
        <f t="array" ref="M436">INDEX(Tabl_B2_Fug!$A$61:$A$71,X_EMIS!K436)</f>
        <v>Front</v>
      </c>
      <c r="N436" t="str" cm="1">
        <f t="array" ref="N436">INDEX(Tabl_B2_Fug!$D$59:$N$59,X_EMIS!L436)</f>
        <v>71-43-2</v>
      </c>
      <c r="O436" t="str" cm="1">
        <f t="array" ref="O436">INDEX(Tabl_B2_Fug!$D$60:$N$60,X_EMIS!L436)</f>
        <v>Benzene</v>
      </c>
      <c r="P436" s="6" cm="1">
        <f t="array" aca="1" ref="P436" ca="1">INDEX(Tabl_B2_Fug!$O$61:$Y$71,K436,X_EMIS!L436)</f>
        <v>5.0544577920000008E-4</v>
      </c>
      <c r="Q436" cm="1">
        <f t="array" aca="1" ref="Q436" ca="1">INDEX(Tabl_B2_Fug!$D$61:$N$71,X_EMIS!K436,X_EMIS!L436)</f>
        <v>0.1842033675168</v>
      </c>
    </row>
    <row r="437" spans="11:17">
      <c r="K437">
        <f t="shared" si="42"/>
        <v>1</v>
      </c>
      <c r="L437">
        <f t="shared" si="43"/>
        <v>6</v>
      </c>
      <c r="M437" t="str" cm="1">
        <f t="array" ref="M437">INDEX(Tabl_B2_Fug!$A$61:$A$71,X_EMIS!K437)</f>
        <v>Front</v>
      </c>
      <c r="N437" t="str" cm="1">
        <f t="array" ref="N437">INDEX(Tabl_B2_Fug!$D$59:$N$59,X_EMIS!L437)</f>
        <v>100-41-4</v>
      </c>
      <c r="O437" t="str" cm="1">
        <f t="array" ref="O437">INDEX(Tabl_B2_Fug!$D$60:$N$60,X_EMIS!L437)</f>
        <v>Ethyl benzene</v>
      </c>
      <c r="P437" s="6" cm="1">
        <f t="array" aca="1" ref="P437" ca="1">INDEX(Tabl_B2_Fug!$O$61:$Y$71,K437,X_EMIS!L437)</f>
        <v>1.2832222584000003E-3</v>
      </c>
      <c r="Q437" cm="1">
        <f t="array" aca="1" ref="Q437" ca="1">INDEX(Tabl_B2_Fug!$D$61:$N$71,X_EMIS!K437,X_EMIS!L437)</f>
        <v>0.46765423908360004</v>
      </c>
    </row>
    <row r="438" spans="11:17">
      <c r="K438">
        <f t="shared" si="42"/>
        <v>1</v>
      </c>
      <c r="L438">
        <f t="shared" si="43"/>
        <v>7</v>
      </c>
      <c r="M438" t="str" cm="1">
        <f t="array" ref="M438">INDEX(Tabl_B2_Fug!$A$61:$A$71,X_EMIS!K438)</f>
        <v>Front</v>
      </c>
      <c r="N438" t="str" cm="1">
        <f t="array" ref="N438">INDEX(Tabl_B2_Fug!$D$59:$N$59,X_EMIS!L438)</f>
        <v>98-82-8</v>
      </c>
      <c r="O438" t="str" cm="1">
        <f t="array" ref="O438">INDEX(Tabl_B2_Fug!$D$60:$N$60,X_EMIS!L438)</f>
        <v>Isopropylbenzene (Cumene)</v>
      </c>
      <c r="P438" s="6" cm="1">
        <f t="array" aca="1" ref="P438" ca="1">INDEX(Tabl_B2_Fug!$O$61:$Y$71,K438,X_EMIS!L438)</f>
        <v>2.6579476320000002E-4</v>
      </c>
      <c r="Q438" cm="1">
        <f t="array" aca="1" ref="Q438" ca="1">INDEX(Tabl_B2_Fug!$D$61:$N$71,X_EMIS!K438,X_EMIS!L438)</f>
        <v>9.6865563952800007E-2</v>
      </c>
    </row>
    <row r="439" spans="11:17">
      <c r="K439">
        <f t="shared" si="42"/>
        <v>1</v>
      </c>
      <c r="L439">
        <f t="shared" si="43"/>
        <v>8</v>
      </c>
      <c r="M439" t="str" cm="1">
        <f t="array" ref="M439">INDEX(Tabl_B2_Fug!$A$61:$A$71,X_EMIS!K439)</f>
        <v>Front</v>
      </c>
      <c r="N439" t="str" cm="1">
        <f t="array" ref="N439">INDEX(Tabl_B2_Fug!$D$59:$N$59,X_EMIS!L439)</f>
        <v>108-88-3</v>
      </c>
      <c r="O439" t="str" cm="1">
        <f t="array" ref="O439">INDEX(Tabl_B2_Fug!$D$60:$N$60,X_EMIS!L439)</f>
        <v>Toluene</v>
      </c>
      <c r="P439" s="6" cm="1">
        <f t="array" aca="1" ref="P439" ca="1">INDEX(Tabl_B2_Fug!$O$61:$Y$71,K439,X_EMIS!L439)</f>
        <v>4.5533693040000003E-3</v>
      </c>
      <c r="Q439" cm="1">
        <f t="array" aca="1" ref="Q439" ca="1">INDEX(Tabl_B2_Fug!$D$61:$N$71,X_EMIS!K439,X_EMIS!L439)</f>
        <v>1.6594182677159999</v>
      </c>
    </row>
    <row r="440" spans="11:17">
      <c r="K440">
        <f t="shared" si="42"/>
        <v>1</v>
      </c>
      <c r="L440">
        <f t="shared" si="43"/>
        <v>9</v>
      </c>
      <c r="M440" t="str" cm="1">
        <f t="array" ref="M440">INDEX(Tabl_B2_Fug!$A$61:$A$71,X_EMIS!K440)</f>
        <v>Front</v>
      </c>
      <c r="N440" t="str" cm="1">
        <f t="array" ref="N440">INDEX(Tabl_B2_Fug!$D$59:$N$59,X_EMIS!L440)</f>
        <v>110-54-3</v>
      </c>
      <c r="O440" t="str" cm="1">
        <f t="array" ref="O440">INDEX(Tabl_B2_Fug!$D$60:$N$60,X_EMIS!L440)</f>
        <v>Hexane</v>
      </c>
      <c r="P440" s="6" cm="1">
        <f t="array" aca="1" ref="P440" ca="1">INDEX(Tabl_B2_Fug!$O$61:$Y$71,K440,X_EMIS!L440)</f>
        <v>7.5163273200000002E-4</v>
      </c>
      <c r="Q440" cm="1">
        <f t="array" aca="1" ref="Q440" ca="1">INDEX(Tabl_B2_Fug!$D$61:$N$71,X_EMIS!K440,X_EMIS!L440)</f>
        <v>0.273923111178</v>
      </c>
    </row>
    <row r="441" spans="11:17">
      <c r="K441">
        <f t="shared" si="42"/>
        <v>1</v>
      </c>
      <c r="L441">
        <f t="shared" si="43"/>
        <v>10</v>
      </c>
      <c r="M441" t="str" cm="1">
        <f t="array" ref="M441">INDEX(Tabl_B2_Fug!$A$61:$A$71,X_EMIS!K441)</f>
        <v>Front</v>
      </c>
      <c r="N441" t="str" cm="1">
        <f t="array" ref="N441">INDEX(Tabl_B2_Fug!$D$59:$N$59,X_EMIS!L441)</f>
        <v>1330-20-7</v>
      </c>
      <c r="O441" t="str" cm="1">
        <f t="array" ref="O441">INDEX(Tabl_B2_Fug!$D$60:$N$60,X_EMIS!L441)</f>
        <v>Xylene (mixture), including m-xylene, o-xylene, p-xylene</v>
      </c>
      <c r="P441" s="6" cm="1">
        <f t="array" aca="1" ref="P441" ca="1">INDEX(Tabl_B2_Fug!$O$61:$Y$71,K441,X_EMIS!L441)</f>
        <v>7.5816866880000014E-3</v>
      </c>
      <c r="Q441" cm="1">
        <f t="array" aca="1" ref="Q441" ca="1">INDEX(Tabl_B2_Fug!$D$61:$N$71,X_EMIS!K441,X_EMIS!L441)</f>
        <v>2.7630505127520002</v>
      </c>
    </row>
    <row r="442" spans="11:17">
      <c r="K442">
        <f t="shared" si="42"/>
        <v>1</v>
      </c>
      <c r="L442">
        <f t="shared" si="43"/>
        <v>11</v>
      </c>
      <c r="M442" t="str" cm="1">
        <f t="array" ref="M442">INDEX(Tabl_B2_Fug!$A$61:$A$71,X_EMIS!K442)</f>
        <v>Front</v>
      </c>
      <c r="N442" t="str" cm="1">
        <f t="array" ref="N442">INDEX(Tabl_B2_Fug!$D$59:$N$59,X_EMIS!L442)</f>
        <v>7783-06-4</v>
      </c>
      <c r="O442" t="str" cm="1">
        <f t="array" ref="O442">INDEX(Tabl_B2_Fug!$D$60:$N$60,X_EMIS!L442)</f>
        <v>Hydrogen sulfide</v>
      </c>
      <c r="P442" s="6" cm="1">
        <f t="array" aca="1" ref="P442" ca="1">INDEX(Tabl_B2_Fug!$O$61:$Y$71,K442,X_EMIS!L442)</f>
        <v>3.7036975200000009E-4</v>
      </c>
      <c r="Q442" cm="1">
        <f t="array" aca="1" ref="Q442" ca="1">INDEX(Tabl_B2_Fug!$D$61:$N$71,X_EMIS!K442,X_EMIS!L442)</f>
        <v>0.134976605508</v>
      </c>
    </row>
    <row r="443" spans="11:17">
      <c r="K443">
        <f t="shared" si="42"/>
        <v>2</v>
      </c>
      <c r="L443">
        <f t="shared" si="43"/>
        <v>1</v>
      </c>
      <c r="M443" t="str" cm="1">
        <f t="array" ref="M443">INDEX(Tabl_B2_Fug!$A$61:$A$71,X_EMIS!K443)</f>
        <v>Jail</v>
      </c>
      <c r="N443" t="str" cm="1">
        <f t="array" ref="N443">INDEX(Tabl_B2_Fug!$D$59:$N$59,X_EMIS!L443)</f>
        <v>91-57-6</v>
      </c>
      <c r="O443" t="str" cm="1">
        <f t="array" ref="O443">INDEX(Tabl_B2_Fug!$D$60:$N$60,X_EMIS!L443)</f>
        <v>2-Methyl naphthalene</v>
      </c>
      <c r="P443" s="6" cm="1">
        <f t="array" aca="1" ref="P443" ca="1">INDEX(Tabl_B2_Fug!$O$61:$Y$71,K443,X_EMIS!L443)</f>
        <v>1.0811376576000002E-2</v>
      </c>
      <c r="Q443" cm="1">
        <f t="array" aca="1" ref="Q443" ca="1">INDEX(Tabl_B2_Fug!$D$61:$N$71,X_EMIS!K443,X_EMIS!L443)</f>
        <v>3.9400704383040002</v>
      </c>
    </row>
    <row r="444" spans="11:17">
      <c r="K444">
        <f t="shared" si="42"/>
        <v>2</v>
      </c>
      <c r="L444">
        <f t="shared" si="43"/>
        <v>2</v>
      </c>
      <c r="M444" t="str" cm="1">
        <f t="array" ref="M444">INDEX(Tabl_B2_Fug!$A$61:$A$71,X_EMIS!K444)</f>
        <v>Jail</v>
      </c>
      <c r="N444" t="str" cm="1">
        <f t="array" ref="N444">INDEX(Tabl_B2_Fug!$D$59:$N$59,X_EMIS!L444)</f>
        <v>91-20-3</v>
      </c>
      <c r="O444" t="str" cm="1">
        <f t="array" ref="O444">INDEX(Tabl_B2_Fug!$D$60:$N$60,X_EMIS!L444)</f>
        <v>Naphthalene</v>
      </c>
      <c r="P444" s="6" cm="1">
        <f t="array" aca="1" ref="P444" ca="1">INDEX(Tabl_B2_Fug!$O$61:$Y$71,K444,X_EMIS!L444)</f>
        <v>6.2751346560000016E-3</v>
      </c>
      <c r="Q444" cm="1">
        <f t="array" aca="1" ref="Q444" ca="1">INDEX(Tabl_B2_Fug!$D$61:$N$71,X_EMIS!K444,X_EMIS!L444)</f>
        <v>2.286894030624</v>
      </c>
    </row>
    <row r="445" spans="11:17">
      <c r="K445">
        <f t="shared" si="42"/>
        <v>2</v>
      </c>
      <c r="L445">
        <f t="shared" si="43"/>
        <v>3</v>
      </c>
      <c r="M445" t="str" cm="1">
        <f t="array" ref="M445">INDEX(Tabl_B2_Fug!$A$61:$A$71,X_EMIS!K445)</f>
        <v>Jail</v>
      </c>
      <c r="N445" t="str" cm="1">
        <f t="array" ref="N445">INDEX(Tabl_B2_Fug!$D$59:$N$59,X_EMIS!L445)</f>
        <v>108-95-2</v>
      </c>
      <c r="O445" t="str" cm="1">
        <f t="array" ref="O445">INDEX(Tabl_B2_Fug!$D$60:$N$60,X_EMIS!L445)</f>
        <v>Phenol</v>
      </c>
      <c r="P445" s="6" cm="1">
        <f t="array" aca="1" ref="P445" ca="1">INDEX(Tabl_B2_Fug!$O$61:$Y$71,K445,X_EMIS!L445)</f>
        <v>1.3192903584000003E-4</v>
      </c>
      <c r="Q445" cm="1">
        <f t="array" aca="1" ref="Q445" ca="1">INDEX(Tabl_B2_Fug!$D$61:$N$71,X_EMIS!K445,X_EMIS!L445)</f>
        <v>4.807988052336E-2</v>
      </c>
    </row>
    <row r="446" spans="11:17">
      <c r="K446">
        <f t="shared" si="42"/>
        <v>2</v>
      </c>
      <c r="L446">
        <f t="shared" si="43"/>
        <v>4</v>
      </c>
      <c r="M446" t="str" cm="1">
        <f t="array" ref="M446">INDEX(Tabl_B2_Fug!$A$61:$A$71,X_EMIS!K446)</f>
        <v>Jail</v>
      </c>
      <c r="N446" t="str" cm="1">
        <f t="array" ref="N446">INDEX(Tabl_B2_Fug!$D$59:$N$59,X_EMIS!L446)</f>
        <v>1319-77-3</v>
      </c>
      <c r="O446" t="str" cm="1">
        <f t="array" ref="O446">INDEX(Tabl_B2_Fug!$D$60:$N$60,X_EMIS!L446)</f>
        <v>Cresols (mixture), including m-cresol, o-cresol, p-cresol</v>
      </c>
      <c r="P446" s="6" cm="1">
        <f t="array" aca="1" ref="P446" ca="1">INDEX(Tabl_B2_Fug!$O$61:$Y$71,K446,X_EMIS!L446)</f>
        <v>4.9142620800000007E-5</v>
      </c>
      <c r="Q446" cm="1">
        <f t="array" aca="1" ref="Q446" ca="1">INDEX(Tabl_B2_Fug!$D$61:$N$71,X_EMIS!K446,X_EMIS!L446)</f>
        <v>1.7909411083199999E-2</v>
      </c>
    </row>
    <row r="447" spans="11:17">
      <c r="K447">
        <f t="shared" si="42"/>
        <v>2</v>
      </c>
      <c r="L447">
        <f t="shared" si="43"/>
        <v>5</v>
      </c>
      <c r="M447" t="str" cm="1">
        <f t="array" ref="M447">INDEX(Tabl_B2_Fug!$A$61:$A$71,X_EMIS!K447)</f>
        <v>Jail</v>
      </c>
      <c r="N447" t="str" cm="1">
        <f t="array" ref="N447">INDEX(Tabl_B2_Fug!$D$59:$N$59,X_EMIS!L447)</f>
        <v>71-43-2</v>
      </c>
      <c r="O447" t="str" cm="1">
        <f t="array" ref="O447">INDEX(Tabl_B2_Fug!$D$60:$N$60,X_EMIS!L447)</f>
        <v>Benzene</v>
      </c>
      <c r="P447" s="6" cm="1">
        <f t="array" aca="1" ref="P447" ca="1">INDEX(Tabl_B2_Fug!$O$61:$Y$71,K447,X_EMIS!L447)</f>
        <v>8.7700677120000018E-4</v>
      </c>
      <c r="Q447" cm="1">
        <f t="array" aca="1" ref="Q447" ca="1">INDEX(Tabl_B2_Fug!$D$61:$N$71,X_EMIS!K447,X_EMIS!L447)</f>
        <v>0.31961410548480002</v>
      </c>
    </row>
    <row r="448" spans="11:17">
      <c r="K448">
        <f t="shared" si="42"/>
        <v>2</v>
      </c>
      <c r="L448">
        <f t="shared" si="43"/>
        <v>6</v>
      </c>
      <c r="M448" t="str" cm="1">
        <f t="array" ref="M448">INDEX(Tabl_B2_Fug!$A$61:$A$71,X_EMIS!K448)</f>
        <v>Jail</v>
      </c>
      <c r="N448" t="str" cm="1">
        <f t="array" ref="N448">INDEX(Tabl_B2_Fug!$D$59:$N$59,X_EMIS!L448)</f>
        <v>100-41-4</v>
      </c>
      <c r="O448" t="str" cm="1">
        <f t="array" ref="O448">INDEX(Tabl_B2_Fug!$D$60:$N$60,X_EMIS!L448)</f>
        <v>Ethyl benzene</v>
      </c>
      <c r="P448" s="6" cm="1">
        <f t="array" aca="1" ref="P448" ca="1">INDEX(Tabl_B2_Fug!$O$61:$Y$71,K448,X_EMIS!L448)</f>
        <v>2.2265387424000005E-3</v>
      </c>
      <c r="Q448" cm="1">
        <f t="array" aca="1" ref="Q448" ca="1">INDEX(Tabl_B2_Fug!$D$61:$N$71,X_EMIS!K448,X_EMIS!L448)</f>
        <v>0.81143408676960005</v>
      </c>
    </row>
    <row r="449" spans="11:17">
      <c r="K449">
        <f t="shared" si="42"/>
        <v>2</v>
      </c>
      <c r="L449">
        <f t="shared" si="43"/>
        <v>7</v>
      </c>
      <c r="M449" t="str" cm="1">
        <f t="array" ref="M449">INDEX(Tabl_B2_Fug!$A$61:$A$71,X_EMIS!K449)</f>
        <v>Jail</v>
      </c>
      <c r="N449" t="str" cm="1">
        <f t="array" ref="N449">INDEX(Tabl_B2_Fug!$D$59:$N$59,X_EMIS!L449)</f>
        <v>98-82-8</v>
      </c>
      <c r="O449" t="str" cm="1">
        <f t="array" ref="O449">INDEX(Tabl_B2_Fug!$D$60:$N$60,X_EMIS!L449)</f>
        <v>Isopropylbenzene (Cumene)</v>
      </c>
      <c r="P449" s="6" cm="1">
        <f t="array" aca="1" ref="P449" ca="1">INDEX(Tabl_B2_Fug!$O$61:$Y$71,K449,X_EMIS!L449)</f>
        <v>4.6118459520000008E-4</v>
      </c>
      <c r="Q449" cm="1">
        <f t="array" aca="1" ref="Q449" ca="1">INDEX(Tabl_B2_Fug!$D$61:$N$71,X_EMIS!K449,X_EMIS!L449)</f>
        <v>0.16807293478079999</v>
      </c>
    </row>
    <row r="450" spans="11:17">
      <c r="K450">
        <f t="shared" si="42"/>
        <v>2</v>
      </c>
      <c r="L450">
        <f t="shared" si="43"/>
        <v>8</v>
      </c>
      <c r="M450" t="str" cm="1">
        <f t="array" ref="M450">INDEX(Tabl_B2_Fug!$A$61:$A$71,X_EMIS!K450)</f>
        <v>Jail</v>
      </c>
      <c r="N450" t="str" cm="1">
        <f t="array" ref="N450">INDEX(Tabl_B2_Fug!$D$59:$N$59,X_EMIS!L450)</f>
        <v>108-88-3</v>
      </c>
      <c r="O450" t="str" cm="1">
        <f t="array" ref="O450">INDEX(Tabl_B2_Fug!$D$60:$N$60,X_EMIS!L450)</f>
        <v>Toluene</v>
      </c>
      <c r="P450" s="6" cm="1">
        <f t="array" aca="1" ref="P450" ca="1">INDEX(Tabl_B2_Fug!$O$61:$Y$71,K450,X_EMIS!L450)</f>
        <v>7.9006213440000004E-3</v>
      </c>
      <c r="Q450" cm="1">
        <f t="array" aca="1" ref="Q450" ca="1">INDEX(Tabl_B2_Fug!$D$61:$N$71,X_EMIS!K450,X_EMIS!L450)</f>
        <v>2.8792822433759997</v>
      </c>
    </row>
    <row r="451" spans="11:17">
      <c r="K451">
        <f t="shared" si="42"/>
        <v>2</v>
      </c>
      <c r="L451">
        <f t="shared" si="43"/>
        <v>9</v>
      </c>
      <c r="M451" t="str" cm="1">
        <f t="array" ref="M451">INDEX(Tabl_B2_Fug!$A$61:$A$71,X_EMIS!K451)</f>
        <v>Jail</v>
      </c>
      <c r="N451" t="str" cm="1">
        <f t="array" ref="N451">INDEX(Tabl_B2_Fug!$D$59:$N$59,X_EMIS!L451)</f>
        <v>110-54-3</v>
      </c>
      <c r="O451" t="str" cm="1">
        <f t="array" ref="O451">INDEX(Tabl_B2_Fug!$D$60:$N$60,X_EMIS!L451)</f>
        <v>Hexane</v>
      </c>
      <c r="P451" s="6" cm="1">
        <f t="array" aca="1" ref="P451" ca="1">INDEX(Tabl_B2_Fug!$O$61:$Y$71,K451,X_EMIS!L451)</f>
        <v>1.3041695520000002E-3</v>
      </c>
      <c r="Q451" cm="1">
        <f t="array" aca="1" ref="Q451" ca="1">INDEX(Tabl_B2_Fug!$D$61:$N$71,X_EMIS!K451,X_EMIS!L451)</f>
        <v>0.47528821720799996</v>
      </c>
    </row>
    <row r="452" spans="11:17">
      <c r="K452">
        <f t="shared" si="42"/>
        <v>2</v>
      </c>
      <c r="L452">
        <f t="shared" si="43"/>
        <v>10</v>
      </c>
      <c r="M452" t="str" cm="1">
        <f t="array" ref="M452">INDEX(Tabl_B2_Fug!$A$61:$A$71,X_EMIS!K452)</f>
        <v>Jail</v>
      </c>
      <c r="N452" t="str" cm="1">
        <f t="array" ref="N452">INDEX(Tabl_B2_Fug!$D$59:$N$59,X_EMIS!L452)</f>
        <v>1330-20-7</v>
      </c>
      <c r="O452" t="str" cm="1">
        <f t="array" ref="O452">INDEX(Tabl_B2_Fug!$D$60:$N$60,X_EMIS!L452)</f>
        <v>Xylene (mixture), including m-xylene, o-xylene, p-xylene</v>
      </c>
      <c r="P452" s="6" cm="1">
        <f t="array" aca="1" ref="P452" ca="1">INDEX(Tabl_B2_Fug!$O$61:$Y$71,K452,X_EMIS!L452)</f>
        <v>1.3155101568000002E-2</v>
      </c>
      <c r="Q452" cm="1">
        <f t="array" aca="1" ref="Q452" ca="1">INDEX(Tabl_B2_Fug!$D$61:$N$71,X_EMIS!K452,X_EMIS!L452)</f>
        <v>4.7942115822720002</v>
      </c>
    </row>
    <row r="453" spans="11:17">
      <c r="K453">
        <f t="shared" si="42"/>
        <v>2</v>
      </c>
      <c r="L453">
        <f t="shared" si="43"/>
        <v>11</v>
      </c>
      <c r="M453" t="str" cm="1">
        <f t="array" ref="M453">INDEX(Tabl_B2_Fug!$A$61:$A$71,X_EMIS!K453)</f>
        <v>Jail</v>
      </c>
      <c r="N453" t="str" cm="1">
        <f t="array" ref="N453">INDEX(Tabl_B2_Fug!$D$59:$N$59,X_EMIS!L453)</f>
        <v>7783-06-4</v>
      </c>
      <c r="O453" t="str" cm="1">
        <f t="array" ref="O453">INDEX(Tabl_B2_Fug!$D$60:$N$60,X_EMIS!L453)</f>
        <v>Hydrogen sulfide</v>
      </c>
      <c r="P453" s="6" cm="1">
        <f t="array" aca="1" ref="P453" ca="1">INDEX(Tabl_B2_Fug!$O$61:$Y$71,K453,X_EMIS!L453)</f>
        <v>6.4263427200000021E-4</v>
      </c>
      <c r="Q453" cm="1">
        <f t="array" aca="1" ref="Q453" ca="1">INDEX(Tabl_B2_Fug!$D$61:$N$71,X_EMIS!K453,X_EMIS!L453)</f>
        <v>0.23419999108800002</v>
      </c>
    </row>
    <row r="454" spans="11:17">
      <c r="K454">
        <f t="shared" si="42"/>
        <v>3</v>
      </c>
      <c r="L454">
        <f t="shared" si="43"/>
        <v>1</v>
      </c>
      <c r="M454" t="str" cm="1">
        <f t="array" ref="M454">INDEX(Tabl_B2_Fug!$A$61:$A$71,X_EMIS!K454)</f>
        <v>BO</v>
      </c>
      <c r="N454" t="str" cm="1">
        <f t="array" ref="N454">INDEX(Tabl_B2_Fug!$D$59:$N$59,X_EMIS!L454)</f>
        <v>91-57-6</v>
      </c>
      <c r="O454" t="str" cm="1">
        <f t="array" ref="O454">INDEX(Tabl_B2_Fug!$D$60:$N$60,X_EMIS!L454)</f>
        <v>2-Methyl naphthalene</v>
      </c>
      <c r="P454" s="6" cm="1">
        <f t="array" aca="1" ref="P454" ca="1">INDEX(Tabl_B2_Fug!$O$61:$Y$71,K454,X_EMIS!L454)</f>
        <v>7.0561645440000006E-3</v>
      </c>
      <c r="Q454" cm="1">
        <f t="array" aca="1" ref="Q454" ca="1">INDEX(Tabl_B2_Fug!$D$61:$N$71,X_EMIS!K454,X_EMIS!L454)</f>
        <v>2.5715305661760004</v>
      </c>
    </row>
    <row r="455" spans="11:17">
      <c r="K455">
        <f t="shared" si="42"/>
        <v>3</v>
      </c>
      <c r="L455">
        <f t="shared" si="43"/>
        <v>2</v>
      </c>
      <c r="M455" t="str" cm="1">
        <f t="array" ref="M455">INDEX(Tabl_B2_Fug!$A$61:$A$71,X_EMIS!K455)</f>
        <v>BO</v>
      </c>
      <c r="N455" t="str" cm="1">
        <f t="array" ref="N455">INDEX(Tabl_B2_Fug!$D$59:$N$59,X_EMIS!L455)</f>
        <v>91-20-3</v>
      </c>
      <c r="O455" t="str" cm="1">
        <f t="array" ref="O455">INDEX(Tabl_B2_Fug!$D$60:$N$60,X_EMIS!L455)</f>
        <v>Naphthalene</v>
      </c>
      <c r="P455" s="6" cm="1">
        <f t="array" aca="1" ref="P455" ca="1">INDEX(Tabl_B2_Fug!$O$61:$Y$71,K455,X_EMIS!L455)</f>
        <v>4.0955360640000001E-3</v>
      </c>
      <c r="Q455" cm="1">
        <f t="array" aca="1" ref="Q455" ca="1">INDEX(Tabl_B2_Fug!$D$61:$N$71,X_EMIS!K455,X_EMIS!L455)</f>
        <v>1.4925666922560001</v>
      </c>
    </row>
    <row r="456" spans="11:17">
      <c r="K456">
        <f t="shared" si="42"/>
        <v>3</v>
      </c>
      <c r="L456">
        <f t="shared" si="43"/>
        <v>3</v>
      </c>
      <c r="M456" t="str" cm="1">
        <f t="array" ref="M456">INDEX(Tabl_B2_Fug!$A$61:$A$71,X_EMIS!K456)</f>
        <v>BO</v>
      </c>
      <c r="N456" t="str" cm="1">
        <f t="array" ref="N456">INDEX(Tabl_B2_Fug!$D$59:$N$59,X_EMIS!L456)</f>
        <v>108-95-2</v>
      </c>
      <c r="O456" t="str" cm="1">
        <f t="array" ref="O456">INDEX(Tabl_B2_Fug!$D$60:$N$60,X_EMIS!L456)</f>
        <v>Phenol</v>
      </c>
      <c r="P456" s="6" cm="1">
        <f t="array" aca="1" ref="P456" ca="1">INDEX(Tabl_B2_Fug!$O$61:$Y$71,K456,X_EMIS!L456)</f>
        <v>8.6104944960000007E-5</v>
      </c>
      <c r="Q456" cm="1">
        <f t="array" aca="1" ref="Q456" ca="1">INDEX(Tabl_B2_Fug!$D$61:$N$71,X_EMIS!K456,X_EMIS!L456)</f>
        <v>3.1379865999840002E-2</v>
      </c>
    </row>
    <row r="457" spans="11:17">
      <c r="K457">
        <f t="shared" si="42"/>
        <v>3</v>
      </c>
      <c r="L457">
        <f t="shared" si="43"/>
        <v>4</v>
      </c>
      <c r="M457" t="str" cm="1">
        <f t="array" ref="M457">INDEX(Tabl_B2_Fug!$A$61:$A$71,X_EMIS!K457)</f>
        <v>BO</v>
      </c>
      <c r="N457" t="str" cm="1">
        <f t="array" ref="N457">INDEX(Tabl_B2_Fug!$D$59:$N$59,X_EMIS!L457)</f>
        <v>1319-77-3</v>
      </c>
      <c r="O457" t="str" cm="1">
        <f t="array" ref="O457">INDEX(Tabl_B2_Fug!$D$60:$N$60,X_EMIS!L457)</f>
        <v>Cresols (mixture), including m-cresol, o-cresol, p-cresol</v>
      </c>
      <c r="P457" s="6" cm="1">
        <f t="array" aca="1" ref="P457" ca="1">INDEX(Tabl_B2_Fug!$O$61:$Y$71,K457,X_EMIS!L457)</f>
        <v>3.2073475199999999E-5</v>
      </c>
      <c r="Q457" cm="1">
        <f t="array" aca="1" ref="Q457" ca="1">INDEX(Tabl_B2_Fug!$D$61:$N$71,X_EMIS!K457,X_EMIS!L457)</f>
        <v>1.16887753008E-2</v>
      </c>
    </row>
    <row r="458" spans="11:17">
      <c r="K458">
        <f t="shared" si="42"/>
        <v>3</v>
      </c>
      <c r="L458">
        <f t="shared" si="43"/>
        <v>5</v>
      </c>
      <c r="M458" t="str" cm="1">
        <f t="array" ref="M458">INDEX(Tabl_B2_Fug!$A$61:$A$71,X_EMIS!K458)</f>
        <v>BO</v>
      </c>
      <c r="N458" t="str" cm="1">
        <f t="array" ref="N458">INDEX(Tabl_B2_Fug!$D$59:$N$59,X_EMIS!L458)</f>
        <v>71-43-2</v>
      </c>
      <c r="O458" t="str" cm="1">
        <f t="array" ref="O458">INDEX(Tabl_B2_Fug!$D$60:$N$60,X_EMIS!L458)</f>
        <v>Benzene</v>
      </c>
      <c r="P458" s="6" cm="1">
        <f t="array" aca="1" ref="P458" ca="1">INDEX(Tabl_B2_Fug!$O$61:$Y$71,K458,X_EMIS!L458)</f>
        <v>5.7238817280000007E-4</v>
      </c>
      <c r="Q458" cm="1">
        <f t="array" aca="1" ref="Q458" ca="1">INDEX(Tabl_B2_Fug!$D$61:$N$71,X_EMIS!K458,X_EMIS!L458)</f>
        <v>0.20859968229120002</v>
      </c>
    </row>
    <row r="459" spans="11:17">
      <c r="K459">
        <f t="shared" si="42"/>
        <v>3</v>
      </c>
      <c r="L459">
        <f t="shared" si="43"/>
        <v>6</v>
      </c>
      <c r="M459" t="str" cm="1">
        <f t="array" ref="M459">INDEX(Tabl_B2_Fug!$A$61:$A$71,X_EMIS!K459)</f>
        <v>BO</v>
      </c>
      <c r="N459" t="str" cm="1">
        <f t="array" ref="N459">INDEX(Tabl_B2_Fug!$D$59:$N$59,X_EMIS!L459)</f>
        <v>100-41-4</v>
      </c>
      <c r="O459" t="str" cm="1">
        <f t="array" ref="O459">INDEX(Tabl_B2_Fug!$D$60:$N$60,X_EMIS!L459)</f>
        <v>Ethyl benzene</v>
      </c>
      <c r="P459" s="6" cm="1">
        <f t="array" aca="1" ref="P459" ca="1">INDEX(Tabl_B2_Fug!$O$61:$Y$71,K459,X_EMIS!L459)</f>
        <v>1.4531751456000001E-3</v>
      </c>
      <c r="Q459" cm="1">
        <f t="array" aca="1" ref="Q459" ca="1">INDEX(Tabl_B2_Fug!$D$61:$N$71,X_EMIS!K459,X_EMIS!L459)</f>
        <v>0.52959143478240001</v>
      </c>
    </row>
    <row r="460" spans="11:17">
      <c r="K460">
        <f t="shared" si="42"/>
        <v>3</v>
      </c>
      <c r="L460">
        <f t="shared" si="43"/>
        <v>7</v>
      </c>
      <c r="M460" t="str" cm="1">
        <f t="array" ref="M460">INDEX(Tabl_B2_Fug!$A$61:$A$71,X_EMIS!K460)</f>
        <v>BO</v>
      </c>
      <c r="N460" t="str" cm="1">
        <f t="array" ref="N460">INDEX(Tabl_B2_Fug!$D$59:$N$59,X_EMIS!L460)</f>
        <v>98-82-8</v>
      </c>
      <c r="O460" t="str" cm="1">
        <f t="array" ref="O460">INDEX(Tabl_B2_Fug!$D$60:$N$60,X_EMIS!L460)</f>
        <v>Isopropylbenzene (Cumene)</v>
      </c>
      <c r="P460" s="6" cm="1">
        <f t="array" aca="1" ref="P460" ca="1">INDEX(Tabl_B2_Fug!$O$61:$Y$71,K460,X_EMIS!L460)</f>
        <v>3.009972288E-4</v>
      </c>
      <c r="Q460" cm="1">
        <f t="array" aca="1" ref="Q460" ca="1">INDEX(Tabl_B2_Fug!$D$61:$N$71,X_EMIS!K460,X_EMIS!L460)</f>
        <v>0.10969466051520001</v>
      </c>
    </row>
    <row r="461" spans="11:17">
      <c r="K461">
        <f t="shared" si="42"/>
        <v>3</v>
      </c>
      <c r="L461">
        <f t="shared" si="43"/>
        <v>8</v>
      </c>
      <c r="M461" t="str" cm="1">
        <f t="array" ref="M461">INDEX(Tabl_B2_Fug!$A$61:$A$71,X_EMIS!K461)</f>
        <v>BO</v>
      </c>
      <c r="N461" t="str" cm="1">
        <f t="array" ref="N461">INDEX(Tabl_B2_Fug!$D$59:$N$59,X_EMIS!L461)</f>
        <v>108-88-3</v>
      </c>
      <c r="O461" t="str" cm="1">
        <f t="array" ref="O461">INDEX(Tabl_B2_Fug!$D$60:$N$60,X_EMIS!L461)</f>
        <v>Toluene</v>
      </c>
      <c r="P461" s="6" cm="1">
        <f t="array" aca="1" ref="P461" ca="1">INDEX(Tabl_B2_Fug!$O$61:$Y$71,K461,X_EMIS!L461)</f>
        <v>5.1564279360000005E-3</v>
      </c>
      <c r="Q461" cm="1">
        <f t="array" aca="1" ref="Q461" ca="1">INDEX(Tabl_B2_Fug!$D$61:$N$71,X_EMIS!K461,X_EMIS!L461)</f>
        <v>1.8791954137439999</v>
      </c>
    </row>
    <row r="462" spans="11:17">
      <c r="K462">
        <f t="shared" si="42"/>
        <v>3</v>
      </c>
      <c r="L462">
        <f t="shared" si="43"/>
        <v>9</v>
      </c>
      <c r="M462" t="str" cm="1">
        <f t="array" ref="M462">INDEX(Tabl_B2_Fug!$A$61:$A$71,X_EMIS!K462)</f>
        <v>BO</v>
      </c>
      <c r="N462" t="str" cm="1">
        <f t="array" ref="N462">INDEX(Tabl_B2_Fug!$D$59:$N$59,X_EMIS!L462)</f>
        <v>110-54-3</v>
      </c>
      <c r="O462" t="str" cm="1">
        <f t="array" ref="O462">INDEX(Tabl_B2_Fug!$D$60:$N$60,X_EMIS!L462)</f>
        <v>Hexane</v>
      </c>
      <c r="P462" s="6" cm="1">
        <f t="array" aca="1" ref="P462" ca="1">INDEX(Tabl_B2_Fug!$O$61:$Y$71,K462,X_EMIS!L462)</f>
        <v>8.5118068800000006E-4</v>
      </c>
      <c r="Q462" cm="1">
        <f t="array" aca="1" ref="Q462" ca="1">INDEX(Tabl_B2_Fug!$D$61:$N$71,X_EMIS!K462,X_EMIS!L462)</f>
        <v>0.31020211375200002</v>
      </c>
    </row>
    <row r="463" spans="11:17">
      <c r="K463">
        <f t="shared" si="42"/>
        <v>3</v>
      </c>
      <c r="L463">
        <f t="shared" si="43"/>
        <v>10</v>
      </c>
      <c r="M463" t="str" cm="1">
        <f t="array" ref="M463">INDEX(Tabl_B2_Fug!$A$61:$A$71,X_EMIS!K463)</f>
        <v>BO</v>
      </c>
      <c r="N463" t="str" cm="1">
        <f t="array" ref="N463">INDEX(Tabl_B2_Fug!$D$59:$N$59,X_EMIS!L463)</f>
        <v>1330-20-7</v>
      </c>
      <c r="O463" t="str" cm="1">
        <f t="array" ref="O463">INDEX(Tabl_B2_Fug!$D$60:$N$60,X_EMIS!L463)</f>
        <v>Xylene (mixture), including m-xylene, o-xylene, p-xylene</v>
      </c>
      <c r="P463" s="6" cm="1">
        <f t="array" aca="1" ref="P463" ca="1">INDEX(Tabl_B2_Fug!$O$61:$Y$71,K463,X_EMIS!L463)</f>
        <v>8.585822592000001E-3</v>
      </c>
      <c r="Q463" cm="1">
        <f t="array" aca="1" ref="Q463" ca="1">INDEX(Tabl_B2_Fug!$D$61:$N$71,X_EMIS!K463,X_EMIS!L463)</f>
        <v>3.1289952343680003</v>
      </c>
    </row>
    <row r="464" spans="11:17">
      <c r="K464">
        <f t="shared" si="42"/>
        <v>3</v>
      </c>
      <c r="L464">
        <f t="shared" si="43"/>
        <v>11</v>
      </c>
      <c r="M464" t="str" cm="1">
        <f t="array" ref="M464">INDEX(Tabl_B2_Fug!$A$61:$A$71,X_EMIS!K464)</f>
        <v>BO</v>
      </c>
      <c r="N464" t="str" cm="1">
        <f t="array" ref="N464">INDEX(Tabl_B2_Fug!$D$59:$N$59,X_EMIS!L464)</f>
        <v>7783-06-4</v>
      </c>
      <c r="O464" t="str" cm="1">
        <f t="array" ref="O464">INDEX(Tabl_B2_Fug!$D$60:$N$60,X_EMIS!L464)</f>
        <v>Hydrogen sulfide</v>
      </c>
      <c r="P464" s="6" cm="1">
        <f t="array" aca="1" ref="P464" ca="1">INDEX(Tabl_B2_Fug!$O$61:$Y$71,K464,X_EMIS!L464)</f>
        <v>4.1942236800000007E-4</v>
      </c>
      <c r="Q464" cm="1">
        <f t="array" aca="1" ref="Q464" ca="1">INDEX(Tabl_B2_Fug!$D$61:$N$71,X_EMIS!K464,X_EMIS!L464)</f>
        <v>0.15285321547200001</v>
      </c>
    </row>
    <row r="465" spans="11:17">
      <c r="K465">
        <f t="shared" si="42"/>
        <v>4</v>
      </c>
      <c r="L465">
        <f t="shared" si="43"/>
        <v>1</v>
      </c>
      <c r="M465" t="str" cm="1">
        <f t="array" ref="M465">INDEX(Tabl_B2_Fug!$A$61:$A$71,X_EMIS!K465)</f>
        <v>UO</v>
      </c>
      <c r="N465" t="str" cm="1">
        <f t="array" ref="N465">INDEX(Tabl_B2_Fug!$D$59:$N$59,X_EMIS!L465)</f>
        <v>91-57-6</v>
      </c>
      <c r="O465" t="str" cm="1">
        <f t="array" ref="O465">INDEX(Tabl_B2_Fug!$D$60:$N$60,X_EMIS!L465)</f>
        <v>2-Methyl naphthalene</v>
      </c>
      <c r="P465" s="6" cm="1">
        <f t="array" aca="1" ref="P465" ca="1">INDEX(Tabl_B2_Fug!$O$61:$Y$71,K465,X_EMIS!L465)</f>
        <v>2.5892792640000006E-3</v>
      </c>
      <c r="Q465" cm="1">
        <f t="array" aca="1" ref="Q465" ca="1">INDEX(Tabl_B2_Fug!$D$61:$N$71,X_EMIS!K465,X_EMIS!L465)</f>
        <v>0.94363031505600015</v>
      </c>
    </row>
    <row r="466" spans="11:17">
      <c r="K466">
        <f t="shared" si="42"/>
        <v>4</v>
      </c>
      <c r="L466">
        <f t="shared" si="43"/>
        <v>2</v>
      </c>
      <c r="M466" t="str" cm="1">
        <f t="array" ref="M466">INDEX(Tabl_B2_Fug!$A$61:$A$71,X_EMIS!K466)</f>
        <v>UO</v>
      </c>
      <c r="N466" t="str" cm="1">
        <f t="array" ref="N466">INDEX(Tabl_B2_Fug!$D$59:$N$59,X_EMIS!L466)</f>
        <v>91-20-3</v>
      </c>
      <c r="O466" t="str" cm="1">
        <f t="array" ref="O466">INDEX(Tabl_B2_Fug!$D$60:$N$60,X_EMIS!L466)</f>
        <v>Naphthalene</v>
      </c>
      <c r="P466" s="6" cm="1">
        <f t="array" aca="1" ref="P466" ca="1">INDEX(Tabl_B2_Fug!$O$61:$Y$71,K466,X_EMIS!L466)</f>
        <v>1.5028683840000003E-3</v>
      </c>
      <c r="Q466" cm="1">
        <f t="array" aca="1" ref="Q466" ca="1">INDEX(Tabl_B2_Fug!$D$61:$N$71,X_EMIS!K466,X_EMIS!L466)</f>
        <v>0.54770151153600011</v>
      </c>
    </row>
    <row r="467" spans="11:17">
      <c r="K467">
        <f t="shared" si="42"/>
        <v>4</v>
      </c>
      <c r="L467">
        <f t="shared" si="43"/>
        <v>3</v>
      </c>
      <c r="M467" t="str" cm="1">
        <f t="array" ref="M467">INDEX(Tabl_B2_Fug!$A$61:$A$71,X_EMIS!K467)</f>
        <v>UO</v>
      </c>
      <c r="N467" t="str" cm="1">
        <f t="array" ref="N467">INDEX(Tabl_B2_Fug!$D$59:$N$59,X_EMIS!L467)</f>
        <v>108-95-2</v>
      </c>
      <c r="O467" t="str" cm="1">
        <f t="array" ref="O467">INDEX(Tabl_B2_Fug!$D$60:$N$60,X_EMIS!L467)</f>
        <v>Phenol</v>
      </c>
      <c r="P467" s="6" cm="1">
        <f t="array" aca="1" ref="P467" ca="1">INDEX(Tabl_B2_Fug!$O$61:$Y$71,K467,X_EMIS!L467)</f>
        <v>3.1596449760000002E-5</v>
      </c>
      <c r="Q467" cm="1">
        <f t="array" aca="1" ref="Q467" ca="1">INDEX(Tabl_B2_Fug!$D$61:$N$71,X_EMIS!K467,X_EMIS!L467)</f>
        <v>1.1514929369040002E-2</v>
      </c>
    </row>
    <row r="468" spans="11:17">
      <c r="K468">
        <f t="shared" si="42"/>
        <v>4</v>
      </c>
      <c r="L468">
        <f t="shared" si="43"/>
        <v>4</v>
      </c>
      <c r="M468" t="str" cm="1">
        <f t="array" ref="M468">INDEX(Tabl_B2_Fug!$A$61:$A$71,X_EMIS!K468)</f>
        <v>UO</v>
      </c>
      <c r="N468" t="str" cm="1">
        <f t="array" ref="N468">INDEX(Tabl_B2_Fug!$D$59:$N$59,X_EMIS!L468)</f>
        <v>1319-77-3</v>
      </c>
      <c r="O468" t="str" cm="1">
        <f t="array" ref="O468">INDEX(Tabl_B2_Fug!$D$60:$N$60,X_EMIS!L468)</f>
        <v>Cresols (mixture), including m-cresol, o-cresol, p-cresol</v>
      </c>
      <c r="P468" s="6" cm="1">
        <f t="array" aca="1" ref="P468" ca="1">INDEX(Tabl_B2_Fug!$O$61:$Y$71,K468,X_EMIS!L468)</f>
        <v>1.1769451200000001E-5</v>
      </c>
      <c r="Q468" cm="1">
        <f t="array" aca="1" ref="Q468" ca="1">INDEX(Tabl_B2_Fug!$D$61:$N$71,X_EMIS!K468,X_EMIS!L468)</f>
        <v>4.2892287048000004E-3</v>
      </c>
    </row>
    <row r="469" spans="11:17">
      <c r="K469">
        <f t="shared" si="42"/>
        <v>4</v>
      </c>
      <c r="L469">
        <f t="shared" si="43"/>
        <v>5</v>
      </c>
      <c r="M469" t="str" cm="1">
        <f t="array" ref="M469">INDEX(Tabl_B2_Fug!$A$61:$A$71,X_EMIS!K469)</f>
        <v>UO</v>
      </c>
      <c r="N469" t="str" cm="1">
        <f t="array" ref="N469">INDEX(Tabl_B2_Fug!$D$59:$N$59,X_EMIS!L469)</f>
        <v>71-43-2</v>
      </c>
      <c r="O469" t="str" cm="1">
        <f t="array" ref="O469">INDEX(Tabl_B2_Fug!$D$60:$N$60,X_EMIS!L469)</f>
        <v>Benzene</v>
      </c>
      <c r="P469" s="6" cm="1">
        <f t="array" aca="1" ref="P469" ca="1">INDEX(Tabl_B2_Fug!$O$61:$Y$71,K469,X_EMIS!L469)</f>
        <v>2.1003943680000003E-4</v>
      </c>
      <c r="Q469" cm="1">
        <f t="array" aca="1" ref="Q469" ca="1">INDEX(Tabl_B2_Fug!$D$61:$N$71,X_EMIS!K469,X_EMIS!L469)</f>
        <v>7.6546235347200009E-2</v>
      </c>
    </row>
    <row r="470" spans="11:17">
      <c r="K470">
        <f t="shared" si="42"/>
        <v>4</v>
      </c>
      <c r="L470">
        <f t="shared" si="43"/>
        <v>6</v>
      </c>
      <c r="M470" t="str" cm="1">
        <f t="array" ref="M470">INDEX(Tabl_B2_Fug!$A$61:$A$71,X_EMIS!K470)</f>
        <v>UO</v>
      </c>
      <c r="N470" t="str" cm="1">
        <f t="array" ref="N470">INDEX(Tabl_B2_Fug!$D$59:$N$59,X_EMIS!L470)</f>
        <v>100-41-4</v>
      </c>
      <c r="O470" t="str" cm="1">
        <f t="array" ref="O470">INDEX(Tabl_B2_Fug!$D$60:$N$60,X_EMIS!L470)</f>
        <v>Ethyl benzene</v>
      </c>
      <c r="P470" s="6" cm="1">
        <f t="array" aca="1" ref="P470" ca="1">INDEX(Tabl_B2_Fug!$O$61:$Y$71,K470,X_EMIS!L470)</f>
        <v>5.3324667360000002E-4</v>
      </c>
      <c r="Q470" cm="1">
        <f t="array" aca="1" ref="Q470" ca="1">INDEX(Tabl_B2_Fug!$D$61:$N$71,X_EMIS!K470,X_EMIS!L470)</f>
        <v>0.19433505439440002</v>
      </c>
    </row>
    <row r="471" spans="11:17">
      <c r="K471">
        <f t="shared" si="42"/>
        <v>4</v>
      </c>
      <c r="L471">
        <f t="shared" si="43"/>
        <v>7</v>
      </c>
      <c r="M471" t="str" cm="1">
        <f t="array" ref="M471">INDEX(Tabl_B2_Fug!$A$61:$A$71,X_EMIS!K471)</f>
        <v>UO</v>
      </c>
      <c r="N471" t="str" cm="1">
        <f t="array" ref="N471">INDEX(Tabl_B2_Fug!$D$59:$N$59,X_EMIS!L471)</f>
        <v>98-82-8</v>
      </c>
      <c r="O471" t="str" cm="1">
        <f t="array" ref="O471">INDEX(Tabl_B2_Fug!$D$60:$N$60,X_EMIS!L471)</f>
        <v>Isopropylbenzene (Cumene)</v>
      </c>
      <c r="P471" s="6" cm="1">
        <f t="array" aca="1" ref="P471" ca="1">INDEX(Tabl_B2_Fug!$O$61:$Y$71,K471,X_EMIS!L471)</f>
        <v>1.1045177280000001E-4</v>
      </c>
      <c r="Q471" cm="1">
        <f t="array" aca="1" ref="Q471" ca="1">INDEX(Tabl_B2_Fug!$D$61:$N$71,X_EMIS!K471,X_EMIS!L471)</f>
        <v>4.0252761691200005E-2</v>
      </c>
    </row>
    <row r="472" spans="11:17">
      <c r="K472">
        <f t="shared" si="42"/>
        <v>4</v>
      </c>
      <c r="L472">
        <f t="shared" si="43"/>
        <v>8</v>
      </c>
      <c r="M472" t="str" cm="1">
        <f t="array" ref="M472">INDEX(Tabl_B2_Fug!$A$61:$A$71,X_EMIS!K472)</f>
        <v>UO</v>
      </c>
      <c r="N472" t="str" cm="1">
        <f t="array" ref="N472">INDEX(Tabl_B2_Fug!$D$59:$N$59,X_EMIS!L472)</f>
        <v>108-88-3</v>
      </c>
      <c r="O472" t="str" cm="1">
        <f t="array" ref="O472">INDEX(Tabl_B2_Fug!$D$60:$N$60,X_EMIS!L472)</f>
        <v>Toluene</v>
      </c>
      <c r="P472" s="6" cm="1">
        <f t="array" aca="1" ref="P472" ca="1">INDEX(Tabl_B2_Fug!$O$61:$Y$71,K472,X_EMIS!L472)</f>
        <v>1.892165616E-3</v>
      </c>
      <c r="Q472" cm="1">
        <f t="array" aca="1" ref="Q472" ca="1">INDEX(Tabl_B2_Fug!$D$61:$N$71,X_EMIS!K472,X_EMIS!L472)</f>
        <v>0.68957599946400006</v>
      </c>
    </row>
    <row r="473" spans="11:17">
      <c r="K473">
        <f t="shared" si="42"/>
        <v>4</v>
      </c>
      <c r="L473">
        <f t="shared" si="43"/>
        <v>9</v>
      </c>
      <c r="M473" t="str" cm="1">
        <f t="array" ref="M473">INDEX(Tabl_B2_Fug!$A$61:$A$71,X_EMIS!K473)</f>
        <v>UO</v>
      </c>
      <c r="N473" t="str" cm="1">
        <f t="array" ref="N473">INDEX(Tabl_B2_Fug!$D$59:$N$59,X_EMIS!L473)</f>
        <v>110-54-3</v>
      </c>
      <c r="O473" t="str" cm="1">
        <f t="array" ref="O473">INDEX(Tabl_B2_Fug!$D$60:$N$60,X_EMIS!L473)</f>
        <v>Hexane</v>
      </c>
      <c r="P473" s="6" cm="1">
        <f t="array" aca="1" ref="P473" ca="1">INDEX(Tabl_B2_Fug!$O$61:$Y$71,K473,X_EMIS!L473)</f>
        <v>3.12343128E-4</v>
      </c>
      <c r="Q473" cm="1">
        <f t="array" aca="1" ref="Q473" ca="1">INDEX(Tabl_B2_Fug!$D$61:$N$71,X_EMIS!K473,X_EMIS!L473)</f>
        <v>0.11382953101200001</v>
      </c>
    </row>
    <row r="474" spans="11:17">
      <c r="K474">
        <f t="shared" si="42"/>
        <v>4</v>
      </c>
      <c r="L474">
        <f t="shared" si="43"/>
        <v>10</v>
      </c>
      <c r="M474" t="str" cm="1">
        <f t="array" ref="M474">INDEX(Tabl_B2_Fug!$A$61:$A$71,X_EMIS!K474)</f>
        <v>UO</v>
      </c>
      <c r="N474" t="str" cm="1">
        <f t="array" ref="N474">INDEX(Tabl_B2_Fug!$D$59:$N$59,X_EMIS!L474)</f>
        <v>1330-20-7</v>
      </c>
      <c r="O474" t="str" cm="1">
        <f t="array" ref="O474">INDEX(Tabl_B2_Fug!$D$60:$N$60,X_EMIS!L474)</f>
        <v>Xylene (mixture), including m-xylene, o-xylene, p-xylene</v>
      </c>
      <c r="P474" s="6" cm="1">
        <f t="array" aca="1" ref="P474" ca="1">INDEX(Tabl_B2_Fug!$O$61:$Y$71,K474,X_EMIS!L474)</f>
        <v>3.1505915520000003E-3</v>
      </c>
      <c r="Q474" cm="1">
        <f t="array" aca="1" ref="Q474" ca="1">INDEX(Tabl_B2_Fug!$D$61:$N$71,X_EMIS!K474,X_EMIS!L474)</f>
        <v>1.1481935302080002</v>
      </c>
    </row>
    <row r="475" spans="11:17">
      <c r="K475">
        <f t="shared" si="42"/>
        <v>4</v>
      </c>
      <c r="L475">
        <f t="shared" si="43"/>
        <v>11</v>
      </c>
      <c r="M475" t="str" cm="1">
        <f t="array" ref="M475">INDEX(Tabl_B2_Fug!$A$61:$A$71,X_EMIS!K475)</f>
        <v>UO</v>
      </c>
      <c r="N475" t="str" cm="1">
        <f t="array" ref="N475">INDEX(Tabl_B2_Fug!$D$59:$N$59,X_EMIS!L475)</f>
        <v>7783-06-4</v>
      </c>
      <c r="O475" t="str" cm="1">
        <f t="array" ref="O475">INDEX(Tabl_B2_Fug!$D$60:$N$60,X_EMIS!L475)</f>
        <v>Hydrogen sulfide</v>
      </c>
      <c r="P475" s="6" cm="1">
        <f t="array" aca="1" ref="P475" ca="1">INDEX(Tabl_B2_Fug!$O$61:$Y$71,K475,X_EMIS!L475)</f>
        <v>1.5390820800000003E-4</v>
      </c>
      <c r="Q475" cm="1">
        <f t="array" aca="1" ref="Q475" ca="1">INDEX(Tabl_B2_Fug!$D$61:$N$71,X_EMIS!K475,X_EMIS!L475)</f>
        <v>5.6089913832000009E-2</v>
      </c>
    </row>
    <row r="476" spans="11:17">
      <c r="K476">
        <f t="shared" si="42"/>
        <v>5</v>
      </c>
      <c r="L476">
        <f t="shared" si="43"/>
        <v>1</v>
      </c>
      <c r="M476" t="str" cm="1">
        <f t="array" ref="M476">INDEX(Tabl_B2_Fug!$A$61:$A$71,X_EMIS!K476)</f>
        <v>IT</v>
      </c>
      <c r="N476" t="str" cm="1">
        <f t="array" ref="N476">INDEX(Tabl_B2_Fug!$D$59:$N$59,X_EMIS!L476)</f>
        <v>91-57-6</v>
      </c>
      <c r="O476" t="str" cm="1">
        <f t="array" ref="O476">INDEX(Tabl_B2_Fug!$D$60:$N$60,X_EMIS!L476)</f>
        <v>2-Methyl naphthalene</v>
      </c>
      <c r="P476" s="6" cm="1">
        <f t="array" aca="1" ref="P476" ca="1">INDEX(Tabl_B2_Fug!$O$61:$Y$71,K476,X_EMIS!L476)</f>
        <v>1.2234723072000003E-2</v>
      </c>
      <c r="Q476" cm="1">
        <f t="array" aca="1" ref="Q476" ca="1">INDEX(Tabl_B2_Fug!$D$61:$N$71,X_EMIS!K476,X_EMIS!L476)</f>
        <v>4.4587911962880007</v>
      </c>
    </row>
    <row r="477" spans="11:17">
      <c r="K477">
        <f t="shared" si="42"/>
        <v>5</v>
      </c>
      <c r="L477">
        <f t="shared" si="43"/>
        <v>2</v>
      </c>
      <c r="M477" t="str" cm="1">
        <f t="array" ref="M477">INDEX(Tabl_B2_Fug!$A$61:$A$71,X_EMIS!K477)</f>
        <v>IT</v>
      </c>
      <c r="N477" t="str" cm="1">
        <f t="array" ref="N477">INDEX(Tabl_B2_Fug!$D$59:$N$59,X_EMIS!L477)</f>
        <v>91-20-3</v>
      </c>
      <c r="O477" t="str" cm="1">
        <f t="array" ref="O477">INDEX(Tabl_B2_Fug!$D$60:$N$60,X_EMIS!L477)</f>
        <v>Naphthalene</v>
      </c>
      <c r="P477" s="6" cm="1">
        <f t="array" aca="1" ref="P477" ca="1">INDEX(Tabl_B2_Fug!$O$61:$Y$71,K477,X_EMIS!L477)</f>
        <v>7.1012728320000006E-3</v>
      </c>
      <c r="Q477" cm="1">
        <f t="array" aca="1" ref="Q477" ca="1">INDEX(Tabl_B2_Fug!$D$61:$N$71,X_EMIS!K477,X_EMIS!L477)</f>
        <v>2.5879697153280006</v>
      </c>
    </row>
    <row r="478" spans="11:17">
      <c r="K478">
        <f t="shared" si="42"/>
        <v>5</v>
      </c>
      <c r="L478">
        <f t="shared" si="43"/>
        <v>3</v>
      </c>
      <c r="M478" t="str" cm="1">
        <f t="array" ref="M478">INDEX(Tabl_B2_Fug!$A$61:$A$71,X_EMIS!K478)</f>
        <v>IT</v>
      </c>
      <c r="N478" t="str" cm="1">
        <f t="array" ref="N478">INDEX(Tabl_B2_Fug!$D$59:$N$59,X_EMIS!L478)</f>
        <v>108-95-2</v>
      </c>
      <c r="O478" t="str" cm="1">
        <f t="array" ref="O478">INDEX(Tabl_B2_Fug!$D$60:$N$60,X_EMIS!L478)</f>
        <v>Phenol</v>
      </c>
      <c r="P478" s="6" cm="1">
        <f t="array" aca="1" ref="P478" ca="1">INDEX(Tabl_B2_Fug!$O$61:$Y$71,K478,X_EMIS!L478)</f>
        <v>1.4929784448000001E-4</v>
      </c>
      <c r="Q478" cm="1">
        <f t="array" aca="1" ref="Q478" ca="1">INDEX(Tabl_B2_Fug!$D$61:$N$71,X_EMIS!K478,X_EMIS!L478)</f>
        <v>5.4409724737920009E-2</v>
      </c>
    </row>
    <row r="479" spans="11:17">
      <c r="K479">
        <f t="shared" si="42"/>
        <v>5</v>
      </c>
      <c r="L479">
        <f t="shared" si="43"/>
        <v>4</v>
      </c>
      <c r="M479" t="str" cm="1">
        <f t="array" ref="M479">INDEX(Tabl_B2_Fug!$A$61:$A$71,X_EMIS!K479)</f>
        <v>IT</v>
      </c>
      <c r="N479" t="str" cm="1">
        <f t="array" ref="N479">INDEX(Tabl_B2_Fug!$D$59:$N$59,X_EMIS!L479)</f>
        <v>1319-77-3</v>
      </c>
      <c r="O479" t="str" cm="1">
        <f t="array" ref="O479">INDEX(Tabl_B2_Fug!$D$60:$N$60,X_EMIS!L479)</f>
        <v>Cresols (mixture), including m-cresol, o-cresol, p-cresol</v>
      </c>
      <c r="P479" s="6" cm="1">
        <f t="array" aca="1" ref="P479" ca="1">INDEX(Tabl_B2_Fug!$O$61:$Y$71,K479,X_EMIS!L479)</f>
        <v>5.5612377600000003E-5</v>
      </c>
      <c r="Q479" cm="1">
        <f t="array" aca="1" ref="Q479" ca="1">INDEX(Tabl_B2_Fug!$D$61:$N$71,X_EMIS!K479,X_EMIS!L479)</f>
        <v>2.0267232710400002E-2</v>
      </c>
    </row>
    <row r="480" spans="11:17">
      <c r="K480">
        <f t="shared" si="42"/>
        <v>5</v>
      </c>
      <c r="L480">
        <f t="shared" si="43"/>
        <v>5</v>
      </c>
      <c r="M480" t="str" cm="1">
        <f t="array" ref="M480">INDEX(Tabl_B2_Fug!$A$61:$A$71,X_EMIS!K480)</f>
        <v>IT</v>
      </c>
      <c r="N480" t="str" cm="1">
        <f t="array" ref="N480">INDEX(Tabl_B2_Fug!$D$59:$N$59,X_EMIS!L480)</f>
        <v>71-43-2</v>
      </c>
      <c r="O480" t="str" cm="1">
        <f t="array" ref="O480">INDEX(Tabl_B2_Fug!$D$60:$N$60,X_EMIS!L480)</f>
        <v>Benzene</v>
      </c>
      <c r="P480" s="6" cm="1">
        <f t="array" aca="1" ref="P480" ca="1">INDEX(Tabl_B2_Fug!$O$61:$Y$71,K480,X_EMIS!L480)</f>
        <v>9.9246704640000008E-4</v>
      </c>
      <c r="Q480" cm="1">
        <f t="array" aca="1" ref="Q480" ca="1">INDEX(Tabl_B2_Fug!$D$61:$N$71,X_EMIS!K480,X_EMIS!L480)</f>
        <v>0.36169215298560004</v>
      </c>
    </row>
    <row r="481" spans="11:17">
      <c r="K481">
        <f t="shared" si="42"/>
        <v>5</v>
      </c>
      <c r="L481">
        <f t="shared" si="43"/>
        <v>6</v>
      </c>
      <c r="M481" t="str" cm="1">
        <f t="array" ref="M481">INDEX(Tabl_B2_Fug!$A$61:$A$71,X_EMIS!K481)</f>
        <v>IT</v>
      </c>
      <c r="N481" t="str" cm="1">
        <f t="array" ref="N481">INDEX(Tabl_B2_Fug!$D$59:$N$59,X_EMIS!L481)</f>
        <v>100-41-4</v>
      </c>
      <c r="O481" t="str" cm="1">
        <f t="array" ref="O481">INDEX(Tabl_B2_Fug!$D$60:$N$60,X_EMIS!L481)</f>
        <v>Ethyl benzene</v>
      </c>
      <c r="P481" s="6" cm="1">
        <f t="array" aca="1" ref="P481" ca="1">INDEX(Tabl_B2_Fug!$O$61:$Y$71,K481,X_EMIS!L481)</f>
        <v>2.5196684928000001E-3</v>
      </c>
      <c r="Q481" cm="1">
        <f t="array" aca="1" ref="Q481" ca="1">INDEX(Tabl_B2_Fug!$D$61:$N$71,X_EMIS!K481,X_EMIS!L481)</f>
        <v>0.91826154357120016</v>
      </c>
    </row>
    <row r="482" spans="11:17">
      <c r="K482">
        <f t="shared" si="42"/>
        <v>5</v>
      </c>
      <c r="L482">
        <f t="shared" si="43"/>
        <v>7</v>
      </c>
      <c r="M482" t="str" cm="1">
        <f t="array" ref="M482">INDEX(Tabl_B2_Fug!$A$61:$A$71,X_EMIS!K482)</f>
        <v>IT</v>
      </c>
      <c r="N482" t="str" cm="1">
        <f t="array" ref="N482">INDEX(Tabl_B2_Fug!$D$59:$N$59,X_EMIS!L482)</f>
        <v>98-82-8</v>
      </c>
      <c r="O482" t="str" cm="1">
        <f t="array" ref="O482">INDEX(Tabl_B2_Fug!$D$60:$N$60,X_EMIS!L482)</f>
        <v>Isopropylbenzene (Cumene)</v>
      </c>
      <c r="P482" s="6" cm="1">
        <f t="array" aca="1" ref="P482" ca="1">INDEX(Tabl_B2_Fug!$O$61:$Y$71,K482,X_EMIS!L482)</f>
        <v>5.2190077440000002E-4</v>
      </c>
      <c r="Q482" cm="1">
        <f t="array" aca="1" ref="Q482" ca="1">INDEX(Tabl_B2_Fug!$D$61:$N$71,X_EMIS!K482,X_EMIS!L482)</f>
        <v>0.19020018389760002</v>
      </c>
    </row>
    <row r="483" spans="11:17">
      <c r="K483">
        <f t="shared" si="42"/>
        <v>5</v>
      </c>
      <c r="L483">
        <f t="shared" si="43"/>
        <v>8</v>
      </c>
      <c r="M483" t="str" cm="1">
        <f t="array" ref="M483">INDEX(Tabl_B2_Fug!$A$61:$A$71,X_EMIS!K483)</f>
        <v>IT</v>
      </c>
      <c r="N483" t="str" cm="1">
        <f t="array" ref="N483">INDEX(Tabl_B2_Fug!$D$59:$N$59,X_EMIS!L483)</f>
        <v>108-88-3</v>
      </c>
      <c r="O483" t="str" cm="1">
        <f t="array" ref="O483">INDEX(Tabl_B2_Fug!$D$60:$N$60,X_EMIS!L483)</f>
        <v>Toluene</v>
      </c>
      <c r="P483" s="6" cm="1">
        <f t="array" aca="1" ref="P483" ca="1">INDEX(Tabl_B2_Fug!$O$61:$Y$71,K483,X_EMIS!L483)</f>
        <v>8.9407591680000006E-3</v>
      </c>
      <c r="Q483" cm="1">
        <f t="array" aca="1" ref="Q483" ca="1">INDEX(Tabl_B2_Fug!$D$61:$N$71,X_EMIS!K483,X_EMIS!L483)</f>
        <v>3.2583474126720002</v>
      </c>
    </row>
    <row r="484" spans="11:17">
      <c r="K484">
        <f t="shared" si="42"/>
        <v>5</v>
      </c>
      <c r="L484">
        <f t="shared" si="43"/>
        <v>9</v>
      </c>
      <c r="M484" t="str" cm="1">
        <f t="array" ref="M484">INDEX(Tabl_B2_Fug!$A$61:$A$71,X_EMIS!K484)</f>
        <v>IT</v>
      </c>
      <c r="N484" t="str" cm="1">
        <f t="array" ref="N484">INDEX(Tabl_B2_Fug!$D$59:$N$59,X_EMIS!L484)</f>
        <v>110-54-3</v>
      </c>
      <c r="O484" t="str" cm="1">
        <f t="array" ref="O484">INDEX(Tabl_B2_Fug!$D$60:$N$60,X_EMIS!L484)</f>
        <v>Hexane</v>
      </c>
      <c r="P484" s="6" cm="1">
        <f t="array" aca="1" ref="P484" ca="1">INDEX(Tabl_B2_Fug!$O$61:$Y$71,K484,X_EMIS!L484)</f>
        <v>1.4758669440000001E-3</v>
      </c>
      <c r="Q484" cm="1">
        <f t="array" aca="1" ref="Q484" ca="1">INDEX(Tabl_B2_Fug!$D$61:$N$71,X_EMIS!K484,X_EMIS!L484)</f>
        <v>0.53786117577600001</v>
      </c>
    </row>
    <row r="485" spans="11:17">
      <c r="K485">
        <f t="shared" si="42"/>
        <v>5</v>
      </c>
      <c r="L485">
        <f t="shared" si="43"/>
        <v>10</v>
      </c>
      <c r="M485" t="str" cm="1">
        <f t="array" ref="M485">INDEX(Tabl_B2_Fug!$A$61:$A$71,X_EMIS!K485)</f>
        <v>IT</v>
      </c>
      <c r="N485" t="str" cm="1">
        <f t="array" ref="N485">INDEX(Tabl_B2_Fug!$D$59:$N$59,X_EMIS!L485)</f>
        <v>1330-20-7</v>
      </c>
      <c r="O485" t="str" cm="1">
        <f t="array" ref="O485">INDEX(Tabl_B2_Fug!$D$60:$N$60,X_EMIS!L485)</f>
        <v>Xylene (mixture), including m-xylene, o-xylene, p-xylene</v>
      </c>
      <c r="P485" s="6" cm="1">
        <f t="array" aca="1" ref="P485" ca="1">INDEX(Tabl_B2_Fug!$O$61:$Y$71,K485,X_EMIS!L485)</f>
        <v>1.4887005696000002E-2</v>
      </c>
      <c r="Q485" cm="1">
        <f t="array" aca="1" ref="Q485" ca="1">INDEX(Tabl_B2_Fug!$D$61:$N$71,X_EMIS!K485,X_EMIS!L485)</f>
        <v>5.4253822947840007</v>
      </c>
    </row>
    <row r="486" spans="11:17">
      <c r="K486">
        <f t="shared" si="42"/>
        <v>5</v>
      </c>
      <c r="L486">
        <f t="shared" si="43"/>
        <v>11</v>
      </c>
      <c r="M486" t="str" cm="1">
        <f t="array" ref="M486">INDEX(Tabl_B2_Fug!$A$61:$A$71,X_EMIS!K486)</f>
        <v>IT</v>
      </c>
      <c r="N486" t="str" cm="1">
        <f t="array" ref="N486">INDEX(Tabl_B2_Fug!$D$59:$N$59,X_EMIS!L486)</f>
        <v>7783-06-4</v>
      </c>
      <c r="O486" t="str" cm="1">
        <f t="array" ref="O486">INDEX(Tabl_B2_Fug!$D$60:$N$60,X_EMIS!L486)</f>
        <v>Hydrogen sulfide</v>
      </c>
      <c r="P486" s="6" cm="1">
        <f t="array" aca="1" ref="P486" ca="1">INDEX(Tabl_B2_Fug!$O$61:$Y$71,K486,X_EMIS!L486)</f>
        <v>7.2723878400000018E-4</v>
      </c>
      <c r="Q486" cm="1">
        <f t="array" aca="1" ref="Q486" ca="1">INDEX(Tabl_B2_Fug!$D$61:$N$71,X_EMIS!K486,X_EMIS!L486)</f>
        <v>0.26503304313600007</v>
      </c>
    </row>
    <row r="487" spans="11:17">
      <c r="K487">
        <f t="shared" si="42"/>
        <v>6</v>
      </c>
      <c r="L487">
        <f t="shared" si="43"/>
        <v>1</v>
      </c>
      <c r="M487" t="str" cm="1">
        <f t="array" ref="M487">INDEX(Tabl_B2_Fug!$A$61:$A$71,X_EMIS!K487)</f>
        <v>REF</v>
      </c>
      <c r="N487" t="str" cm="1">
        <f t="array" ref="N487">INDEX(Tabl_B2_Fug!$D$59:$N$59,X_EMIS!L487)</f>
        <v>91-57-6</v>
      </c>
      <c r="O487" t="str" cm="1">
        <f t="array" ref="O487">INDEX(Tabl_B2_Fug!$D$60:$N$60,X_EMIS!L487)</f>
        <v>2-Methyl naphthalene</v>
      </c>
      <c r="P487" s="6" cm="1">
        <f t="array" aca="1" ref="P487" ca="1">INDEX(Tabl_B2_Fug!$O$61:$Y$71,K487,X_EMIS!L487)</f>
        <v>1.733757168E-2</v>
      </c>
      <c r="Q487" cm="1">
        <f t="array" aca="1" ref="Q487" ca="1">INDEX(Tabl_B2_Fug!$D$61:$N$71,X_EMIS!K487,X_EMIS!L487)</f>
        <v>6.3184602967200014</v>
      </c>
    </row>
    <row r="488" spans="11:17">
      <c r="K488">
        <f t="shared" si="42"/>
        <v>6</v>
      </c>
      <c r="L488">
        <f t="shared" si="43"/>
        <v>2</v>
      </c>
      <c r="M488" t="str" cm="1">
        <f t="array" ref="M488">INDEX(Tabl_B2_Fug!$A$61:$A$71,X_EMIS!K488)</f>
        <v>REF</v>
      </c>
      <c r="N488" t="str" cm="1">
        <f t="array" ref="N488">INDEX(Tabl_B2_Fug!$D$59:$N$59,X_EMIS!L488)</f>
        <v>91-20-3</v>
      </c>
      <c r="O488" t="str" cm="1">
        <f t="array" ref="O488">INDEX(Tabl_B2_Fug!$D$60:$N$60,X_EMIS!L488)</f>
        <v>Naphthalene</v>
      </c>
      <c r="P488" s="6" cm="1">
        <f t="array" aca="1" ref="P488" ca="1">INDEX(Tabl_B2_Fug!$O$61:$Y$71,K488,X_EMIS!L488)</f>
        <v>1.006306608E-2</v>
      </c>
      <c r="Q488" cm="1">
        <f t="array" aca="1" ref="Q488" ca="1">INDEX(Tabl_B2_Fug!$D$61:$N$71,X_EMIS!K488,X_EMIS!L488)</f>
        <v>3.6673580743200005</v>
      </c>
    </row>
    <row r="489" spans="11:17">
      <c r="K489">
        <f t="shared" si="42"/>
        <v>6</v>
      </c>
      <c r="L489">
        <f t="shared" si="43"/>
        <v>3</v>
      </c>
      <c r="M489" t="str" cm="1">
        <f t="array" ref="M489">INDEX(Tabl_B2_Fug!$A$61:$A$71,X_EMIS!K489)</f>
        <v>REF</v>
      </c>
      <c r="N489" t="str" cm="1">
        <f t="array" ref="N489">INDEX(Tabl_B2_Fug!$D$59:$N$59,X_EMIS!L489)</f>
        <v>108-95-2</v>
      </c>
      <c r="O489" t="str" cm="1">
        <f t="array" ref="O489">INDEX(Tabl_B2_Fug!$D$60:$N$60,X_EMIS!L489)</f>
        <v>Phenol</v>
      </c>
      <c r="P489" s="6" cm="1">
        <f t="array" aca="1" ref="P489" ca="1">INDEX(Tabl_B2_Fug!$O$61:$Y$71,K489,X_EMIS!L489)</f>
        <v>2.115668712E-4</v>
      </c>
      <c r="Q489" cm="1">
        <f t="array" aca="1" ref="Q489" ca="1">INDEX(Tabl_B2_Fug!$D$61:$N$71,X_EMIS!K489,X_EMIS!L489)</f>
        <v>7.7102889634800012E-2</v>
      </c>
    </row>
    <row r="490" spans="11:17">
      <c r="K490">
        <f t="shared" si="42"/>
        <v>6</v>
      </c>
      <c r="L490">
        <f t="shared" si="43"/>
        <v>4</v>
      </c>
      <c r="M490" t="str" cm="1">
        <f t="array" ref="M490">INDEX(Tabl_B2_Fug!$A$61:$A$71,X_EMIS!K490)</f>
        <v>REF</v>
      </c>
      <c r="N490" t="str" cm="1">
        <f t="array" ref="N490">INDEX(Tabl_B2_Fug!$D$59:$N$59,X_EMIS!L490)</f>
        <v>1319-77-3</v>
      </c>
      <c r="O490" t="str" cm="1">
        <f t="array" ref="O490">INDEX(Tabl_B2_Fug!$D$60:$N$60,X_EMIS!L490)</f>
        <v>Cresols (mixture), including m-cresol, o-cresol, p-cresol</v>
      </c>
      <c r="P490" s="6" cm="1">
        <f t="array" aca="1" ref="P490" ca="1">INDEX(Tabl_B2_Fug!$O$61:$Y$71,K490,X_EMIS!L490)</f>
        <v>7.8807144E-5</v>
      </c>
      <c r="Q490" cm="1">
        <f t="array" aca="1" ref="Q490" ca="1">INDEX(Tabl_B2_Fug!$D$61:$N$71,X_EMIS!K490,X_EMIS!L490)</f>
        <v>2.8720274076000002E-2</v>
      </c>
    </row>
    <row r="491" spans="11:17">
      <c r="K491">
        <f t="shared" si="42"/>
        <v>6</v>
      </c>
      <c r="L491">
        <f t="shared" si="43"/>
        <v>5</v>
      </c>
      <c r="M491" t="str" cm="1">
        <f t="array" ref="M491">INDEX(Tabl_B2_Fug!$A$61:$A$71,X_EMIS!K491)</f>
        <v>REF</v>
      </c>
      <c r="N491" t="str" cm="1">
        <f t="array" ref="N491">INDEX(Tabl_B2_Fug!$D$59:$N$59,X_EMIS!L491)</f>
        <v>71-43-2</v>
      </c>
      <c r="O491" t="str" cm="1">
        <f t="array" ref="O491">INDEX(Tabl_B2_Fug!$D$60:$N$60,X_EMIS!L491)</f>
        <v>Benzene</v>
      </c>
      <c r="P491" s="6" cm="1">
        <f t="array" aca="1" ref="P491" ca="1">INDEX(Tabl_B2_Fug!$O$61:$Y$71,K491,X_EMIS!L491)</f>
        <v>1.4064044160000001E-3</v>
      </c>
      <c r="Q491" cm="1">
        <f t="array" aca="1" ref="Q491" ca="1">INDEX(Tabl_B2_Fug!$D$61:$N$71,X_EMIS!K491,X_EMIS!L491)</f>
        <v>0.5125464296640001</v>
      </c>
    </row>
    <row r="492" spans="11:17">
      <c r="K492">
        <f t="shared" si="42"/>
        <v>6</v>
      </c>
      <c r="L492">
        <f t="shared" si="43"/>
        <v>6</v>
      </c>
      <c r="M492" t="str" cm="1">
        <f t="array" ref="M492">INDEX(Tabl_B2_Fug!$A$61:$A$71,X_EMIS!K492)</f>
        <v>REF</v>
      </c>
      <c r="N492" t="str" cm="1">
        <f t="array" ref="N492">INDEX(Tabl_B2_Fug!$D$59:$N$59,X_EMIS!L492)</f>
        <v>100-41-4</v>
      </c>
      <c r="O492" t="str" cm="1">
        <f t="array" ref="O492">INDEX(Tabl_B2_Fug!$D$60:$N$60,X_EMIS!L492)</f>
        <v>Ethyl benzene</v>
      </c>
      <c r="P492" s="6" cm="1">
        <f t="array" aca="1" ref="P492" ca="1">INDEX(Tabl_B2_Fug!$O$61:$Y$71,K492,X_EMIS!L492)</f>
        <v>3.5705698320000001E-3</v>
      </c>
      <c r="Q492" cm="1">
        <f t="array" aca="1" ref="Q492" ca="1">INDEX(Tabl_B2_Fug!$D$61:$N$71,X_EMIS!K492,X_EMIS!L492)</f>
        <v>1.3012493408280001</v>
      </c>
    </row>
    <row r="493" spans="11:17">
      <c r="K493">
        <f t="shared" si="42"/>
        <v>6</v>
      </c>
      <c r="L493">
        <f t="shared" si="43"/>
        <v>7</v>
      </c>
      <c r="M493" t="str" cm="1">
        <f t="array" ref="M493">INDEX(Tabl_B2_Fug!$A$61:$A$71,X_EMIS!K493)</f>
        <v>REF</v>
      </c>
      <c r="N493" t="str" cm="1">
        <f t="array" ref="N493">INDEX(Tabl_B2_Fug!$D$59:$N$59,X_EMIS!L493)</f>
        <v>98-82-8</v>
      </c>
      <c r="O493" t="str" cm="1">
        <f t="array" ref="O493">INDEX(Tabl_B2_Fug!$D$60:$N$60,X_EMIS!L493)</f>
        <v>Isopropylbenzene (Cumene)</v>
      </c>
      <c r="P493" s="6" cm="1">
        <f t="array" aca="1" ref="P493" ca="1">INDEX(Tabl_B2_Fug!$O$61:$Y$71,K493,X_EMIS!L493)</f>
        <v>7.3957473599999999E-4</v>
      </c>
      <c r="Q493" cm="1">
        <f t="array" aca="1" ref="Q493" ca="1">INDEX(Tabl_B2_Fug!$D$61:$N$71,X_EMIS!K493,X_EMIS!L493)</f>
        <v>0.26952872594400001</v>
      </c>
    </row>
    <row r="494" spans="11:17">
      <c r="K494">
        <f t="shared" si="42"/>
        <v>6</v>
      </c>
      <c r="L494">
        <f t="shared" si="43"/>
        <v>8</v>
      </c>
      <c r="M494" t="str" cm="1">
        <f t="array" ref="M494">INDEX(Tabl_B2_Fug!$A$61:$A$71,X_EMIS!K494)</f>
        <v>REF</v>
      </c>
      <c r="N494" t="str" cm="1">
        <f t="array" ref="N494">INDEX(Tabl_B2_Fug!$D$59:$N$59,X_EMIS!L494)</f>
        <v>108-88-3</v>
      </c>
      <c r="O494" t="str" cm="1">
        <f t="array" ref="O494">INDEX(Tabl_B2_Fug!$D$60:$N$60,X_EMIS!L494)</f>
        <v>Toluene</v>
      </c>
      <c r="P494" s="6" cm="1">
        <f t="array" aca="1" ref="P494" ca="1">INDEX(Tabl_B2_Fug!$O$61:$Y$71,K494,X_EMIS!L494)</f>
        <v>1.2669763919999999E-2</v>
      </c>
      <c r="Q494" cm="1">
        <f t="array" aca="1" ref="Q494" ca="1">INDEX(Tabl_B2_Fug!$D$61:$N$71,X_EMIS!K494,X_EMIS!L494)</f>
        <v>4.6173363706800004</v>
      </c>
    </row>
    <row r="495" spans="11:17">
      <c r="K495">
        <f t="shared" si="42"/>
        <v>6</v>
      </c>
      <c r="L495">
        <f t="shared" si="43"/>
        <v>9</v>
      </c>
      <c r="M495" t="str" cm="1">
        <f t="array" ref="M495">INDEX(Tabl_B2_Fug!$A$61:$A$71,X_EMIS!K495)</f>
        <v>REF</v>
      </c>
      <c r="N495" t="str" cm="1">
        <f t="array" ref="N495">INDEX(Tabl_B2_Fug!$D$59:$N$59,X_EMIS!L495)</f>
        <v>110-54-3</v>
      </c>
      <c r="O495" t="str" cm="1">
        <f t="array" ref="O495">INDEX(Tabl_B2_Fug!$D$60:$N$60,X_EMIS!L495)</f>
        <v>Hexane</v>
      </c>
      <c r="P495" s="6" cm="1">
        <f t="array" aca="1" ref="P495" ca="1">INDEX(Tabl_B2_Fug!$O$61:$Y$71,K495,X_EMIS!L495)</f>
        <v>2.0914203599999999E-3</v>
      </c>
      <c r="Q495" cm="1">
        <f t="array" aca="1" ref="Q495" ca="1">INDEX(Tabl_B2_Fug!$D$61:$N$71,X_EMIS!K495,X_EMIS!L495)</f>
        <v>0.76219188894000012</v>
      </c>
    </row>
    <row r="496" spans="11:17">
      <c r="K496">
        <f t="shared" si="42"/>
        <v>6</v>
      </c>
      <c r="L496">
        <f t="shared" si="43"/>
        <v>10</v>
      </c>
      <c r="M496" t="str" cm="1">
        <f t="array" ref="M496">INDEX(Tabl_B2_Fug!$A$61:$A$71,X_EMIS!K496)</f>
        <v>REF</v>
      </c>
      <c r="N496" t="str" cm="1">
        <f t="array" ref="N496">INDEX(Tabl_B2_Fug!$D$59:$N$59,X_EMIS!L496)</f>
        <v>1330-20-7</v>
      </c>
      <c r="O496" t="str" cm="1">
        <f t="array" ref="O496">INDEX(Tabl_B2_Fug!$D$60:$N$60,X_EMIS!L496)</f>
        <v>Xylene (mixture), including m-xylene, o-xylene, p-xylene</v>
      </c>
      <c r="P496" s="6" cm="1">
        <f t="array" aca="1" ref="P496" ca="1">INDEX(Tabl_B2_Fug!$O$61:$Y$71,K496,X_EMIS!L496)</f>
        <v>2.1096066239999999E-2</v>
      </c>
      <c r="Q496" cm="1">
        <f t="array" aca="1" ref="Q496" ca="1">INDEX(Tabl_B2_Fug!$D$61:$N$71,X_EMIS!K496,X_EMIS!L496)</f>
        <v>7.6881964449600009</v>
      </c>
    </row>
    <row r="497" spans="11:17">
      <c r="K497">
        <f t="shared" si="42"/>
        <v>6</v>
      </c>
      <c r="L497">
        <f t="shared" si="43"/>
        <v>11</v>
      </c>
      <c r="M497" t="str" cm="1">
        <f t="array" ref="M497">INDEX(Tabl_B2_Fug!$A$61:$A$71,X_EMIS!K497)</f>
        <v>REF</v>
      </c>
      <c r="N497" t="str" cm="1">
        <f t="array" ref="N497">INDEX(Tabl_B2_Fug!$D$59:$N$59,X_EMIS!L497)</f>
        <v>7783-06-4</v>
      </c>
      <c r="O497" t="str" cm="1">
        <f t="array" ref="O497">INDEX(Tabl_B2_Fug!$D$60:$N$60,X_EMIS!L497)</f>
        <v>Hydrogen sulfide</v>
      </c>
      <c r="P497" s="6" cm="1">
        <f t="array" aca="1" ref="P497" ca="1">INDEX(Tabl_B2_Fug!$O$61:$Y$71,K497,X_EMIS!L497)</f>
        <v>1.03055496E-3</v>
      </c>
      <c r="Q497" cm="1">
        <f t="array" aca="1" ref="Q497" ca="1">INDEX(Tabl_B2_Fug!$D$61:$N$71,X_EMIS!K497,X_EMIS!L497)</f>
        <v>0.3755728148400001</v>
      </c>
    </row>
    <row r="498" spans="11:17">
      <c r="K498">
        <f t="shared" si="42"/>
        <v>7</v>
      </c>
      <c r="L498">
        <f t="shared" si="43"/>
        <v>1</v>
      </c>
      <c r="M498" t="str" cm="1">
        <f t="array" ref="M498">INDEX(Tabl_B2_Fug!$A$61:$A$71,X_EMIS!K498)</f>
        <v>SULF</v>
      </c>
      <c r="N498" t="str" cm="1">
        <f t="array" ref="N498">INDEX(Tabl_B2_Fug!$D$59:$N$59,X_EMIS!L498)</f>
        <v>91-57-6</v>
      </c>
      <c r="O498" t="str" cm="1">
        <f t="array" ref="O498">INDEX(Tabl_B2_Fug!$D$60:$N$60,X_EMIS!L498)</f>
        <v>2-Methyl naphthalene</v>
      </c>
      <c r="P498" s="6" cm="1">
        <f t="array" aca="1" ref="P498" ca="1">INDEX(Tabl_B2_Fug!$O$61:$Y$71,K498,X_EMIS!L498)</f>
        <v>1.3885199328000001E-2</v>
      </c>
      <c r="Q498" cm="1">
        <f t="array" aca="1" ref="Q498" ca="1">INDEX(Tabl_B2_Fug!$D$61:$N$71,X_EMIS!K498,X_EMIS!L498)</f>
        <v>5.0602865433120003</v>
      </c>
    </row>
    <row r="499" spans="11:17">
      <c r="K499">
        <f t="shared" ref="K499:K552" si="44">IF(L499=1,K498+1,K498)</f>
        <v>7</v>
      </c>
      <c r="L499">
        <f t="shared" ref="L499:L552" si="45">IF(L498=11,1,L498+1)</f>
        <v>2</v>
      </c>
      <c r="M499" t="str" cm="1">
        <f t="array" ref="M499">INDEX(Tabl_B2_Fug!$A$61:$A$71,X_EMIS!K499)</f>
        <v>SULF</v>
      </c>
      <c r="N499" t="str" cm="1">
        <f t="array" ref="N499">INDEX(Tabl_B2_Fug!$D$59:$N$59,X_EMIS!L499)</f>
        <v>91-20-3</v>
      </c>
      <c r="O499" t="str" cm="1">
        <f t="array" ref="O499">INDEX(Tabl_B2_Fug!$D$60:$N$60,X_EMIS!L499)</f>
        <v>Naphthalene</v>
      </c>
      <c r="P499" s="6" cm="1">
        <f t="array" aca="1" ref="P499" ca="1">INDEX(Tabl_B2_Fug!$O$61:$Y$71,K499,X_EMIS!L499)</f>
        <v>8.0592415680000012E-3</v>
      </c>
      <c r="Q499" cm="1">
        <f t="array" aca="1" ref="Q499" ca="1">INDEX(Tabl_B2_Fug!$D$61:$N$71,X_EMIS!K499,X_EMIS!L499)</f>
        <v>2.9370893922720001</v>
      </c>
    </row>
    <row r="500" spans="11:17">
      <c r="K500">
        <f t="shared" si="44"/>
        <v>7</v>
      </c>
      <c r="L500">
        <f t="shared" si="45"/>
        <v>3</v>
      </c>
      <c r="M500" t="str" cm="1">
        <f t="array" ref="M500">INDEX(Tabl_B2_Fug!$A$61:$A$71,X_EMIS!K500)</f>
        <v>SULF</v>
      </c>
      <c r="N500" t="str" cm="1">
        <f t="array" ref="N500">INDEX(Tabl_B2_Fug!$D$59:$N$59,X_EMIS!L500)</f>
        <v>108-95-2</v>
      </c>
      <c r="O500" t="str" cm="1">
        <f t="array" ref="O500">INDEX(Tabl_B2_Fug!$D$60:$N$60,X_EMIS!L500)</f>
        <v>Phenol</v>
      </c>
      <c r="P500" s="6" cm="1">
        <f t="array" aca="1" ref="P500" ca="1">INDEX(Tabl_B2_Fug!$O$61:$Y$71,K500,X_EMIS!L500)</f>
        <v>1.6943827152000001E-4</v>
      </c>
      <c r="Q500" cm="1">
        <f t="array" aca="1" ref="Q500" ca="1">INDEX(Tabl_B2_Fug!$D$61:$N$71,X_EMIS!K500,X_EMIS!L500)</f>
        <v>6.1749650476080005E-2</v>
      </c>
    </row>
    <row r="501" spans="11:17">
      <c r="K501">
        <f t="shared" si="44"/>
        <v>7</v>
      </c>
      <c r="L501">
        <f t="shared" si="45"/>
        <v>4</v>
      </c>
      <c r="M501" t="str" cm="1">
        <f t="array" ref="M501">INDEX(Tabl_B2_Fug!$A$61:$A$71,X_EMIS!K501)</f>
        <v>SULF</v>
      </c>
      <c r="N501" t="str" cm="1">
        <f t="array" ref="N501">INDEX(Tabl_B2_Fug!$D$59:$N$59,X_EMIS!L501)</f>
        <v>1319-77-3</v>
      </c>
      <c r="O501" t="str" cm="1">
        <f t="array" ref="O501">INDEX(Tabl_B2_Fug!$D$60:$N$60,X_EMIS!L501)</f>
        <v>Cresols (mixture), including m-cresol, o-cresol, p-cresol</v>
      </c>
      <c r="P501" s="6" cm="1">
        <f t="array" aca="1" ref="P501" ca="1">INDEX(Tabl_B2_Fug!$O$61:$Y$71,K501,X_EMIS!L501)</f>
        <v>6.3114542400000002E-5</v>
      </c>
      <c r="Q501" cm="1">
        <f t="array" aca="1" ref="Q501" ca="1">INDEX(Tabl_B2_Fug!$D$61:$N$71,X_EMIS!K501,X_EMIS!L501)</f>
        <v>2.3001302469599999E-2</v>
      </c>
    </row>
    <row r="502" spans="11:17">
      <c r="K502">
        <f t="shared" si="44"/>
        <v>7</v>
      </c>
      <c r="L502">
        <f t="shared" si="45"/>
        <v>5</v>
      </c>
      <c r="M502" t="str" cm="1">
        <f t="array" ref="M502">INDEX(Tabl_B2_Fug!$A$61:$A$71,X_EMIS!K502)</f>
        <v>SULF</v>
      </c>
      <c r="N502" t="str" cm="1">
        <f t="array" ref="N502">INDEX(Tabl_B2_Fug!$D$59:$N$59,X_EMIS!L502)</f>
        <v>71-43-2</v>
      </c>
      <c r="O502" t="str" cm="1">
        <f t="array" ref="O502">INDEX(Tabl_B2_Fug!$D$60:$N$60,X_EMIS!L502)</f>
        <v>Benzene</v>
      </c>
      <c r="P502" s="6" cm="1">
        <f t="array" aca="1" ref="P502" ca="1">INDEX(Tabl_B2_Fug!$O$61:$Y$71,K502,X_EMIS!L502)</f>
        <v>1.1263518336000001E-3</v>
      </c>
      <c r="Q502" cm="1">
        <f t="array" aca="1" ref="Q502" ca="1">INDEX(Tabl_B2_Fug!$D$61:$N$71,X_EMIS!K502,X_EMIS!L502)</f>
        <v>0.41048478253440002</v>
      </c>
    </row>
    <row r="503" spans="11:17">
      <c r="K503">
        <f t="shared" si="44"/>
        <v>7</v>
      </c>
      <c r="L503">
        <f t="shared" si="45"/>
        <v>6</v>
      </c>
      <c r="M503" t="str" cm="1">
        <f t="array" ref="M503">INDEX(Tabl_B2_Fug!$A$61:$A$71,X_EMIS!K503)</f>
        <v>SULF</v>
      </c>
      <c r="N503" t="str" cm="1">
        <f t="array" ref="N503">INDEX(Tabl_B2_Fug!$D$59:$N$59,X_EMIS!L503)</f>
        <v>100-41-4</v>
      </c>
      <c r="O503" t="str" cm="1">
        <f t="array" ref="O503">INDEX(Tabl_B2_Fug!$D$60:$N$60,X_EMIS!L503)</f>
        <v>Ethyl benzene</v>
      </c>
      <c r="P503" s="6" cm="1">
        <f t="array" aca="1" ref="P503" ca="1">INDEX(Tabl_B2_Fug!$O$61:$Y$71,K503,X_EMIS!L503)</f>
        <v>2.8595742672000001E-3</v>
      </c>
      <c r="Q503" cm="1">
        <f t="array" aca="1" ref="Q503" ca="1">INDEX(Tabl_B2_Fug!$D$61:$N$71,X_EMIS!K503,X_EMIS!L503)</f>
        <v>1.0421359349688</v>
      </c>
    </row>
    <row r="504" spans="11:17">
      <c r="K504">
        <f t="shared" si="44"/>
        <v>7</v>
      </c>
      <c r="L504">
        <f t="shared" si="45"/>
        <v>7</v>
      </c>
      <c r="M504" t="str" cm="1">
        <f t="array" ref="M504">INDEX(Tabl_B2_Fug!$A$61:$A$71,X_EMIS!K504)</f>
        <v>SULF</v>
      </c>
      <c r="N504" t="str" cm="1">
        <f t="array" ref="N504">INDEX(Tabl_B2_Fug!$D$59:$N$59,X_EMIS!L504)</f>
        <v>98-82-8</v>
      </c>
      <c r="O504" t="str" cm="1">
        <f t="array" ref="O504">INDEX(Tabl_B2_Fug!$D$60:$N$60,X_EMIS!L504)</f>
        <v>Isopropylbenzene (Cumene)</v>
      </c>
      <c r="P504" s="6" cm="1">
        <f t="array" aca="1" ref="P504" ca="1">INDEX(Tabl_B2_Fug!$O$61:$Y$71,K504,X_EMIS!L504)</f>
        <v>5.9230570559999998E-4</v>
      </c>
      <c r="Q504" cm="1">
        <f t="array" aca="1" ref="Q504" ca="1">INDEX(Tabl_B2_Fug!$D$61:$N$71,X_EMIS!K504,X_EMIS!L504)</f>
        <v>0.21585837702239999</v>
      </c>
    </row>
    <row r="505" spans="11:17">
      <c r="K505">
        <f t="shared" si="44"/>
        <v>7</v>
      </c>
      <c r="L505">
        <f t="shared" si="45"/>
        <v>8</v>
      </c>
      <c r="M505" t="str" cm="1">
        <f t="array" ref="M505">INDEX(Tabl_B2_Fug!$A$61:$A$71,X_EMIS!K505)</f>
        <v>SULF</v>
      </c>
      <c r="N505" t="str" cm="1">
        <f t="array" ref="N505">INDEX(Tabl_B2_Fug!$D$59:$N$59,X_EMIS!L505)</f>
        <v>108-88-3</v>
      </c>
      <c r="O505" t="str" cm="1">
        <f t="array" ref="O505">INDEX(Tabl_B2_Fug!$D$60:$N$60,X_EMIS!L505)</f>
        <v>Toluene</v>
      </c>
      <c r="P505" s="6" cm="1">
        <f t="array" aca="1" ref="P505" ca="1">INDEX(Tabl_B2_Fug!$O$61:$Y$71,K505,X_EMIS!L505)</f>
        <v>1.0146876431999999E-2</v>
      </c>
      <c r="Q505" cm="1">
        <f t="array" aca="1" ref="Q505" ca="1">INDEX(Tabl_B2_Fug!$D$61:$N$71,X_EMIS!K505,X_EMIS!L505)</f>
        <v>3.6979017047279998</v>
      </c>
    </row>
    <row r="506" spans="11:17">
      <c r="K506">
        <f t="shared" si="44"/>
        <v>7</v>
      </c>
      <c r="L506">
        <f t="shared" si="45"/>
        <v>9</v>
      </c>
      <c r="M506" t="str" cm="1">
        <f t="array" ref="M506">INDEX(Tabl_B2_Fug!$A$61:$A$71,X_EMIS!K506)</f>
        <v>SULF</v>
      </c>
      <c r="N506" t="str" cm="1">
        <f t="array" ref="N506">INDEX(Tabl_B2_Fug!$D$59:$N$59,X_EMIS!L506)</f>
        <v>110-54-3</v>
      </c>
      <c r="O506" t="str" cm="1">
        <f t="array" ref="O506">INDEX(Tabl_B2_Fug!$D$60:$N$60,X_EMIS!L506)</f>
        <v>Hexane</v>
      </c>
      <c r="P506" s="6" cm="1">
        <f t="array" aca="1" ref="P506" ca="1">INDEX(Tabl_B2_Fug!$O$61:$Y$71,K506,X_EMIS!L506)</f>
        <v>1.6749628559999999E-3</v>
      </c>
      <c r="Q506" cm="1">
        <f t="array" aca="1" ref="Q506" ca="1">INDEX(Tabl_B2_Fug!$D$61:$N$71,X_EMIS!K506,X_EMIS!L506)</f>
        <v>0.61041918092399994</v>
      </c>
    </row>
    <row r="507" spans="11:17">
      <c r="K507">
        <f t="shared" si="44"/>
        <v>7</v>
      </c>
      <c r="L507">
        <f t="shared" si="45"/>
        <v>10</v>
      </c>
      <c r="M507" t="str" cm="1">
        <f t="array" ref="M507">INDEX(Tabl_B2_Fug!$A$61:$A$71,X_EMIS!K507)</f>
        <v>SULF</v>
      </c>
      <c r="N507" t="str" cm="1">
        <f t="array" ref="N507">INDEX(Tabl_B2_Fug!$D$59:$N$59,X_EMIS!L507)</f>
        <v>1330-20-7</v>
      </c>
      <c r="O507" t="str" cm="1">
        <f t="array" ref="O507">INDEX(Tabl_B2_Fug!$D$60:$N$60,X_EMIS!L507)</f>
        <v>Xylene (mixture), including m-xylene, o-xylene, p-xylene</v>
      </c>
      <c r="P507" s="6" cm="1">
        <f t="array" aca="1" ref="P507" ca="1">INDEX(Tabl_B2_Fug!$O$61:$Y$71,K507,X_EMIS!L507)</f>
        <v>1.6895277504000002E-2</v>
      </c>
      <c r="Q507" cm="1">
        <f t="array" aca="1" ref="Q507" ca="1">INDEX(Tabl_B2_Fug!$D$61:$N$71,X_EMIS!K507,X_EMIS!L507)</f>
        <v>6.157271738016</v>
      </c>
    </row>
    <row r="508" spans="11:17">
      <c r="K508">
        <f t="shared" si="44"/>
        <v>7</v>
      </c>
      <c r="L508">
        <f t="shared" si="45"/>
        <v>11</v>
      </c>
      <c r="M508" t="str" cm="1">
        <f t="array" ref="M508">INDEX(Tabl_B2_Fug!$A$61:$A$71,X_EMIS!K508)</f>
        <v>SULF</v>
      </c>
      <c r="N508" t="str" cm="1">
        <f t="array" ref="N508">INDEX(Tabl_B2_Fug!$D$59:$N$59,X_EMIS!L508)</f>
        <v>7783-06-4</v>
      </c>
      <c r="O508" t="str" cm="1">
        <f t="array" ref="O508">INDEX(Tabl_B2_Fug!$D$60:$N$60,X_EMIS!L508)</f>
        <v>Hydrogen sulfide</v>
      </c>
      <c r="P508" s="6" cm="1">
        <f t="array" aca="1" ref="P508" ca="1">INDEX(Tabl_B2_Fug!$O$61:$Y$71,K508,X_EMIS!L508)</f>
        <v>8.2534401600000014E-4</v>
      </c>
      <c r="Q508" cm="1">
        <f t="array" aca="1" ref="Q508" ca="1">INDEX(Tabl_B2_Fug!$D$61:$N$71,X_EMIS!K508,X_EMIS!L508)</f>
        <v>0.30078626306400003</v>
      </c>
    </row>
    <row r="509" spans="11:17">
      <c r="K509">
        <f t="shared" si="44"/>
        <v>8</v>
      </c>
      <c r="L509">
        <f t="shared" si="45"/>
        <v>1</v>
      </c>
      <c r="M509" t="str" cm="1">
        <f t="array" ref="M509">INDEX(Tabl_B2_Fug!$A$61:$A$71,X_EMIS!K509)</f>
        <v>LPS1</v>
      </c>
      <c r="N509" t="str" cm="1">
        <f t="array" ref="N509">INDEX(Tabl_B2_Fug!$D$59:$N$59,X_EMIS!L509)</f>
        <v>91-57-6</v>
      </c>
      <c r="O509" t="str" cm="1">
        <f t="array" ref="O509">INDEX(Tabl_B2_Fug!$D$60:$N$60,X_EMIS!L509)</f>
        <v>2-Methyl naphthalene</v>
      </c>
      <c r="P509" s="6" cm="1">
        <f t="array" aca="1" ref="P509" ca="1">INDEX(Tabl_B2_Fug!$O$61:$Y$71,K509,X_EMIS!L509)</f>
        <v>0.30568637299200002</v>
      </c>
      <c r="Q509" cm="1">
        <f t="array" aca="1" ref="Q509" ca="1">INDEX(Tabl_B2_Fug!$D$61:$N$71,X_EMIS!K509,X_EMIS!L509)</f>
        <v>55.701780117984008</v>
      </c>
    </row>
    <row r="510" spans="11:17">
      <c r="K510">
        <f t="shared" si="44"/>
        <v>8</v>
      </c>
      <c r="L510">
        <f t="shared" si="45"/>
        <v>2</v>
      </c>
      <c r="M510" t="str" cm="1">
        <f t="array" ref="M510">INDEX(Tabl_B2_Fug!$A$61:$A$71,X_EMIS!K510)</f>
        <v>LPS1</v>
      </c>
      <c r="N510" t="str" cm="1">
        <f t="array" ref="N510">INDEX(Tabl_B2_Fug!$D$59:$N$59,X_EMIS!L510)</f>
        <v>91-20-3</v>
      </c>
      <c r="O510" t="str" cm="1">
        <f t="array" ref="O510">INDEX(Tabl_B2_Fug!$D$60:$N$60,X_EMIS!L510)</f>
        <v>Naphthalene</v>
      </c>
      <c r="P510" s="6" cm="1">
        <f t="array" aca="1" ref="P510" ca="1">INDEX(Tabl_B2_Fug!$O$61:$Y$71,K510,X_EMIS!L510)</f>
        <v>0.17742635635200002</v>
      </c>
      <c r="Q510" cm="1">
        <f t="array" aca="1" ref="Q510" ca="1">INDEX(Tabl_B2_Fug!$D$61:$N$71,X_EMIS!K510,X_EMIS!L510)</f>
        <v>32.330403844704001</v>
      </c>
    </row>
    <row r="511" spans="11:17">
      <c r="K511">
        <f t="shared" si="44"/>
        <v>8</v>
      </c>
      <c r="L511">
        <f t="shared" si="45"/>
        <v>3</v>
      </c>
      <c r="M511" t="str" cm="1">
        <f t="array" ref="M511">INDEX(Tabl_B2_Fug!$A$61:$A$71,X_EMIS!K511)</f>
        <v>LPS1</v>
      </c>
      <c r="N511" t="str" cm="1">
        <f t="array" ref="N511">INDEX(Tabl_B2_Fug!$D$59:$N$59,X_EMIS!L511)</f>
        <v>108-95-2</v>
      </c>
      <c r="O511" t="str" cm="1">
        <f t="array" ref="O511">INDEX(Tabl_B2_Fug!$D$60:$N$60,X_EMIS!L511)</f>
        <v>Phenol</v>
      </c>
      <c r="P511" s="6" cm="1">
        <f t="array" aca="1" ref="P511" ca="1">INDEX(Tabl_B2_Fug!$O$61:$Y$71,K511,X_EMIS!L511)</f>
        <v>3.7302288172800001E-3</v>
      </c>
      <c r="Q511" cm="1">
        <f t="array" aca="1" ref="Q511" ca="1">INDEX(Tabl_B2_Fug!$D$61:$N$71,X_EMIS!K511,X_EMIS!L511)</f>
        <v>0.67971752661456009</v>
      </c>
    </row>
    <row r="512" spans="11:17">
      <c r="K512">
        <f t="shared" si="44"/>
        <v>8</v>
      </c>
      <c r="L512">
        <f t="shared" si="45"/>
        <v>4</v>
      </c>
      <c r="M512" t="str" cm="1">
        <f t="array" ref="M512">INDEX(Tabl_B2_Fug!$A$61:$A$71,X_EMIS!K512)</f>
        <v>LPS1</v>
      </c>
      <c r="N512" t="str" cm="1">
        <f t="array" ref="N512">INDEX(Tabl_B2_Fug!$D$59:$N$59,X_EMIS!L512)</f>
        <v>1319-77-3</v>
      </c>
      <c r="O512" t="str" cm="1">
        <f t="array" ref="O512">INDEX(Tabl_B2_Fug!$D$60:$N$60,X_EMIS!L512)</f>
        <v>Cresols (mixture), including m-cresol, o-cresol, p-cresol</v>
      </c>
      <c r="P512" s="6" cm="1">
        <f t="array" aca="1" ref="P512" ca="1">INDEX(Tabl_B2_Fug!$O$61:$Y$71,K512,X_EMIS!L512)</f>
        <v>1.3894835135999999E-3</v>
      </c>
      <c r="Q512" cm="1">
        <f t="array" aca="1" ref="Q512" ca="1">INDEX(Tabl_B2_Fug!$D$61:$N$71,X_EMIS!K512,X_EMIS!L512)</f>
        <v>0.2531899096272</v>
      </c>
    </row>
    <row r="513" spans="11:17">
      <c r="K513">
        <f t="shared" si="44"/>
        <v>8</v>
      </c>
      <c r="L513">
        <f t="shared" si="45"/>
        <v>5</v>
      </c>
      <c r="M513" t="str" cm="1">
        <f t="array" ref="M513">INDEX(Tabl_B2_Fug!$A$61:$A$71,X_EMIS!K513)</f>
        <v>LPS1</v>
      </c>
      <c r="N513" t="str" cm="1">
        <f t="array" ref="N513">INDEX(Tabl_B2_Fug!$D$59:$N$59,X_EMIS!L513)</f>
        <v>71-43-2</v>
      </c>
      <c r="O513" t="str" cm="1">
        <f t="array" ref="O513">INDEX(Tabl_B2_Fug!$D$60:$N$60,X_EMIS!L513)</f>
        <v>Benzene</v>
      </c>
      <c r="P513" s="6" cm="1">
        <f t="array" aca="1" ref="P513" ca="1">INDEX(Tabl_B2_Fug!$O$61:$Y$71,K513,X_EMIS!L513)</f>
        <v>2.4796936550400002E-2</v>
      </c>
      <c r="Q513" cm="1">
        <f t="array" aca="1" ref="Q513" ca="1">INDEX(Tabl_B2_Fug!$D$61:$N$71,X_EMIS!K513,X_EMIS!L513)</f>
        <v>4.5184660795007998</v>
      </c>
    </row>
    <row r="514" spans="11:17">
      <c r="K514">
        <f t="shared" si="44"/>
        <v>8</v>
      </c>
      <c r="L514">
        <f t="shared" si="45"/>
        <v>6</v>
      </c>
      <c r="M514" t="str" cm="1">
        <f t="array" ref="M514">INDEX(Tabl_B2_Fug!$A$61:$A$71,X_EMIS!K514)</f>
        <v>LPS1</v>
      </c>
      <c r="N514" t="str" cm="1">
        <f t="array" ref="N514">INDEX(Tabl_B2_Fug!$D$59:$N$59,X_EMIS!L514)</f>
        <v>100-41-4</v>
      </c>
      <c r="O514" t="str" cm="1">
        <f t="array" ref="O514">INDEX(Tabl_B2_Fug!$D$60:$N$60,X_EMIS!L514)</f>
        <v>Ethyl benzene</v>
      </c>
      <c r="P514" s="6" cm="1">
        <f t="array" aca="1" ref="P514" ca="1">INDEX(Tabl_B2_Fug!$O$61:$Y$71,K514,X_EMIS!L514)</f>
        <v>6.2954291500800008E-2</v>
      </c>
      <c r="Q514" cm="1">
        <f t="array" aca="1" ref="Q514" ca="1">INDEX(Tabl_B2_Fug!$D$61:$N$71,X_EMIS!K514,X_EMIS!L514)</f>
        <v>11.4714505208016</v>
      </c>
    </row>
    <row r="515" spans="11:17">
      <c r="K515">
        <f t="shared" si="44"/>
        <v>8</v>
      </c>
      <c r="L515">
        <f t="shared" si="45"/>
        <v>7</v>
      </c>
      <c r="M515" t="str" cm="1">
        <f t="array" ref="M515">INDEX(Tabl_B2_Fug!$A$61:$A$71,X_EMIS!K515)</f>
        <v>LPS1</v>
      </c>
      <c r="N515" t="str" cm="1">
        <f t="array" ref="N515">INDEX(Tabl_B2_Fug!$D$59:$N$59,X_EMIS!L515)</f>
        <v>98-82-8</v>
      </c>
      <c r="O515" t="str" cm="1">
        <f t="array" ref="O515">INDEX(Tabl_B2_Fug!$D$60:$N$60,X_EMIS!L515)</f>
        <v>Isopropylbenzene (Cumene)</v>
      </c>
      <c r="P515" s="6" cm="1">
        <f t="array" aca="1" ref="P515" ca="1">INDEX(Tabl_B2_Fug!$O$61:$Y$71,K515,X_EMIS!L515)</f>
        <v>1.3039768358400001E-2</v>
      </c>
      <c r="Q515" cm="1">
        <f t="array" aca="1" ref="Q515" ca="1">INDEX(Tabl_B2_Fug!$D$61:$N$71,X_EMIS!K515,X_EMIS!L515)</f>
        <v>2.3760899211168001</v>
      </c>
    </row>
    <row r="516" spans="11:17">
      <c r="K516">
        <f t="shared" si="44"/>
        <v>8</v>
      </c>
      <c r="L516">
        <f t="shared" si="45"/>
        <v>8</v>
      </c>
      <c r="M516" t="str" cm="1">
        <f t="array" ref="M516">INDEX(Tabl_B2_Fug!$A$61:$A$71,X_EMIS!K516)</f>
        <v>LPS1</v>
      </c>
      <c r="N516" t="str" cm="1">
        <f t="array" ref="N516">INDEX(Tabl_B2_Fug!$D$59:$N$59,X_EMIS!L516)</f>
        <v>108-88-3</v>
      </c>
      <c r="O516" t="str" cm="1">
        <f t="array" ref="O516">INDEX(Tabl_B2_Fug!$D$60:$N$60,X_EMIS!L516)</f>
        <v>Toluene</v>
      </c>
      <c r="P516" s="6" cm="1">
        <f t="array" aca="1" ref="P516" ca="1">INDEX(Tabl_B2_Fug!$O$61:$Y$71,K516,X_EMIS!L516)</f>
        <v>0.223386195648</v>
      </c>
      <c r="Q516" cm="1">
        <f t="array" aca="1" ref="Q516" ca="1">INDEX(Tabl_B2_Fug!$D$61:$N$71,X_EMIS!K516,X_EMIS!L516)</f>
        <v>40.705147009295999</v>
      </c>
    </row>
    <row r="517" spans="11:17">
      <c r="K517">
        <f t="shared" si="44"/>
        <v>8</v>
      </c>
      <c r="L517">
        <f t="shared" si="45"/>
        <v>9</v>
      </c>
      <c r="M517" t="str" cm="1">
        <f t="array" ref="M517">INDEX(Tabl_B2_Fug!$A$61:$A$71,X_EMIS!K517)</f>
        <v>LPS1</v>
      </c>
      <c r="N517" t="str" cm="1">
        <f t="array" ref="N517">INDEX(Tabl_B2_Fug!$D$59:$N$59,X_EMIS!L517)</f>
        <v>110-54-3</v>
      </c>
      <c r="O517" t="str" cm="1">
        <f t="array" ref="O517">INDEX(Tabl_B2_Fug!$D$60:$N$60,X_EMIS!L517)</f>
        <v>Hexane</v>
      </c>
      <c r="P517" s="6" cm="1">
        <f t="array" aca="1" ref="P517" ca="1">INDEX(Tabl_B2_Fug!$O$61:$Y$71,K517,X_EMIS!L517)</f>
        <v>3.6874754784E-2</v>
      </c>
      <c r="Q517" cm="1">
        <f t="array" aca="1" ref="Q517" ca="1">INDEX(Tabl_B2_Fug!$D$61:$N$71,X_EMIS!K517,X_EMIS!L517)</f>
        <v>6.7192706785679999</v>
      </c>
    </row>
    <row r="518" spans="11:17">
      <c r="K518">
        <f t="shared" si="44"/>
        <v>8</v>
      </c>
      <c r="L518">
        <f t="shared" si="45"/>
        <v>10</v>
      </c>
      <c r="M518" t="str" cm="1">
        <f t="array" ref="M518">INDEX(Tabl_B2_Fug!$A$61:$A$71,X_EMIS!K518)</f>
        <v>LPS1</v>
      </c>
      <c r="N518" t="str" cm="1">
        <f t="array" ref="N518">INDEX(Tabl_B2_Fug!$D$59:$N$59,X_EMIS!L518)</f>
        <v>1330-20-7</v>
      </c>
      <c r="O518" t="str" cm="1">
        <f t="array" ref="O518">INDEX(Tabl_B2_Fug!$D$60:$N$60,X_EMIS!L518)</f>
        <v>Xylene (mixture), including m-xylene, o-xylene, p-xylene</v>
      </c>
      <c r="P518" s="6" cm="1">
        <f t="array" aca="1" ref="P518" ca="1">INDEX(Tabl_B2_Fug!$O$61:$Y$71,K518,X_EMIS!L518)</f>
        <v>0.37195404825600004</v>
      </c>
      <c r="Q518" cm="1">
        <f t="array" aca="1" ref="Q518" ca="1">INDEX(Tabl_B2_Fug!$D$61:$N$71,X_EMIS!K518,X_EMIS!L518)</f>
        <v>67.776991192512</v>
      </c>
    </row>
    <row r="519" spans="11:17">
      <c r="K519">
        <f t="shared" si="44"/>
        <v>8</v>
      </c>
      <c r="L519">
        <f t="shared" si="45"/>
        <v>11</v>
      </c>
      <c r="M519" t="str" cm="1">
        <f t="array" ref="M519">INDEX(Tabl_B2_Fug!$A$61:$A$71,X_EMIS!K519)</f>
        <v>LPS1</v>
      </c>
      <c r="N519" t="str" cm="1">
        <f t="array" ref="N519">INDEX(Tabl_B2_Fug!$D$59:$N$59,X_EMIS!L519)</f>
        <v>7783-06-4</v>
      </c>
      <c r="O519" t="str" cm="1">
        <f t="array" ref="O519">INDEX(Tabl_B2_Fug!$D$60:$N$60,X_EMIS!L519)</f>
        <v>Hydrogen sulfide</v>
      </c>
      <c r="P519" s="6" cm="1">
        <f t="array" aca="1" ref="P519" ca="1">INDEX(Tabl_B2_Fug!$O$61:$Y$71,K519,X_EMIS!L519)</f>
        <v>1.8170169024000003E-2</v>
      </c>
      <c r="Q519" cm="1">
        <f t="array" aca="1" ref="Q519" ca="1">INDEX(Tabl_B2_Fug!$D$61:$N$71,X_EMIS!K519,X_EMIS!L519)</f>
        <v>3.3109449720480004</v>
      </c>
    </row>
    <row r="520" spans="11:17">
      <c r="K520">
        <f t="shared" si="44"/>
        <v>9</v>
      </c>
      <c r="L520">
        <f t="shared" si="45"/>
        <v>1</v>
      </c>
      <c r="M520" t="str" cm="1">
        <f t="array" ref="M520">INDEX(Tabl_B2_Fug!$A$61:$A$71,X_EMIS!K520)</f>
        <v>LPS2</v>
      </c>
      <c r="N520" t="str" cm="1">
        <f t="array" ref="N520">INDEX(Tabl_B2_Fug!$D$59:$N$59,X_EMIS!L520)</f>
        <v>91-57-6</v>
      </c>
      <c r="O520" t="str" cm="1">
        <f t="array" ref="O520">INDEX(Tabl_B2_Fug!$D$60:$N$60,X_EMIS!L520)</f>
        <v>2-Methyl naphthalene</v>
      </c>
      <c r="P520" s="6" cm="1">
        <f t="array" aca="1" ref="P520" ca="1">INDEX(Tabl_B2_Fug!$O$61:$Y$71,K520,X_EMIS!L520)</f>
        <v>2.6309197200000002E-2</v>
      </c>
      <c r="Q520" cm="1">
        <f t="array" aca="1" ref="Q520" ca="1">INDEX(Tabl_B2_Fug!$D$61:$N$71,X_EMIS!K520,X_EMIS!L520)</f>
        <v>7.3103757887160015</v>
      </c>
    </row>
    <row r="521" spans="11:17">
      <c r="K521">
        <f t="shared" si="44"/>
        <v>9</v>
      </c>
      <c r="L521">
        <f t="shared" si="45"/>
        <v>2</v>
      </c>
      <c r="M521" t="str" cm="1">
        <f t="array" ref="M521">INDEX(Tabl_B2_Fug!$A$61:$A$71,X_EMIS!K521)</f>
        <v>LPS2</v>
      </c>
      <c r="N521" t="str" cm="1">
        <f t="array" ref="N521">INDEX(Tabl_B2_Fug!$D$59:$N$59,X_EMIS!L521)</f>
        <v>91-20-3</v>
      </c>
      <c r="O521" t="str" cm="1">
        <f t="array" ref="O521">INDEX(Tabl_B2_Fug!$D$60:$N$60,X_EMIS!L521)</f>
        <v>Naphthalene</v>
      </c>
      <c r="P521" s="6" cm="1">
        <f t="array" aca="1" ref="P521" ca="1">INDEX(Tabl_B2_Fug!$O$61:$Y$71,K521,X_EMIS!L521)</f>
        <v>1.5270373200000001E-2</v>
      </c>
      <c r="Q521" cm="1">
        <f t="array" aca="1" ref="Q521" ca="1">INDEX(Tabl_B2_Fug!$D$61:$N$71,X_EMIS!K521,X_EMIS!L521)</f>
        <v>4.2430852479960004</v>
      </c>
    </row>
    <row r="522" spans="11:17">
      <c r="K522">
        <f t="shared" si="44"/>
        <v>9</v>
      </c>
      <c r="L522">
        <f t="shared" si="45"/>
        <v>3</v>
      </c>
      <c r="M522" t="str" cm="1">
        <f t="array" ref="M522">INDEX(Tabl_B2_Fug!$A$61:$A$71,X_EMIS!K522)</f>
        <v>LPS2</v>
      </c>
      <c r="N522" t="str" cm="1">
        <f t="array" ref="N522">INDEX(Tabl_B2_Fug!$D$59:$N$59,X_EMIS!L522)</f>
        <v>108-95-2</v>
      </c>
      <c r="O522" t="str" cm="1">
        <f t="array" ref="O522">INDEX(Tabl_B2_Fug!$D$60:$N$60,X_EMIS!L522)</f>
        <v>Phenol</v>
      </c>
      <c r="P522" s="6" cm="1">
        <f t="array" aca="1" ref="P522" ca="1">INDEX(Tabl_B2_Fug!$O$61:$Y$71,K522,X_EMIS!L522)</f>
        <v>3.2104579800000006E-4</v>
      </c>
      <c r="Q522" cm="1">
        <f t="array" aca="1" ref="Q522" ca="1">INDEX(Tabl_B2_Fug!$D$61:$N$71,X_EMIS!K522,X_EMIS!L522)</f>
        <v>8.9207033225940008E-2</v>
      </c>
    </row>
    <row r="523" spans="11:17">
      <c r="K523">
        <f t="shared" si="44"/>
        <v>9</v>
      </c>
      <c r="L523">
        <f t="shared" si="45"/>
        <v>4</v>
      </c>
      <c r="M523" t="str" cm="1">
        <f t="array" ref="M523">INDEX(Tabl_B2_Fug!$A$61:$A$71,X_EMIS!K523)</f>
        <v>LPS2</v>
      </c>
      <c r="N523" t="str" cm="1">
        <f t="array" ref="N523">INDEX(Tabl_B2_Fug!$D$59:$N$59,X_EMIS!L523)</f>
        <v>1319-77-3</v>
      </c>
      <c r="O523" t="str" cm="1">
        <f t="array" ref="O523">INDEX(Tabl_B2_Fug!$D$60:$N$60,X_EMIS!L523)</f>
        <v>Cresols (mixture), including m-cresol, o-cresol, p-cresol</v>
      </c>
      <c r="P523" s="6" cm="1">
        <f t="array" aca="1" ref="P523" ca="1">INDEX(Tabl_B2_Fug!$O$61:$Y$71,K523,X_EMIS!L523)</f>
        <v>1.1958726000000001E-4</v>
      </c>
      <c r="Q523" cm="1">
        <f t="array" aca="1" ref="Q523" ca="1">INDEX(Tabl_B2_Fug!$D$61:$N$71,X_EMIS!K523,X_EMIS!L523)</f>
        <v>3.3228980857800003E-2</v>
      </c>
    </row>
    <row r="524" spans="11:17">
      <c r="K524">
        <f t="shared" si="44"/>
        <v>9</v>
      </c>
      <c r="L524">
        <f t="shared" si="45"/>
        <v>5</v>
      </c>
      <c r="M524" t="str" cm="1">
        <f t="array" ref="M524">INDEX(Tabl_B2_Fug!$A$61:$A$71,X_EMIS!K524)</f>
        <v>LPS2</v>
      </c>
      <c r="N524" t="str" cm="1">
        <f t="array" ref="N524">INDEX(Tabl_B2_Fug!$D$59:$N$59,X_EMIS!L524)</f>
        <v>71-43-2</v>
      </c>
      <c r="O524" t="str" cm="1">
        <f t="array" ref="O524">INDEX(Tabl_B2_Fug!$D$60:$N$60,X_EMIS!L524)</f>
        <v>Benzene</v>
      </c>
      <c r="P524" s="6" cm="1">
        <f t="array" aca="1" ref="P524" ca="1">INDEX(Tabl_B2_Fug!$O$61:$Y$71,K524,X_EMIS!L524)</f>
        <v>2.1341726400000002E-3</v>
      </c>
      <c r="Q524" cm="1">
        <f t="array" aca="1" ref="Q524" ca="1">INDEX(Tabl_B2_Fug!$D$61:$N$71,X_EMIS!K524,X_EMIS!L524)</f>
        <v>0.59300950453920009</v>
      </c>
    </row>
    <row r="525" spans="11:17">
      <c r="K525">
        <f t="shared" si="44"/>
        <v>9</v>
      </c>
      <c r="L525">
        <f t="shared" si="45"/>
        <v>6</v>
      </c>
      <c r="M525" t="str" cm="1">
        <f t="array" ref="M525">INDEX(Tabl_B2_Fug!$A$61:$A$71,X_EMIS!K525)</f>
        <v>LPS2</v>
      </c>
      <c r="N525" t="str" cm="1">
        <f t="array" ref="N525">INDEX(Tabl_B2_Fug!$D$59:$N$59,X_EMIS!L525)</f>
        <v>100-41-4</v>
      </c>
      <c r="O525" t="str" cm="1">
        <f t="array" ref="O525">INDEX(Tabl_B2_Fug!$D$60:$N$60,X_EMIS!L525)</f>
        <v>Ethyl benzene</v>
      </c>
      <c r="P525" s="6" cm="1">
        <f t="array" aca="1" ref="P525" ca="1">INDEX(Tabl_B2_Fug!$O$61:$Y$71,K525,X_EMIS!L525)</f>
        <v>5.4182227800000007E-3</v>
      </c>
      <c r="Q525" cm="1">
        <f t="array" aca="1" ref="Q525" ca="1">INDEX(Tabl_B2_Fug!$D$61:$N$71,X_EMIS!K525,X_EMIS!L525)</f>
        <v>1.5055284404034002</v>
      </c>
    </row>
    <row r="526" spans="11:17">
      <c r="K526">
        <f t="shared" si="44"/>
        <v>9</v>
      </c>
      <c r="L526">
        <f t="shared" si="45"/>
        <v>7</v>
      </c>
      <c r="M526" t="str" cm="1">
        <f t="array" ref="M526">INDEX(Tabl_B2_Fug!$A$61:$A$71,X_EMIS!K526)</f>
        <v>LPS2</v>
      </c>
      <c r="N526" t="str" cm="1">
        <f t="array" ref="N526">INDEX(Tabl_B2_Fug!$D$59:$N$59,X_EMIS!L526)</f>
        <v>98-82-8</v>
      </c>
      <c r="O526" t="str" cm="1">
        <f t="array" ref="O526">INDEX(Tabl_B2_Fug!$D$60:$N$60,X_EMIS!L526)</f>
        <v>Isopropylbenzene (Cumene)</v>
      </c>
      <c r="P526" s="6" cm="1">
        <f t="array" aca="1" ref="P526" ca="1">INDEX(Tabl_B2_Fug!$O$61:$Y$71,K526,X_EMIS!L526)</f>
        <v>1.12228044E-3</v>
      </c>
      <c r="Q526" cm="1">
        <f t="array" aca="1" ref="Q526" ca="1">INDEX(Tabl_B2_Fug!$D$61:$N$71,X_EMIS!K526,X_EMIS!L526)</f>
        <v>0.3118412049732</v>
      </c>
    </row>
    <row r="527" spans="11:17">
      <c r="K527">
        <f t="shared" si="44"/>
        <v>9</v>
      </c>
      <c r="L527">
        <f t="shared" si="45"/>
        <v>8</v>
      </c>
      <c r="M527" t="str" cm="1">
        <f t="array" ref="M527">INDEX(Tabl_B2_Fug!$A$61:$A$71,X_EMIS!K527)</f>
        <v>LPS2</v>
      </c>
      <c r="N527" t="str" cm="1">
        <f t="array" ref="N527">INDEX(Tabl_B2_Fug!$D$59:$N$59,X_EMIS!L527)</f>
        <v>108-88-3</v>
      </c>
      <c r="O527" t="str" cm="1">
        <f t="array" ref="O527">INDEX(Tabl_B2_Fug!$D$60:$N$60,X_EMIS!L527)</f>
        <v>Toluene</v>
      </c>
      <c r="P527" s="6" cm="1">
        <f t="array" aca="1" ref="P527" ca="1">INDEX(Tabl_B2_Fug!$O$61:$Y$71,K527,X_EMIS!L527)</f>
        <v>1.9225951800000002E-2</v>
      </c>
      <c r="Q527" cm="1">
        <f t="array" aca="1" ref="Q527" ca="1">INDEX(Tabl_B2_Fug!$D$61:$N$71,X_EMIS!K527,X_EMIS!L527)</f>
        <v>5.3421976917540004</v>
      </c>
    </row>
    <row r="528" spans="11:17">
      <c r="K528">
        <f t="shared" si="44"/>
        <v>9</v>
      </c>
      <c r="L528">
        <f t="shared" si="45"/>
        <v>9</v>
      </c>
      <c r="M528" t="str" cm="1">
        <f t="array" ref="M528">INDEX(Tabl_B2_Fug!$A$61:$A$71,X_EMIS!K528)</f>
        <v>LPS2</v>
      </c>
      <c r="N528" t="str" cm="1">
        <f t="array" ref="N528">INDEX(Tabl_B2_Fug!$D$59:$N$59,X_EMIS!L528)</f>
        <v>110-54-3</v>
      </c>
      <c r="O528" t="str" cm="1">
        <f t="array" ref="O528">INDEX(Tabl_B2_Fug!$D$60:$N$60,X_EMIS!L528)</f>
        <v>Hexane</v>
      </c>
      <c r="P528" s="6" cm="1">
        <f t="array" aca="1" ref="P528" ca="1">INDEX(Tabl_B2_Fug!$O$61:$Y$71,K528,X_EMIS!L528)</f>
        <v>3.1736619000000002E-3</v>
      </c>
      <c r="Q528" cm="1">
        <f t="array" aca="1" ref="Q528" ca="1">INDEX(Tabl_B2_Fug!$D$61:$N$71,X_EMIS!K528,X_EMIS!L528)</f>
        <v>0.88184603045700005</v>
      </c>
    </row>
    <row r="529" spans="11:17">
      <c r="K529">
        <f t="shared" si="44"/>
        <v>9</v>
      </c>
      <c r="L529">
        <f t="shared" si="45"/>
        <v>10</v>
      </c>
      <c r="M529" t="str" cm="1">
        <f t="array" ref="M529">INDEX(Tabl_B2_Fug!$A$61:$A$71,X_EMIS!K529)</f>
        <v>LPS2</v>
      </c>
      <c r="N529" t="str" cm="1">
        <f t="array" ref="N529">INDEX(Tabl_B2_Fug!$D$59:$N$59,X_EMIS!L529)</f>
        <v>1330-20-7</v>
      </c>
      <c r="O529" t="str" cm="1">
        <f t="array" ref="O529">INDEX(Tabl_B2_Fug!$D$60:$N$60,X_EMIS!L529)</f>
        <v>Xylene (mixture), including m-xylene, o-xylene, p-xylene</v>
      </c>
      <c r="P529" s="6" cm="1">
        <f t="array" aca="1" ref="P529" ca="1">INDEX(Tabl_B2_Fug!$O$61:$Y$71,K529,X_EMIS!L529)</f>
        <v>3.2012589600000002E-2</v>
      </c>
      <c r="Q529" cm="1">
        <f t="array" aca="1" ref="Q529" ca="1">INDEX(Tabl_B2_Fug!$D$61:$N$71,X_EMIS!K529,X_EMIS!L529)</f>
        <v>8.8951425680880014</v>
      </c>
    </row>
    <row r="530" spans="11:17">
      <c r="K530">
        <f t="shared" si="44"/>
        <v>9</v>
      </c>
      <c r="L530">
        <f t="shared" si="45"/>
        <v>11</v>
      </c>
      <c r="M530" t="str" cm="1">
        <f t="array" ref="M530">INDEX(Tabl_B2_Fug!$A$61:$A$71,X_EMIS!K530)</f>
        <v>LPS2</v>
      </c>
      <c r="N530" t="str" cm="1">
        <f t="array" ref="N530">INDEX(Tabl_B2_Fug!$D$59:$N$59,X_EMIS!L530)</f>
        <v>7783-06-4</v>
      </c>
      <c r="O530" t="str" cm="1">
        <f t="array" ref="O530">INDEX(Tabl_B2_Fug!$D$60:$N$60,X_EMIS!L530)</f>
        <v>Hydrogen sulfide</v>
      </c>
      <c r="P530" s="6" cm="1">
        <f t="array" aca="1" ref="P530" ca="1">INDEX(Tabl_B2_Fug!$O$61:$Y$71,K530,X_EMIS!L530)</f>
        <v>1.5638334000000003E-3</v>
      </c>
      <c r="Q530" cm="1">
        <f t="array" aca="1" ref="Q530" ca="1">INDEX(Tabl_B2_Fug!$D$61:$N$71,X_EMIS!K530,X_EMIS!L530)</f>
        <v>0.4345328266020001</v>
      </c>
    </row>
    <row r="531" spans="11:17">
      <c r="K531">
        <f t="shared" si="44"/>
        <v>10</v>
      </c>
      <c r="L531">
        <f t="shared" si="45"/>
        <v>1</v>
      </c>
      <c r="M531" t="str" cm="1">
        <f t="array" ref="M531">INDEX(Tabl_B2_Fug!$A$61:$A$71,X_EMIS!K531)</f>
        <v>LDARREF</v>
      </c>
      <c r="N531" t="str" cm="1">
        <f t="array" ref="N531">INDEX(Tabl_B2_Fug!$D$59:$N$59,X_EMIS!L531)</f>
        <v>91-57-6</v>
      </c>
      <c r="O531" t="str" cm="1">
        <f t="array" ref="O531">INDEX(Tabl_B2_Fug!$D$60:$N$60,X_EMIS!L531)</f>
        <v>2-Methyl naphthalene</v>
      </c>
      <c r="P531" s="6" cm="1">
        <f t="array" aca="1" ref="P531" ca="1">INDEX(Tabl_B2_Fug!$O$61:$Y$71,K531,X_EMIS!L531)</f>
        <v>2.047953336E-5</v>
      </c>
      <c r="Q531" cm="1">
        <f t="array" aca="1" ref="Q531" ca="1">INDEX(Tabl_B2_Fug!$D$61:$N$71,X_EMIS!K531,X_EMIS!L531)</f>
        <v>7.4635087784399989E-3</v>
      </c>
    </row>
    <row r="532" spans="11:17">
      <c r="K532">
        <f t="shared" si="44"/>
        <v>10</v>
      </c>
      <c r="L532">
        <f t="shared" si="45"/>
        <v>2</v>
      </c>
      <c r="M532" t="str" cm="1">
        <f t="array" ref="M532">INDEX(Tabl_B2_Fug!$A$61:$A$71,X_EMIS!K532)</f>
        <v>LDARREF</v>
      </c>
      <c r="N532" t="str" cm="1">
        <f t="array" ref="N532">INDEX(Tabl_B2_Fug!$D$59:$N$59,X_EMIS!L532)</f>
        <v>91-20-3</v>
      </c>
      <c r="O532" t="str" cm="1">
        <f t="array" ref="O532">INDEX(Tabl_B2_Fug!$D$60:$N$60,X_EMIS!L532)</f>
        <v>Naphthalene</v>
      </c>
      <c r="P532" s="6" cm="1">
        <f t="array" aca="1" ref="P532" ca="1">INDEX(Tabl_B2_Fug!$O$61:$Y$71,K532,X_EMIS!L532)</f>
        <v>1.188672216E-5</v>
      </c>
      <c r="Q532" cm="1">
        <f t="array" aca="1" ref="Q532" ca="1">INDEX(Tabl_B2_Fug!$D$61:$N$71,X_EMIS!K532,X_EMIS!L532)</f>
        <v>4.3319666336399994E-3</v>
      </c>
    </row>
    <row r="533" spans="11:17">
      <c r="K533">
        <f t="shared" si="44"/>
        <v>10</v>
      </c>
      <c r="L533">
        <f t="shared" si="45"/>
        <v>3</v>
      </c>
      <c r="M533" t="str" cm="1">
        <f t="array" ref="M533">INDEX(Tabl_B2_Fug!$A$61:$A$71,X_EMIS!K533)</f>
        <v>LDARREF</v>
      </c>
      <c r="N533" t="str" cm="1">
        <f t="array" ref="N533">INDEX(Tabl_B2_Fug!$D$59:$N$59,X_EMIS!L533)</f>
        <v>108-95-2</v>
      </c>
      <c r="O533" t="str" cm="1">
        <f t="array" ref="O533">INDEX(Tabl_B2_Fug!$D$60:$N$60,X_EMIS!L533)</f>
        <v>Phenol</v>
      </c>
      <c r="P533" s="6" cm="1">
        <f t="array" aca="1" ref="P533" ca="1">INDEX(Tabl_B2_Fug!$O$61:$Y$71,K533,X_EMIS!L533)</f>
        <v>2.4990759239999997E-7</v>
      </c>
      <c r="Q533" cm="1">
        <f t="array" aca="1" ref="Q533" ca="1">INDEX(Tabl_B2_Fug!$D$61:$N$71,X_EMIS!K533,X_EMIS!L533)</f>
        <v>9.1075684044599994E-5</v>
      </c>
    </row>
    <row r="534" spans="11:17">
      <c r="K534">
        <f t="shared" si="44"/>
        <v>10</v>
      </c>
      <c r="L534">
        <f t="shared" si="45"/>
        <v>4</v>
      </c>
      <c r="M534" t="str" cm="1">
        <f t="array" ref="M534">INDEX(Tabl_B2_Fug!$A$61:$A$71,X_EMIS!K534)</f>
        <v>LDARREF</v>
      </c>
      <c r="N534" t="str" cm="1">
        <f t="array" ref="N534">INDEX(Tabl_B2_Fug!$D$59:$N$59,X_EMIS!L534)</f>
        <v>1319-77-3</v>
      </c>
      <c r="O534" t="str" cm="1">
        <f t="array" ref="O534">INDEX(Tabl_B2_Fug!$D$60:$N$60,X_EMIS!L534)</f>
        <v>Cresols (mixture), including m-cresol, o-cresol, p-cresol</v>
      </c>
      <c r="P534" s="6" cm="1">
        <f t="array" aca="1" ref="P534" ca="1">INDEX(Tabl_B2_Fug!$O$61:$Y$71,K534,X_EMIS!L534)</f>
        <v>9.3088787999999993E-8</v>
      </c>
      <c r="Q534" cm="1">
        <f t="array" aca="1" ref="Q534" ca="1">INDEX(Tabl_B2_Fug!$D$61:$N$71,X_EMIS!K534,X_EMIS!L534)</f>
        <v>3.392503990199999E-5</v>
      </c>
    </row>
    <row r="535" spans="11:17">
      <c r="K535">
        <f t="shared" si="44"/>
        <v>10</v>
      </c>
      <c r="L535">
        <f t="shared" si="45"/>
        <v>5</v>
      </c>
      <c r="M535" t="str" cm="1">
        <f t="array" ref="M535">INDEX(Tabl_B2_Fug!$A$61:$A$71,X_EMIS!K535)</f>
        <v>LDARREF</v>
      </c>
      <c r="N535" t="str" cm="1">
        <f t="array" ref="N535">INDEX(Tabl_B2_Fug!$D$59:$N$59,X_EMIS!L535)</f>
        <v>71-43-2</v>
      </c>
      <c r="O535" t="str" cm="1">
        <f t="array" ref="O535">INDEX(Tabl_B2_Fug!$D$60:$N$60,X_EMIS!L535)</f>
        <v>Benzene</v>
      </c>
      <c r="P535" s="6" cm="1">
        <f t="array" aca="1" ref="P535" ca="1">INDEX(Tabl_B2_Fug!$O$61:$Y$71,K535,X_EMIS!L535)</f>
        <v>1.6612768319999999E-6</v>
      </c>
      <c r="Q535" cm="1">
        <f t="array" aca="1" ref="Q535" ca="1">INDEX(Tabl_B2_Fug!$D$61:$N$71,X_EMIS!K535,X_EMIS!L535)</f>
        <v>6.0543148132799994E-4</v>
      </c>
    </row>
    <row r="536" spans="11:17">
      <c r="K536">
        <f t="shared" si="44"/>
        <v>10</v>
      </c>
      <c r="L536">
        <f t="shared" si="45"/>
        <v>6</v>
      </c>
      <c r="M536" t="str" cm="1">
        <f t="array" ref="M536">INDEX(Tabl_B2_Fug!$A$61:$A$71,X_EMIS!K536)</f>
        <v>LDARREF</v>
      </c>
      <c r="N536" t="str" cm="1">
        <f t="array" ref="N536">INDEX(Tabl_B2_Fug!$D$59:$N$59,X_EMIS!L536)</f>
        <v>100-41-4</v>
      </c>
      <c r="O536" t="str" cm="1">
        <f t="array" ref="O536">INDEX(Tabl_B2_Fug!$D$60:$N$60,X_EMIS!L536)</f>
        <v>Ethyl benzene</v>
      </c>
      <c r="P536" s="6" cm="1">
        <f t="array" aca="1" ref="P536" ca="1">INDEX(Tabl_B2_Fug!$O$61:$Y$71,K536,X_EMIS!L536)</f>
        <v>4.217638164E-6</v>
      </c>
      <c r="Q536" cm="1">
        <f t="array" aca="1" ref="Q536" ca="1">INDEX(Tabl_B2_Fug!$D$61:$N$71,X_EMIS!K536,X_EMIS!L536)</f>
        <v>1.5370652694059997E-3</v>
      </c>
    </row>
    <row r="537" spans="11:17">
      <c r="K537">
        <f t="shared" si="44"/>
        <v>10</v>
      </c>
      <c r="L537">
        <f t="shared" si="45"/>
        <v>7</v>
      </c>
      <c r="M537" t="str" cm="1">
        <f t="array" ref="M537">INDEX(Tabl_B2_Fug!$A$61:$A$71,X_EMIS!K537)</f>
        <v>LDARREF</v>
      </c>
      <c r="N537" t="str" cm="1">
        <f t="array" ref="N537">INDEX(Tabl_B2_Fug!$D$59:$N$59,X_EMIS!L537)</f>
        <v>98-82-8</v>
      </c>
      <c r="O537" t="str" cm="1">
        <f t="array" ref="O537">INDEX(Tabl_B2_Fug!$D$60:$N$60,X_EMIS!L537)</f>
        <v>Isopropylbenzene (Cumene)</v>
      </c>
      <c r="P537" s="6" cm="1">
        <f t="array" aca="1" ref="P537" ca="1">INDEX(Tabl_B2_Fug!$O$61:$Y$71,K537,X_EMIS!L537)</f>
        <v>8.7360247199999996E-7</v>
      </c>
      <c r="Q537" cm="1">
        <f t="array" aca="1" ref="Q537" ca="1">INDEX(Tabl_B2_Fug!$D$61:$N$71,X_EMIS!K537,X_EMIS!L537)</f>
        <v>3.1837345138799994E-4</v>
      </c>
    </row>
    <row r="538" spans="11:17">
      <c r="K538">
        <f t="shared" si="44"/>
        <v>10</v>
      </c>
      <c r="L538">
        <f t="shared" si="45"/>
        <v>8</v>
      </c>
      <c r="M538" t="str" cm="1">
        <f t="array" ref="M538">INDEX(Tabl_B2_Fug!$A$61:$A$71,X_EMIS!K538)</f>
        <v>LDARREF</v>
      </c>
      <c r="N538" t="str" cm="1">
        <f t="array" ref="N538">INDEX(Tabl_B2_Fug!$D$59:$N$59,X_EMIS!L538)</f>
        <v>108-88-3</v>
      </c>
      <c r="O538" t="str" cm="1">
        <f t="array" ref="O538">INDEX(Tabl_B2_Fug!$D$60:$N$60,X_EMIS!L538)</f>
        <v>Toluene</v>
      </c>
      <c r="P538" s="6" cm="1">
        <f t="array" aca="1" ref="P538" ca="1">INDEX(Tabl_B2_Fug!$O$61:$Y$71,K538,X_EMIS!L538)</f>
        <v>1.4965812839999998E-5</v>
      </c>
      <c r="Q538" cm="1">
        <f t="array" aca="1" ref="Q538" ca="1">INDEX(Tabl_B2_Fug!$D$61:$N$71,X_EMIS!K538,X_EMIS!L538)</f>
        <v>5.4541025688599988E-3</v>
      </c>
    </row>
    <row r="539" spans="11:17">
      <c r="K539">
        <f t="shared" si="44"/>
        <v>10</v>
      </c>
      <c r="L539">
        <f t="shared" si="45"/>
        <v>9</v>
      </c>
      <c r="M539" t="str" cm="1">
        <f t="array" ref="M539">INDEX(Tabl_B2_Fug!$A$61:$A$71,X_EMIS!K539)</f>
        <v>LDARREF</v>
      </c>
      <c r="N539" t="str" cm="1">
        <f t="array" ref="N539">INDEX(Tabl_B2_Fug!$D$59:$N$59,X_EMIS!L539)</f>
        <v>110-54-3</v>
      </c>
      <c r="O539" t="str" cm="1">
        <f t="array" ref="O539">INDEX(Tabl_B2_Fug!$D$60:$N$60,X_EMIS!L539)</f>
        <v>Hexane</v>
      </c>
      <c r="P539" s="6" cm="1">
        <f t="array" aca="1" ref="P539" ca="1">INDEX(Tabl_B2_Fug!$O$61:$Y$71,K539,X_EMIS!L539)</f>
        <v>2.4704332199999999E-6</v>
      </c>
      <c r="Q539" cm="1">
        <f t="array" aca="1" ref="Q539" ca="1">INDEX(Tabl_B2_Fug!$D$61:$N$71,X_EMIS!K539,X_EMIS!L539)</f>
        <v>9.0031836662999979E-4</v>
      </c>
    </row>
    <row r="540" spans="11:17">
      <c r="K540">
        <f t="shared" si="44"/>
        <v>10</v>
      </c>
      <c r="L540">
        <f t="shared" si="45"/>
        <v>10</v>
      </c>
      <c r="M540" t="str" cm="1">
        <f t="array" ref="M540">INDEX(Tabl_B2_Fug!$A$61:$A$71,X_EMIS!K540)</f>
        <v>LDARREF</v>
      </c>
      <c r="N540" t="str" cm="1">
        <f t="array" ref="N540">INDEX(Tabl_B2_Fug!$D$59:$N$59,X_EMIS!L540)</f>
        <v>1330-20-7</v>
      </c>
      <c r="O540" t="str" cm="1">
        <f t="array" ref="O540">INDEX(Tabl_B2_Fug!$D$60:$N$60,X_EMIS!L540)</f>
        <v>Xylene (mixture), including m-xylene, o-xylene, p-xylene</v>
      </c>
      <c r="P540" s="6" cm="1">
        <f t="array" aca="1" ref="P540" ca="1">INDEX(Tabl_B2_Fug!$O$61:$Y$71,K540,X_EMIS!L540)</f>
        <v>2.4919152479999997E-5</v>
      </c>
      <c r="Q540" cm="1">
        <f t="array" aca="1" ref="Q540" ca="1">INDEX(Tabl_B2_Fug!$D$61:$N$71,X_EMIS!K540,X_EMIS!L540)</f>
        <v>9.081472219919999E-3</v>
      </c>
    </row>
    <row r="541" spans="11:17">
      <c r="K541">
        <f t="shared" si="44"/>
        <v>10</v>
      </c>
      <c r="L541">
        <f t="shared" si="45"/>
        <v>11</v>
      </c>
      <c r="M541" t="str" cm="1">
        <f t="array" ref="M541">INDEX(Tabl_B2_Fug!$A$61:$A$71,X_EMIS!K541)</f>
        <v>LDARREF</v>
      </c>
      <c r="N541" t="str" cm="1">
        <f t="array" ref="N541">INDEX(Tabl_B2_Fug!$D$59:$N$59,X_EMIS!L541)</f>
        <v>7783-06-4</v>
      </c>
      <c r="O541" t="str" cm="1">
        <f t="array" ref="O541">INDEX(Tabl_B2_Fug!$D$60:$N$60,X_EMIS!L541)</f>
        <v>Hydrogen sulfide</v>
      </c>
      <c r="P541" s="6" cm="1">
        <f t="array" aca="1" ref="P541" ca="1">INDEX(Tabl_B2_Fug!$O$61:$Y$71,K541,X_EMIS!L541)</f>
        <v>1.2173149200000001E-6</v>
      </c>
      <c r="Q541" cm="1">
        <f t="array" aca="1" ref="Q541" ca="1">INDEX(Tabl_B2_Fug!$D$61:$N$71,X_EMIS!K541,X_EMIS!L541)</f>
        <v>4.4363513717999995E-4</v>
      </c>
    </row>
    <row r="542" spans="11:17">
      <c r="K542">
        <f t="shared" si="44"/>
        <v>11</v>
      </c>
      <c r="L542">
        <f t="shared" si="45"/>
        <v>1</v>
      </c>
      <c r="M542" t="str" cm="1">
        <f t="array" ref="M542">INDEX(Tabl_B2_Fug!$A$61:$A$71,X_EMIS!K542)</f>
        <v>LDARLPSSULF</v>
      </c>
      <c r="N542" t="str" cm="1">
        <f t="array" ref="N542">INDEX(Tabl_B2_Fug!$D$59:$N$59,X_EMIS!L542)</f>
        <v>91-57-6</v>
      </c>
      <c r="O542" t="str" cm="1">
        <f t="array" ref="O542">INDEX(Tabl_B2_Fug!$D$60:$N$60,X_EMIS!L542)</f>
        <v>2-Methyl naphthalene</v>
      </c>
      <c r="P542" s="6" cm="1">
        <f t="array" aca="1" ref="P542" ca="1">INDEX(Tabl_B2_Fug!$O$61:$Y$71,K542,X_EMIS!L542)</f>
        <v>2.8551725030399997E-5</v>
      </c>
      <c r="Q542" cm="1">
        <f t="array" aca="1" ref="Q542" ca="1">INDEX(Tabl_B2_Fug!$D$61:$N$71,X_EMIS!K542,X_EMIS!L542)</f>
        <v>1.0405317672921601E-2</v>
      </c>
    </row>
    <row r="543" spans="11:17">
      <c r="K543">
        <f t="shared" si="44"/>
        <v>11</v>
      </c>
      <c r="L543">
        <f t="shared" si="45"/>
        <v>2</v>
      </c>
      <c r="M543" t="str" cm="1">
        <f t="array" ref="M543">INDEX(Tabl_B2_Fug!$A$61:$A$71,X_EMIS!K543)</f>
        <v>LDARLPSSULF</v>
      </c>
      <c r="N543" t="str" cm="1">
        <f t="array" ref="N543">INDEX(Tabl_B2_Fug!$D$59:$N$59,X_EMIS!L543)</f>
        <v>91-20-3</v>
      </c>
      <c r="O543" t="str" cm="1">
        <f t="array" ref="O543">INDEX(Tabl_B2_Fug!$D$60:$N$60,X_EMIS!L543)</f>
        <v>Naphthalene</v>
      </c>
      <c r="P543" s="6" cm="1">
        <f t="array" aca="1" ref="P543" ca="1">INDEX(Tabl_B2_Fug!$O$61:$Y$71,K543,X_EMIS!L543)</f>
        <v>1.6571980262399997E-5</v>
      </c>
      <c r="Q543" cm="1">
        <f t="array" aca="1" ref="Q543" ca="1">INDEX(Tabl_B2_Fug!$D$61:$N$71,X_EMIS!K543,X_EMIS!L543)</f>
        <v>6.0394501178496008E-3</v>
      </c>
    </row>
    <row r="544" spans="11:17">
      <c r="K544">
        <f t="shared" si="44"/>
        <v>11</v>
      </c>
      <c r="L544">
        <f t="shared" si="45"/>
        <v>3</v>
      </c>
      <c r="M544" t="str" cm="1">
        <f t="array" ref="M544">INDEX(Tabl_B2_Fug!$A$61:$A$71,X_EMIS!K544)</f>
        <v>LDARLPSSULF</v>
      </c>
      <c r="N544" t="str" cm="1">
        <f t="array" ref="N544">INDEX(Tabl_B2_Fug!$D$59:$N$59,X_EMIS!L544)</f>
        <v>108-95-2</v>
      </c>
      <c r="O544" t="str" cm="1">
        <f t="array" ref="O544">INDEX(Tabl_B2_Fug!$D$60:$N$60,X_EMIS!L544)</f>
        <v>Phenol</v>
      </c>
      <c r="P544" s="6" cm="1">
        <f t="array" aca="1" ref="P544" ca="1">INDEX(Tabl_B2_Fug!$O$61:$Y$71,K544,X_EMIS!L544)</f>
        <v>3.4841091033599997E-7</v>
      </c>
      <c r="Q544" cm="1">
        <f t="array" aca="1" ref="Q544" ca="1">INDEX(Tabl_B2_Fug!$D$61:$N$71,X_EMIS!K544,X_EMIS!L544)</f>
        <v>1.2697398139334401E-4</v>
      </c>
    </row>
    <row r="545" spans="10:20">
      <c r="K545">
        <f t="shared" si="44"/>
        <v>11</v>
      </c>
      <c r="L545">
        <f t="shared" si="45"/>
        <v>4</v>
      </c>
      <c r="M545" t="str" cm="1">
        <f t="array" ref="M545">INDEX(Tabl_B2_Fug!$A$61:$A$71,X_EMIS!K545)</f>
        <v>LDARLPSSULF</v>
      </c>
      <c r="N545" t="str" cm="1">
        <f t="array" ref="N545">INDEX(Tabl_B2_Fug!$D$59:$N$59,X_EMIS!L545)</f>
        <v>1319-77-3</v>
      </c>
      <c r="O545" t="str" cm="1">
        <f t="array" ref="O545">INDEX(Tabl_B2_Fug!$D$60:$N$60,X_EMIS!L545)</f>
        <v>Cresols (mixture), including m-cresol, o-cresol, p-cresol</v>
      </c>
      <c r="P545" s="6" cm="1">
        <f t="array" aca="1" ref="P545" ca="1">INDEX(Tabl_B2_Fug!$O$61:$Y$71,K545,X_EMIS!L545)</f>
        <v>1.2978056831999998E-7</v>
      </c>
      <c r="Q545" cm="1">
        <f t="array" aca="1" ref="Q545" ca="1">INDEX(Tabl_B2_Fug!$D$61:$N$71,X_EMIS!K545,X_EMIS!L545)</f>
        <v>4.7296898513280003E-5</v>
      </c>
    </row>
    <row r="546" spans="10:20">
      <c r="K546">
        <f t="shared" si="44"/>
        <v>11</v>
      </c>
      <c r="L546">
        <f t="shared" si="45"/>
        <v>5</v>
      </c>
      <c r="M546" t="str" cm="1">
        <f t="array" ref="M546">INDEX(Tabl_B2_Fug!$A$61:$A$71,X_EMIS!K546)</f>
        <v>LDARLPSSULF</v>
      </c>
      <c r="N546" t="str" cm="1">
        <f t="array" ref="N546">INDEX(Tabl_B2_Fug!$D$59:$N$59,X_EMIS!L546)</f>
        <v>71-43-2</v>
      </c>
      <c r="O546" t="str" cm="1">
        <f t="array" ref="O546">INDEX(Tabl_B2_Fug!$D$60:$N$60,X_EMIS!L546)</f>
        <v>Benzene</v>
      </c>
      <c r="P546" s="6" cm="1">
        <f t="array" aca="1" ref="P546" ca="1">INDEX(Tabl_B2_Fug!$O$61:$Y$71,K546,X_EMIS!L546)</f>
        <v>2.3160839884799997E-6</v>
      </c>
      <c r="Q546" cm="1">
        <f t="array" aca="1" ref="Q546" ca="1">INDEX(Tabl_B2_Fug!$D$61:$N$71,X_EMIS!K546,X_EMIS!L546)</f>
        <v>8.4406772731392013E-4</v>
      </c>
    </row>
    <row r="547" spans="10:20">
      <c r="K547">
        <f t="shared" si="44"/>
        <v>11</v>
      </c>
      <c r="L547">
        <f t="shared" si="45"/>
        <v>6</v>
      </c>
      <c r="M547" t="str" cm="1">
        <f t="array" ref="M547">INDEX(Tabl_B2_Fug!$A$61:$A$71,X_EMIS!K547)</f>
        <v>LDARLPSSULF</v>
      </c>
      <c r="N547" t="str" cm="1">
        <f t="array" ref="N547">INDEX(Tabl_B2_Fug!$D$59:$N$59,X_EMIS!L547)</f>
        <v>100-41-4</v>
      </c>
      <c r="O547" t="str" cm="1">
        <f t="array" ref="O547">INDEX(Tabl_B2_Fug!$D$60:$N$60,X_EMIS!L547)</f>
        <v>Ethyl benzene</v>
      </c>
      <c r="P547" s="6" cm="1">
        <f t="array" aca="1" ref="P547" ca="1">INDEX(Tabl_B2_Fug!$O$61:$Y$71,K547,X_EMIS!L547)</f>
        <v>5.8800580569599993E-6</v>
      </c>
      <c r="Q547" cm="1">
        <f t="array" aca="1" ref="Q547" ca="1">INDEX(Tabl_B2_Fug!$D$61:$N$71,X_EMIS!K547,X_EMIS!L547)</f>
        <v>2.1429133249478401E-3</v>
      </c>
    </row>
    <row r="548" spans="10:20">
      <c r="K548">
        <f t="shared" si="44"/>
        <v>11</v>
      </c>
      <c r="L548">
        <f t="shared" si="45"/>
        <v>7</v>
      </c>
      <c r="M548" t="str" cm="1">
        <f t="array" ref="M548">INDEX(Tabl_B2_Fug!$A$61:$A$71,X_EMIS!K548)</f>
        <v>LDARLPSSULF</v>
      </c>
      <c r="N548" t="str" cm="1">
        <f t="array" ref="N548">INDEX(Tabl_B2_Fug!$D$59:$N$59,X_EMIS!L548)</f>
        <v>98-82-8</v>
      </c>
      <c r="O548" t="str" cm="1">
        <f t="array" ref="O548">INDEX(Tabl_B2_Fug!$D$60:$N$60,X_EMIS!L548)</f>
        <v>Isopropylbenzene (Cumene)</v>
      </c>
      <c r="P548" s="6" cm="1">
        <f t="array" aca="1" ref="P548" ca="1">INDEX(Tabl_B2_Fug!$O$61:$Y$71,K548,X_EMIS!L548)</f>
        <v>1.2179407180799998E-6</v>
      </c>
      <c r="Q548" cm="1">
        <f t="array" aca="1" ref="Q548" ca="1">INDEX(Tabl_B2_Fug!$D$61:$N$71,X_EMIS!K548,X_EMIS!L548)</f>
        <v>4.4386320143232006E-4</v>
      </c>
    </row>
    <row r="549" spans="10:20">
      <c r="K549">
        <f t="shared" si="44"/>
        <v>11</v>
      </c>
      <c r="L549">
        <f t="shared" si="45"/>
        <v>8</v>
      </c>
      <c r="M549" t="str" cm="1">
        <f t="array" ref="M549">INDEX(Tabl_B2_Fug!$A$61:$A$71,X_EMIS!K549)</f>
        <v>LDARLPSSULF</v>
      </c>
      <c r="N549" t="str" cm="1">
        <f t="array" ref="N549">INDEX(Tabl_B2_Fug!$D$59:$N$59,X_EMIS!L549)</f>
        <v>108-88-3</v>
      </c>
      <c r="O549" t="str" cm="1">
        <f t="array" ref="O549">INDEX(Tabl_B2_Fug!$D$60:$N$60,X_EMIS!L549)</f>
        <v>Toluene</v>
      </c>
      <c r="P549" s="6" cm="1">
        <f t="array" aca="1" ref="P549" ca="1">INDEX(Tabl_B2_Fug!$O$61:$Y$71,K549,X_EMIS!L549)</f>
        <v>2.0864722137599998E-5</v>
      </c>
      <c r="Q549" cm="1">
        <f t="array" aca="1" ref="Q549" ca="1">INDEX(Tabl_B2_Fug!$D$61:$N$71,X_EMIS!K549,X_EMIS!L549)</f>
        <v>7.6038859917504E-3</v>
      </c>
    </row>
    <row r="550" spans="10:20">
      <c r="K550">
        <f t="shared" si="44"/>
        <v>11</v>
      </c>
      <c r="L550">
        <f t="shared" si="45"/>
        <v>9</v>
      </c>
      <c r="M550" t="str" cm="1">
        <f t="array" ref="M550">INDEX(Tabl_B2_Fug!$A$61:$A$71,X_EMIS!K550)</f>
        <v>LDARLPSSULF</v>
      </c>
      <c r="N550" t="str" cm="1">
        <f t="array" ref="N550">INDEX(Tabl_B2_Fug!$D$59:$N$59,X_EMIS!L550)</f>
        <v>110-54-3</v>
      </c>
      <c r="O550" t="str" cm="1">
        <f t="array" ref="O550">INDEX(Tabl_B2_Fug!$D$60:$N$60,X_EMIS!L550)</f>
        <v>Hexane</v>
      </c>
      <c r="P550" s="6" cm="1">
        <f t="array" aca="1" ref="P550" ca="1">INDEX(Tabl_B2_Fug!$O$61:$Y$71,K550,X_EMIS!L550)</f>
        <v>3.4441766207999996E-6</v>
      </c>
      <c r="Q550" cm="1">
        <f t="array" aca="1" ref="Q550" ca="1">INDEX(Tabl_B2_Fug!$D$61:$N$71,X_EMIS!K550,X_EMIS!L550)</f>
        <v>1.2551869220832001E-3</v>
      </c>
    </row>
    <row r="551" spans="10:20">
      <c r="K551">
        <f t="shared" si="44"/>
        <v>11</v>
      </c>
      <c r="L551">
        <f t="shared" si="45"/>
        <v>10</v>
      </c>
      <c r="M551" t="str" cm="1">
        <f t="array" ref="M551">INDEX(Tabl_B2_Fug!$A$61:$A$71,X_EMIS!K551)</f>
        <v>LDARLPSSULF</v>
      </c>
      <c r="N551" t="str" cm="1">
        <f t="array" ref="N551">INDEX(Tabl_B2_Fug!$D$59:$N$59,X_EMIS!L551)</f>
        <v>1330-20-7</v>
      </c>
      <c r="O551" t="str" cm="1">
        <f t="array" ref="O551">INDEX(Tabl_B2_Fug!$D$60:$N$60,X_EMIS!L551)</f>
        <v>Xylene (mixture), including m-xylene, o-xylene, p-xylene</v>
      </c>
      <c r="P551" s="6" cm="1">
        <f t="array" aca="1" ref="P551" ca="1">INDEX(Tabl_B2_Fug!$O$61:$Y$71,K551,X_EMIS!L551)</f>
        <v>3.4741259827199996E-5</v>
      </c>
      <c r="Q551" cm="1">
        <f t="array" aca="1" ref="Q551" ca="1">INDEX(Tabl_B2_Fug!$D$61:$N$71,X_EMIS!K551,X_EMIS!L551)</f>
        <v>1.2661015909708801E-2</v>
      </c>
    </row>
    <row r="552" spans="10:20">
      <c r="J552">
        <v>1</v>
      </c>
      <c r="K552">
        <f t="shared" si="44"/>
        <v>11</v>
      </c>
      <c r="L552">
        <f t="shared" si="45"/>
        <v>11</v>
      </c>
      <c r="M552" t="str" cm="1">
        <f t="array" ref="M552">INDEX(Tabl_B2_Fug!$A$61:$A$71,X_EMIS!K552)</f>
        <v>LDARLPSSULF</v>
      </c>
      <c r="N552" t="str" cm="1">
        <f t="array" ref="N552">INDEX(Tabl_B2_Fug!$D$59:$N$59,X_EMIS!L552)</f>
        <v>7783-06-4</v>
      </c>
      <c r="O552" t="str" cm="1">
        <f t="array" ref="O552">INDEX(Tabl_B2_Fug!$D$60:$N$60,X_EMIS!L552)</f>
        <v>Hydrogen sulfide</v>
      </c>
      <c r="P552" s="6" cm="1">
        <f t="array" aca="1" ref="P552" ca="1">INDEX(Tabl_B2_Fug!$O$61:$Y$71,K552,X_EMIS!L552)</f>
        <v>1.6971305087999999E-6</v>
      </c>
      <c r="Q552" cm="1">
        <f t="array" aca="1" ref="Q552" ca="1">INDEX(Tabl_B2_Fug!$D$61:$N$71,X_EMIS!K552,X_EMIS!L552)</f>
        <v>6.1849790363520017E-4</v>
      </c>
      <c r="T552" s="6">
        <f>SUM(Q553:Q563)</f>
        <v>46.016864045126269</v>
      </c>
    </row>
    <row r="553" spans="10:20">
      <c r="M553" t="s">
        <v>1399</v>
      </c>
      <c r="N553" t="str">
        <f>Tabl_B5_TLoad!B47</f>
        <v>91-57-6</v>
      </c>
      <c r="O553" t="str">
        <f>Tabl_B5_TLoad!A47</f>
        <v>2-Methyl naphthalene</v>
      </c>
      <c r="P553" s="6">
        <f>Tabl_B5_TLoad!D47</f>
        <v>3.1094653830542874E-2</v>
      </c>
      <c r="Q553" s="6">
        <f>Tabl_B5_TLoad!E47</f>
        <v>11.349548648148149</v>
      </c>
    </row>
    <row r="554" spans="10:20">
      <c r="M554" t="s">
        <v>1399</v>
      </c>
      <c r="N554" t="str">
        <f>Tabl_B5_TLoad!B48</f>
        <v>91-20-3</v>
      </c>
      <c r="O554" t="str">
        <f>Tabl_B5_TLoad!A48</f>
        <v>Naphthalene</v>
      </c>
      <c r="P554" s="6">
        <f>Tabl_B5_TLoad!D48</f>
        <v>1.8047945929615793E-2</v>
      </c>
      <c r="Q554" s="6">
        <f>Tabl_B5_TLoad!E48</f>
        <v>6.5875002643097647</v>
      </c>
      <c r="S554" s="241">
        <f>SUM(P553:P563)</f>
        <v>0.12607360012363361</v>
      </c>
    </row>
    <row r="555" spans="10:20">
      <c r="M555" t="s">
        <v>1399</v>
      </c>
      <c r="N555" t="str">
        <f>Tabl_B5_TLoad!B49</f>
        <v>108-95-2</v>
      </c>
      <c r="O555" t="str">
        <f>Tabl_B5_TLoad!A49</f>
        <v>Phenol</v>
      </c>
      <c r="P555" s="6">
        <f>Tabl_B5_TLoad!D49</f>
        <v>3.794417547852959E-4</v>
      </c>
      <c r="Q555" s="6">
        <f>Tabl_B5_TLoad!E49</f>
        <v>0.13849624049663301</v>
      </c>
    </row>
    <row r="556" spans="10:20">
      <c r="M556" t="s">
        <v>1399</v>
      </c>
      <c r="N556" t="str">
        <f>Tabl_B5_TLoad!B50</f>
        <v>1319-77-3</v>
      </c>
      <c r="O556" t="str">
        <f>Tabl_B5_TLoad!A50</f>
        <v>Cresols (mixture), including m-cresol, o-cresol, p-cresol</v>
      </c>
      <c r="P556" s="6">
        <f>Tabl_B5_TLoad!D50</f>
        <v>1.4133933559337669E-4</v>
      </c>
      <c r="Q556" s="6">
        <f>Tabl_B5_TLoad!E50</f>
        <v>5.1588857491582492E-2</v>
      </c>
    </row>
    <row r="557" spans="10:20">
      <c r="M557" t="s">
        <v>1399</v>
      </c>
      <c r="N557" t="str">
        <f>Tabl_B5_TLoad!B51</f>
        <v>71-43-2</v>
      </c>
      <c r="O557" t="str">
        <f>Tabl_B5_TLoad!A51</f>
        <v>Benzene</v>
      </c>
      <c r="P557" s="6">
        <f>Tabl_B5_TLoad!D51</f>
        <v>2.5223635275125689E-3</v>
      </c>
      <c r="Q557" s="6">
        <f>Tabl_B5_TLoad!E51</f>
        <v>0.92066268754208758</v>
      </c>
    </row>
    <row r="558" spans="10:20">
      <c r="M558" t="s">
        <v>1399</v>
      </c>
      <c r="N558" t="str">
        <f>Tabl_B5_TLoad!B52</f>
        <v>100-41-4</v>
      </c>
      <c r="O558" t="str">
        <f>Tabl_B5_TLoad!A52</f>
        <v>Ethyl benzene</v>
      </c>
      <c r="P558" s="6">
        <f>Tabl_B5_TLoad!D52</f>
        <v>6.4037591280383752E-3</v>
      </c>
      <c r="Q558" s="6">
        <f>Tabl_B5_TLoad!E52</f>
        <v>2.3373720817340069</v>
      </c>
    </row>
    <row r="559" spans="10:20">
      <c r="M559" t="s">
        <v>1399</v>
      </c>
      <c r="N559" t="str">
        <f>Tabl_B5_TLoad!B53</f>
        <v>98-82-8</v>
      </c>
      <c r="O559" t="str">
        <f>Tabl_B5_TLoad!A53</f>
        <v>Isopropylbenzene (Cumene)</v>
      </c>
      <c r="P559" s="6">
        <f>Tabl_B5_TLoad!D53</f>
        <v>1.3264153032609197E-3</v>
      </c>
      <c r="Q559" s="6">
        <f>Tabl_B5_TLoad!E53</f>
        <v>0.48414158569023569</v>
      </c>
    </row>
    <row r="560" spans="10:20">
      <c r="M560" t="s">
        <v>1399</v>
      </c>
      <c r="N560" t="str">
        <f>Tabl_B5_TLoad!B54</f>
        <v>108-88-3</v>
      </c>
      <c r="O560" t="str">
        <f>Tabl_B5_TLoad!A54</f>
        <v>Toluene</v>
      </c>
      <c r="P560" s="6">
        <f>Tabl_B5_TLoad!D54</f>
        <v>2.2723016260781329E-2</v>
      </c>
      <c r="Q560" s="6">
        <f>Tabl_B5_TLoad!E54</f>
        <v>8.2939009351851851</v>
      </c>
    </row>
    <row r="561" spans="13:17">
      <c r="M561" t="s">
        <v>1399</v>
      </c>
      <c r="N561" t="str">
        <f>Tabl_B5_TLoad!B55</f>
        <v>110-54-3</v>
      </c>
      <c r="O561" t="str">
        <f>Tabl_B5_TLoad!A55</f>
        <v>Hexane</v>
      </c>
      <c r="P561" s="6">
        <f>Tabl_B5_TLoad!D55</f>
        <v>3.7509285215165354E-3</v>
      </c>
      <c r="Q561" s="6">
        <f>Tabl_B5_TLoad!E55</f>
        <v>1.3690889103535353</v>
      </c>
    </row>
    <row r="562" spans="13:17">
      <c r="M562" t="s">
        <v>1399</v>
      </c>
      <c r="N562" t="str">
        <f>Tabl_B5_TLoad!B56</f>
        <v>1330-20-7</v>
      </c>
      <c r="O562" t="str">
        <f>Tabl_B5_TLoad!A56</f>
        <v>Xylene (mixture), including m-xylene, o-xylene, p-xylene</v>
      </c>
      <c r="P562" s="6">
        <f>Tabl_B5_TLoad!D56</f>
        <v>3.7835452912688534E-2</v>
      </c>
      <c r="Q562" s="6">
        <f>Tabl_B5_TLoad!E56</f>
        <v>13.809940313131314</v>
      </c>
    </row>
    <row r="563" spans="13:17">
      <c r="M563" t="s">
        <v>1399</v>
      </c>
      <c r="N563" t="str">
        <f>Tabl_B5_TLoad!B57</f>
        <v>7783-06-4</v>
      </c>
      <c r="O563" t="str">
        <f>Tabl_B5_TLoad!A57</f>
        <v>Hydrogen sulfide</v>
      </c>
      <c r="P563" s="6">
        <f>Tabl_B5_TLoad!D57</f>
        <v>1.8482836192980031E-3</v>
      </c>
      <c r="Q563" s="6">
        <f>Tabl_B5_TLoad!E57</f>
        <v>0.6746235210437711</v>
      </c>
    </row>
    <row r="564" spans="13:17">
      <c r="P564" s="6"/>
      <c r="Q564" s="6"/>
    </row>
  </sheetData>
  <autoFilter ref="M15:Q563" xr:uid="{FABEF199-A417-4428-88B8-8151966D241C}"/>
  <sortState xmlns:xlrd2="http://schemas.microsoft.com/office/spreadsheetml/2017/richdata2" ref="E68:E176">
    <sortCondition ref="E68:E17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52F2-C15E-4D90-8D1E-6F8A0E3F240D}">
  <dimension ref="A1:B5"/>
  <sheetViews>
    <sheetView workbookViewId="0"/>
  </sheetViews>
  <sheetFormatPr baseColWidth="10" defaultColWidth="11" defaultRowHeight="16"/>
  <sheetData>
    <row r="1" spans="1:2">
      <c r="A1" t="s">
        <v>1615</v>
      </c>
    </row>
    <row r="3" spans="1:2">
      <c r="A3" s="243">
        <v>44741</v>
      </c>
      <c r="B3" t="s">
        <v>1616</v>
      </c>
    </row>
    <row r="5" spans="1:2">
      <c r="A5" s="243">
        <v>44743</v>
      </c>
      <c r="B5" t="s">
        <v>1618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45E4-55AA-B04B-89A9-C661FA258737}">
  <sheetPr codeName="Sheet2"/>
  <dimension ref="A1:I206"/>
  <sheetViews>
    <sheetView topLeftCell="A185" workbookViewId="0">
      <selection activeCell="C206" sqref="C206"/>
    </sheetView>
  </sheetViews>
  <sheetFormatPr baseColWidth="10" defaultColWidth="11" defaultRowHeight="16"/>
  <cols>
    <col min="2" max="2" width="45.6640625" customWidth="1"/>
    <col min="3" max="3" width="23" customWidth="1"/>
    <col min="4" max="4" width="11" style="217"/>
    <col min="8" max="8" width="21.83203125" customWidth="1"/>
    <col min="9" max="9" width="19" customWidth="1"/>
  </cols>
  <sheetData>
    <row r="1" spans="2:8" ht="19">
      <c r="B1" s="188" t="s">
        <v>1528</v>
      </c>
      <c r="C1" s="44"/>
    </row>
    <row r="2" spans="2:8" ht="19">
      <c r="B2" s="188" t="s">
        <v>1529</v>
      </c>
    </row>
    <row r="4" spans="2:8">
      <c r="B4" s="4" t="s">
        <v>1553</v>
      </c>
      <c r="C4" t="s">
        <v>1554</v>
      </c>
    </row>
    <row r="5" spans="2:8">
      <c r="B5" s="4" t="s">
        <v>29</v>
      </c>
      <c r="C5" t="s">
        <v>1398</v>
      </c>
    </row>
    <row r="6" spans="2:8">
      <c r="B6" s="4" t="s">
        <v>30</v>
      </c>
      <c r="C6" t="s">
        <v>1555</v>
      </c>
    </row>
    <row r="8" spans="2:8" ht="19">
      <c r="B8" s="171" t="s">
        <v>31</v>
      </c>
      <c r="H8" t="s">
        <v>1245</v>
      </c>
    </row>
    <row r="9" spans="2:8">
      <c r="H9" t="s">
        <v>1246</v>
      </c>
    </row>
    <row r="10" spans="2:8">
      <c r="B10" t="s">
        <v>32</v>
      </c>
      <c r="C10">
        <v>24</v>
      </c>
      <c r="D10" s="217" t="s">
        <v>34</v>
      </c>
      <c r="H10" t="s">
        <v>1617</v>
      </c>
    </row>
    <row r="11" spans="2:8">
      <c r="B11" t="s">
        <v>33</v>
      </c>
      <c r="C11">
        <v>8760</v>
      </c>
      <c r="D11" s="217" t="s">
        <v>35</v>
      </c>
      <c r="H11" t="s">
        <v>1251</v>
      </c>
    </row>
    <row r="12" spans="2:8">
      <c r="H12" t="s">
        <v>1446</v>
      </c>
    </row>
    <row r="13" spans="2:8">
      <c r="B13" t="s">
        <v>1241</v>
      </c>
      <c r="C13" s="12">
        <f>C14/365</f>
        <v>2100</v>
      </c>
      <c r="D13" s="217" t="s">
        <v>1242</v>
      </c>
      <c r="H13" t="s">
        <v>1264</v>
      </c>
    </row>
    <row r="14" spans="2:8">
      <c r="B14" t="s">
        <v>1241</v>
      </c>
      <c r="C14" s="12">
        <v>766500</v>
      </c>
      <c r="D14" s="217" t="s">
        <v>1243</v>
      </c>
      <c r="H14" t="s">
        <v>1447</v>
      </c>
    </row>
    <row r="15" spans="2:8">
      <c r="C15" s="12"/>
    </row>
    <row r="16" spans="2:8">
      <c r="B16" t="s">
        <v>1252</v>
      </c>
      <c r="C16" s="12">
        <v>57</v>
      </c>
      <c r="D16" s="217" t="s">
        <v>1254</v>
      </c>
    </row>
    <row r="17" spans="2:5">
      <c r="B17" t="s">
        <v>1253</v>
      </c>
      <c r="C17" s="12">
        <v>140</v>
      </c>
      <c r="D17" s="217" t="s">
        <v>1256</v>
      </c>
    </row>
    <row r="18" spans="2:5">
      <c r="C18" s="12"/>
    </row>
    <row r="19" spans="2:5">
      <c r="B19" t="s">
        <v>1255</v>
      </c>
      <c r="C19" s="12">
        <v>1398</v>
      </c>
      <c r="D19" s="217" t="s">
        <v>27</v>
      </c>
    </row>
    <row r="20" spans="2:5">
      <c r="B20" t="s">
        <v>1257</v>
      </c>
      <c r="C20" s="12">
        <v>140</v>
      </c>
      <c r="D20" s="217" t="s">
        <v>1256</v>
      </c>
    </row>
    <row r="21" spans="2:5">
      <c r="B21" t="s">
        <v>1258</v>
      </c>
      <c r="C21" s="17">
        <v>6.6189999999999999E-2</v>
      </c>
      <c r="D21" s="217" t="s">
        <v>1259</v>
      </c>
    </row>
    <row r="22" spans="2:5">
      <c r="B22" t="s">
        <v>1260</v>
      </c>
      <c r="C22" s="12">
        <f>C19/60/C21</f>
        <v>352.0169209850431</v>
      </c>
      <c r="D22" s="217" t="s">
        <v>1254</v>
      </c>
    </row>
    <row r="23" spans="2:5">
      <c r="C23" s="12"/>
    </row>
    <row r="24" spans="2:5">
      <c r="B24" t="s">
        <v>1428</v>
      </c>
      <c r="C24" s="12">
        <v>750</v>
      </c>
      <c r="D24" s="217" t="s">
        <v>1254</v>
      </c>
    </row>
    <row r="25" spans="2:5">
      <c r="B25" t="s">
        <v>1452</v>
      </c>
      <c r="C25" s="12">
        <v>140</v>
      </c>
      <c r="D25" s="217" t="s">
        <v>1256</v>
      </c>
    </row>
    <row r="26" spans="2:5">
      <c r="C26" s="12"/>
    </row>
    <row r="27" spans="2:5">
      <c r="B27" t="s">
        <v>1261</v>
      </c>
      <c r="C27" s="12">
        <f>C24+C22+C16</f>
        <v>1159.016920985043</v>
      </c>
      <c r="D27" s="217" t="s">
        <v>1254</v>
      </c>
    </row>
    <row r="28" spans="2:5">
      <c r="C28" s="12"/>
    </row>
    <row r="29" spans="2:5">
      <c r="B29" t="s">
        <v>1265</v>
      </c>
      <c r="C29" s="16">
        <v>1</v>
      </c>
      <c r="D29" s="217" t="s">
        <v>1266</v>
      </c>
    </row>
    <row r="30" spans="2:5">
      <c r="B30" t="s">
        <v>1267</v>
      </c>
      <c r="C30" s="12">
        <v>1020</v>
      </c>
      <c r="D30" s="217" t="s">
        <v>1268</v>
      </c>
    </row>
    <row r="31" spans="2:5">
      <c r="C31" s="12"/>
    </row>
    <row r="32" spans="2:5">
      <c r="B32" t="s">
        <v>1352</v>
      </c>
      <c r="C32" s="12">
        <v>3071</v>
      </c>
      <c r="D32" s="217" t="s">
        <v>1353</v>
      </c>
      <c r="E32" t="s">
        <v>1354</v>
      </c>
    </row>
    <row r="33" spans="1:9">
      <c r="C33" s="12"/>
    </row>
    <row r="34" spans="1:9" ht="19">
      <c r="B34" s="171" t="s">
        <v>1461</v>
      </c>
      <c r="C34" s="12"/>
    </row>
    <row r="36" spans="1:9" ht="34">
      <c r="A36" s="187" t="s">
        <v>1527</v>
      </c>
      <c r="B36" s="3" t="s">
        <v>1269</v>
      </c>
      <c r="C36" s="3" t="s">
        <v>24</v>
      </c>
      <c r="D36" s="216" t="s">
        <v>25</v>
      </c>
      <c r="E36" s="3" t="s">
        <v>26</v>
      </c>
      <c r="F36" s="216" t="s">
        <v>23</v>
      </c>
      <c r="G36" s="216" t="s">
        <v>22</v>
      </c>
      <c r="H36" s="3" t="s">
        <v>1234</v>
      </c>
      <c r="I36" s="3" t="s">
        <v>4</v>
      </c>
    </row>
    <row r="37" spans="1:9">
      <c r="A37" s="260" t="s">
        <v>1530</v>
      </c>
      <c r="B37" t="s">
        <v>124</v>
      </c>
      <c r="C37" t="s">
        <v>123</v>
      </c>
      <c r="D37" s="227">
        <v>3.7999999999999996E-6</v>
      </c>
      <c r="E37" s="2" t="s">
        <v>27</v>
      </c>
      <c r="F37" s="227">
        <f>D37*$C$11</f>
        <v>3.3287999999999998E-2</v>
      </c>
      <c r="G37" s="227">
        <f>D37*$C$10</f>
        <v>9.1199999999999994E-5</v>
      </c>
      <c r="H37" s="15" t="s">
        <v>1247</v>
      </c>
      <c r="I37" t="s">
        <v>1235</v>
      </c>
    </row>
    <row r="38" spans="1:9">
      <c r="A38" s="260"/>
      <c r="B38" t="s">
        <v>130</v>
      </c>
      <c r="C38" t="s">
        <v>129</v>
      </c>
      <c r="D38" s="227">
        <v>3.0000000000000001E-5</v>
      </c>
      <c r="E38" s="2" t="s">
        <v>27</v>
      </c>
      <c r="F38" s="227">
        <f t="shared" ref="F38:F53" si="0">D38*$C$11</f>
        <v>0.26280000000000003</v>
      </c>
      <c r="G38" s="227">
        <f t="shared" ref="G38:G53" si="1">D38*$C$10</f>
        <v>7.2000000000000005E-4</v>
      </c>
      <c r="H38" s="15" t="s">
        <v>1247</v>
      </c>
    </row>
    <row r="39" spans="1:9">
      <c r="A39" s="260"/>
      <c r="B39" t="s">
        <v>146</v>
      </c>
      <c r="C39" t="s">
        <v>145</v>
      </c>
      <c r="D39" s="227">
        <v>1.3000000000000001E-5</v>
      </c>
      <c r="E39" s="2" t="s">
        <v>27</v>
      </c>
      <c r="F39" s="227">
        <f t="shared" si="0"/>
        <v>0.11388000000000001</v>
      </c>
      <c r="G39" s="227">
        <f t="shared" si="1"/>
        <v>3.1199999999999999E-4</v>
      </c>
      <c r="H39" s="15" t="s">
        <v>1247</v>
      </c>
    </row>
    <row r="40" spans="1:9">
      <c r="A40" s="260"/>
      <c r="B40" t="s">
        <v>164</v>
      </c>
      <c r="C40" t="s">
        <v>163</v>
      </c>
      <c r="D40" s="227">
        <v>1.4999999999999999E-7</v>
      </c>
      <c r="E40" s="2" t="s">
        <v>27</v>
      </c>
      <c r="F40" s="227">
        <f t="shared" si="0"/>
        <v>1.3139999999999998E-3</v>
      </c>
      <c r="G40" s="227">
        <f t="shared" si="1"/>
        <v>3.5999999999999998E-6</v>
      </c>
      <c r="H40" s="15" t="s">
        <v>1247</v>
      </c>
      <c r="I40" t="s">
        <v>1236</v>
      </c>
    </row>
    <row r="41" spans="1:9">
      <c r="A41" s="260"/>
      <c r="B41" t="s">
        <v>214</v>
      </c>
      <c r="C41" t="s">
        <v>213</v>
      </c>
      <c r="D41" s="227">
        <v>2.9999999999999999E-7</v>
      </c>
      <c r="E41" s="2" t="s">
        <v>27</v>
      </c>
      <c r="F41" s="227">
        <f t="shared" si="0"/>
        <v>2.6279999999999997E-3</v>
      </c>
      <c r="G41" s="227">
        <f t="shared" si="1"/>
        <v>7.1999999999999997E-6</v>
      </c>
      <c r="H41" s="15" t="s">
        <v>1247</v>
      </c>
      <c r="I41" t="s">
        <v>1236</v>
      </c>
    </row>
    <row r="42" spans="1:9">
      <c r="A42" s="260"/>
      <c r="B42" t="s">
        <v>297</v>
      </c>
      <c r="C42" t="s">
        <v>296</v>
      </c>
      <c r="D42" s="227">
        <v>1.5999999999999999E-5</v>
      </c>
      <c r="E42" s="2" t="s">
        <v>27</v>
      </c>
      <c r="F42" s="227">
        <f t="shared" si="0"/>
        <v>0.14016000000000001</v>
      </c>
      <c r="G42" s="227">
        <f t="shared" si="1"/>
        <v>3.8400000000000001E-4</v>
      </c>
      <c r="H42" s="15" t="s">
        <v>1247</v>
      </c>
    </row>
    <row r="43" spans="1:9">
      <c r="A43" s="260"/>
      <c r="B43" t="s">
        <v>305</v>
      </c>
      <c r="C43" t="s">
        <v>304</v>
      </c>
      <c r="D43" s="227">
        <v>6.1999999999999999E-7</v>
      </c>
      <c r="E43" s="2" t="s">
        <v>27</v>
      </c>
      <c r="F43" s="227">
        <f t="shared" si="0"/>
        <v>5.4311999999999997E-3</v>
      </c>
      <c r="G43" s="227">
        <f t="shared" si="1"/>
        <v>1.488E-5</v>
      </c>
      <c r="H43" s="15" t="s">
        <v>1247</v>
      </c>
    </row>
    <row r="44" spans="1:9">
      <c r="A44" s="260"/>
      <c r="B44" t="s">
        <v>308</v>
      </c>
      <c r="C44" t="s">
        <v>307</v>
      </c>
      <c r="D44" s="227">
        <v>8.3000000000000002E-6</v>
      </c>
      <c r="E44" s="2" t="s">
        <v>27</v>
      </c>
      <c r="F44" s="227">
        <f t="shared" si="0"/>
        <v>7.2707999999999995E-2</v>
      </c>
      <c r="G44" s="227">
        <f t="shared" si="1"/>
        <v>1.9920000000000002E-4</v>
      </c>
      <c r="H44" s="15" t="s">
        <v>1247</v>
      </c>
    </row>
    <row r="45" spans="1:9">
      <c r="A45" s="260"/>
      <c r="B45" t="s">
        <v>611</v>
      </c>
      <c r="C45" t="s">
        <v>610</v>
      </c>
      <c r="D45" s="227">
        <v>2.0999999999999999E-5</v>
      </c>
      <c r="E45" s="2" t="s">
        <v>27</v>
      </c>
      <c r="F45" s="227">
        <f t="shared" si="0"/>
        <v>0.18395999999999998</v>
      </c>
      <c r="G45" s="227">
        <f t="shared" si="1"/>
        <v>5.04E-4</v>
      </c>
      <c r="H45" s="15" t="s">
        <v>1247</v>
      </c>
    </row>
    <row r="46" spans="1:9">
      <c r="A46" s="260"/>
      <c r="B46" t="s">
        <v>617</v>
      </c>
      <c r="C46" t="s">
        <v>616</v>
      </c>
      <c r="D46" s="227">
        <v>3.0000000000000001E-5</v>
      </c>
      <c r="E46" s="2" t="s">
        <v>27</v>
      </c>
      <c r="F46" s="227">
        <f t="shared" si="0"/>
        <v>0.26280000000000003</v>
      </c>
      <c r="G46" s="227">
        <f t="shared" si="1"/>
        <v>7.2000000000000005E-4</v>
      </c>
      <c r="H46" s="15" t="s">
        <v>1247</v>
      </c>
    </row>
    <row r="47" spans="1:9">
      <c r="A47" s="260"/>
      <c r="B47" t="s">
        <v>623</v>
      </c>
      <c r="C47" t="s">
        <v>622</v>
      </c>
      <c r="D47" s="227">
        <v>1.7E-6</v>
      </c>
      <c r="E47" s="2" t="s">
        <v>27</v>
      </c>
      <c r="F47" s="227">
        <f t="shared" si="0"/>
        <v>1.4892000000000001E-2</v>
      </c>
      <c r="G47" s="227">
        <f t="shared" si="1"/>
        <v>4.0800000000000002E-5</v>
      </c>
      <c r="H47" s="15" t="s">
        <v>1247</v>
      </c>
    </row>
    <row r="48" spans="1:9">
      <c r="A48" s="260"/>
      <c r="B48" t="s">
        <v>696</v>
      </c>
      <c r="C48" t="s">
        <v>1520</v>
      </c>
      <c r="D48" s="227">
        <v>1.1E-5</v>
      </c>
      <c r="E48" s="2" t="s">
        <v>27</v>
      </c>
      <c r="F48" s="227">
        <f t="shared" si="0"/>
        <v>9.6360000000000001E-2</v>
      </c>
      <c r="G48" s="227">
        <f t="shared" si="1"/>
        <v>2.6400000000000002E-4</v>
      </c>
      <c r="H48" s="15" t="s">
        <v>1247</v>
      </c>
    </row>
    <row r="49" spans="1:9">
      <c r="A49" s="260"/>
      <c r="B49" t="s">
        <v>832</v>
      </c>
      <c r="C49" t="s">
        <v>831</v>
      </c>
      <c r="D49" s="227">
        <v>7.0999999999999994E-2</v>
      </c>
      <c r="E49" s="2" t="s">
        <v>27</v>
      </c>
      <c r="F49" s="227">
        <f t="shared" si="0"/>
        <v>621.95999999999992</v>
      </c>
      <c r="G49" s="227">
        <f t="shared" si="1"/>
        <v>1.7039999999999997</v>
      </c>
      <c r="H49" s="15" t="s">
        <v>1247</v>
      </c>
    </row>
    <row r="50" spans="1:9">
      <c r="A50" s="260"/>
      <c r="B50" t="s">
        <v>1077</v>
      </c>
      <c r="C50" t="s">
        <v>1076</v>
      </c>
      <c r="D50" s="227">
        <v>1.4E-5</v>
      </c>
      <c r="E50" s="2" t="s">
        <v>27</v>
      </c>
      <c r="F50" s="227">
        <f t="shared" si="0"/>
        <v>0.12264</v>
      </c>
      <c r="G50" s="227">
        <f t="shared" si="1"/>
        <v>3.3599999999999998E-4</v>
      </c>
      <c r="H50" s="15" t="s">
        <v>1247</v>
      </c>
      <c r="I50" t="s">
        <v>1237</v>
      </c>
    </row>
    <row r="51" spans="1:9">
      <c r="A51" s="260"/>
      <c r="B51" t="s">
        <v>1083</v>
      </c>
      <c r="C51" t="s">
        <v>1082</v>
      </c>
      <c r="D51" s="227">
        <v>3.1999999999999999E-6</v>
      </c>
      <c r="E51" s="2" t="s">
        <v>27</v>
      </c>
      <c r="F51" s="227">
        <f t="shared" si="0"/>
        <v>2.8031999999999998E-2</v>
      </c>
      <c r="G51" s="227">
        <f t="shared" si="1"/>
        <v>7.6799999999999997E-5</v>
      </c>
      <c r="H51" s="15" t="s">
        <v>1247</v>
      </c>
    </row>
    <row r="52" spans="1:9">
      <c r="A52" s="260"/>
      <c r="B52" t="s">
        <v>1119</v>
      </c>
      <c r="C52" t="s">
        <v>1118</v>
      </c>
      <c r="D52" s="227">
        <v>7.5000000000000002E-6</v>
      </c>
      <c r="E52" s="2" t="s">
        <v>27</v>
      </c>
      <c r="F52" s="227">
        <f t="shared" si="0"/>
        <v>6.5700000000000008E-2</v>
      </c>
      <c r="G52" s="227">
        <f t="shared" si="1"/>
        <v>1.8000000000000001E-4</v>
      </c>
      <c r="H52" s="15" t="s">
        <v>1247</v>
      </c>
      <c r="I52" t="s">
        <v>1236</v>
      </c>
    </row>
    <row r="53" spans="1:9" ht="17" thickBot="1">
      <c r="A53" s="261"/>
      <c r="B53" s="221" t="s">
        <v>1231</v>
      </c>
      <c r="C53" s="221" t="s">
        <v>1230</v>
      </c>
      <c r="D53" s="228">
        <v>1.3999999999999999E-4</v>
      </c>
      <c r="E53" s="223" t="s">
        <v>27</v>
      </c>
      <c r="F53" s="228">
        <f t="shared" si="0"/>
        <v>1.2263999999999999</v>
      </c>
      <c r="G53" s="228">
        <f t="shared" si="1"/>
        <v>3.3599999999999997E-3</v>
      </c>
      <c r="H53" s="223" t="s">
        <v>1247</v>
      </c>
      <c r="I53" s="221"/>
    </row>
    <row r="54" spans="1:9" ht="17" thickTop="1">
      <c r="A54" s="262" t="s">
        <v>1577</v>
      </c>
      <c r="B54" t="s">
        <v>934</v>
      </c>
      <c r="C54" t="s">
        <v>933</v>
      </c>
      <c r="D54" s="227">
        <v>1.5400000000000001E-10</v>
      </c>
      <c r="E54" s="217" t="s">
        <v>27</v>
      </c>
      <c r="F54" s="227">
        <f t="shared" ref="F54" si="2">D54*$C$11</f>
        <v>1.3490400000000002E-6</v>
      </c>
      <c r="G54" s="227">
        <f t="shared" ref="G54" si="3">D54*$C$10</f>
        <v>3.6960000000000005E-9</v>
      </c>
      <c r="H54" s="217" t="s">
        <v>1576</v>
      </c>
    </row>
    <row r="55" spans="1:9">
      <c r="A55" s="260"/>
      <c r="B55" t="s">
        <v>936</v>
      </c>
      <c r="C55" t="s">
        <v>935</v>
      </c>
      <c r="D55" s="227">
        <v>3.6599999999999998E-10</v>
      </c>
      <c r="E55" s="217" t="s">
        <v>27</v>
      </c>
      <c r="F55" s="227">
        <f t="shared" ref="F55:F94" si="4">D55*$C$11</f>
        <v>3.2061599999999996E-6</v>
      </c>
      <c r="G55" s="227">
        <f t="shared" ref="G55:G94" si="5">D55*$C$10</f>
        <v>8.7839999999999994E-9</v>
      </c>
      <c r="H55" s="217" t="s">
        <v>1576</v>
      </c>
    </row>
    <row r="56" spans="1:9">
      <c r="A56" s="260"/>
      <c r="B56" t="s">
        <v>938</v>
      </c>
      <c r="C56" t="s">
        <v>937</v>
      </c>
      <c r="D56" s="227">
        <v>7.273833333333334E-11</v>
      </c>
      <c r="E56" s="217" t="s">
        <v>27</v>
      </c>
      <c r="F56" s="227">
        <f t="shared" si="4"/>
        <v>6.3718780000000002E-7</v>
      </c>
      <c r="G56" s="227">
        <f t="shared" si="5"/>
        <v>1.74572E-9</v>
      </c>
      <c r="H56" s="217" t="s">
        <v>1576</v>
      </c>
    </row>
    <row r="57" spans="1:9">
      <c r="A57" s="260"/>
      <c r="B57" t="s">
        <v>42</v>
      </c>
      <c r="C57" t="s">
        <v>958</v>
      </c>
      <c r="D57" s="227">
        <v>2.1500000000000002E-6</v>
      </c>
      <c r="E57" s="217" t="s">
        <v>27</v>
      </c>
      <c r="F57" s="227">
        <f t="shared" si="4"/>
        <v>1.8834E-2</v>
      </c>
      <c r="G57" s="227">
        <f t="shared" si="5"/>
        <v>5.1600000000000007E-5</v>
      </c>
      <c r="H57" s="217" t="s">
        <v>1576</v>
      </c>
    </row>
    <row r="58" spans="1:9">
      <c r="A58" s="260"/>
      <c r="B58" t="s">
        <v>45</v>
      </c>
      <c r="C58" t="s">
        <v>959</v>
      </c>
      <c r="D58" s="227">
        <v>5.31E-6</v>
      </c>
      <c r="E58" s="217" t="s">
        <v>27</v>
      </c>
      <c r="F58" s="227">
        <f t="shared" si="4"/>
        <v>4.6515599999999997E-2</v>
      </c>
      <c r="G58" s="227">
        <f t="shared" si="5"/>
        <v>1.2743999999999999E-4</v>
      </c>
      <c r="H58" s="217" t="s">
        <v>1576</v>
      </c>
    </row>
    <row r="59" spans="1:9">
      <c r="A59" s="260"/>
      <c r="B59" t="s">
        <v>48</v>
      </c>
      <c r="C59" t="s">
        <v>960</v>
      </c>
      <c r="D59" s="227">
        <v>2.9202E-6</v>
      </c>
      <c r="E59" s="217" t="s">
        <v>27</v>
      </c>
      <c r="F59" s="227">
        <f t="shared" si="4"/>
        <v>2.5580952000000001E-2</v>
      </c>
      <c r="G59" s="227">
        <f t="shared" si="5"/>
        <v>7.0084800000000004E-5</v>
      </c>
      <c r="H59" s="217" t="s">
        <v>1576</v>
      </c>
    </row>
    <row r="60" spans="1:9">
      <c r="A60" s="260"/>
      <c r="B60" t="s">
        <v>51</v>
      </c>
      <c r="C60" t="s">
        <v>963</v>
      </c>
      <c r="D60" s="227">
        <v>1.5200000000000001E-6</v>
      </c>
      <c r="E60" s="217" t="s">
        <v>27</v>
      </c>
      <c r="F60" s="227">
        <f t="shared" si="4"/>
        <v>1.3315200000000001E-2</v>
      </c>
      <c r="G60" s="227">
        <f t="shared" si="5"/>
        <v>3.6480000000000003E-5</v>
      </c>
      <c r="H60" s="217" t="s">
        <v>1576</v>
      </c>
    </row>
    <row r="61" spans="1:9">
      <c r="A61" s="260"/>
      <c r="B61" t="s">
        <v>54</v>
      </c>
      <c r="C61" t="s">
        <v>964</v>
      </c>
      <c r="D61" s="227">
        <v>2.4633333333333332E-8</v>
      </c>
      <c r="E61" s="217" t="s">
        <v>27</v>
      </c>
      <c r="F61" s="227">
        <f t="shared" si="4"/>
        <v>2.1578799999999999E-4</v>
      </c>
      <c r="G61" s="227">
        <f t="shared" si="5"/>
        <v>5.9119999999999995E-7</v>
      </c>
      <c r="H61" s="217" t="s">
        <v>1576</v>
      </c>
    </row>
    <row r="62" spans="1:9">
      <c r="A62" s="260"/>
      <c r="B62" t="s">
        <v>57</v>
      </c>
      <c r="C62" t="s">
        <v>965</v>
      </c>
      <c r="D62" s="227">
        <v>7.5499999999999997E-7</v>
      </c>
      <c r="E62" s="217" t="s">
        <v>27</v>
      </c>
      <c r="F62" s="227">
        <f t="shared" si="4"/>
        <v>6.6137999999999995E-3</v>
      </c>
      <c r="G62" s="227">
        <f t="shared" si="5"/>
        <v>1.8119999999999999E-5</v>
      </c>
      <c r="H62" s="217" t="s">
        <v>1576</v>
      </c>
    </row>
    <row r="63" spans="1:9">
      <c r="A63" s="260"/>
      <c r="B63" t="s">
        <v>60</v>
      </c>
      <c r="C63" t="s">
        <v>968</v>
      </c>
      <c r="D63" s="227">
        <v>1.85E-7</v>
      </c>
      <c r="E63" s="217" t="s">
        <v>27</v>
      </c>
      <c r="F63" s="227">
        <f t="shared" si="4"/>
        <v>1.6206E-3</v>
      </c>
      <c r="G63" s="227">
        <f t="shared" si="5"/>
        <v>4.4399999999999998E-6</v>
      </c>
      <c r="H63" s="217" t="s">
        <v>1576</v>
      </c>
    </row>
    <row r="64" spans="1:9">
      <c r="A64" s="260"/>
      <c r="B64" t="s">
        <v>63</v>
      </c>
      <c r="C64" t="s">
        <v>969</v>
      </c>
      <c r="D64" s="227">
        <v>1.02E-7</v>
      </c>
      <c r="E64" s="217" t="s">
        <v>27</v>
      </c>
      <c r="F64" s="227">
        <f t="shared" si="4"/>
        <v>8.9351999999999997E-4</v>
      </c>
      <c r="G64" s="227">
        <f t="shared" si="5"/>
        <v>2.4480000000000001E-6</v>
      </c>
      <c r="H64" s="217" t="s">
        <v>1576</v>
      </c>
    </row>
    <row r="65" spans="1:8">
      <c r="A65" s="260"/>
      <c r="B65" t="s">
        <v>66</v>
      </c>
      <c r="C65" t="s">
        <v>972</v>
      </c>
      <c r="D65" s="227">
        <v>1.4700000000000001E-7</v>
      </c>
      <c r="E65" s="217" t="s">
        <v>27</v>
      </c>
      <c r="F65" s="227">
        <f t="shared" si="4"/>
        <v>1.28772E-3</v>
      </c>
      <c r="G65" s="227">
        <f t="shared" si="5"/>
        <v>3.5279999999999999E-6</v>
      </c>
      <c r="H65" s="217" t="s">
        <v>1576</v>
      </c>
    </row>
    <row r="66" spans="1:8">
      <c r="A66" s="260"/>
      <c r="B66" t="s">
        <v>73</v>
      </c>
      <c r="C66" t="s">
        <v>975</v>
      </c>
      <c r="D66" s="227">
        <v>2.26E-6</v>
      </c>
      <c r="E66" s="217" t="s">
        <v>27</v>
      </c>
      <c r="F66" s="227">
        <f t="shared" si="4"/>
        <v>1.9797599999999999E-2</v>
      </c>
      <c r="G66" s="227">
        <f t="shared" si="5"/>
        <v>5.4239999999999996E-5</v>
      </c>
      <c r="H66" s="217" t="s">
        <v>1576</v>
      </c>
    </row>
    <row r="67" spans="1:8">
      <c r="A67" s="260"/>
      <c r="B67" t="s">
        <v>79</v>
      </c>
      <c r="C67" t="s">
        <v>995</v>
      </c>
      <c r="D67" s="227">
        <v>6.64E-6</v>
      </c>
      <c r="E67" s="217" t="s">
        <v>27</v>
      </c>
      <c r="F67" s="227">
        <f t="shared" si="4"/>
        <v>5.81664E-2</v>
      </c>
      <c r="G67" s="227">
        <f t="shared" si="5"/>
        <v>1.5935999999999999E-4</v>
      </c>
      <c r="H67" s="217" t="s">
        <v>1576</v>
      </c>
    </row>
    <row r="68" spans="1:8">
      <c r="A68" s="260"/>
      <c r="B68" t="s">
        <v>82</v>
      </c>
      <c r="C68" t="s">
        <v>996</v>
      </c>
      <c r="D68" s="227">
        <v>8.9900000000000003E-6</v>
      </c>
      <c r="E68" s="217" t="s">
        <v>27</v>
      </c>
      <c r="F68" s="227">
        <f t="shared" si="4"/>
        <v>7.87524E-2</v>
      </c>
      <c r="G68" s="227">
        <f t="shared" si="5"/>
        <v>2.1576000000000001E-4</v>
      </c>
      <c r="H68" s="217" t="s">
        <v>1576</v>
      </c>
    </row>
    <row r="69" spans="1:8">
      <c r="A69" s="260"/>
      <c r="B69" t="s">
        <v>88</v>
      </c>
      <c r="C69" t="s">
        <v>998</v>
      </c>
      <c r="D69" s="227">
        <v>2.14E-4</v>
      </c>
      <c r="E69" s="217" t="s">
        <v>27</v>
      </c>
      <c r="F69" s="227">
        <f t="shared" si="4"/>
        <v>1.8746400000000001</v>
      </c>
      <c r="G69" s="227">
        <f t="shared" si="5"/>
        <v>5.1359999999999999E-3</v>
      </c>
      <c r="H69" s="217" t="s">
        <v>1576</v>
      </c>
    </row>
    <row r="70" spans="1:8">
      <c r="A70" s="260"/>
      <c r="B70" t="s">
        <v>693</v>
      </c>
      <c r="C70" t="s">
        <v>692</v>
      </c>
      <c r="D70" s="227">
        <f>0.00028*10</f>
        <v>2.7999999999999995E-3</v>
      </c>
      <c r="E70" s="217" t="s">
        <v>27</v>
      </c>
      <c r="F70" s="227">
        <f t="shared" si="4"/>
        <v>24.527999999999995</v>
      </c>
      <c r="G70" s="227">
        <f t="shared" si="5"/>
        <v>6.7199999999999982E-2</v>
      </c>
      <c r="H70" s="217" t="s">
        <v>1576</v>
      </c>
    </row>
    <row r="71" spans="1:8">
      <c r="A71" s="260"/>
      <c r="B71" t="s">
        <v>94</v>
      </c>
      <c r="C71" t="s">
        <v>1000</v>
      </c>
      <c r="D71" s="227">
        <v>2.5999999999999998E-5</v>
      </c>
      <c r="E71" s="217" t="s">
        <v>27</v>
      </c>
      <c r="F71" s="227">
        <f t="shared" si="4"/>
        <v>0.22775999999999999</v>
      </c>
      <c r="G71" s="227">
        <f t="shared" si="5"/>
        <v>6.2399999999999999E-4</v>
      </c>
      <c r="H71" s="217" t="s">
        <v>1576</v>
      </c>
    </row>
    <row r="72" spans="1:8">
      <c r="A72" s="260"/>
      <c r="B72" t="s">
        <v>97</v>
      </c>
      <c r="C72" t="s">
        <v>1001</v>
      </c>
      <c r="D72" s="227">
        <v>4.4299999999999999E-6</v>
      </c>
      <c r="E72" s="217" t="s">
        <v>27</v>
      </c>
      <c r="F72" s="227">
        <f t="shared" si="4"/>
        <v>3.8806800000000002E-2</v>
      </c>
      <c r="G72" s="227">
        <f t="shared" si="5"/>
        <v>1.0632E-4</v>
      </c>
      <c r="H72" s="217" t="s">
        <v>1576</v>
      </c>
    </row>
    <row r="73" spans="1:8">
      <c r="A73" s="260"/>
      <c r="B73" t="s">
        <v>867</v>
      </c>
      <c r="C73" t="s">
        <v>866</v>
      </c>
      <c r="D73" s="227">
        <v>1.2E-8</v>
      </c>
      <c r="E73" s="217" t="s">
        <v>27</v>
      </c>
      <c r="F73" s="227">
        <f t="shared" si="4"/>
        <v>1.0512E-4</v>
      </c>
      <c r="G73" s="227">
        <f t="shared" si="5"/>
        <v>2.8799999999999998E-7</v>
      </c>
      <c r="H73" s="217" t="s">
        <v>1576</v>
      </c>
    </row>
    <row r="74" spans="1:8">
      <c r="A74" s="260"/>
      <c r="B74" t="s">
        <v>869</v>
      </c>
      <c r="C74" t="s">
        <v>868</v>
      </c>
      <c r="D74" s="227">
        <v>7.9400000000000003E-9</v>
      </c>
      <c r="E74" s="217" t="s">
        <v>27</v>
      </c>
      <c r="F74" s="227">
        <f t="shared" si="4"/>
        <v>6.9554400000000006E-5</v>
      </c>
      <c r="G74" s="227">
        <f t="shared" si="5"/>
        <v>1.9056000000000001E-7</v>
      </c>
      <c r="H74" s="217" t="s">
        <v>1576</v>
      </c>
    </row>
    <row r="75" spans="1:8">
      <c r="A75" s="260"/>
      <c r="B75" t="s">
        <v>871</v>
      </c>
      <c r="C75" t="s">
        <v>870</v>
      </c>
      <c r="D75" s="227">
        <v>6.7100000000000002E-9</v>
      </c>
      <c r="E75" s="217" t="s">
        <v>27</v>
      </c>
      <c r="F75" s="227">
        <f t="shared" si="4"/>
        <v>5.8779600000000002E-5</v>
      </c>
      <c r="G75" s="227">
        <f t="shared" si="5"/>
        <v>1.6104000000000002E-7</v>
      </c>
      <c r="H75" s="217" t="s">
        <v>1576</v>
      </c>
    </row>
    <row r="76" spans="1:8">
      <c r="A76" s="260"/>
      <c r="B76" t="s">
        <v>873</v>
      </c>
      <c r="C76" t="s">
        <v>872</v>
      </c>
      <c r="D76" s="227">
        <v>2.69E-9</v>
      </c>
      <c r="E76" s="217" t="s">
        <v>27</v>
      </c>
      <c r="F76" s="227">
        <f t="shared" si="4"/>
        <v>2.3564400000000001E-5</v>
      </c>
      <c r="G76" s="227">
        <f t="shared" si="5"/>
        <v>6.4560000000000004E-8</v>
      </c>
      <c r="H76" s="217" t="s">
        <v>1576</v>
      </c>
    </row>
    <row r="77" spans="1:8">
      <c r="A77" s="260"/>
      <c r="B77" t="s">
        <v>875</v>
      </c>
      <c r="C77" t="s">
        <v>874</v>
      </c>
      <c r="D77" s="227">
        <v>2.8200000000000002E-9</v>
      </c>
      <c r="E77" s="217" t="s">
        <v>27</v>
      </c>
      <c r="F77" s="227">
        <f t="shared" si="4"/>
        <v>2.4703200000000001E-5</v>
      </c>
      <c r="G77" s="227">
        <f t="shared" si="5"/>
        <v>6.7680000000000008E-8</v>
      </c>
      <c r="H77" s="217" t="s">
        <v>1576</v>
      </c>
    </row>
    <row r="78" spans="1:8">
      <c r="A78" s="260"/>
      <c r="B78" t="s">
        <v>877</v>
      </c>
      <c r="C78" t="s">
        <v>876</v>
      </c>
      <c r="D78" s="227">
        <v>1.3500000000000001E-9</v>
      </c>
      <c r="E78" s="217" t="s">
        <v>27</v>
      </c>
      <c r="F78" s="227">
        <f t="shared" si="4"/>
        <v>1.1826000000000002E-5</v>
      </c>
      <c r="G78" s="227">
        <f t="shared" si="5"/>
        <v>3.2399999999999999E-8</v>
      </c>
      <c r="H78" s="217" t="s">
        <v>1576</v>
      </c>
    </row>
    <row r="79" spans="1:8">
      <c r="A79" s="260"/>
      <c r="B79" t="s">
        <v>879</v>
      </c>
      <c r="C79" t="s">
        <v>878</v>
      </c>
      <c r="D79" s="227">
        <v>1.65E-10</v>
      </c>
      <c r="E79" s="217" t="s">
        <v>27</v>
      </c>
      <c r="F79" s="227">
        <f t="shared" si="4"/>
        <v>1.4454E-6</v>
      </c>
      <c r="G79" s="227">
        <f t="shared" si="5"/>
        <v>3.9600000000000004E-9</v>
      </c>
      <c r="H79" s="217" t="s">
        <v>1576</v>
      </c>
    </row>
    <row r="80" spans="1:8">
      <c r="A80" s="260"/>
      <c r="B80" t="s">
        <v>881</v>
      </c>
      <c r="C80" t="s">
        <v>880</v>
      </c>
      <c r="D80" s="227">
        <v>1.4156666666666668E-11</v>
      </c>
      <c r="E80" s="217" t="s">
        <v>27</v>
      </c>
      <c r="F80" s="227">
        <f t="shared" si="4"/>
        <v>1.2401240000000001E-7</v>
      </c>
      <c r="G80" s="227">
        <f t="shared" si="5"/>
        <v>3.3976000000000002E-10</v>
      </c>
      <c r="H80" s="217" t="s">
        <v>1576</v>
      </c>
    </row>
    <row r="81" spans="1:9">
      <c r="A81" s="260"/>
      <c r="B81" t="s">
        <v>883</v>
      </c>
      <c r="C81" t="s">
        <v>882</v>
      </c>
      <c r="D81" s="227">
        <v>1.37E-9</v>
      </c>
      <c r="E81" s="217" t="s">
        <v>27</v>
      </c>
      <c r="F81" s="227">
        <f t="shared" si="4"/>
        <v>1.20012E-5</v>
      </c>
      <c r="G81" s="227">
        <f t="shared" si="5"/>
        <v>3.2880000000000001E-8</v>
      </c>
      <c r="H81" s="217" t="s">
        <v>1576</v>
      </c>
    </row>
    <row r="82" spans="1:9">
      <c r="A82" s="260"/>
      <c r="B82" t="s">
        <v>885</v>
      </c>
      <c r="C82" t="s">
        <v>884</v>
      </c>
      <c r="D82" s="227">
        <v>3.2600000000000001E-10</v>
      </c>
      <c r="E82" s="217" t="s">
        <v>27</v>
      </c>
      <c r="F82" s="227">
        <f t="shared" si="4"/>
        <v>2.85576E-6</v>
      </c>
      <c r="G82" s="227">
        <f t="shared" si="5"/>
        <v>7.8240000000000011E-9</v>
      </c>
      <c r="H82" s="217" t="s">
        <v>1576</v>
      </c>
    </row>
    <row r="83" spans="1:9">
      <c r="A83" s="260"/>
      <c r="B83" t="s">
        <v>889</v>
      </c>
      <c r="C83" t="s">
        <v>888</v>
      </c>
      <c r="D83" s="227">
        <v>8.2800000000000004E-10</v>
      </c>
      <c r="E83" s="217" t="s">
        <v>27</v>
      </c>
      <c r="F83" s="227">
        <f t="shared" si="4"/>
        <v>7.25328E-6</v>
      </c>
      <c r="G83" s="227">
        <f t="shared" si="5"/>
        <v>1.9872000000000001E-8</v>
      </c>
      <c r="H83" s="217" t="s">
        <v>1576</v>
      </c>
    </row>
    <row r="84" spans="1:9">
      <c r="A84" s="260"/>
      <c r="B84" t="s">
        <v>891</v>
      </c>
      <c r="C84" t="s">
        <v>890</v>
      </c>
      <c r="D84" s="227">
        <v>2.1149999999999999E-11</v>
      </c>
      <c r="E84" s="217" t="s">
        <v>27</v>
      </c>
      <c r="F84" s="227">
        <f t="shared" si="4"/>
        <v>1.85274E-7</v>
      </c>
      <c r="G84" s="227">
        <f t="shared" si="5"/>
        <v>5.0759999999999998E-10</v>
      </c>
      <c r="H84" s="217" t="s">
        <v>1576</v>
      </c>
    </row>
    <row r="85" spans="1:9">
      <c r="A85" s="260"/>
      <c r="B85" t="s">
        <v>895</v>
      </c>
      <c r="C85" t="s">
        <v>894</v>
      </c>
      <c r="D85" s="227">
        <v>6.8316666666666671E-11</v>
      </c>
      <c r="E85" s="217" t="s">
        <v>27</v>
      </c>
      <c r="F85" s="227">
        <f t="shared" si="4"/>
        <v>5.9845400000000007E-7</v>
      </c>
      <c r="G85" s="227">
        <f t="shared" si="5"/>
        <v>1.6396E-9</v>
      </c>
      <c r="H85" s="217" t="s">
        <v>1576</v>
      </c>
    </row>
    <row r="86" spans="1:9">
      <c r="A86" s="260"/>
      <c r="B86" t="s">
        <v>897</v>
      </c>
      <c r="C86" t="s">
        <v>896</v>
      </c>
      <c r="D86" s="227">
        <v>5.5299999999999995E-10</v>
      </c>
      <c r="E86" s="217" t="s">
        <v>27</v>
      </c>
      <c r="F86" s="227">
        <f t="shared" si="4"/>
        <v>4.8442799999999998E-6</v>
      </c>
      <c r="G86" s="227">
        <f t="shared" si="5"/>
        <v>1.3271999999999998E-8</v>
      </c>
      <c r="H86" s="217" t="s">
        <v>1576</v>
      </c>
    </row>
    <row r="87" spans="1:9">
      <c r="A87" s="260"/>
      <c r="B87" t="s">
        <v>899</v>
      </c>
      <c r="C87" t="s">
        <v>898</v>
      </c>
      <c r="D87" s="227">
        <v>4.9800000000000004E-10</v>
      </c>
      <c r="E87" s="217" t="s">
        <v>27</v>
      </c>
      <c r="F87" s="227">
        <f t="shared" si="4"/>
        <v>4.3624800000000005E-6</v>
      </c>
      <c r="G87" s="227">
        <f t="shared" si="5"/>
        <v>1.1952E-8</v>
      </c>
      <c r="H87" s="217" t="s">
        <v>1576</v>
      </c>
    </row>
    <row r="88" spans="1:9">
      <c r="A88" s="260"/>
      <c r="B88" t="s">
        <v>901</v>
      </c>
      <c r="C88" t="s">
        <v>900</v>
      </c>
      <c r="D88" s="227">
        <v>4.5733333333333332E-11</v>
      </c>
      <c r="E88" s="217" t="s">
        <v>27</v>
      </c>
      <c r="F88" s="227">
        <f t="shared" si="4"/>
        <v>4.00624E-7</v>
      </c>
      <c r="G88" s="227">
        <f t="shared" si="5"/>
        <v>1.0976E-9</v>
      </c>
      <c r="H88" s="217" t="s">
        <v>1576</v>
      </c>
    </row>
    <row r="89" spans="1:9">
      <c r="A89" s="260"/>
      <c r="B89" t="s">
        <v>905</v>
      </c>
      <c r="C89" t="s">
        <v>904</v>
      </c>
      <c r="D89" s="227">
        <v>1.5366666666666666E-11</v>
      </c>
      <c r="E89" s="217" t="s">
        <v>27</v>
      </c>
      <c r="F89" s="227">
        <f t="shared" si="4"/>
        <v>1.3461199999999999E-7</v>
      </c>
      <c r="G89" s="227">
        <f t="shared" si="5"/>
        <v>3.6880000000000001E-10</v>
      </c>
      <c r="H89" s="217" t="s">
        <v>1576</v>
      </c>
    </row>
    <row r="90" spans="1:9">
      <c r="A90" s="260"/>
      <c r="B90" t="s">
        <v>907</v>
      </c>
      <c r="C90" t="s">
        <v>906</v>
      </c>
      <c r="D90" s="227">
        <v>3.5599999999999999E-11</v>
      </c>
      <c r="E90" s="217" t="s">
        <v>27</v>
      </c>
      <c r="F90" s="227">
        <f t="shared" si="4"/>
        <v>3.1185599999999998E-7</v>
      </c>
      <c r="G90" s="227">
        <f t="shared" si="5"/>
        <v>8.5439999999999997E-10</v>
      </c>
      <c r="H90" s="217" t="s">
        <v>1576</v>
      </c>
    </row>
    <row r="91" spans="1:9">
      <c r="A91" s="260"/>
      <c r="B91" t="s">
        <v>909</v>
      </c>
      <c r="C91" t="s">
        <v>908</v>
      </c>
      <c r="D91" s="227">
        <v>5.5383333333333332E-11</v>
      </c>
      <c r="E91" s="217" t="s">
        <v>27</v>
      </c>
      <c r="F91" s="227">
        <f t="shared" si="4"/>
        <v>4.8515800000000004E-7</v>
      </c>
      <c r="G91" s="227">
        <f t="shared" si="5"/>
        <v>1.3291999999999999E-9</v>
      </c>
      <c r="H91" s="217" t="s">
        <v>1576</v>
      </c>
    </row>
    <row r="92" spans="1:9">
      <c r="A92" s="260"/>
      <c r="B92" t="s">
        <v>911</v>
      </c>
      <c r="C92" t="s">
        <v>910</v>
      </c>
      <c r="D92" s="227">
        <v>2.09E-10</v>
      </c>
      <c r="E92" s="217" t="s">
        <v>27</v>
      </c>
      <c r="F92" s="227">
        <f t="shared" si="4"/>
        <v>1.8308399999999999E-6</v>
      </c>
      <c r="G92" s="227">
        <f t="shared" si="5"/>
        <v>5.016E-9</v>
      </c>
      <c r="H92" s="217" t="s">
        <v>1576</v>
      </c>
    </row>
    <row r="93" spans="1:9">
      <c r="A93" s="260"/>
      <c r="B93" t="s">
        <v>913</v>
      </c>
      <c r="C93" t="s">
        <v>912</v>
      </c>
      <c r="D93" s="227">
        <v>8.7616666666666659E-11</v>
      </c>
      <c r="E93" s="217" t="s">
        <v>27</v>
      </c>
      <c r="F93" s="227">
        <f t="shared" si="4"/>
        <v>7.6752199999999993E-7</v>
      </c>
      <c r="G93" s="227">
        <f t="shared" si="5"/>
        <v>2.1027999999999998E-9</v>
      </c>
      <c r="H93" s="217" t="s">
        <v>1576</v>
      </c>
    </row>
    <row r="94" spans="1:9" ht="17" thickBot="1">
      <c r="A94" s="260"/>
      <c r="B94" t="s">
        <v>864</v>
      </c>
      <c r="C94" t="s">
        <v>863</v>
      </c>
      <c r="D94" s="227">
        <v>1.23E-7</v>
      </c>
      <c r="E94" s="217" t="s">
        <v>27</v>
      </c>
      <c r="F94" s="227">
        <f t="shared" si="4"/>
        <v>1.07748E-3</v>
      </c>
      <c r="G94" s="227">
        <f t="shared" si="5"/>
        <v>2.9519999999999999E-6</v>
      </c>
      <c r="H94" s="217" t="s">
        <v>1576</v>
      </c>
    </row>
    <row r="95" spans="1:9" ht="17" thickTop="1">
      <c r="A95" s="262" t="s">
        <v>1531</v>
      </c>
      <c r="B95" s="10" t="s">
        <v>41</v>
      </c>
      <c r="C95" s="10" t="s">
        <v>40</v>
      </c>
      <c r="D95" s="231">
        <v>5.4299999999999997E-4</v>
      </c>
      <c r="E95" s="11" t="s">
        <v>1239</v>
      </c>
      <c r="F95" s="231">
        <f t="shared" ref="F95:F105" si="6">D95*$C$14/1000</f>
        <v>0.41620950000000001</v>
      </c>
      <c r="G95" s="231">
        <f t="shared" ref="G95:G105" si="7">D95*$C$13/1000</f>
        <v>1.1402999999999999E-3</v>
      </c>
      <c r="H95" s="11" t="s">
        <v>1248</v>
      </c>
      <c r="I95" s="254"/>
    </row>
    <row r="96" spans="1:9">
      <c r="A96" s="260"/>
      <c r="B96" t="s">
        <v>56</v>
      </c>
      <c r="C96" t="s">
        <v>55</v>
      </c>
      <c r="D96" s="229">
        <v>5.9800000000000001E-4</v>
      </c>
      <c r="E96" s="15" t="s">
        <v>1239</v>
      </c>
      <c r="F96" s="227">
        <f t="shared" ref="F96:F100" si="8">D96*$C$14/1000</f>
        <v>0.45836700000000002</v>
      </c>
      <c r="G96" s="227">
        <f t="shared" ref="G96:G100" si="9">D96*$C$13/1000</f>
        <v>1.2558000000000001E-3</v>
      </c>
      <c r="H96" s="15" t="s">
        <v>1248</v>
      </c>
      <c r="I96" s="255"/>
    </row>
    <row r="97" spans="1:9">
      <c r="A97" s="260"/>
      <c r="B97" t="s">
        <v>148</v>
      </c>
      <c r="C97" t="s">
        <v>147</v>
      </c>
      <c r="D97" s="230">
        <v>8.4700000000000001E-3</v>
      </c>
      <c r="E97" s="15" t="s">
        <v>1239</v>
      </c>
      <c r="F97" s="227">
        <f t="shared" si="8"/>
        <v>6.4922550000000001</v>
      </c>
      <c r="G97" s="227">
        <f t="shared" si="9"/>
        <v>1.7787000000000001E-2</v>
      </c>
      <c r="H97" s="15" t="s">
        <v>1248</v>
      </c>
      <c r="I97" s="255"/>
    </row>
    <row r="98" spans="1:9">
      <c r="A98" s="260"/>
      <c r="B98" t="s">
        <v>194</v>
      </c>
      <c r="C98" t="s">
        <v>193</v>
      </c>
      <c r="D98" s="229">
        <v>1.95E-2</v>
      </c>
      <c r="E98" s="15" t="s">
        <v>1239</v>
      </c>
      <c r="F98" s="227">
        <f t="shared" si="8"/>
        <v>14.94675</v>
      </c>
      <c r="G98" s="227">
        <f t="shared" si="9"/>
        <v>4.095E-2</v>
      </c>
      <c r="H98" s="15" t="s">
        <v>1248</v>
      </c>
      <c r="I98" s="255"/>
    </row>
    <row r="99" spans="1:9">
      <c r="A99" s="260"/>
      <c r="B99" t="s">
        <v>273</v>
      </c>
      <c r="C99" t="s">
        <v>272</v>
      </c>
      <c r="D99" s="229">
        <v>8.6300000000000005E-3</v>
      </c>
      <c r="E99" s="15" t="s">
        <v>1239</v>
      </c>
      <c r="F99" s="227">
        <f t="shared" si="8"/>
        <v>6.6148950000000006</v>
      </c>
      <c r="G99" s="227">
        <f t="shared" si="9"/>
        <v>1.8123E-2</v>
      </c>
      <c r="H99" s="15" t="s">
        <v>1248</v>
      </c>
      <c r="I99" s="255"/>
    </row>
    <row r="100" spans="1:9">
      <c r="A100" s="260"/>
      <c r="B100" t="s">
        <v>69</v>
      </c>
      <c r="C100" t="s">
        <v>70</v>
      </c>
      <c r="D100" s="229">
        <v>1.17E-5</v>
      </c>
      <c r="E100" s="15" t="s">
        <v>1239</v>
      </c>
      <c r="F100" s="227">
        <f t="shared" si="8"/>
        <v>8.96805E-3</v>
      </c>
      <c r="G100" s="227">
        <f t="shared" si="9"/>
        <v>2.4569999999999997E-5</v>
      </c>
      <c r="H100" s="15" t="s">
        <v>1248</v>
      </c>
      <c r="I100" s="255"/>
    </row>
    <row r="101" spans="1:9">
      <c r="A101" s="260"/>
      <c r="B101" t="s">
        <v>536</v>
      </c>
      <c r="C101" t="s">
        <v>535</v>
      </c>
      <c r="D101" s="229">
        <v>3.8E-3</v>
      </c>
      <c r="E101" s="2" t="s">
        <v>1239</v>
      </c>
      <c r="F101" s="227">
        <f t="shared" si="6"/>
        <v>2.9126999999999996</v>
      </c>
      <c r="G101" s="227">
        <f t="shared" si="7"/>
        <v>7.980000000000001E-3</v>
      </c>
      <c r="H101" s="15" t="s">
        <v>1248</v>
      </c>
      <c r="I101" s="255"/>
    </row>
    <row r="102" spans="1:9">
      <c r="A102" s="260"/>
      <c r="B102" t="s">
        <v>1047</v>
      </c>
      <c r="C102" t="s">
        <v>1046</v>
      </c>
      <c r="D102" s="229">
        <v>1.52E-2</v>
      </c>
      <c r="E102" s="15" t="s">
        <v>1239</v>
      </c>
      <c r="F102" s="227">
        <f t="shared" ref="F102:F104" si="10">D102*$C$14/1000</f>
        <v>11.650799999999998</v>
      </c>
      <c r="G102" s="227">
        <f t="shared" ref="G102:G104" si="11">D102*$C$13/1000</f>
        <v>3.1920000000000004E-2</v>
      </c>
      <c r="H102" s="15" t="s">
        <v>1248</v>
      </c>
      <c r="I102" s="255"/>
    </row>
    <row r="103" spans="1:9">
      <c r="A103" s="260"/>
      <c r="B103" t="s">
        <v>1129</v>
      </c>
      <c r="C103" t="s">
        <v>1128</v>
      </c>
      <c r="D103" s="229">
        <v>9.9900000000000006E-3</v>
      </c>
      <c r="E103" s="15" t="s">
        <v>1239</v>
      </c>
      <c r="F103" s="227">
        <f t="shared" si="10"/>
        <v>7.6573349999999998</v>
      </c>
      <c r="G103" s="227">
        <f t="shared" si="11"/>
        <v>2.0979000000000001E-2</v>
      </c>
      <c r="H103" s="15" t="s">
        <v>1248</v>
      </c>
      <c r="I103" s="255"/>
    </row>
    <row r="104" spans="1:9">
      <c r="A104" s="260"/>
      <c r="B104" t="s">
        <v>1223</v>
      </c>
      <c r="C104" t="s">
        <v>1222</v>
      </c>
      <c r="D104" s="229">
        <v>1.9199999999999998E-2</v>
      </c>
      <c r="E104" s="148" t="s">
        <v>1239</v>
      </c>
      <c r="F104" s="227">
        <f t="shared" si="10"/>
        <v>14.716799999999999</v>
      </c>
      <c r="G104" s="227">
        <f t="shared" si="11"/>
        <v>4.0319999999999995E-2</v>
      </c>
      <c r="H104" s="148" t="s">
        <v>1248</v>
      </c>
      <c r="I104" s="255"/>
    </row>
    <row r="105" spans="1:9" ht="17" thickBot="1">
      <c r="A105" s="261"/>
      <c r="B105" t="s">
        <v>585</v>
      </c>
      <c r="C105" t="s">
        <v>584</v>
      </c>
      <c r="D105" s="229">
        <v>0.18629999999999999</v>
      </c>
      <c r="E105" s="2" t="s">
        <v>1239</v>
      </c>
      <c r="F105" s="227">
        <f t="shared" si="6"/>
        <v>142.79894999999999</v>
      </c>
      <c r="G105" s="227">
        <f t="shared" si="7"/>
        <v>0.39122999999999997</v>
      </c>
      <c r="H105" s="15" t="s">
        <v>1445</v>
      </c>
      <c r="I105" s="256"/>
    </row>
    <row r="106" spans="1:9" ht="17" thickTop="1">
      <c r="A106" s="260" t="s">
        <v>1532</v>
      </c>
      <c r="B106" s="10" t="s">
        <v>41</v>
      </c>
      <c r="C106" s="10" t="s">
        <v>40</v>
      </c>
      <c r="D106" s="231">
        <v>1.95E-2</v>
      </c>
      <c r="E106" s="11" t="s">
        <v>1263</v>
      </c>
      <c r="F106" s="231">
        <f t="shared" ref="F106:F113" si="12">D106*$C$27*60*$C$11/1000000</f>
        <v>11.878996226559904</v>
      </c>
      <c r="G106" s="231">
        <f t="shared" ref="G106:G113" si="13">D106*$C$27*60*$C$10/1000000</f>
        <v>3.254519514126001E-2</v>
      </c>
      <c r="H106" s="11" t="s">
        <v>1249</v>
      </c>
      <c r="I106" s="257"/>
    </row>
    <row r="107" spans="1:9">
      <c r="A107" s="260"/>
      <c r="B107" s="18" t="s">
        <v>148</v>
      </c>
      <c r="C107" s="18" t="s">
        <v>147</v>
      </c>
      <c r="D107" s="226">
        <v>8.4199999999999997E-2</v>
      </c>
      <c r="E107" s="20" t="s">
        <v>1263</v>
      </c>
      <c r="F107" s="226">
        <f t="shared" si="12"/>
        <v>51.292896526991996</v>
      </c>
      <c r="G107" s="226">
        <f t="shared" si="13"/>
        <v>0.14052848363559448</v>
      </c>
      <c r="H107" s="20" t="s">
        <v>1249</v>
      </c>
      <c r="I107" s="257"/>
    </row>
    <row r="108" spans="1:9">
      <c r="A108" s="260"/>
      <c r="B108" s="18" t="s">
        <v>1238</v>
      </c>
      <c r="C108" s="18" t="s">
        <v>498</v>
      </c>
      <c r="D108" s="226">
        <v>3.04E-2</v>
      </c>
      <c r="E108" s="20" t="s">
        <v>1263</v>
      </c>
      <c r="F108" s="226">
        <f t="shared" si="12"/>
        <v>18.519050527560051</v>
      </c>
      <c r="G108" s="226">
        <f t="shared" si="13"/>
        <v>5.0737124733041247E-2</v>
      </c>
      <c r="H108" s="20" t="s">
        <v>1249</v>
      </c>
      <c r="I108" s="257"/>
    </row>
    <row r="109" spans="1:9">
      <c r="A109" s="260"/>
      <c r="B109" s="18" t="s">
        <v>536</v>
      </c>
      <c r="C109" s="18" t="s">
        <v>535</v>
      </c>
      <c r="D109" s="226">
        <v>0.151</v>
      </c>
      <c r="E109" s="20" t="s">
        <v>1263</v>
      </c>
      <c r="F109" s="226">
        <f t="shared" si="12"/>
        <v>91.986073344130531</v>
      </c>
      <c r="G109" s="226">
        <f t="shared" si="13"/>
        <v>0.25201663929898777</v>
      </c>
      <c r="H109" s="20" t="s">
        <v>1249</v>
      </c>
      <c r="I109" s="257"/>
    </row>
    <row r="110" spans="1:9">
      <c r="A110" s="260"/>
      <c r="B110" s="18" t="s">
        <v>1262</v>
      </c>
      <c r="C110" s="18" t="s">
        <v>590</v>
      </c>
      <c r="D110" s="226">
        <v>0.40500000000000003</v>
      </c>
      <c r="E110" s="20" t="s">
        <v>1263</v>
      </c>
      <c r="F110" s="226">
        <f t="shared" si="12"/>
        <v>246.71761393624416</v>
      </c>
      <c r="G110" s="226">
        <f t="shared" si="13"/>
        <v>0.67593866831847715</v>
      </c>
      <c r="H110" s="20" t="s">
        <v>1249</v>
      </c>
      <c r="I110" s="257"/>
    </row>
    <row r="111" spans="1:9">
      <c r="A111" s="260"/>
      <c r="B111" s="18" t="s">
        <v>814</v>
      </c>
      <c r="C111" s="18" t="s">
        <v>813</v>
      </c>
      <c r="D111" s="226">
        <v>6.96E-3</v>
      </c>
      <c r="E111" s="20" t="s">
        <v>1263</v>
      </c>
      <c r="F111" s="226">
        <f t="shared" si="12"/>
        <v>4.2398878839413801</v>
      </c>
      <c r="G111" s="226">
        <f t="shared" si="13"/>
        <v>1.1616131188880495E-2</v>
      </c>
      <c r="H111" s="20" t="s">
        <v>1249</v>
      </c>
      <c r="I111" s="257"/>
    </row>
    <row r="112" spans="1:9">
      <c r="A112" s="260"/>
      <c r="B112" s="18" t="s">
        <v>832</v>
      </c>
      <c r="C112" s="18" t="s">
        <v>831</v>
      </c>
      <c r="D112" s="226">
        <v>7.2099999999999996E-4</v>
      </c>
      <c r="E112" s="20" t="s">
        <v>1263</v>
      </c>
      <c r="F112" s="226">
        <f t="shared" si="12"/>
        <v>0.43921827073588149</v>
      </c>
      <c r="G112" s="226">
        <f t="shared" si="13"/>
        <v>1.203337728043511E-3</v>
      </c>
      <c r="H112" s="20" t="s">
        <v>1249</v>
      </c>
      <c r="I112" s="257"/>
    </row>
    <row r="113" spans="1:9">
      <c r="A113" s="260"/>
      <c r="B113" s="18" t="s">
        <v>1047</v>
      </c>
      <c r="C113" s="18" t="s">
        <v>1046</v>
      </c>
      <c r="D113" s="226">
        <v>2.0500000000000002E-3</v>
      </c>
      <c r="E113" s="20" t="s">
        <v>1263</v>
      </c>
      <c r="F113" s="226">
        <f t="shared" si="12"/>
        <v>1.2488175520229643</v>
      </c>
      <c r="G113" s="226">
        <f t="shared" si="13"/>
        <v>3.4214179507478476E-3</v>
      </c>
      <c r="H113" s="20" t="s">
        <v>1249</v>
      </c>
      <c r="I113" s="257"/>
    </row>
    <row r="114" spans="1:9">
      <c r="A114" s="260"/>
      <c r="B114" s="18" t="s">
        <v>1129</v>
      </c>
      <c r="C114" s="18" t="s">
        <v>1128</v>
      </c>
      <c r="D114" s="226">
        <v>0.13700000000000001</v>
      </c>
      <c r="E114" s="20" t="s">
        <v>1263</v>
      </c>
      <c r="F114" s="226">
        <f t="shared" ref="F114:F115" si="14">D114*$C$27*60*$C$11/1000000</f>
        <v>83.457563232754183</v>
      </c>
      <c r="G114" s="226">
        <f t="shared" ref="G114:G115" si="15">D114*$C$27*60*$C$10/1000000</f>
        <v>0.22865085817192929</v>
      </c>
      <c r="H114" s="20" t="s">
        <v>1249</v>
      </c>
      <c r="I114" s="257"/>
    </row>
    <row r="115" spans="1:9" ht="17" thickBot="1">
      <c r="A115" s="261"/>
      <c r="B115" s="18" t="s">
        <v>1223</v>
      </c>
      <c r="C115" s="18" t="s">
        <v>1222</v>
      </c>
      <c r="D115" s="226">
        <v>3.7400000000000003E-2</v>
      </c>
      <c r="E115" s="20" t="s">
        <v>1263</v>
      </c>
      <c r="F115" s="226">
        <f t="shared" si="14"/>
        <v>22.783305583248225</v>
      </c>
      <c r="G115" s="226">
        <f t="shared" si="15"/>
        <v>6.2420015296570479E-2</v>
      </c>
      <c r="H115" s="20" t="s">
        <v>1249</v>
      </c>
      <c r="I115" s="258"/>
    </row>
    <row r="116" spans="1:9" ht="18" thickTop="1" thickBot="1">
      <c r="A116" s="263" t="s">
        <v>1533</v>
      </c>
      <c r="B116" s="10" t="s">
        <v>148</v>
      </c>
      <c r="C116" s="10" t="s">
        <v>147</v>
      </c>
      <c r="D116" s="231">
        <v>8.0000000000000002E-3</v>
      </c>
      <c r="E116" s="11" t="s">
        <v>1263</v>
      </c>
      <c r="F116" s="231">
        <f t="shared" ref="F116:F125" si="16">D116*$C$29*$C$11/$C$30</f>
        <v>6.8705882352941172E-2</v>
      </c>
      <c r="G116" s="231">
        <f t="shared" ref="G116:G125" si="17">D116*$C$29*$C$10/$C$30</f>
        <v>1.8823529411764707E-4</v>
      </c>
      <c r="H116" s="11" t="s">
        <v>1250</v>
      </c>
      <c r="I116" s="259" t="s">
        <v>1271</v>
      </c>
    </row>
    <row r="117" spans="1:9" ht="18" thickTop="1" thickBot="1">
      <c r="A117" s="263"/>
      <c r="B117" s="18" t="s">
        <v>536</v>
      </c>
      <c r="C117" s="18" t="s">
        <v>535</v>
      </c>
      <c r="D117" s="233">
        <v>1.7000000000000001E-2</v>
      </c>
      <c r="E117" s="20" t="s">
        <v>1263</v>
      </c>
      <c r="F117" s="226">
        <f t="shared" si="16"/>
        <v>0.14600000000000002</v>
      </c>
      <c r="G117" s="226">
        <f t="shared" si="17"/>
        <v>4.0000000000000002E-4</v>
      </c>
      <c r="H117" s="20" t="s">
        <v>1250</v>
      </c>
      <c r="I117" s="257"/>
    </row>
    <row r="118" spans="1:9" ht="18" thickTop="1" thickBot="1">
      <c r="A118" s="263"/>
      <c r="B118" s="18" t="s">
        <v>41</v>
      </c>
      <c r="C118" s="18" t="s">
        <v>40</v>
      </c>
      <c r="D118" s="226">
        <v>4.3E-3</v>
      </c>
      <c r="E118" s="20" t="s">
        <v>1263</v>
      </c>
      <c r="F118" s="226">
        <f t="shared" si="16"/>
        <v>3.6929411764705884E-2</v>
      </c>
      <c r="G118" s="226">
        <f t="shared" si="17"/>
        <v>1.011764705882353E-4</v>
      </c>
      <c r="H118" s="20" t="s">
        <v>1250</v>
      </c>
      <c r="I118" s="257"/>
    </row>
    <row r="119" spans="1:9" ht="18" thickTop="1" thickBot="1">
      <c r="A119" s="263"/>
      <c r="B119" s="18" t="s">
        <v>56</v>
      </c>
      <c r="C119" s="18" t="s">
        <v>55</v>
      </c>
      <c r="D119" s="226">
        <v>2.7000000000000001E-3</v>
      </c>
      <c r="E119" s="20" t="s">
        <v>1263</v>
      </c>
      <c r="F119" s="226">
        <f t="shared" si="16"/>
        <v>2.3188235294117648E-2</v>
      </c>
      <c r="G119" s="226">
        <f t="shared" si="17"/>
        <v>6.3529411764705877E-5</v>
      </c>
      <c r="H119" s="20" t="s">
        <v>1250</v>
      </c>
      <c r="I119" s="257"/>
    </row>
    <row r="120" spans="1:9" ht="18" thickTop="1" thickBot="1">
      <c r="A120" s="263"/>
      <c r="B120" s="18" t="s">
        <v>110</v>
      </c>
      <c r="C120" s="18" t="s">
        <v>109</v>
      </c>
      <c r="D120" s="226">
        <v>3.2</v>
      </c>
      <c r="E120" s="20" t="s">
        <v>1263</v>
      </c>
      <c r="F120" s="226">
        <f t="shared" si="16"/>
        <v>27.482352941176469</v>
      </c>
      <c r="G120" s="226">
        <f t="shared" si="17"/>
        <v>7.5294117647058831E-2</v>
      </c>
      <c r="H120" s="20" t="s">
        <v>1250</v>
      </c>
      <c r="I120" s="257"/>
    </row>
    <row r="121" spans="1:9" ht="18" thickTop="1" thickBot="1">
      <c r="A121" s="263"/>
      <c r="B121" s="18" t="s">
        <v>1238</v>
      </c>
      <c r="C121" s="18" t="s">
        <v>498</v>
      </c>
      <c r="D121" s="226">
        <v>9.4999999999999998E-3</v>
      </c>
      <c r="E121" s="20" t="s">
        <v>1263</v>
      </c>
      <c r="F121" s="226">
        <f t="shared" si="16"/>
        <v>8.1588235294117642E-2</v>
      </c>
      <c r="G121" s="226">
        <f t="shared" si="17"/>
        <v>2.2352941176470586E-4</v>
      </c>
      <c r="H121" s="20" t="s">
        <v>1250</v>
      </c>
      <c r="I121" s="257"/>
    </row>
    <row r="122" spans="1:9" ht="18" thickTop="1" thickBot="1">
      <c r="A122" s="263"/>
      <c r="B122" s="18" t="s">
        <v>579</v>
      </c>
      <c r="C122" s="18" t="s">
        <v>578</v>
      </c>
      <c r="D122" s="226">
        <v>6.3E-3</v>
      </c>
      <c r="E122" s="20" t="s">
        <v>1263</v>
      </c>
      <c r="F122" s="226">
        <f t="shared" si="16"/>
        <v>5.4105882352941177E-2</v>
      </c>
      <c r="G122" s="226">
        <f t="shared" si="17"/>
        <v>1.4823529411764707E-4</v>
      </c>
      <c r="H122" s="20" t="s">
        <v>1250</v>
      </c>
      <c r="I122" s="257"/>
    </row>
    <row r="123" spans="1:9" ht="18" thickTop="1" thickBot="1">
      <c r="A123" s="263"/>
      <c r="B123" s="18" t="s">
        <v>1129</v>
      </c>
      <c r="C123" s="18" t="s">
        <v>1128</v>
      </c>
      <c r="D123" s="226">
        <v>3.6600000000000001E-2</v>
      </c>
      <c r="E123" s="20" t="s">
        <v>1263</v>
      </c>
      <c r="F123" s="226">
        <f t="shared" si="16"/>
        <v>0.31432941176470586</v>
      </c>
      <c r="G123" s="226">
        <f t="shared" si="17"/>
        <v>8.6117647058823533E-4</v>
      </c>
      <c r="H123" s="20" t="s">
        <v>1250</v>
      </c>
      <c r="I123" s="257"/>
    </row>
    <row r="124" spans="1:9" ht="18" thickTop="1" thickBot="1">
      <c r="A124" s="263"/>
      <c r="B124" s="18" t="s">
        <v>1223</v>
      </c>
      <c r="C124" s="18" t="s">
        <v>1222</v>
      </c>
      <c r="D124" s="226">
        <v>2.7199999999999998E-2</v>
      </c>
      <c r="E124" s="20" t="s">
        <v>1263</v>
      </c>
      <c r="F124" s="226">
        <f t="shared" si="16"/>
        <v>0.2336</v>
      </c>
      <c r="G124" s="226">
        <f t="shared" si="17"/>
        <v>6.3999999999999994E-4</v>
      </c>
      <c r="H124" s="20" t="s">
        <v>1250</v>
      </c>
      <c r="I124" s="257"/>
    </row>
    <row r="125" spans="1:9" ht="18" thickTop="1" thickBot="1">
      <c r="A125" s="263"/>
      <c r="B125" s="189" t="s">
        <v>1231</v>
      </c>
      <c r="C125" s="189" t="s">
        <v>1230</v>
      </c>
      <c r="D125" s="232">
        <v>2.9000000000000001E-2</v>
      </c>
      <c r="E125" s="190" t="s">
        <v>1263</v>
      </c>
      <c r="F125" s="232">
        <f t="shared" si="16"/>
        <v>0.24905882352941178</v>
      </c>
      <c r="G125" s="232">
        <f t="shared" si="17"/>
        <v>6.8235294117647064E-4</v>
      </c>
      <c r="H125" s="190" t="s">
        <v>1250</v>
      </c>
      <c r="I125" s="258"/>
    </row>
    <row r="126" spans="1:9" ht="17" thickTop="1">
      <c r="E126" s="169" t="s">
        <v>1351</v>
      </c>
      <c r="F126" s="235">
        <f>SUM(F37:F125)</f>
        <v>1421.4625188584589</v>
      </c>
      <c r="G126" s="234">
        <f>SUM(G37:G125)</f>
        <v>3.8944178598861887</v>
      </c>
    </row>
    <row r="127" spans="1:9">
      <c r="F127" s="217"/>
      <c r="G127" s="217"/>
    </row>
    <row r="128" spans="1:9" ht="19">
      <c r="B128" s="172" t="s">
        <v>1462</v>
      </c>
      <c r="F128" s="217"/>
      <c r="G128" s="217"/>
    </row>
    <row r="129" spans="2:9" ht="19">
      <c r="B129" s="172"/>
      <c r="F129" s="217"/>
      <c r="G129" s="217"/>
    </row>
    <row r="130" spans="2:9" ht="27" customHeight="1">
      <c r="B130" s="236" t="s">
        <v>1269</v>
      </c>
      <c r="C130" s="236" t="s">
        <v>24</v>
      </c>
      <c r="D130" s="236" t="s">
        <v>1442</v>
      </c>
      <c r="E130" s="236" t="s">
        <v>1441</v>
      </c>
      <c r="F130" s="218"/>
      <c r="G130" s="218"/>
      <c r="H130" s="18"/>
      <c r="I130" s="18"/>
    </row>
    <row r="131" spans="2:9">
      <c r="B131" s="18" t="s">
        <v>124</v>
      </c>
      <c r="C131" s="18" t="s">
        <v>123</v>
      </c>
      <c r="D131" s="226">
        <f t="shared" ref="D131:D162" si="18">SUMIF($B$37:$B$125,B131,$F$37:$F$125)</f>
        <v>3.3287999999999998E-2</v>
      </c>
      <c r="E131" s="226">
        <f t="shared" ref="E131:E162" si="19">SUMIF($B$37:$B$125,B131,$G$37:$G$125)</f>
        <v>9.1199999999999994E-5</v>
      </c>
      <c r="F131" s="224"/>
      <c r="G131" s="224"/>
      <c r="H131" s="151"/>
      <c r="I131" s="18"/>
    </row>
    <row r="132" spans="2:9">
      <c r="B132" s="18" t="s">
        <v>130</v>
      </c>
      <c r="C132" s="18" t="s">
        <v>129</v>
      </c>
      <c r="D132" s="226">
        <f t="shared" si="18"/>
        <v>0.26280000000000003</v>
      </c>
      <c r="E132" s="226">
        <f t="shared" si="19"/>
        <v>7.2000000000000005E-4</v>
      </c>
      <c r="F132" s="224"/>
      <c r="G132" s="224"/>
      <c r="H132" s="151"/>
      <c r="I132" s="18"/>
    </row>
    <row r="133" spans="2:9">
      <c r="B133" s="18" t="s">
        <v>146</v>
      </c>
      <c r="C133" s="18" t="s">
        <v>145</v>
      </c>
      <c r="D133" s="226">
        <f t="shared" si="18"/>
        <v>0.11388000000000001</v>
      </c>
      <c r="E133" s="226">
        <f t="shared" si="19"/>
        <v>3.1199999999999999E-4</v>
      </c>
      <c r="F133" s="224"/>
      <c r="G133" s="224"/>
      <c r="H133" s="151"/>
      <c r="I133" s="18"/>
    </row>
    <row r="134" spans="2:9">
      <c r="B134" s="18" t="s">
        <v>164</v>
      </c>
      <c r="C134" s="18" t="s">
        <v>163</v>
      </c>
      <c r="D134" s="226">
        <f t="shared" si="18"/>
        <v>1.3139999999999998E-3</v>
      </c>
      <c r="E134" s="226">
        <f t="shared" si="19"/>
        <v>3.5999999999999998E-6</v>
      </c>
      <c r="F134" s="224"/>
      <c r="G134" s="224"/>
      <c r="H134" s="151"/>
      <c r="I134" s="18"/>
    </row>
    <row r="135" spans="2:9">
      <c r="B135" s="18" t="s">
        <v>214</v>
      </c>
      <c r="C135" s="18" t="s">
        <v>213</v>
      </c>
      <c r="D135" s="226">
        <f t="shared" si="18"/>
        <v>2.6279999999999997E-3</v>
      </c>
      <c r="E135" s="226">
        <f t="shared" si="19"/>
        <v>7.1999999999999997E-6</v>
      </c>
      <c r="F135" s="224"/>
      <c r="G135" s="224"/>
      <c r="H135" s="151"/>
      <c r="I135" s="18"/>
    </row>
    <row r="136" spans="2:9">
      <c r="B136" s="18" t="s">
        <v>297</v>
      </c>
      <c r="C136" s="18" t="s">
        <v>296</v>
      </c>
      <c r="D136" s="226">
        <f t="shared" si="18"/>
        <v>0.14016000000000001</v>
      </c>
      <c r="E136" s="226">
        <f t="shared" si="19"/>
        <v>3.8400000000000001E-4</v>
      </c>
      <c r="F136" s="224"/>
      <c r="G136" s="224"/>
      <c r="H136" s="151"/>
      <c r="I136" s="18"/>
    </row>
    <row r="137" spans="2:9">
      <c r="B137" s="18" t="s">
        <v>305</v>
      </c>
      <c r="C137" s="18" t="s">
        <v>304</v>
      </c>
      <c r="D137" s="226">
        <f t="shared" si="18"/>
        <v>5.4311999999999997E-3</v>
      </c>
      <c r="E137" s="226">
        <f t="shared" si="19"/>
        <v>1.488E-5</v>
      </c>
      <c r="F137" s="224"/>
      <c r="G137" s="224"/>
      <c r="H137" s="151"/>
      <c r="I137" s="18"/>
    </row>
    <row r="138" spans="2:9">
      <c r="B138" s="18" t="s">
        <v>308</v>
      </c>
      <c r="C138" s="18" t="s">
        <v>307</v>
      </c>
      <c r="D138" s="226">
        <f t="shared" si="18"/>
        <v>7.2707999999999995E-2</v>
      </c>
      <c r="E138" s="226">
        <f t="shared" si="19"/>
        <v>1.9920000000000002E-4</v>
      </c>
      <c r="F138" s="224"/>
      <c r="G138" s="224"/>
      <c r="H138" s="151"/>
      <c r="I138" s="18"/>
    </row>
    <row r="139" spans="2:9">
      <c r="B139" s="18" t="s">
        <v>611</v>
      </c>
      <c r="C139" s="18" t="s">
        <v>610</v>
      </c>
      <c r="D139" s="226">
        <f t="shared" si="18"/>
        <v>0.18395999999999998</v>
      </c>
      <c r="E139" s="226">
        <f t="shared" si="19"/>
        <v>5.04E-4</v>
      </c>
      <c r="F139" s="19"/>
      <c r="G139" s="19"/>
      <c r="H139" s="151"/>
      <c r="I139" s="18"/>
    </row>
    <row r="140" spans="2:9">
      <c r="B140" s="18" t="s">
        <v>617</v>
      </c>
      <c r="C140" s="18" t="s">
        <v>616</v>
      </c>
      <c r="D140" s="226">
        <f t="shared" si="18"/>
        <v>0.26280000000000003</v>
      </c>
      <c r="E140" s="226">
        <f t="shared" si="19"/>
        <v>7.2000000000000005E-4</v>
      </c>
      <c r="F140" s="19"/>
      <c r="G140" s="19"/>
      <c r="H140" s="151"/>
      <c r="I140" s="18"/>
    </row>
    <row r="141" spans="2:9">
      <c r="B141" s="18" t="s">
        <v>623</v>
      </c>
      <c r="C141" s="18" t="s">
        <v>622</v>
      </c>
      <c r="D141" s="226">
        <f t="shared" si="18"/>
        <v>1.4892000000000001E-2</v>
      </c>
      <c r="E141" s="226">
        <f t="shared" si="19"/>
        <v>4.0800000000000002E-5</v>
      </c>
      <c r="F141" s="19"/>
      <c r="G141" s="19"/>
      <c r="H141" s="151"/>
      <c r="I141" s="18"/>
    </row>
    <row r="142" spans="2:9">
      <c r="B142" s="18" t="s">
        <v>696</v>
      </c>
      <c r="C142" s="18" t="s">
        <v>1520</v>
      </c>
      <c r="D142" s="226">
        <f t="shared" si="18"/>
        <v>9.6360000000000001E-2</v>
      </c>
      <c r="E142" s="226">
        <f t="shared" si="19"/>
        <v>2.6400000000000002E-4</v>
      </c>
      <c r="F142" s="19"/>
      <c r="G142" s="19"/>
      <c r="H142" s="151"/>
      <c r="I142" s="18"/>
    </row>
    <row r="143" spans="2:9">
      <c r="B143" s="18" t="s">
        <v>832</v>
      </c>
      <c r="C143" s="18" t="s">
        <v>831</v>
      </c>
      <c r="D143" s="226">
        <f t="shared" si="18"/>
        <v>622.39921827073579</v>
      </c>
      <c r="E143" s="226">
        <f t="shared" si="19"/>
        <v>1.7052033377280433</v>
      </c>
      <c r="F143" s="19"/>
      <c r="G143" s="19"/>
      <c r="H143" s="151"/>
      <c r="I143" s="18"/>
    </row>
    <row r="144" spans="2:9">
      <c r="B144" s="18" t="s">
        <v>1077</v>
      </c>
      <c r="C144" s="18" t="s">
        <v>1076</v>
      </c>
      <c r="D144" s="226">
        <f t="shared" si="18"/>
        <v>0.12264</v>
      </c>
      <c r="E144" s="226">
        <f t="shared" si="19"/>
        <v>3.3599999999999998E-4</v>
      </c>
      <c r="F144" s="19"/>
      <c r="G144" s="19"/>
      <c r="H144" s="151"/>
      <c r="I144" s="18"/>
    </row>
    <row r="145" spans="2:9">
      <c r="B145" s="18" t="s">
        <v>1083</v>
      </c>
      <c r="C145" s="18" t="s">
        <v>1082</v>
      </c>
      <c r="D145" s="226">
        <f t="shared" si="18"/>
        <v>2.8031999999999998E-2</v>
      </c>
      <c r="E145" s="226">
        <f t="shared" si="19"/>
        <v>7.6799999999999997E-5</v>
      </c>
      <c r="F145" s="19"/>
      <c r="G145" s="19"/>
      <c r="H145" s="151"/>
      <c r="I145" s="18"/>
    </row>
    <row r="146" spans="2:9">
      <c r="B146" s="18" t="s">
        <v>1119</v>
      </c>
      <c r="C146" s="18" t="s">
        <v>1118</v>
      </c>
      <c r="D146" s="226">
        <f t="shared" si="18"/>
        <v>6.5700000000000008E-2</v>
      </c>
      <c r="E146" s="226">
        <f t="shared" si="19"/>
        <v>1.8000000000000001E-4</v>
      </c>
      <c r="F146" s="19"/>
      <c r="G146" s="19"/>
      <c r="H146" s="151"/>
      <c r="I146" s="18"/>
    </row>
    <row r="147" spans="2:9">
      <c r="B147" s="18" t="s">
        <v>1231</v>
      </c>
      <c r="C147" s="18" t="s">
        <v>1230</v>
      </c>
      <c r="D147" s="226">
        <f t="shared" si="18"/>
        <v>1.4754588235294117</v>
      </c>
      <c r="E147" s="226">
        <f t="shared" si="19"/>
        <v>4.04235294117647E-3</v>
      </c>
      <c r="F147" s="19"/>
      <c r="G147" s="19"/>
      <c r="H147" s="151"/>
      <c r="I147" s="18"/>
    </row>
    <row r="148" spans="2:9">
      <c r="B148" s="18" t="s">
        <v>934</v>
      </c>
      <c r="C148" s="18" t="s">
        <v>933</v>
      </c>
      <c r="D148" s="226">
        <f t="shared" si="18"/>
        <v>1.3490400000000002E-6</v>
      </c>
      <c r="E148" s="226">
        <f t="shared" si="19"/>
        <v>3.6960000000000005E-9</v>
      </c>
      <c r="F148" s="19"/>
      <c r="G148" s="19"/>
      <c r="H148" s="151"/>
      <c r="I148" s="149"/>
    </row>
    <row r="149" spans="2:9">
      <c r="B149" s="18" t="s">
        <v>936</v>
      </c>
      <c r="C149" s="18" t="s">
        <v>935</v>
      </c>
      <c r="D149" s="226">
        <f t="shared" si="18"/>
        <v>3.2061599999999996E-6</v>
      </c>
      <c r="E149" s="226">
        <f t="shared" si="19"/>
        <v>8.7839999999999994E-9</v>
      </c>
      <c r="F149" s="19"/>
      <c r="G149" s="19"/>
      <c r="H149" s="151"/>
      <c r="I149" s="149"/>
    </row>
    <row r="150" spans="2:9">
      <c r="B150" s="18" t="s">
        <v>938</v>
      </c>
      <c r="C150" s="18" t="s">
        <v>937</v>
      </c>
      <c r="D150" s="226">
        <f t="shared" si="18"/>
        <v>6.3718780000000002E-7</v>
      </c>
      <c r="E150" s="226">
        <f t="shared" si="19"/>
        <v>1.74572E-9</v>
      </c>
      <c r="F150" s="19"/>
      <c r="G150" s="19"/>
      <c r="H150" s="151"/>
      <c r="I150" s="149"/>
    </row>
    <row r="151" spans="2:9">
      <c r="B151" s="18" t="s">
        <v>42</v>
      </c>
      <c r="C151" s="18" t="s">
        <v>958</v>
      </c>
      <c r="D151" s="226">
        <f t="shared" si="18"/>
        <v>1.8834E-2</v>
      </c>
      <c r="E151" s="226">
        <f t="shared" si="19"/>
        <v>5.1600000000000007E-5</v>
      </c>
      <c r="F151" s="19"/>
      <c r="G151" s="19"/>
      <c r="H151" s="151"/>
      <c r="I151" s="149"/>
    </row>
    <row r="152" spans="2:9">
      <c r="B152" s="18" t="s">
        <v>45</v>
      </c>
      <c r="C152" s="18" t="s">
        <v>959</v>
      </c>
      <c r="D152" s="226">
        <f t="shared" si="18"/>
        <v>4.6515599999999997E-2</v>
      </c>
      <c r="E152" s="226">
        <f t="shared" si="19"/>
        <v>1.2743999999999999E-4</v>
      </c>
      <c r="F152" s="19"/>
      <c r="G152" s="19"/>
      <c r="H152" s="151"/>
      <c r="I152" s="149"/>
    </row>
    <row r="153" spans="2:9">
      <c r="B153" s="18" t="s">
        <v>48</v>
      </c>
      <c r="C153" s="18" t="s">
        <v>960</v>
      </c>
      <c r="D153" s="226">
        <f t="shared" si="18"/>
        <v>2.5580952000000001E-2</v>
      </c>
      <c r="E153" s="226">
        <f t="shared" si="19"/>
        <v>7.0084800000000004E-5</v>
      </c>
      <c r="F153" s="19"/>
      <c r="G153" s="19"/>
      <c r="H153" s="151"/>
      <c r="I153" s="149"/>
    </row>
    <row r="154" spans="2:9">
      <c r="B154" t="s">
        <v>51</v>
      </c>
      <c r="C154" t="s">
        <v>963</v>
      </c>
      <c r="D154" s="226">
        <f t="shared" si="18"/>
        <v>1.3315200000000001E-2</v>
      </c>
      <c r="E154" s="226">
        <f t="shared" si="19"/>
        <v>3.6480000000000003E-5</v>
      </c>
      <c r="F154" s="19"/>
      <c r="G154" s="19"/>
      <c r="H154" s="240"/>
      <c r="I154" s="239"/>
    </row>
    <row r="155" spans="2:9">
      <c r="B155" s="18" t="s">
        <v>54</v>
      </c>
      <c r="C155" s="18" t="s">
        <v>964</v>
      </c>
      <c r="D155" s="226">
        <f t="shared" si="18"/>
        <v>2.1578799999999999E-4</v>
      </c>
      <c r="E155" s="226">
        <f t="shared" si="19"/>
        <v>5.9119999999999995E-7</v>
      </c>
      <c r="F155" s="19"/>
      <c r="G155" s="19"/>
      <c r="H155" s="151"/>
      <c r="I155" s="149"/>
    </row>
    <row r="156" spans="2:9">
      <c r="B156" s="18" t="s">
        <v>57</v>
      </c>
      <c r="C156" s="18" t="s">
        <v>965</v>
      </c>
      <c r="D156" s="226">
        <f t="shared" si="18"/>
        <v>6.6137999999999995E-3</v>
      </c>
      <c r="E156" s="226">
        <f t="shared" si="19"/>
        <v>1.8119999999999999E-5</v>
      </c>
      <c r="F156" s="19"/>
      <c r="G156" s="19"/>
      <c r="H156" s="151"/>
      <c r="I156" s="149"/>
    </row>
    <row r="157" spans="2:9">
      <c r="B157" s="18" t="s">
        <v>60</v>
      </c>
      <c r="C157" s="18" t="s">
        <v>968</v>
      </c>
      <c r="D157" s="226">
        <f t="shared" si="18"/>
        <v>1.6206E-3</v>
      </c>
      <c r="E157" s="226">
        <f t="shared" si="19"/>
        <v>4.4399999999999998E-6</v>
      </c>
      <c r="F157" s="19"/>
      <c r="G157" s="19"/>
      <c r="H157" s="151"/>
      <c r="I157" s="149"/>
    </row>
    <row r="158" spans="2:9">
      <c r="B158" s="18" t="s">
        <v>63</v>
      </c>
      <c r="C158" s="18" t="s">
        <v>969</v>
      </c>
      <c r="D158" s="226">
        <f t="shared" si="18"/>
        <v>8.9351999999999997E-4</v>
      </c>
      <c r="E158" s="226">
        <f t="shared" si="19"/>
        <v>2.4480000000000001E-6</v>
      </c>
      <c r="F158" s="19"/>
      <c r="G158" s="19"/>
      <c r="H158" s="151"/>
      <c r="I158" s="149"/>
    </row>
    <row r="159" spans="2:9">
      <c r="B159" s="18" t="s">
        <v>66</v>
      </c>
      <c r="C159" s="18" t="s">
        <v>972</v>
      </c>
      <c r="D159" s="226">
        <f t="shared" si="18"/>
        <v>1.28772E-3</v>
      </c>
      <c r="E159" s="226">
        <f t="shared" si="19"/>
        <v>3.5279999999999999E-6</v>
      </c>
      <c r="F159" s="19"/>
      <c r="G159" s="19"/>
      <c r="H159" s="151"/>
      <c r="I159" s="149"/>
    </row>
    <row r="160" spans="2:9">
      <c r="B160" s="18" t="s">
        <v>73</v>
      </c>
      <c r="C160" s="18" t="s">
        <v>975</v>
      </c>
      <c r="D160" s="226">
        <f t="shared" si="18"/>
        <v>1.9797599999999999E-2</v>
      </c>
      <c r="E160" s="226">
        <f t="shared" si="19"/>
        <v>5.4239999999999996E-5</v>
      </c>
      <c r="F160" s="19"/>
      <c r="G160" s="19"/>
      <c r="H160" s="151"/>
      <c r="I160" s="149"/>
    </row>
    <row r="161" spans="2:9">
      <c r="B161" s="18" t="s">
        <v>79</v>
      </c>
      <c r="C161" s="18" t="s">
        <v>995</v>
      </c>
      <c r="D161" s="226">
        <f t="shared" si="18"/>
        <v>5.81664E-2</v>
      </c>
      <c r="E161" s="226">
        <f t="shared" si="19"/>
        <v>1.5935999999999999E-4</v>
      </c>
      <c r="F161" s="19"/>
      <c r="G161" s="19"/>
      <c r="H161" s="151"/>
      <c r="I161" s="149"/>
    </row>
    <row r="162" spans="2:9">
      <c r="B162" s="18" t="s">
        <v>82</v>
      </c>
      <c r="C162" s="18" t="s">
        <v>996</v>
      </c>
      <c r="D162" s="226">
        <f t="shared" si="18"/>
        <v>7.87524E-2</v>
      </c>
      <c r="E162" s="226">
        <f t="shared" si="19"/>
        <v>2.1576000000000001E-4</v>
      </c>
      <c r="F162" s="19"/>
      <c r="G162" s="19"/>
      <c r="H162" s="151"/>
      <c r="I162" s="149"/>
    </row>
    <row r="163" spans="2:9">
      <c r="B163" s="18" t="s">
        <v>88</v>
      </c>
      <c r="C163" s="18" t="s">
        <v>998</v>
      </c>
      <c r="D163" s="226">
        <f t="shared" ref="D163:D194" si="20">SUMIF($B$37:$B$125,B163,$F$37:$F$125)</f>
        <v>1.8746400000000001</v>
      </c>
      <c r="E163" s="226">
        <f t="shared" ref="E163:E194" si="21">SUMIF($B$37:$B$125,B163,$G$37:$G$125)</f>
        <v>5.1359999999999999E-3</v>
      </c>
      <c r="F163" s="19"/>
      <c r="G163" s="19"/>
      <c r="H163" s="151"/>
      <c r="I163" s="149"/>
    </row>
    <row r="164" spans="2:9">
      <c r="B164" s="18" t="s">
        <v>693</v>
      </c>
      <c r="C164" s="18" t="s">
        <v>692</v>
      </c>
      <c r="D164" s="226">
        <f t="shared" si="20"/>
        <v>24.527999999999995</v>
      </c>
      <c r="E164" s="226">
        <f t="shared" si="21"/>
        <v>6.7199999999999982E-2</v>
      </c>
      <c r="F164" s="19"/>
      <c r="G164" s="19"/>
      <c r="H164" s="151"/>
      <c r="I164" s="149"/>
    </row>
    <row r="165" spans="2:9">
      <c r="B165" s="18" t="s">
        <v>94</v>
      </c>
      <c r="C165" s="18" t="s">
        <v>1000</v>
      </c>
      <c r="D165" s="226">
        <f t="shared" si="20"/>
        <v>0.22775999999999999</v>
      </c>
      <c r="E165" s="226">
        <f t="shared" si="21"/>
        <v>6.2399999999999999E-4</v>
      </c>
      <c r="F165" s="19"/>
      <c r="G165" s="19"/>
      <c r="H165" s="151"/>
      <c r="I165" s="149"/>
    </row>
    <row r="166" spans="2:9">
      <c r="B166" s="18" t="s">
        <v>97</v>
      </c>
      <c r="C166" s="18" t="s">
        <v>1001</v>
      </c>
      <c r="D166" s="226">
        <f t="shared" si="20"/>
        <v>3.8806800000000002E-2</v>
      </c>
      <c r="E166" s="226">
        <f t="shared" si="21"/>
        <v>1.0632E-4</v>
      </c>
      <c r="F166" s="19"/>
      <c r="G166" s="19"/>
      <c r="H166" s="151"/>
      <c r="I166" s="149"/>
    </row>
    <row r="167" spans="2:9">
      <c r="B167" s="18" t="s">
        <v>867</v>
      </c>
      <c r="C167" s="18" t="s">
        <v>866</v>
      </c>
      <c r="D167" s="226">
        <f t="shared" si="20"/>
        <v>1.0512E-4</v>
      </c>
      <c r="E167" s="226">
        <f t="shared" si="21"/>
        <v>2.8799999999999998E-7</v>
      </c>
      <c r="F167" s="19"/>
      <c r="G167" s="19"/>
      <c r="H167" s="151"/>
      <c r="I167" s="149"/>
    </row>
    <row r="168" spans="2:9">
      <c r="B168" s="18" t="s">
        <v>869</v>
      </c>
      <c r="C168" s="18" t="s">
        <v>868</v>
      </c>
      <c r="D168" s="226">
        <f t="shared" si="20"/>
        <v>6.9554400000000006E-5</v>
      </c>
      <c r="E168" s="226">
        <f t="shared" si="21"/>
        <v>1.9056000000000001E-7</v>
      </c>
      <c r="F168" s="19"/>
      <c r="G168" s="19"/>
      <c r="H168" s="151"/>
      <c r="I168" s="149"/>
    </row>
    <row r="169" spans="2:9">
      <c r="B169" t="s">
        <v>871</v>
      </c>
      <c r="C169" t="s">
        <v>870</v>
      </c>
      <c r="D169" s="226">
        <f t="shared" si="20"/>
        <v>5.8779600000000002E-5</v>
      </c>
      <c r="E169" s="226">
        <f t="shared" si="21"/>
        <v>1.6104000000000002E-7</v>
      </c>
      <c r="F169" s="19"/>
      <c r="G169" s="19"/>
      <c r="H169" s="151"/>
      <c r="I169" s="149"/>
    </row>
    <row r="170" spans="2:9">
      <c r="B170" s="18" t="s">
        <v>873</v>
      </c>
      <c r="C170" s="18" t="s">
        <v>872</v>
      </c>
      <c r="D170" s="226">
        <f t="shared" si="20"/>
        <v>2.3564400000000001E-5</v>
      </c>
      <c r="E170" s="226">
        <f t="shared" si="21"/>
        <v>6.4560000000000004E-8</v>
      </c>
      <c r="F170" s="19"/>
      <c r="G170" s="19"/>
      <c r="H170" s="240"/>
      <c r="I170" s="239"/>
    </row>
    <row r="171" spans="2:9">
      <c r="B171" s="18" t="s">
        <v>875</v>
      </c>
      <c r="C171" s="18" t="s">
        <v>874</v>
      </c>
      <c r="D171" s="226">
        <f t="shared" si="20"/>
        <v>2.4703200000000001E-5</v>
      </c>
      <c r="E171" s="226">
        <f t="shared" si="21"/>
        <v>6.7680000000000008E-8</v>
      </c>
      <c r="F171" s="19"/>
      <c r="G171" s="19"/>
      <c r="H171" s="151"/>
      <c r="I171" s="149"/>
    </row>
    <row r="172" spans="2:9">
      <c r="B172" s="18" t="s">
        <v>877</v>
      </c>
      <c r="C172" s="18" t="s">
        <v>876</v>
      </c>
      <c r="D172" s="226">
        <f t="shared" si="20"/>
        <v>1.1826000000000002E-5</v>
      </c>
      <c r="E172" s="226">
        <f t="shared" si="21"/>
        <v>3.2399999999999999E-8</v>
      </c>
      <c r="F172" s="19"/>
      <c r="G172" s="19"/>
      <c r="H172" s="151"/>
      <c r="I172" s="149"/>
    </row>
    <row r="173" spans="2:9">
      <c r="B173" s="18" t="s">
        <v>879</v>
      </c>
      <c r="C173" s="18" t="s">
        <v>878</v>
      </c>
      <c r="D173" s="226">
        <f t="shared" si="20"/>
        <v>1.4454E-6</v>
      </c>
      <c r="E173" s="226">
        <f t="shared" si="21"/>
        <v>3.9600000000000004E-9</v>
      </c>
      <c r="F173" s="19"/>
      <c r="G173" s="19"/>
      <c r="H173" s="151"/>
      <c r="I173" s="149"/>
    </row>
    <row r="174" spans="2:9">
      <c r="B174" s="18" t="s">
        <v>881</v>
      </c>
      <c r="C174" s="18" t="s">
        <v>880</v>
      </c>
      <c r="D174" s="226">
        <f t="shared" si="20"/>
        <v>1.2401240000000001E-7</v>
      </c>
      <c r="E174" s="226">
        <f t="shared" si="21"/>
        <v>3.3976000000000002E-10</v>
      </c>
      <c r="F174" s="19"/>
      <c r="G174" s="19"/>
      <c r="H174" s="151"/>
      <c r="I174" s="149"/>
    </row>
    <row r="175" spans="2:9">
      <c r="B175" s="18" t="s">
        <v>883</v>
      </c>
      <c r="C175" s="18" t="s">
        <v>882</v>
      </c>
      <c r="D175" s="226">
        <f t="shared" si="20"/>
        <v>1.20012E-5</v>
      </c>
      <c r="E175" s="226">
        <f t="shared" si="21"/>
        <v>3.2880000000000001E-8</v>
      </c>
      <c r="F175" s="19"/>
      <c r="G175" s="19"/>
      <c r="H175" s="151"/>
      <c r="I175" s="149"/>
    </row>
    <row r="176" spans="2:9">
      <c r="B176" s="18" t="s">
        <v>885</v>
      </c>
      <c r="C176" s="18" t="s">
        <v>884</v>
      </c>
      <c r="D176" s="226">
        <f t="shared" si="20"/>
        <v>2.85576E-6</v>
      </c>
      <c r="E176" s="226">
        <f t="shared" si="21"/>
        <v>7.8240000000000011E-9</v>
      </c>
      <c r="F176" s="19"/>
      <c r="G176" s="19"/>
      <c r="H176" s="151"/>
      <c r="I176" s="149"/>
    </row>
    <row r="177" spans="2:9">
      <c r="B177" s="18" t="s">
        <v>889</v>
      </c>
      <c r="C177" s="18" t="s">
        <v>888</v>
      </c>
      <c r="D177" s="226">
        <f t="shared" si="20"/>
        <v>7.25328E-6</v>
      </c>
      <c r="E177" s="226">
        <f t="shared" si="21"/>
        <v>1.9872000000000001E-8</v>
      </c>
      <c r="F177" s="19"/>
      <c r="G177" s="19"/>
      <c r="H177" s="151"/>
      <c r="I177" s="149"/>
    </row>
    <row r="178" spans="2:9">
      <c r="B178" s="18" t="s">
        <v>891</v>
      </c>
      <c r="C178" s="18" t="s">
        <v>890</v>
      </c>
      <c r="D178" s="226">
        <f t="shared" si="20"/>
        <v>1.85274E-7</v>
      </c>
      <c r="E178" s="226">
        <f t="shared" si="21"/>
        <v>5.0759999999999998E-10</v>
      </c>
      <c r="F178" s="19"/>
      <c r="G178" s="19"/>
      <c r="H178" s="151"/>
      <c r="I178" s="149"/>
    </row>
    <row r="179" spans="2:9">
      <c r="B179" s="18" t="s">
        <v>895</v>
      </c>
      <c r="C179" s="18" t="s">
        <v>894</v>
      </c>
      <c r="D179" s="226">
        <f t="shared" si="20"/>
        <v>5.9845400000000007E-7</v>
      </c>
      <c r="E179" s="226">
        <f t="shared" si="21"/>
        <v>1.6396E-9</v>
      </c>
      <c r="F179" s="19"/>
      <c r="G179" s="19"/>
      <c r="H179" s="151"/>
      <c r="I179" s="150"/>
    </row>
    <row r="180" spans="2:9">
      <c r="B180" s="18" t="s">
        <v>897</v>
      </c>
      <c r="C180" s="18" t="s">
        <v>896</v>
      </c>
      <c r="D180" s="226">
        <f t="shared" si="20"/>
        <v>4.8442799999999998E-6</v>
      </c>
      <c r="E180" s="226">
        <f t="shared" si="21"/>
        <v>1.3271999999999998E-8</v>
      </c>
      <c r="F180" s="19"/>
      <c r="G180" s="19"/>
      <c r="H180" s="151"/>
      <c r="I180" s="150"/>
    </row>
    <row r="181" spans="2:9">
      <c r="B181" s="18" t="s">
        <v>899</v>
      </c>
      <c r="C181" s="18" t="s">
        <v>898</v>
      </c>
      <c r="D181" s="226">
        <f t="shared" si="20"/>
        <v>4.3624800000000005E-6</v>
      </c>
      <c r="E181" s="226">
        <f t="shared" si="21"/>
        <v>1.1952E-8</v>
      </c>
      <c r="F181" s="19"/>
      <c r="G181" s="19"/>
      <c r="H181" s="151"/>
      <c r="I181" s="150"/>
    </row>
    <row r="182" spans="2:9">
      <c r="B182" s="18" t="s">
        <v>901</v>
      </c>
      <c r="C182" s="18" t="s">
        <v>900</v>
      </c>
      <c r="D182" s="226">
        <f t="shared" si="20"/>
        <v>4.00624E-7</v>
      </c>
      <c r="E182" s="226">
        <f t="shared" si="21"/>
        <v>1.0976E-9</v>
      </c>
      <c r="F182" s="19"/>
      <c r="G182" s="19"/>
      <c r="H182" s="151"/>
      <c r="I182" s="150"/>
    </row>
    <row r="183" spans="2:9">
      <c r="B183" s="18" t="s">
        <v>905</v>
      </c>
      <c r="C183" t="s">
        <v>904</v>
      </c>
      <c r="D183" s="226">
        <f t="shared" si="20"/>
        <v>1.3461199999999999E-7</v>
      </c>
      <c r="E183" s="226">
        <f t="shared" si="21"/>
        <v>3.6880000000000001E-10</v>
      </c>
      <c r="F183" s="18"/>
      <c r="G183" s="18"/>
      <c r="H183" s="151"/>
      <c r="I183" s="150"/>
    </row>
    <row r="184" spans="2:9">
      <c r="B184" s="18" t="s">
        <v>907</v>
      </c>
      <c r="C184" s="18" t="s">
        <v>906</v>
      </c>
      <c r="D184" s="226">
        <f t="shared" si="20"/>
        <v>3.1185599999999998E-7</v>
      </c>
      <c r="E184" s="226">
        <f t="shared" si="21"/>
        <v>8.5439999999999997E-10</v>
      </c>
      <c r="F184" s="18"/>
      <c r="G184" s="18"/>
      <c r="H184" s="18"/>
      <c r="I184" s="18"/>
    </row>
    <row r="185" spans="2:9">
      <c r="B185" s="18" t="s">
        <v>909</v>
      </c>
      <c r="C185" s="18" t="s">
        <v>908</v>
      </c>
      <c r="D185" s="226">
        <f t="shared" si="20"/>
        <v>4.8515800000000004E-7</v>
      </c>
      <c r="E185" s="226">
        <f t="shared" si="21"/>
        <v>1.3291999999999999E-9</v>
      </c>
      <c r="F185" s="18"/>
      <c r="G185" s="18"/>
      <c r="H185" s="18"/>
      <c r="I185" s="18"/>
    </row>
    <row r="186" spans="2:9">
      <c r="B186" s="18" t="s">
        <v>911</v>
      </c>
      <c r="C186" s="18" t="s">
        <v>910</v>
      </c>
      <c r="D186" s="226">
        <f t="shared" si="20"/>
        <v>1.8308399999999999E-6</v>
      </c>
      <c r="E186" s="226">
        <f t="shared" si="21"/>
        <v>5.016E-9</v>
      </c>
      <c r="F186" s="18"/>
      <c r="G186" s="18"/>
      <c r="H186" s="18"/>
      <c r="I186" s="18"/>
    </row>
    <row r="187" spans="2:9">
      <c r="B187" s="18" t="s">
        <v>913</v>
      </c>
      <c r="C187" s="18" t="s">
        <v>912</v>
      </c>
      <c r="D187" s="226">
        <f t="shared" si="20"/>
        <v>7.6752199999999993E-7</v>
      </c>
      <c r="E187" s="226">
        <f t="shared" si="21"/>
        <v>2.1027999999999998E-9</v>
      </c>
      <c r="F187" s="18"/>
      <c r="G187" s="18"/>
      <c r="H187" s="18"/>
      <c r="I187" s="18"/>
    </row>
    <row r="188" spans="2:9">
      <c r="B188" s="18" t="s">
        <v>864</v>
      </c>
      <c r="C188" s="18" t="s">
        <v>863</v>
      </c>
      <c r="D188" s="226">
        <f t="shared" si="20"/>
        <v>1.07748E-3</v>
      </c>
      <c r="E188" s="226">
        <f t="shared" si="21"/>
        <v>2.9519999999999999E-6</v>
      </c>
      <c r="F188" s="18"/>
      <c r="G188" s="18"/>
      <c r="H188" s="18"/>
      <c r="I188" s="18"/>
    </row>
    <row r="189" spans="2:9">
      <c r="B189" s="18" t="s">
        <v>41</v>
      </c>
      <c r="C189" s="18" t="s">
        <v>40</v>
      </c>
      <c r="D189" s="226">
        <f t="shared" si="20"/>
        <v>12.332135138324611</v>
      </c>
      <c r="E189" s="226">
        <f t="shared" si="21"/>
        <v>3.3786671611848243E-2</v>
      </c>
      <c r="F189" s="18"/>
      <c r="G189" s="18"/>
      <c r="H189" s="18"/>
      <c r="I189" s="18"/>
    </row>
    <row r="190" spans="2:9">
      <c r="B190" s="18" t="s">
        <v>56</v>
      </c>
      <c r="C190" s="18" t="s">
        <v>55</v>
      </c>
      <c r="D190" s="226">
        <f t="shared" si="20"/>
        <v>0.4815552352941177</v>
      </c>
      <c r="E190" s="226">
        <f t="shared" si="21"/>
        <v>1.3193294117647058E-3</v>
      </c>
      <c r="F190" s="18"/>
      <c r="G190" s="18"/>
      <c r="H190" s="18"/>
      <c r="I190" s="18"/>
    </row>
    <row r="191" spans="2:9">
      <c r="B191" s="18" t="s">
        <v>148</v>
      </c>
      <c r="C191" s="18" t="s">
        <v>147</v>
      </c>
      <c r="D191" s="226">
        <f t="shared" si="20"/>
        <v>57.85385740934494</v>
      </c>
      <c r="E191" s="226">
        <f t="shared" si="21"/>
        <v>0.15850371892971213</v>
      </c>
      <c r="F191" s="18"/>
      <c r="G191" s="18"/>
      <c r="H191" s="18"/>
      <c r="I191" s="18"/>
    </row>
    <row r="192" spans="2:9">
      <c r="B192" s="18" t="s">
        <v>194</v>
      </c>
      <c r="C192" s="18" t="s">
        <v>193</v>
      </c>
      <c r="D192" s="226">
        <f t="shared" si="20"/>
        <v>14.94675</v>
      </c>
      <c r="E192" s="226">
        <f t="shared" si="21"/>
        <v>4.095E-2</v>
      </c>
      <c r="F192" s="18"/>
      <c r="G192" s="18"/>
      <c r="H192" s="18"/>
      <c r="I192" s="18"/>
    </row>
    <row r="193" spans="2:9">
      <c r="B193" s="18" t="s">
        <v>273</v>
      </c>
      <c r="C193" s="18" t="s">
        <v>272</v>
      </c>
      <c r="D193" s="226">
        <f t="shared" si="20"/>
        <v>6.6148950000000006</v>
      </c>
      <c r="E193" s="226">
        <f t="shared" si="21"/>
        <v>1.8123E-2</v>
      </c>
      <c r="F193" s="18"/>
      <c r="G193" s="18"/>
      <c r="H193" s="18"/>
      <c r="I193" s="18"/>
    </row>
    <row r="194" spans="2:9">
      <c r="B194" s="18" t="s">
        <v>69</v>
      </c>
      <c r="C194" s="18" t="s">
        <v>70</v>
      </c>
      <c r="D194" s="226">
        <f t="shared" si="20"/>
        <v>8.96805E-3</v>
      </c>
      <c r="E194" s="226">
        <f t="shared" si="21"/>
        <v>2.4569999999999997E-5</v>
      </c>
      <c r="F194" s="18"/>
      <c r="G194" s="18"/>
      <c r="H194" s="18"/>
      <c r="I194" s="18"/>
    </row>
    <row r="195" spans="2:9">
      <c r="B195" s="18" t="s">
        <v>536</v>
      </c>
      <c r="C195" t="s">
        <v>535</v>
      </c>
      <c r="D195" s="226">
        <f t="shared" ref="D195:D204" si="22">SUMIF($B$37:$B$125,B195,$F$37:$F$125)</f>
        <v>95.044773344130533</v>
      </c>
      <c r="E195" s="226">
        <f t="shared" ref="E195:E204" si="23">SUMIF($B$37:$B$125,B195,$G$37:$G$125)</f>
        <v>0.26039663929898776</v>
      </c>
      <c r="H195" s="18"/>
      <c r="I195" s="18"/>
    </row>
    <row r="196" spans="2:9">
      <c r="B196" s="18" t="s">
        <v>1047</v>
      </c>
      <c r="C196" t="s">
        <v>1046</v>
      </c>
      <c r="D196" s="226">
        <f t="shared" si="22"/>
        <v>12.899617552022963</v>
      </c>
      <c r="E196" s="226">
        <f t="shared" si="23"/>
        <v>3.5341417950747848E-2</v>
      </c>
    </row>
    <row r="197" spans="2:9">
      <c r="B197" s="18" t="s">
        <v>1129</v>
      </c>
      <c r="C197" t="s">
        <v>1128</v>
      </c>
      <c r="D197" s="226">
        <f t="shared" si="22"/>
        <v>91.429227644518889</v>
      </c>
      <c r="E197" s="226">
        <f t="shared" si="23"/>
        <v>0.25049103464251754</v>
      </c>
    </row>
    <row r="198" spans="2:9">
      <c r="B198" s="18" t="s">
        <v>1223</v>
      </c>
      <c r="C198" t="s">
        <v>1222</v>
      </c>
      <c r="D198" s="226">
        <f t="shared" si="22"/>
        <v>37.733705583248231</v>
      </c>
      <c r="E198" s="226">
        <f t="shared" si="23"/>
        <v>0.10338001529657048</v>
      </c>
    </row>
    <row r="199" spans="2:9">
      <c r="B199" s="18" t="s">
        <v>585</v>
      </c>
      <c r="C199" t="s">
        <v>584</v>
      </c>
      <c r="D199" s="226">
        <f t="shared" si="22"/>
        <v>142.79894999999999</v>
      </c>
      <c r="E199" s="226">
        <f t="shared" si="23"/>
        <v>0.39122999999999997</v>
      </c>
    </row>
    <row r="200" spans="2:9">
      <c r="B200" s="18" t="s">
        <v>1238</v>
      </c>
      <c r="C200" t="s">
        <v>498</v>
      </c>
      <c r="D200" s="226">
        <f t="shared" si="22"/>
        <v>18.600638762854167</v>
      </c>
      <c r="E200" s="226">
        <f t="shared" si="23"/>
        <v>5.0960654144805953E-2</v>
      </c>
    </row>
    <row r="201" spans="2:9">
      <c r="B201" s="18" t="s">
        <v>1262</v>
      </c>
      <c r="C201" t="s">
        <v>590</v>
      </c>
      <c r="D201" s="226">
        <f t="shared" si="22"/>
        <v>246.71761393624416</v>
      </c>
      <c r="E201" s="226">
        <f t="shared" si="23"/>
        <v>0.67593866831847715</v>
      </c>
    </row>
    <row r="202" spans="2:9">
      <c r="B202" s="18" t="s">
        <v>814</v>
      </c>
      <c r="C202" t="s">
        <v>813</v>
      </c>
      <c r="D202" s="226">
        <f t="shared" si="22"/>
        <v>4.2398878839413801</v>
      </c>
      <c r="E202" s="226">
        <f t="shared" si="23"/>
        <v>1.1616131188880495E-2</v>
      </c>
    </row>
    <row r="203" spans="2:9">
      <c r="B203" s="18" t="s">
        <v>110</v>
      </c>
      <c r="C203" t="s">
        <v>109</v>
      </c>
      <c r="D203" s="226">
        <f t="shared" si="22"/>
        <v>27.482352941176469</v>
      </c>
      <c r="E203" s="226">
        <f t="shared" si="23"/>
        <v>7.5294117647058831E-2</v>
      </c>
    </row>
    <row r="204" spans="2:9">
      <c r="B204" s="18" t="s">
        <v>579</v>
      </c>
      <c r="C204" t="s">
        <v>578</v>
      </c>
      <c r="D204" s="226">
        <f t="shared" si="22"/>
        <v>5.4105882352941177E-2</v>
      </c>
      <c r="E204" s="226">
        <f t="shared" si="23"/>
        <v>1.4823529411764707E-4</v>
      </c>
    </row>
    <row r="205" spans="2:9">
      <c r="B205" s="7" t="s">
        <v>1612</v>
      </c>
      <c r="C205" s="248" t="s">
        <v>1633</v>
      </c>
      <c r="D205" s="246">
        <f>Tabl_B1a_SO3!B16*C11</f>
        <v>4713.3894179409281</v>
      </c>
      <c r="E205" s="246">
        <f>Tabl_B1a_SO3!B16*C10</f>
        <v>12.913395665591583</v>
      </c>
    </row>
    <row r="206" spans="2:9">
      <c r="C206" s="166" t="s">
        <v>1351</v>
      </c>
      <c r="D206" s="225">
        <f>SUM(D131:D205)</f>
        <v>6134.8519367993867</v>
      </c>
      <c r="E206" s="225">
        <f>SUM(E131:E205)</f>
        <v>16.807813525477769</v>
      </c>
    </row>
  </sheetData>
  <mergeCells count="8">
    <mergeCell ref="I95:I105"/>
    <mergeCell ref="I106:I115"/>
    <mergeCell ref="I116:I125"/>
    <mergeCell ref="A37:A53"/>
    <mergeCell ref="A95:A105"/>
    <mergeCell ref="A106:A115"/>
    <mergeCell ref="A116:A125"/>
    <mergeCell ref="A54:A94"/>
  </mergeCells>
  <phoneticPr fontId="6"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724C2-3E57-2349-8CC2-46D4894F8118}">
  <dimension ref="A1:D16"/>
  <sheetViews>
    <sheetView tabSelected="1" workbookViewId="0"/>
  </sheetViews>
  <sheetFormatPr baseColWidth="10" defaultColWidth="11" defaultRowHeight="16"/>
  <cols>
    <col min="1" max="1" width="45.6640625" customWidth="1"/>
    <col min="2" max="2" width="23" customWidth="1"/>
    <col min="3" max="3" width="11" style="244"/>
    <col min="7" max="7" width="21.83203125" customWidth="1"/>
    <col min="8" max="8" width="19" customWidth="1"/>
  </cols>
  <sheetData>
    <row r="1" spans="1:4" ht="19">
      <c r="A1" s="188" t="s">
        <v>1528</v>
      </c>
      <c r="B1" s="44"/>
    </row>
    <row r="2" spans="1:4" ht="19">
      <c r="A2" s="188" t="s">
        <v>1620</v>
      </c>
    </row>
    <row r="4" spans="1:4">
      <c r="A4" s="245" t="s">
        <v>1553</v>
      </c>
      <c r="B4" t="s">
        <v>1554</v>
      </c>
    </row>
    <row r="5" spans="1:4">
      <c r="A5" s="245" t="s">
        <v>29</v>
      </c>
      <c r="B5" t="s">
        <v>1398</v>
      </c>
    </row>
    <row r="6" spans="1:4">
      <c r="A6" s="245" t="s">
        <v>30</v>
      </c>
      <c r="B6" t="s">
        <v>1555</v>
      </c>
    </row>
    <row r="8" spans="1:4" ht="19">
      <c r="A8" s="171" t="s">
        <v>1619</v>
      </c>
    </row>
    <row r="10" spans="1:4">
      <c r="A10" t="s">
        <v>1621</v>
      </c>
      <c r="B10">
        <v>4.87</v>
      </c>
      <c r="C10" s="244" t="s">
        <v>27</v>
      </c>
      <c r="D10" t="s">
        <v>1625</v>
      </c>
    </row>
    <row r="11" spans="1:4">
      <c r="A11" t="s">
        <v>1622</v>
      </c>
      <c r="B11" s="13">
        <f>B10*(32.065/64.066)</f>
        <v>2.4374324914931473</v>
      </c>
      <c r="C11" s="244" t="s">
        <v>27</v>
      </c>
    </row>
    <row r="12" spans="1:4">
      <c r="A12" t="s">
        <v>1623</v>
      </c>
      <c r="B12" s="13">
        <f>B11*1.05</f>
        <v>2.5593041160678047</v>
      </c>
      <c r="C12" s="244" t="s">
        <v>27</v>
      </c>
      <c r="D12" t="s">
        <v>1624</v>
      </c>
    </row>
    <row r="13" spans="1:4">
      <c r="A13" t="s">
        <v>1626</v>
      </c>
      <c r="B13">
        <v>1.75</v>
      </c>
      <c r="C13" s="244" t="s">
        <v>27</v>
      </c>
      <c r="D13" t="s">
        <v>1627</v>
      </c>
    </row>
    <row r="14" spans="1:4">
      <c r="A14" t="s">
        <v>1628</v>
      </c>
      <c r="B14" s="13">
        <f>SUM(B12:B13)</f>
        <v>4.3093041160678052</v>
      </c>
      <c r="C14" s="244" t="s">
        <v>27</v>
      </c>
    </row>
    <row r="15" spans="1:4">
      <c r="A15" t="s">
        <v>1629</v>
      </c>
      <c r="B15" s="13">
        <f>B14*0.05</f>
        <v>0.21546520580339026</v>
      </c>
      <c r="C15" s="244" t="s">
        <v>1630</v>
      </c>
    </row>
    <row r="16" spans="1:4">
      <c r="A16" t="s">
        <v>1629</v>
      </c>
      <c r="B16" s="13">
        <f>B15*(80.06/32.06)</f>
        <v>0.53805815273298263</v>
      </c>
      <c r="C16" s="244" t="s">
        <v>1631</v>
      </c>
    </row>
  </sheetData>
  <phoneticPr fontId="6" type="noConversion"/>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2DC4-DF2F-0345-8463-CBD503A3EB04}">
  <sheetPr codeName="Sheet3"/>
  <dimension ref="A1:Y76"/>
  <sheetViews>
    <sheetView topLeftCell="A50" workbookViewId="0">
      <selection activeCell="N72" sqref="D72:N72"/>
    </sheetView>
  </sheetViews>
  <sheetFormatPr baseColWidth="10" defaultColWidth="11" defaultRowHeight="16"/>
  <cols>
    <col min="1" max="1" width="23" customWidth="1"/>
    <col min="2" max="2" width="21.6640625" customWidth="1"/>
    <col min="3" max="3" width="14.83203125" customWidth="1"/>
    <col min="4" max="4" width="13.83203125" customWidth="1"/>
    <col min="6" max="6" width="11.6640625" customWidth="1"/>
    <col min="11" max="11" width="12.6640625" bestFit="1" customWidth="1"/>
    <col min="12" max="12" width="14.83203125" bestFit="1" customWidth="1"/>
    <col min="13" max="13" width="12.6640625" bestFit="1" customWidth="1"/>
  </cols>
  <sheetData>
    <row r="1" spans="1:11" ht="19">
      <c r="A1" s="188" t="s">
        <v>1528</v>
      </c>
      <c r="D1" s="44"/>
    </row>
    <row r="2" spans="1:11" ht="19">
      <c r="A2" s="188" t="s">
        <v>1534</v>
      </c>
    </row>
    <row r="4" spans="1:11">
      <c r="B4" s="4" t="s">
        <v>1553</v>
      </c>
      <c r="C4" t="s">
        <v>1562</v>
      </c>
    </row>
    <row r="5" spans="1:11">
      <c r="B5" s="4" t="s">
        <v>29</v>
      </c>
      <c r="C5" t="s">
        <v>1565</v>
      </c>
    </row>
    <row r="6" spans="1:11">
      <c r="B6" s="4" t="s">
        <v>30</v>
      </c>
      <c r="C6" t="s">
        <v>18</v>
      </c>
    </row>
    <row r="9" spans="1:11" s="22" customFormat="1">
      <c r="A9" s="21" t="s">
        <v>1427</v>
      </c>
    </row>
    <row r="10" spans="1:11" s="22" customFormat="1" ht="13">
      <c r="A10" s="25"/>
      <c r="B10" s="25"/>
      <c r="C10" s="25"/>
      <c r="D10" s="25"/>
      <c r="E10" s="25"/>
      <c r="F10" s="25"/>
      <c r="G10" s="25"/>
    </row>
    <row r="11" spans="1:11" s="22" customFormat="1" ht="45">
      <c r="A11" s="33" t="s">
        <v>1563</v>
      </c>
      <c r="B11" s="33" t="s">
        <v>1552</v>
      </c>
      <c r="C11" s="33" t="s">
        <v>1272</v>
      </c>
      <c r="D11" s="33" t="s">
        <v>1276</v>
      </c>
      <c r="E11" s="33" t="s">
        <v>1279</v>
      </c>
      <c r="F11" s="33" t="s">
        <v>1280</v>
      </c>
      <c r="G11" s="33" t="s">
        <v>1277</v>
      </c>
      <c r="H11" s="33" t="s">
        <v>1281</v>
      </c>
      <c r="I11" s="34" t="s">
        <v>1282</v>
      </c>
      <c r="J11" s="27"/>
    </row>
    <row r="12" spans="1:11" s="22" customFormat="1" ht="14">
      <c r="A12" s="22" t="s">
        <v>1278</v>
      </c>
      <c r="B12" s="28" t="s">
        <v>1274</v>
      </c>
      <c r="C12" s="29">
        <v>80</v>
      </c>
      <c r="D12" s="35">
        <v>2.5000000000000001E-4</v>
      </c>
      <c r="E12" s="29">
        <v>8760</v>
      </c>
      <c r="F12" s="29">
        <v>24</v>
      </c>
      <c r="G12" s="36">
        <v>0.1</v>
      </c>
      <c r="H12" s="31">
        <f t="shared" ref="H12:H35" si="0">C12*D12*E12*2.2026*G12</f>
        <v>38.589552000000005</v>
      </c>
      <c r="I12" s="32">
        <f t="shared" ref="I12:I35" si="1">C12*D12*F12*2.206*G12</f>
        <v>0.10588800000000001</v>
      </c>
      <c r="J12" s="131"/>
      <c r="K12" s="131"/>
    </row>
    <row r="13" spans="1:11" s="22" customFormat="1" ht="14">
      <c r="A13" s="22" t="s">
        <v>1278</v>
      </c>
      <c r="B13" s="28" t="s">
        <v>1273</v>
      </c>
      <c r="C13" s="29">
        <v>15</v>
      </c>
      <c r="D13" s="35">
        <v>1.09E-2</v>
      </c>
      <c r="E13" s="29">
        <v>8760</v>
      </c>
      <c r="F13" s="29">
        <v>24</v>
      </c>
      <c r="G13" s="36">
        <v>0.1</v>
      </c>
      <c r="H13" s="31">
        <f t="shared" si="0"/>
        <v>315.46958760000001</v>
      </c>
      <c r="I13" s="32">
        <f t="shared" si="1"/>
        <v>0.86563440000000014</v>
      </c>
      <c r="J13" s="27"/>
      <c r="K13" s="27"/>
    </row>
    <row r="14" spans="1:11" s="22" customFormat="1" ht="14">
      <c r="A14" s="22" t="s">
        <v>1278</v>
      </c>
      <c r="B14" s="28" t="s">
        <v>1291</v>
      </c>
      <c r="C14" s="29">
        <v>2</v>
      </c>
      <c r="D14" s="35">
        <v>0.114</v>
      </c>
      <c r="E14" s="29">
        <v>8760</v>
      </c>
      <c r="F14" s="29">
        <v>24</v>
      </c>
      <c r="G14" s="36">
        <v>0.1</v>
      </c>
      <c r="H14" s="31">
        <f t="shared" ref="H14" si="2">C14*D14*E14*2.2026*G14</f>
        <v>439.92089280000005</v>
      </c>
      <c r="I14" s="32">
        <f t="shared" ref="I14" si="3">C14*D14*F14*2.206*G14</f>
        <v>1.2071232000000001</v>
      </c>
      <c r="J14" s="27"/>
      <c r="K14" s="27"/>
    </row>
    <row r="15" spans="1:11" s="22" customFormat="1" ht="14">
      <c r="A15" s="22" t="s">
        <v>1283</v>
      </c>
      <c r="B15" s="28" t="s">
        <v>1274</v>
      </c>
      <c r="C15" s="29">
        <v>200</v>
      </c>
      <c r="D15" s="35">
        <v>2.5000000000000001E-4</v>
      </c>
      <c r="E15" s="29">
        <v>8760</v>
      </c>
      <c r="F15" s="29">
        <v>24</v>
      </c>
      <c r="G15" s="36">
        <v>0.1</v>
      </c>
      <c r="H15" s="31">
        <f t="shared" si="0"/>
        <v>96.473880000000008</v>
      </c>
      <c r="I15" s="32">
        <f t="shared" si="1"/>
        <v>0.26472000000000001</v>
      </c>
      <c r="J15" s="131"/>
      <c r="K15" s="131"/>
    </row>
    <row r="16" spans="1:11" s="22" customFormat="1" ht="14">
      <c r="A16" s="22" t="s">
        <v>1283</v>
      </c>
      <c r="B16" s="28" t="s">
        <v>1273</v>
      </c>
      <c r="C16" s="29">
        <v>40</v>
      </c>
      <c r="D16" s="35">
        <v>1.09E-2</v>
      </c>
      <c r="E16" s="29">
        <v>8760</v>
      </c>
      <c r="F16" s="29">
        <v>24</v>
      </c>
      <c r="G16" s="36">
        <v>0.1</v>
      </c>
      <c r="H16" s="31">
        <f t="shared" si="0"/>
        <v>841.25223360000007</v>
      </c>
      <c r="I16" s="32">
        <f t="shared" si="1"/>
        <v>2.3083584000000004</v>
      </c>
      <c r="J16" s="27"/>
      <c r="K16" s="27"/>
    </row>
    <row r="17" spans="1:15" s="22" customFormat="1" ht="14">
      <c r="A17" s="22" t="s">
        <v>1283</v>
      </c>
      <c r="B17" s="28" t="s">
        <v>1291</v>
      </c>
      <c r="C17" s="29">
        <v>2</v>
      </c>
      <c r="D17" s="35">
        <v>0.114</v>
      </c>
      <c r="E17" s="29">
        <v>8760</v>
      </c>
      <c r="F17" s="29">
        <v>24</v>
      </c>
      <c r="G17" s="36">
        <v>0.1</v>
      </c>
      <c r="H17" s="31">
        <f t="shared" si="0"/>
        <v>439.92089280000005</v>
      </c>
      <c r="I17" s="32">
        <f t="shared" si="1"/>
        <v>1.2071232000000001</v>
      </c>
      <c r="J17" s="27"/>
      <c r="K17" s="27"/>
    </row>
    <row r="18" spans="1:15" s="22" customFormat="1" ht="14">
      <c r="A18" s="22" t="s">
        <v>1284</v>
      </c>
      <c r="B18" s="28" t="s">
        <v>1274</v>
      </c>
      <c r="C18" s="29">
        <v>80</v>
      </c>
      <c r="D18" s="35">
        <v>2.5000000000000001E-4</v>
      </c>
      <c r="E18" s="29">
        <v>8760</v>
      </c>
      <c r="F18" s="29">
        <v>24</v>
      </c>
      <c r="G18" s="36">
        <v>0.1</v>
      </c>
      <c r="H18" s="31">
        <f t="shared" si="0"/>
        <v>38.589552000000005</v>
      </c>
      <c r="I18" s="32">
        <f t="shared" si="1"/>
        <v>0.10588800000000001</v>
      </c>
      <c r="J18" s="131"/>
      <c r="K18" s="131"/>
      <c r="O18" s="37"/>
    </row>
    <row r="19" spans="1:15" s="22" customFormat="1" ht="14">
      <c r="A19" s="22" t="s">
        <v>1284</v>
      </c>
      <c r="B19" s="28" t="s">
        <v>1273</v>
      </c>
      <c r="C19" s="29">
        <v>20</v>
      </c>
      <c r="D19" s="35">
        <v>1.09E-2</v>
      </c>
      <c r="E19" s="29">
        <v>8760</v>
      </c>
      <c r="F19" s="29">
        <v>24</v>
      </c>
      <c r="G19" s="36">
        <v>0.1</v>
      </c>
      <c r="H19" s="31">
        <f t="shared" si="0"/>
        <v>420.62611680000003</v>
      </c>
      <c r="I19" s="32">
        <f t="shared" si="1"/>
        <v>1.1541792000000002</v>
      </c>
      <c r="J19" s="27"/>
      <c r="K19" s="27"/>
    </row>
    <row r="20" spans="1:15" s="22" customFormat="1" ht="14">
      <c r="A20" s="22" t="s">
        <v>1284</v>
      </c>
      <c r="B20" s="28" t="s">
        <v>1291</v>
      </c>
      <c r="C20" s="29">
        <v>2</v>
      </c>
      <c r="D20" s="35">
        <v>0.114</v>
      </c>
      <c r="E20" s="29">
        <v>8760</v>
      </c>
      <c r="F20" s="29">
        <v>24</v>
      </c>
      <c r="G20" s="36">
        <v>0.1</v>
      </c>
      <c r="H20" s="31">
        <f t="shared" ref="H20" si="4">C20*D20*E20*2.2026*G20</f>
        <v>439.92089280000005</v>
      </c>
      <c r="I20" s="32">
        <f t="shared" ref="I20" si="5">C20*D20*F20*2.206*G20</f>
        <v>1.2071232000000001</v>
      </c>
      <c r="J20" s="27"/>
      <c r="K20" s="27"/>
    </row>
    <row r="21" spans="1:15" s="22" customFormat="1" ht="14">
      <c r="A21" s="22" t="s">
        <v>1285</v>
      </c>
      <c r="B21" s="28" t="s">
        <v>1274</v>
      </c>
      <c r="C21" s="29">
        <v>30</v>
      </c>
      <c r="D21" s="35">
        <v>2.5000000000000001E-4</v>
      </c>
      <c r="E21" s="29">
        <v>8760</v>
      </c>
      <c r="F21" s="29">
        <v>24</v>
      </c>
      <c r="G21" s="36">
        <v>0.1</v>
      </c>
      <c r="H21" s="31">
        <f t="shared" si="0"/>
        <v>14.471082000000003</v>
      </c>
      <c r="I21" s="32">
        <f t="shared" si="1"/>
        <v>3.9708E-2</v>
      </c>
      <c r="J21" s="131"/>
      <c r="K21" s="131"/>
    </row>
    <row r="22" spans="1:15" s="22" customFormat="1" ht="14">
      <c r="A22" s="22" t="s">
        <v>1285</v>
      </c>
      <c r="B22" s="28" t="s">
        <v>1273</v>
      </c>
      <c r="C22" s="29">
        <v>15</v>
      </c>
      <c r="D22" s="35">
        <v>1.09E-2</v>
      </c>
      <c r="E22" s="29">
        <v>8760</v>
      </c>
      <c r="F22" s="29">
        <v>24</v>
      </c>
      <c r="G22" s="36">
        <v>0.1</v>
      </c>
      <c r="H22" s="31">
        <f t="shared" si="0"/>
        <v>315.46958760000001</v>
      </c>
      <c r="I22" s="32">
        <f t="shared" si="1"/>
        <v>0.86563440000000014</v>
      </c>
      <c r="J22" s="27"/>
      <c r="K22" s="27"/>
    </row>
    <row r="23" spans="1:15" s="22" customFormat="1" ht="14">
      <c r="A23" s="22" t="s">
        <v>1286</v>
      </c>
      <c r="B23" s="28" t="s">
        <v>1274</v>
      </c>
      <c r="C23" s="29">
        <v>80</v>
      </c>
      <c r="D23" s="35">
        <v>2.5000000000000001E-4</v>
      </c>
      <c r="E23" s="29">
        <v>8760</v>
      </c>
      <c r="F23" s="29">
        <v>24</v>
      </c>
      <c r="G23" s="36">
        <v>0.1</v>
      </c>
      <c r="H23" s="31">
        <f t="shared" si="0"/>
        <v>38.589552000000005</v>
      </c>
      <c r="I23" s="32">
        <f t="shared" si="1"/>
        <v>0.10588800000000001</v>
      </c>
      <c r="J23" s="131"/>
      <c r="K23" s="131"/>
    </row>
    <row r="24" spans="1:15" s="22" customFormat="1" ht="14">
      <c r="A24" s="22" t="s">
        <v>1286</v>
      </c>
      <c r="B24" s="28" t="s">
        <v>1273</v>
      </c>
      <c r="C24" s="29">
        <v>20</v>
      </c>
      <c r="D24" s="35">
        <v>1.09E-2</v>
      </c>
      <c r="E24" s="29">
        <v>8760</v>
      </c>
      <c r="F24" s="29">
        <v>24</v>
      </c>
      <c r="G24" s="36">
        <v>0.1</v>
      </c>
      <c r="H24" s="31">
        <f t="shared" si="0"/>
        <v>420.62611680000003</v>
      </c>
      <c r="I24" s="32">
        <f t="shared" si="1"/>
        <v>1.1541792000000002</v>
      </c>
      <c r="J24" s="27"/>
      <c r="K24" s="27"/>
    </row>
    <row r="25" spans="1:15" s="22" customFormat="1" ht="14">
      <c r="A25" s="22" t="s">
        <v>1286</v>
      </c>
      <c r="B25" s="28" t="s">
        <v>1291</v>
      </c>
      <c r="C25" s="29">
        <v>5</v>
      </c>
      <c r="D25" s="35">
        <v>0.114</v>
      </c>
      <c r="E25" s="29">
        <v>8760</v>
      </c>
      <c r="F25" s="29">
        <v>24</v>
      </c>
      <c r="G25" s="36">
        <v>0.1</v>
      </c>
      <c r="H25" s="31">
        <f t="shared" si="0"/>
        <v>1099.8022320000002</v>
      </c>
      <c r="I25" s="32">
        <f t="shared" si="1"/>
        <v>3.0178080000000005</v>
      </c>
      <c r="J25" s="27"/>
      <c r="K25" s="27"/>
    </row>
    <row r="26" spans="1:15" s="22" customFormat="1" ht="14">
      <c r="A26" s="22" t="s">
        <v>1287</v>
      </c>
      <c r="B26" s="28" t="s">
        <v>1274</v>
      </c>
      <c r="C26" s="29">
        <v>100</v>
      </c>
      <c r="D26" s="35">
        <v>2.5000000000000001E-4</v>
      </c>
      <c r="E26" s="29">
        <v>8760</v>
      </c>
      <c r="F26" s="29">
        <v>24</v>
      </c>
      <c r="G26" s="36">
        <v>0.1</v>
      </c>
      <c r="H26" s="31">
        <f t="shared" si="0"/>
        <v>48.236940000000004</v>
      </c>
      <c r="I26" s="32">
        <f t="shared" si="1"/>
        <v>0.13236000000000001</v>
      </c>
      <c r="J26" s="131"/>
      <c r="K26" s="131"/>
    </row>
    <row r="27" spans="1:15" s="22" customFormat="1" ht="14">
      <c r="A27" s="22" t="s">
        <v>1287</v>
      </c>
      <c r="B27" s="28" t="s">
        <v>1273</v>
      </c>
      <c r="C27" s="29">
        <v>40</v>
      </c>
      <c r="D27" s="35">
        <v>1.09E-2</v>
      </c>
      <c r="E27" s="29">
        <v>8760</v>
      </c>
      <c r="F27" s="29">
        <v>24</v>
      </c>
      <c r="G27" s="36">
        <v>0.1</v>
      </c>
      <c r="H27" s="31">
        <f t="shared" si="0"/>
        <v>841.25223360000007</v>
      </c>
      <c r="I27" s="32">
        <f t="shared" si="1"/>
        <v>2.3083584000000004</v>
      </c>
      <c r="J27" s="27"/>
      <c r="K27" s="27"/>
    </row>
    <row r="28" spans="1:15" s="22" customFormat="1" ht="14">
      <c r="A28" s="22" t="s">
        <v>1287</v>
      </c>
      <c r="B28" s="28" t="s">
        <v>1291</v>
      </c>
      <c r="C28" s="29">
        <v>6</v>
      </c>
      <c r="D28" s="35">
        <v>0.114</v>
      </c>
      <c r="E28" s="29">
        <v>8760</v>
      </c>
      <c r="F28" s="29">
        <v>24</v>
      </c>
      <c r="G28" s="36">
        <v>0.1</v>
      </c>
      <c r="H28" s="31">
        <f t="shared" ref="H28" si="6">C28*D28*E28*2.2026*G28</f>
        <v>1319.7626784000001</v>
      </c>
      <c r="I28" s="32">
        <f t="shared" ref="I28" si="7">C28*D28*F28*2.206*G28</f>
        <v>3.6213696</v>
      </c>
      <c r="J28" s="27"/>
      <c r="K28" s="27"/>
    </row>
    <row r="29" spans="1:15" s="22" customFormat="1" ht="14">
      <c r="A29" s="22" t="s">
        <v>1288</v>
      </c>
      <c r="B29" s="28" t="s">
        <v>1274</v>
      </c>
      <c r="C29" s="29">
        <v>100</v>
      </c>
      <c r="D29" s="35">
        <v>2.5000000000000001E-4</v>
      </c>
      <c r="E29" s="29">
        <v>8760</v>
      </c>
      <c r="F29" s="29">
        <v>24</v>
      </c>
      <c r="G29" s="36">
        <v>0.1</v>
      </c>
      <c r="H29" s="31">
        <f t="shared" si="0"/>
        <v>48.236940000000004</v>
      </c>
      <c r="I29" s="32">
        <f t="shared" si="1"/>
        <v>0.13236000000000001</v>
      </c>
      <c r="J29" s="131"/>
      <c r="K29" s="131"/>
    </row>
    <row r="30" spans="1:15" s="22" customFormat="1" ht="14">
      <c r="A30" s="22" t="s">
        <v>1288</v>
      </c>
      <c r="B30" s="28" t="s">
        <v>1273</v>
      </c>
      <c r="C30" s="29">
        <v>40</v>
      </c>
      <c r="D30" s="35">
        <v>1.09E-2</v>
      </c>
      <c r="E30" s="29">
        <v>8760</v>
      </c>
      <c r="F30" s="29">
        <v>24</v>
      </c>
      <c r="G30" s="36">
        <v>0.1</v>
      </c>
      <c r="H30" s="31">
        <f t="shared" si="0"/>
        <v>841.25223360000007</v>
      </c>
      <c r="I30" s="32">
        <f t="shared" si="1"/>
        <v>2.3083584000000004</v>
      </c>
      <c r="J30" s="27"/>
      <c r="K30" s="27"/>
    </row>
    <row r="31" spans="1:15" s="22" customFormat="1" ht="14">
      <c r="A31" s="22" t="s">
        <v>1288</v>
      </c>
      <c r="B31" s="28" t="s">
        <v>1291</v>
      </c>
      <c r="C31" s="29">
        <v>4</v>
      </c>
      <c r="D31" s="35">
        <v>0.114</v>
      </c>
      <c r="E31" s="29">
        <v>8760</v>
      </c>
      <c r="F31" s="29">
        <v>24</v>
      </c>
      <c r="G31" s="36">
        <v>0.1</v>
      </c>
      <c r="H31" s="31">
        <f t="shared" si="0"/>
        <v>879.84178560000009</v>
      </c>
      <c r="I31" s="32">
        <f t="shared" si="1"/>
        <v>2.4142464000000001</v>
      </c>
      <c r="J31" s="27"/>
      <c r="K31" s="27"/>
    </row>
    <row r="32" spans="1:15" s="22" customFormat="1" ht="14">
      <c r="A32" s="22" t="s">
        <v>1289</v>
      </c>
      <c r="B32" s="28" t="s">
        <v>1274</v>
      </c>
      <c r="C32" s="29">
        <v>1400</v>
      </c>
      <c r="D32" s="35">
        <v>2.5000000000000001E-4</v>
      </c>
      <c r="E32" s="29">
        <f>8760/2</f>
        <v>4380</v>
      </c>
      <c r="F32" s="29">
        <v>24</v>
      </c>
      <c r="G32" s="36">
        <v>0.1</v>
      </c>
      <c r="H32" s="31">
        <f t="shared" si="0"/>
        <v>337.65858000000003</v>
      </c>
      <c r="I32" s="32">
        <f t="shared" si="1"/>
        <v>1.85304</v>
      </c>
      <c r="J32" s="131"/>
      <c r="K32" s="131"/>
    </row>
    <row r="33" spans="1:13" s="22" customFormat="1" ht="14">
      <c r="A33" s="22" t="s">
        <v>1289</v>
      </c>
      <c r="B33" s="28" t="s">
        <v>1273</v>
      </c>
      <c r="C33" s="29">
        <v>1820</v>
      </c>
      <c r="D33" s="35">
        <v>1.09E-2</v>
      </c>
      <c r="E33" s="29">
        <f>8760/2</f>
        <v>4380</v>
      </c>
      <c r="F33" s="29">
        <v>24</v>
      </c>
      <c r="G33" s="36">
        <v>0.1</v>
      </c>
      <c r="H33" s="31">
        <f t="shared" si="0"/>
        <v>19138.488314400001</v>
      </c>
      <c r="I33" s="32">
        <f t="shared" si="1"/>
        <v>105.0303072</v>
      </c>
      <c r="J33" s="27"/>
      <c r="K33" s="27"/>
    </row>
    <row r="34" spans="1:13" s="22" customFormat="1" ht="14">
      <c r="A34" s="22" t="s">
        <v>1290</v>
      </c>
      <c r="B34" s="28" t="s">
        <v>1274</v>
      </c>
      <c r="C34" s="29">
        <v>250</v>
      </c>
      <c r="D34" s="35">
        <v>2.5000000000000001E-4</v>
      </c>
      <c r="E34" s="29">
        <f>8760/2</f>
        <v>4380</v>
      </c>
      <c r="F34" s="29">
        <v>24</v>
      </c>
      <c r="G34" s="36">
        <v>0.1</v>
      </c>
      <c r="H34" s="31">
        <f t="shared" si="0"/>
        <v>60.296174999999998</v>
      </c>
      <c r="I34" s="32">
        <f t="shared" si="1"/>
        <v>0.33090000000000003</v>
      </c>
      <c r="J34" s="131"/>
      <c r="K34" s="131"/>
    </row>
    <row r="35" spans="1:13" s="22" customFormat="1" ht="14">
      <c r="A35" s="22" t="s">
        <v>1290</v>
      </c>
      <c r="B35" s="28" t="s">
        <v>1273</v>
      </c>
      <c r="C35" s="29">
        <v>70</v>
      </c>
      <c r="D35" s="35">
        <v>1.09E-2</v>
      </c>
      <c r="E35" s="29">
        <f>8760/2</f>
        <v>4380</v>
      </c>
      <c r="F35" s="29">
        <v>24</v>
      </c>
      <c r="G35" s="36">
        <v>0.1</v>
      </c>
      <c r="H35" s="31">
        <f t="shared" si="0"/>
        <v>736.09570440000005</v>
      </c>
      <c r="I35" s="32">
        <f t="shared" si="1"/>
        <v>4.0396272000000009</v>
      </c>
      <c r="J35" s="27"/>
    </row>
    <row r="36" spans="1:13" s="22" customFormat="1" ht="14">
      <c r="A36" s="22" t="s">
        <v>1290</v>
      </c>
      <c r="B36" s="28" t="s">
        <v>1291</v>
      </c>
      <c r="C36" s="29">
        <v>8</v>
      </c>
      <c r="D36" s="35">
        <v>0.114</v>
      </c>
      <c r="E36" s="29">
        <v>8760</v>
      </c>
      <c r="F36" s="29">
        <v>24</v>
      </c>
      <c r="G36" s="36">
        <v>0.1</v>
      </c>
      <c r="H36" s="31">
        <f t="shared" ref="H36" si="8">C36*D36*E36*2.2026*G36</f>
        <v>1759.6835712000002</v>
      </c>
      <c r="I36" s="32">
        <f t="shared" ref="I36" si="9">C36*D36*F36*2.206*G36</f>
        <v>4.8284928000000003</v>
      </c>
      <c r="J36" s="27"/>
      <c r="K36" s="27"/>
    </row>
    <row r="37" spans="1:13" s="22" customFormat="1" ht="14">
      <c r="A37" s="22" t="s">
        <v>1515</v>
      </c>
      <c r="B37" s="28" t="s">
        <v>1274</v>
      </c>
      <c r="C37" s="29">
        <v>55</v>
      </c>
      <c r="D37" s="30">
        <v>3.1E-7</v>
      </c>
      <c r="E37" s="29">
        <v>8760</v>
      </c>
      <c r="F37" s="29">
        <v>24</v>
      </c>
      <c r="G37" s="36">
        <v>0</v>
      </c>
      <c r="H37" s="31">
        <f t="shared" ref="H37:H39" si="10">C37*D37*E37*2.2026</f>
        <v>0.32897593080000004</v>
      </c>
      <c r="I37" s="32">
        <f t="shared" ref="I37:I39" si="11">C37*D37*F37*2.206</f>
        <v>9.0269520000000008E-4</v>
      </c>
      <c r="J37" s="27"/>
      <c r="K37" s="27"/>
    </row>
    <row r="38" spans="1:13" s="22" customFormat="1" ht="14">
      <c r="A38" s="22" t="s">
        <v>1515</v>
      </c>
      <c r="B38" s="28" t="s">
        <v>1273</v>
      </c>
      <c r="C38" s="29">
        <v>9</v>
      </c>
      <c r="D38" s="30">
        <v>7.7999999999999999E-6</v>
      </c>
      <c r="E38" s="29">
        <v>8760</v>
      </c>
      <c r="F38" s="29">
        <v>24</v>
      </c>
      <c r="G38" s="36">
        <v>0</v>
      </c>
      <c r="H38" s="31">
        <f t="shared" si="10"/>
        <v>1.3544932751999998</v>
      </c>
      <c r="I38" s="32">
        <f t="shared" si="11"/>
        <v>3.7166688000000001E-3</v>
      </c>
      <c r="J38" s="27"/>
      <c r="K38" s="27"/>
    </row>
    <row r="39" spans="1:13" s="22" customFormat="1" ht="14">
      <c r="A39" s="22" t="s">
        <v>1515</v>
      </c>
      <c r="B39" s="28" t="s">
        <v>1291</v>
      </c>
      <c r="C39" s="29">
        <v>2</v>
      </c>
      <c r="D39" s="30">
        <v>2.4000000000000001E-5</v>
      </c>
      <c r="E39" s="29">
        <v>8760</v>
      </c>
      <c r="F39" s="29">
        <v>24</v>
      </c>
      <c r="G39" s="36">
        <v>0</v>
      </c>
      <c r="H39" s="31">
        <f t="shared" si="10"/>
        <v>0.92614924799999998</v>
      </c>
      <c r="I39" s="32">
        <f t="shared" si="11"/>
        <v>2.541312E-3</v>
      </c>
      <c r="J39" s="27"/>
      <c r="K39" s="27"/>
    </row>
    <row r="40" spans="1:13" s="22" customFormat="1" ht="14">
      <c r="A40" s="22" t="s">
        <v>1516</v>
      </c>
      <c r="B40" s="28" t="s">
        <v>1274</v>
      </c>
      <c r="C40" s="29">
        <v>76</v>
      </c>
      <c r="D40" s="30">
        <v>3.1E-7</v>
      </c>
      <c r="E40" s="29">
        <v>8760</v>
      </c>
      <c r="F40" s="29">
        <v>24</v>
      </c>
      <c r="G40" s="36">
        <v>0</v>
      </c>
      <c r="H40" s="31">
        <f t="shared" ref="H40:H42" si="12">C40*D40*E40*2.2026</f>
        <v>0.45458492255999994</v>
      </c>
      <c r="I40" s="32">
        <f t="shared" ref="I40:I42" si="13">C40*D40*F40*2.206</f>
        <v>1.2473606399999999E-3</v>
      </c>
      <c r="J40" s="27"/>
      <c r="K40" s="27"/>
    </row>
    <row r="41" spans="1:13" s="22" customFormat="1" ht="14">
      <c r="A41" s="22" t="s">
        <v>1516</v>
      </c>
      <c r="B41" s="28" t="s">
        <v>1273</v>
      </c>
      <c r="C41" s="29">
        <v>15</v>
      </c>
      <c r="D41" s="30">
        <v>7.7999999999999999E-6</v>
      </c>
      <c r="E41" s="29">
        <v>8760</v>
      </c>
      <c r="F41" s="29">
        <v>24</v>
      </c>
      <c r="G41" s="36">
        <v>0</v>
      </c>
      <c r="H41" s="31">
        <f t="shared" si="12"/>
        <v>2.2574887920000002</v>
      </c>
      <c r="I41" s="32">
        <f t="shared" si="13"/>
        <v>6.1944479999999991E-3</v>
      </c>
      <c r="J41" s="27"/>
      <c r="K41" s="27"/>
    </row>
    <row r="42" spans="1:13" s="22" customFormat="1" ht="14">
      <c r="A42" s="22" t="s">
        <v>1516</v>
      </c>
      <c r="B42" s="28" t="s">
        <v>1291</v>
      </c>
      <c r="C42" s="29">
        <v>2</v>
      </c>
      <c r="D42" s="30">
        <v>2.4000000000000001E-5</v>
      </c>
      <c r="E42" s="29">
        <v>8760</v>
      </c>
      <c r="F42" s="29">
        <v>24</v>
      </c>
      <c r="G42" s="36">
        <v>0</v>
      </c>
      <c r="H42" s="31">
        <f t="shared" si="12"/>
        <v>0.92614924799999998</v>
      </c>
      <c r="I42" s="32">
        <f t="shared" si="13"/>
        <v>2.541312E-3</v>
      </c>
      <c r="J42" s="27"/>
      <c r="K42" s="27"/>
    </row>
    <row r="43" spans="1:13" s="22" customFormat="1" ht="14">
      <c r="B43" s="28"/>
      <c r="C43" s="28"/>
      <c r="D43" s="29"/>
      <c r="F43" s="26"/>
      <c r="G43" s="26" t="s">
        <v>1275</v>
      </c>
      <c r="H43" s="39">
        <f>SUM(H12:H42)</f>
        <v>30976.77516841656</v>
      </c>
      <c r="I43" s="39">
        <f>SUM(I12:I42)</f>
        <v>140.62581899664005</v>
      </c>
      <c r="J43" s="27"/>
      <c r="K43" s="163"/>
      <c r="L43" s="163"/>
      <c r="M43" s="163"/>
    </row>
    <row r="44" spans="1:13" s="22" customFormat="1" ht="14">
      <c r="B44" s="28"/>
      <c r="C44" s="28"/>
      <c r="D44" s="29"/>
      <c r="F44" s="26"/>
      <c r="G44" s="26"/>
      <c r="H44" s="39"/>
      <c r="I44" s="39"/>
      <c r="J44" s="27"/>
    </row>
    <row r="45" spans="1:13" s="22" customFormat="1" ht="14">
      <c r="B45" s="28"/>
      <c r="C45" s="28"/>
      <c r="D45" s="29"/>
      <c r="F45" s="26"/>
      <c r="G45" s="26"/>
      <c r="H45" s="39"/>
      <c r="I45" s="39"/>
      <c r="J45" s="27"/>
    </row>
    <row r="46" spans="1:13" s="22" customFormat="1" ht="14">
      <c r="B46" s="28"/>
      <c r="C46" s="28"/>
      <c r="D46" s="29"/>
      <c r="F46" s="26"/>
      <c r="G46" s="26"/>
      <c r="H46" s="39"/>
      <c r="I46" s="39"/>
      <c r="J46" s="27"/>
    </row>
    <row r="47" spans="1:13" s="22" customFormat="1" ht="14">
      <c r="B47" s="28"/>
      <c r="C47" s="28"/>
      <c r="D47" s="29"/>
      <c r="F47" s="26"/>
      <c r="G47" s="26"/>
      <c r="H47" s="39"/>
      <c r="I47" s="39"/>
      <c r="J47" s="27"/>
    </row>
    <row r="48" spans="1:13" s="22" customFormat="1" ht="14">
      <c r="B48" s="28"/>
      <c r="C48" s="28"/>
      <c r="D48" s="29"/>
      <c r="F48" s="26"/>
      <c r="G48" s="26"/>
      <c r="H48" s="39"/>
      <c r="I48" s="39"/>
      <c r="J48" s="27"/>
    </row>
    <row r="49" spans="1:25" s="22" customFormat="1" ht="14">
      <c r="B49" s="28"/>
      <c r="C49" s="28"/>
      <c r="D49" s="29"/>
      <c r="F49" s="26"/>
      <c r="G49" s="26"/>
      <c r="H49" s="39"/>
      <c r="I49" s="39"/>
      <c r="J49" s="27"/>
    </row>
    <row r="50" spans="1:25" s="22" customFormat="1" ht="14">
      <c r="B50" s="28"/>
      <c r="C50" s="28"/>
      <c r="D50" s="29"/>
      <c r="F50" s="26"/>
      <c r="G50" s="26"/>
      <c r="H50" s="39"/>
      <c r="I50" s="39"/>
      <c r="J50" s="27"/>
    </row>
    <row r="51" spans="1:25" s="22" customFormat="1" ht="14">
      <c r="B51" s="28"/>
      <c r="C51" s="28"/>
      <c r="D51" s="29"/>
      <c r="F51" s="26"/>
      <c r="G51" s="26"/>
      <c r="H51" s="39"/>
      <c r="I51" s="39"/>
      <c r="J51" s="27"/>
    </row>
    <row r="52" spans="1:25" s="22" customFormat="1" ht="14">
      <c r="B52" s="28"/>
      <c r="C52" s="28"/>
      <c r="D52" s="29"/>
      <c r="F52" s="26"/>
      <c r="G52" s="26"/>
      <c r="H52" s="39"/>
      <c r="I52" s="39"/>
      <c r="J52" s="27"/>
    </row>
    <row r="53" spans="1:25" s="22" customFormat="1" ht="14">
      <c r="B53" s="28"/>
      <c r="C53" s="28"/>
      <c r="D53" s="29"/>
      <c r="F53" s="26"/>
      <c r="G53" s="26"/>
      <c r="H53" s="39"/>
      <c r="I53" s="39"/>
      <c r="J53" s="27"/>
    </row>
    <row r="54" spans="1:25" s="22" customFormat="1" ht="14">
      <c r="B54" s="28"/>
      <c r="C54" s="28"/>
      <c r="D54" s="29"/>
      <c r="F54" s="26"/>
      <c r="G54" s="26"/>
      <c r="H54" s="39"/>
      <c r="I54" s="39"/>
      <c r="J54" s="27"/>
    </row>
    <row r="55" spans="1:25" s="22" customFormat="1" ht="14">
      <c r="B55" s="28"/>
      <c r="C55" s="28"/>
      <c r="D55" s="29"/>
      <c r="F55" s="26"/>
      <c r="G55" s="26"/>
      <c r="H55" s="39"/>
      <c r="I55" s="39"/>
      <c r="J55" s="27"/>
    </row>
    <row r="56" spans="1:25" s="22" customFormat="1" ht="14">
      <c r="B56" s="28"/>
      <c r="C56" s="28"/>
      <c r="D56" s="29"/>
      <c r="F56" s="26"/>
      <c r="G56" s="26"/>
      <c r="H56" s="39"/>
      <c r="I56" s="39"/>
      <c r="J56" s="27"/>
    </row>
    <row r="57" spans="1:25" s="22" customFormat="1">
      <c r="A57" s="21" t="s">
        <v>1536</v>
      </c>
      <c r="B57" s="24"/>
      <c r="C57" s="24"/>
      <c r="D57" s="24"/>
      <c r="E57" s="24"/>
      <c r="F57" s="24"/>
      <c r="G57" s="24"/>
      <c r="H57" s="24"/>
      <c r="I57" s="24"/>
      <c r="J57" s="24"/>
      <c r="K57" s="24"/>
      <c r="L57" s="24"/>
      <c r="M57" s="24"/>
      <c r="N57" s="24"/>
    </row>
    <row r="58" spans="1:25" s="22" customFormat="1">
      <c r="A58" s="24"/>
      <c r="B58" s="24"/>
      <c r="C58" s="24"/>
      <c r="D58" s="253" t="s">
        <v>1325</v>
      </c>
      <c r="E58" s="253"/>
      <c r="F58" s="253"/>
      <c r="G58" s="253"/>
      <c r="H58" s="253"/>
      <c r="I58" s="253"/>
      <c r="J58" s="253"/>
      <c r="K58" s="253"/>
      <c r="L58" s="253"/>
      <c r="M58" s="253"/>
      <c r="N58" s="264"/>
      <c r="O58" s="265" t="s">
        <v>1326</v>
      </c>
      <c r="P58" s="266"/>
      <c r="Q58" s="266"/>
      <c r="R58" s="266"/>
      <c r="S58" s="266"/>
      <c r="T58" s="266"/>
      <c r="U58" s="266"/>
      <c r="V58" s="266"/>
      <c r="W58" s="266"/>
      <c r="X58" s="266"/>
      <c r="Y58" s="266"/>
    </row>
    <row r="59" spans="1:25" s="22" customFormat="1">
      <c r="A59" s="24"/>
      <c r="B59" s="24"/>
      <c r="C59" s="24"/>
      <c r="D59" s="140" t="s">
        <v>998</v>
      </c>
      <c r="E59" s="140" t="s">
        <v>692</v>
      </c>
      <c r="F59" s="140" t="s">
        <v>813</v>
      </c>
      <c r="G59" s="140" t="s">
        <v>312</v>
      </c>
      <c r="H59" s="140" t="s">
        <v>147</v>
      </c>
      <c r="I59" s="140" t="s">
        <v>498</v>
      </c>
      <c r="J59" s="140" t="s">
        <v>604</v>
      </c>
      <c r="K59" s="140" t="s">
        <v>1128</v>
      </c>
      <c r="L59" s="140" t="s">
        <v>578</v>
      </c>
      <c r="M59" s="140" t="s">
        <v>1222</v>
      </c>
      <c r="N59" s="140" t="s">
        <v>590</v>
      </c>
      <c r="O59" s="142" t="s">
        <v>998</v>
      </c>
      <c r="P59" s="143" t="s">
        <v>692</v>
      </c>
      <c r="Q59" s="143" t="s">
        <v>813</v>
      </c>
      <c r="R59" s="143" t="s">
        <v>312</v>
      </c>
      <c r="S59" s="143" t="s">
        <v>147</v>
      </c>
      <c r="T59" s="143" t="s">
        <v>498</v>
      </c>
      <c r="U59" s="143" t="s">
        <v>604</v>
      </c>
      <c r="V59" s="143" t="s">
        <v>1128</v>
      </c>
      <c r="W59" s="143" t="s">
        <v>578</v>
      </c>
      <c r="X59" s="143" t="s">
        <v>1222</v>
      </c>
      <c r="Y59" s="143" t="s">
        <v>590</v>
      </c>
    </row>
    <row r="60" spans="1:25" s="22" customFormat="1" ht="102">
      <c r="A60" s="207" t="s">
        <v>1564</v>
      </c>
      <c r="B60" s="132" t="s">
        <v>1281</v>
      </c>
      <c r="C60" s="132" t="s">
        <v>1346</v>
      </c>
      <c r="D60" s="139" t="s">
        <v>88</v>
      </c>
      <c r="E60" s="139" t="s">
        <v>693</v>
      </c>
      <c r="F60" s="139" t="s">
        <v>814</v>
      </c>
      <c r="G60" s="139" t="s">
        <v>313</v>
      </c>
      <c r="H60" s="139" t="s">
        <v>148</v>
      </c>
      <c r="I60" s="139" t="s">
        <v>499</v>
      </c>
      <c r="J60" s="139" t="s">
        <v>605</v>
      </c>
      <c r="K60" s="139" t="s">
        <v>1129</v>
      </c>
      <c r="L60" s="139" t="s">
        <v>579</v>
      </c>
      <c r="M60" s="139" t="s">
        <v>1223</v>
      </c>
      <c r="N60" s="139" t="s">
        <v>591</v>
      </c>
      <c r="O60" s="42" t="s">
        <v>88</v>
      </c>
      <c r="P60" s="141" t="s">
        <v>693</v>
      </c>
      <c r="Q60" s="141" t="s">
        <v>814</v>
      </c>
      <c r="R60" s="141" t="s">
        <v>313</v>
      </c>
      <c r="S60" s="141" t="s">
        <v>148</v>
      </c>
      <c r="T60" s="141" t="s">
        <v>499</v>
      </c>
      <c r="U60" s="141" t="s">
        <v>605</v>
      </c>
      <c r="V60" s="141" t="s">
        <v>1129</v>
      </c>
      <c r="W60" s="141" t="s">
        <v>579</v>
      </c>
      <c r="X60" s="141" t="s">
        <v>1223</v>
      </c>
      <c r="Y60" s="141" t="s">
        <v>591</v>
      </c>
    </row>
    <row r="61" spans="1:25" s="22" customFormat="1">
      <c r="A61" s="24" t="s">
        <v>1278</v>
      </c>
      <c r="B61" s="154">
        <f t="shared" ref="B61:B69" ca="1" si="14">SUMIF($A$12:$I$42,A61,$H$12:$H$42)</f>
        <v>793.98003240000003</v>
      </c>
      <c r="C61" s="154">
        <f t="shared" ref="C61:C69" ca="1" si="15">SUMIF($A$12:$I$42,A61,$I$12:$I$42)</f>
        <v>2.1786456000000003</v>
      </c>
      <c r="D61" s="205">
        <f ca="1">((VLOOKUP(D$59,Tabl_B3_Comp!$B$55:$C$65,2,FALSE))*$B61)</f>
        <v>2.2707828926640001</v>
      </c>
      <c r="E61" s="205">
        <f ca="1">((VLOOKUP(E$59,Tabl_B3_Comp!$B$55:$C$65,2,FALSE))*$B61)</f>
        <v>1.318006853784</v>
      </c>
      <c r="F61" s="205">
        <f ca="1">((VLOOKUP(F$59,Tabl_B3_Comp!$B$55:$C$65,2,FALSE))*$B61)</f>
        <v>2.7709903130760001E-2</v>
      </c>
      <c r="G61" s="205">
        <f ca="1">((VLOOKUP(G$59,Tabl_B3_Comp!$B$55:$C$65,2,FALSE))*$B61)</f>
        <v>1.03217404212E-2</v>
      </c>
      <c r="H61" s="205">
        <f ca="1">((VLOOKUP(H$59,Tabl_B3_Comp!$B$55:$C$65,2,FALSE))*$B61)</f>
        <v>0.1842033675168</v>
      </c>
      <c r="I61" s="205">
        <f ca="1">((VLOOKUP(I$59,Tabl_B3_Comp!$B$55:$C$65,2,FALSE))*$B61)</f>
        <v>0.46765423908360004</v>
      </c>
      <c r="J61" s="205">
        <f ca="1">((VLOOKUP(J$59,Tabl_B3_Comp!$B$55:$C$65,2,FALSE))*$B61)</f>
        <v>9.6865563952800007E-2</v>
      </c>
      <c r="K61" s="205">
        <f ca="1">((VLOOKUP(K$59,Tabl_B3_Comp!$B$55:$C$65,2,FALSE))*$B61)</f>
        <v>1.6594182677159999</v>
      </c>
      <c r="L61" s="205">
        <f ca="1">((VLOOKUP(L$59,Tabl_B3_Comp!$B$55:$C$65,2,FALSE))*$B61)</f>
        <v>0.273923111178</v>
      </c>
      <c r="M61" s="205">
        <f ca="1">((VLOOKUP(M$59,Tabl_B3_Comp!$B$55:$C$65,2,FALSE))*$B61)</f>
        <v>2.7630505127520002</v>
      </c>
      <c r="N61" s="205">
        <f ca="1">((VLOOKUP(N$59,Tabl_B3_Comp!$B$55:$C$65,2,FALSE))*$B61)</f>
        <v>0.134976605508</v>
      </c>
      <c r="O61" s="206">
        <f ca="1">((VLOOKUP(O$59,Tabl_B3_Comp!$B$55:$C$65,2,FALSE))*$C61)</f>
        <v>6.2309264160000013E-3</v>
      </c>
      <c r="P61" s="205">
        <f ca="1">((VLOOKUP(P$59,Tabl_B3_Comp!$B$55:$C$65,2,FALSE))*$C61)</f>
        <v>3.6165516960000007E-3</v>
      </c>
      <c r="Q61" s="205">
        <f ca="1">((VLOOKUP(Q$59,Tabl_B3_Comp!$B$55:$C$65,2,FALSE))*$C61)</f>
        <v>7.603473144000001E-5</v>
      </c>
      <c r="R61" s="205">
        <f ca="1">((VLOOKUP(R$59,Tabl_B3_Comp!$B$55:$C$65,2,FALSE))*$C61)</f>
        <v>2.8322392800000003E-5</v>
      </c>
      <c r="S61" s="205">
        <f ca="1">((VLOOKUP(S$59,Tabl_B3_Comp!$B$55:$C$65,2,FALSE))*$C61)</f>
        <v>5.0544577920000008E-4</v>
      </c>
      <c r="T61" s="205">
        <f ca="1">((VLOOKUP(T$59,Tabl_B3_Comp!$B$55:$C$65,2,FALSE))*$C61)</f>
        <v>1.2832222584000003E-3</v>
      </c>
      <c r="U61" s="205">
        <f ca="1">((VLOOKUP(U$59,Tabl_B3_Comp!$B$55:$C$65,2,FALSE))*$C61)</f>
        <v>2.6579476320000002E-4</v>
      </c>
      <c r="V61" s="205">
        <f ca="1">((VLOOKUP(V$59,Tabl_B3_Comp!$B$55:$C$65,2,FALSE))*$C61)</f>
        <v>4.5533693040000003E-3</v>
      </c>
      <c r="W61" s="205">
        <f ca="1">((VLOOKUP(W$59,Tabl_B3_Comp!$B$55:$C$65,2,FALSE))*$C61)</f>
        <v>7.5163273200000002E-4</v>
      </c>
      <c r="X61" s="205">
        <f ca="1">((VLOOKUP(X$59,Tabl_B3_Comp!$B$55:$C$65,2,FALSE))*$C61)</f>
        <v>7.5816866880000014E-3</v>
      </c>
      <c r="Y61" s="205">
        <f ca="1">((VLOOKUP(Y$59,Tabl_B3_Comp!$B$55:$C$65,2,FALSE))*$C61)</f>
        <v>3.7036975200000009E-4</v>
      </c>
    </row>
    <row r="62" spans="1:25" s="22" customFormat="1">
      <c r="A62" s="24" t="s">
        <v>1283</v>
      </c>
      <c r="B62" s="154">
        <f t="shared" ca="1" si="14"/>
        <v>1377.6470064</v>
      </c>
      <c r="C62" s="154">
        <f t="shared" ca="1" si="15"/>
        <v>3.7802016000000007</v>
      </c>
      <c r="D62" s="205">
        <f ca="1">((VLOOKUP(D$59,Tabl_B3_Comp!$B$55:$C$65,2,FALSE))*$B62)</f>
        <v>3.9400704383040002</v>
      </c>
      <c r="E62" s="205">
        <f ca="1">((VLOOKUP(E$59,Tabl_B3_Comp!$B$55:$C$65,2,FALSE))*$B62)</f>
        <v>2.286894030624</v>
      </c>
      <c r="F62" s="205">
        <f ca="1">((VLOOKUP(F$59,Tabl_B3_Comp!$B$55:$C$65,2,FALSE))*$B62)</f>
        <v>4.807988052336E-2</v>
      </c>
      <c r="G62" s="205">
        <f ca="1">((VLOOKUP(G$59,Tabl_B3_Comp!$B$55:$C$65,2,FALSE))*$B62)</f>
        <v>1.7909411083199999E-2</v>
      </c>
      <c r="H62" s="205">
        <f ca="1">((VLOOKUP(H$59,Tabl_B3_Comp!$B$55:$C$65,2,FALSE))*$B62)</f>
        <v>0.31961410548480002</v>
      </c>
      <c r="I62" s="205">
        <f ca="1">((VLOOKUP(I$59,Tabl_B3_Comp!$B$55:$C$65,2,FALSE))*$B62)</f>
        <v>0.81143408676960005</v>
      </c>
      <c r="J62" s="205">
        <f ca="1">((VLOOKUP(J$59,Tabl_B3_Comp!$B$55:$C$65,2,FALSE))*$B62)</f>
        <v>0.16807293478079999</v>
      </c>
      <c r="K62" s="205">
        <f ca="1">((VLOOKUP(K$59,Tabl_B3_Comp!$B$55:$C$65,2,FALSE))*$B62)</f>
        <v>2.8792822433759997</v>
      </c>
      <c r="L62" s="205">
        <f ca="1">((VLOOKUP(L$59,Tabl_B3_Comp!$B$55:$C$65,2,FALSE))*$B62)</f>
        <v>0.47528821720799996</v>
      </c>
      <c r="M62" s="205">
        <f ca="1">((VLOOKUP(M$59,Tabl_B3_Comp!$B$55:$C$65,2,FALSE))*$B62)</f>
        <v>4.7942115822720002</v>
      </c>
      <c r="N62" s="205">
        <f ca="1">((VLOOKUP(N$59,Tabl_B3_Comp!$B$55:$C$65,2,FALSE))*$B62)</f>
        <v>0.23419999108800002</v>
      </c>
      <c r="O62" s="206">
        <f ca="1">((VLOOKUP(O$59,Tabl_B3_Comp!$B$55:$C$65,2,FALSE))*$C62)</f>
        <v>1.0811376576000002E-2</v>
      </c>
      <c r="P62" s="205">
        <f ca="1">((VLOOKUP(P$59,Tabl_B3_Comp!$B$55:$C$65,2,FALSE))*$C62)</f>
        <v>6.2751346560000016E-3</v>
      </c>
      <c r="Q62" s="205">
        <f ca="1">((VLOOKUP(Q$59,Tabl_B3_Comp!$B$55:$C$65,2,FALSE))*$C62)</f>
        <v>1.3192903584000003E-4</v>
      </c>
      <c r="R62" s="205">
        <f ca="1">((VLOOKUP(R$59,Tabl_B3_Comp!$B$55:$C$65,2,FALSE))*$C62)</f>
        <v>4.9142620800000007E-5</v>
      </c>
      <c r="S62" s="205">
        <f ca="1">((VLOOKUP(S$59,Tabl_B3_Comp!$B$55:$C$65,2,FALSE))*$C62)</f>
        <v>8.7700677120000018E-4</v>
      </c>
      <c r="T62" s="205">
        <f ca="1">((VLOOKUP(T$59,Tabl_B3_Comp!$B$55:$C$65,2,FALSE))*$C62)</f>
        <v>2.2265387424000005E-3</v>
      </c>
      <c r="U62" s="205">
        <f ca="1">((VLOOKUP(U$59,Tabl_B3_Comp!$B$55:$C$65,2,FALSE))*$C62)</f>
        <v>4.6118459520000008E-4</v>
      </c>
      <c r="V62" s="205">
        <f ca="1">((VLOOKUP(V$59,Tabl_B3_Comp!$B$55:$C$65,2,FALSE))*$C62)</f>
        <v>7.9006213440000004E-3</v>
      </c>
      <c r="W62" s="205">
        <f ca="1">((VLOOKUP(W$59,Tabl_B3_Comp!$B$55:$C$65,2,FALSE))*$C62)</f>
        <v>1.3041695520000002E-3</v>
      </c>
      <c r="X62" s="205">
        <f ca="1">((VLOOKUP(X$59,Tabl_B3_Comp!$B$55:$C$65,2,FALSE))*$C62)</f>
        <v>1.3155101568000002E-2</v>
      </c>
      <c r="Y62" s="205">
        <f ca="1">((VLOOKUP(Y$59,Tabl_B3_Comp!$B$55:$C$65,2,FALSE))*$C62)</f>
        <v>6.4263427200000021E-4</v>
      </c>
    </row>
    <row r="63" spans="1:25" s="22" customFormat="1">
      <c r="A63" s="24" t="s">
        <v>1284</v>
      </c>
      <c r="B63" s="154">
        <f t="shared" ca="1" si="14"/>
        <v>899.13656160000005</v>
      </c>
      <c r="C63" s="154">
        <f t="shared" ca="1" si="15"/>
        <v>2.4671904000000002</v>
      </c>
      <c r="D63" s="205">
        <f ca="1">((VLOOKUP(D$59,Tabl_B3_Comp!$B$55:$C$65,2,FALSE))*$B63)</f>
        <v>2.5715305661760004</v>
      </c>
      <c r="E63" s="205">
        <f ca="1">((VLOOKUP(E$59,Tabl_B3_Comp!$B$55:$C$65,2,FALSE))*$B63)</f>
        <v>1.4925666922560001</v>
      </c>
      <c r="F63" s="205">
        <f ca="1">((VLOOKUP(F$59,Tabl_B3_Comp!$B$55:$C$65,2,FALSE))*$B63)</f>
        <v>3.1379865999840002E-2</v>
      </c>
      <c r="G63" s="205">
        <f ca="1">((VLOOKUP(G$59,Tabl_B3_Comp!$B$55:$C$65,2,FALSE))*$B63)</f>
        <v>1.16887753008E-2</v>
      </c>
      <c r="H63" s="205">
        <f ca="1">((VLOOKUP(H$59,Tabl_B3_Comp!$B$55:$C$65,2,FALSE))*$B63)</f>
        <v>0.20859968229120002</v>
      </c>
      <c r="I63" s="205">
        <f ca="1">((VLOOKUP(I$59,Tabl_B3_Comp!$B$55:$C$65,2,FALSE))*$B63)</f>
        <v>0.52959143478240001</v>
      </c>
      <c r="J63" s="205">
        <f ca="1">((VLOOKUP(J$59,Tabl_B3_Comp!$B$55:$C$65,2,FALSE))*$B63)</f>
        <v>0.10969466051520001</v>
      </c>
      <c r="K63" s="205">
        <f ca="1">((VLOOKUP(K$59,Tabl_B3_Comp!$B$55:$C$65,2,FALSE))*$B63)</f>
        <v>1.8791954137439999</v>
      </c>
      <c r="L63" s="205">
        <f ca="1">((VLOOKUP(L$59,Tabl_B3_Comp!$B$55:$C$65,2,FALSE))*$B63)</f>
        <v>0.31020211375200002</v>
      </c>
      <c r="M63" s="205">
        <f ca="1">((VLOOKUP(M$59,Tabl_B3_Comp!$B$55:$C$65,2,FALSE))*$B63)</f>
        <v>3.1289952343680003</v>
      </c>
      <c r="N63" s="205">
        <f ca="1">((VLOOKUP(N$59,Tabl_B3_Comp!$B$55:$C$65,2,FALSE))*$B63)</f>
        <v>0.15285321547200001</v>
      </c>
      <c r="O63" s="206">
        <f ca="1">((VLOOKUP(O$59,Tabl_B3_Comp!$B$55:$C$65,2,FALSE))*$C63)</f>
        <v>7.0561645440000006E-3</v>
      </c>
      <c r="P63" s="205">
        <f ca="1">((VLOOKUP(P$59,Tabl_B3_Comp!$B$55:$C$65,2,FALSE))*$C63)</f>
        <v>4.0955360640000001E-3</v>
      </c>
      <c r="Q63" s="205">
        <f ca="1">((VLOOKUP(Q$59,Tabl_B3_Comp!$B$55:$C$65,2,FALSE))*$C63)</f>
        <v>8.6104944960000007E-5</v>
      </c>
      <c r="R63" s="205">
        <f ca="1">((VLOOKUP(R$59,Tabl_B3_Comp!$B$55:$C$65,2,FALSE))*$C63)</f>
        <v>3.2073475199999999E-5</v>
      </c>
      <c r="S63" s="205">
        <f ca="1">((VLOOKUP(S$59,Tabl_B3_Comp!$B$55:$C$65,2,FALSE))*$C63)</f>
        <v>5.7238817280000007E-4</v>
      </c>
      <c r="T63" s="205">
        <f ca="1">((VLOOKUP(T$59,Tabl_B3_Comp!$B$55:$C$65,2,FALSE))*$C63)</f>
        <v>1.4531751456000001E-3</v>
      </c>
      <c r="U63" s="205">
        <f ca="1">((VLOOKUP(U$59,Tabl_B3_Comp!$B$55:$C$65,2,FALSE))*$C63)</f>
        <v>3.009972288E-4</v>
      </c>
      <c r="V63" s="205">
        <f ca="1">((VLOOKUP(V$59,Tabl_B3_Comp!$B$55:$C$65,2,FALSE))*$C63)</f>
        <v>5.1564279360000005E-3</v>
      </c>
      <c r="W63" s="205">
        <f ca="1">((VLOOKUP(W$59,Tabl_B3_Comp!$B$55:$C$65,2,FALSE))*$C63)</f>
        <v>8.5118068800000006E-4</v>
      </c>
      <c r="X63" s="205">
        <f ca="1">((VLOOKUP(X$59,Tabl_B3_Comp!$B$55:$C$65,2,FALSE))*$C63)</f>
        <v>8.585822592000001E-3</v>
      </c>
      <c r="Y63" s="205">
        <f ca="1">((VLOOKUP(Y$59,Tabl_B3_Comp!$B$55:$C$65,2,FALSE))*$C63)</f>
        <v>4.1942236800000007E-4</v>
      </c>
    </row>
    <row r="64" spans="1:25" s="22" customFormat="1">
      <c r="A64" s="24" t="s">
        <v>1285</v>
      </c>
      <c r="B64" s="154">
        <f t="shared" ca="1" si="14"/>
        <v>329.94066960000004</v>
      </c>
      <c r="C64" s="154">
        <f t="shared" ca="1" si="15"/>
        <v>0.9053424000000001</v>
      </c>
      <c r="D64" s="205">
        <f ca="1">((VLOOKUP(D$59,Tabl_B3_Comp!$B$55:$C$65,2,FALSE))*$B64)</f>
        <v>0.94363031505600015</v>
      </c>
      <c r="E64" s="205">
        <f ca="1">((VLOOKUP(E$59,Tabl_B3_Comp!$B$55:$C$65,2,FALSE))*$B64)</f>
        <v>0.54770151153600011</v>
      </c>
      <c r="F64" s="205">
        <f ca="1">((VLOOKUP(F$59,Tabl_B3_Comp!$B$55:$C$65,2,FALSE))*$B64)</f>
        <v>1.1514929369040002E-2</v>
      </c>
      <c r="G64" s="205">
        <f ca="1">((VLOOKUP(G$59,Tabl_B3_Comp!$B$55:$C$65,2,FALSE))*$B64)</f>
        <v>4.2892287048000004E-3</v>
      </c>
      <c r="H64" s="205">
        <f ca="1">((VLOOKUP(H$59,Tabl_B3_Comp!$B$55:$C$65,2,FALSE))*$B64)</f>
        <v>7.6546235347200009E-2</v>
      </c>
      <c r="I64" s="205">
        <f ca="1">((VLOOKUP(I$59,Tabl_B3_Comp!$B$55:$C$65,2,FALSE))*$B64)</f>
        <v>0.19433505439440002</v>
      </c>
      <c r="J64" s="205">
        <f ca="1">((VLOOKUP(J$59,Tabl_B3_Comp!$B$55:$C$65,2,FALSE))*$B64)</f>
        <v>4.0252761691200005E-2</v>
      </c>
      <c r="K64" s="205">
        <f ca="1">((VLOOKUP(K$59,Tabl_B3_Comp!$B$55:$C$65,2,FALSE))*$B64)</f>
        <v>0.68957599946400006</v>
      </c>
      <c r="L64" s="205">
        <f ca="1">((VLOOKUP(L$59,Tabl_B3_Comp!$B$55:$C$65,2,FALSE))*$B64)</f>
        <v>0.11382953101200001</v>
      </c>
      <c r="M64" s="205">
        <f ca="1">((VLOOKUP(M$59,Tabl_B3_Comp!$B$55:$C$65,2,FALSE))*$B64)</f>
        <v>1.1481935302080002</v>
      </c>
      <c r="N64" s="205">
        <f ca="1">((VLOOKUP(N$59,Tabl_B3_Comp!$B$55:$C$65,2,FALSE))*$B64)</f>
        <v>5.6089913832000009E-2</v>
      </c>
      <c r="O64" s="206">
        <f ca="1">((VLOOKUP(O$59,Tabl_B3_Comp!$B$55:$C$65,2,FALSE))*$C64)</f>
        <v>2.5892792640000006E-3</v>
      </c>
      <c r="P64" s="205">
        <f ca="1">((VLOOKUP(P$59,Tabl_B3_Comp!$B$55:$C$65,2,FALSE))*$C64)</f>
        <v>1.5028683840000003E-3</v>
      </c>
      <c r="Q64" s="205">
        <f ca="1">((VLOOKUP(Q$59,Tabl_B3_Comp!$B$55:$C$65,2,FALSE))*$C64)</f>
        <v>3.1596449760000002E-5</v>
      </c>
      <c r="R64" s="205">
        <f ca="1">((VLOOKUP(R$59,Tabl_B3_Comp!$B$55:$C$65,2,FALSE))*$C64)</f>
        <v>1.1769451200000001E-5</v>
      </c>
      <c r="S64" s="205">
        <f ca="1">((VLOOKUP(S$59,Tabl_B3_Comp!$B$55:$C$65,2,FALSE))*$C64)</f>
        <v>2.1003943680000003E-4</v>
      </c>
      <c r="T64" s="205">
        <f ca="1">((VLOOKUP(T$59,Tabl_B3_Comp!$B$55:$C$65,2,FALSE))*$C64)</f>
        <v>5.3324667360000002E-4</v>
      </c>
      <c r="U64" s="205">
        <f ca="1">((VLOOKUP(U$59,Tabl_B3_Comp!$B$55:$C$65,2,FALSE))*$C64)</f>
        <v>1.1045177280000001E-4</v>
      </c>
      <c r="V64" s="205">
        <f ca="1">((VLOOKUP(V$59,Tabl_B3_Comp!$B$55:$C$65,2,FALSE))*$C64)</f>
        <v>1.892165616E-3</v>
      </c>
      <c r="W64" s="205">
        <f ca="1">((VLOOKUP(W$59,Tabl_B3_Comp!$B$55:$C$65,2,FALSE))*$C64)</f>
        <v>3.12343128E-4</v>
      </c>
      <c r="X64" s="205">
        <f ca="1">((VLOOKUP(X$59,Tabl_B3_Comp!$B$55:$C$65,2,FALSE))*$C64)</f>
        <v>3.1505915520000003E-3</v>
      </c>
      <c r="Y64" s="205">
        <f ca="1">((VLOOKUP(Y$59,Tabl_B3_Comp!$B$55:$C$65,2,FALSE))*$C64)</f>
        <v>1.5390820800000003E-4</v>
      </c>
    </row>
    <row r="65" spans="1:25" s="22" customFormat="1">
      <c r="A65" s="24" t="s">
        <v>1286</v>
      </c>
      <c r="B65" s="154">
        <f t="shared" ca="1" si="14"/>
        <v>1559.0179008000002</v>
      </c>
      <c r="C65" s="154">
        <f t="shared" ca="1" si="15"/>
        <v>4.2778752000000004</v>
      </c>
      <c r="D65" s="205">
        <f ca="1">((VLOOKUP(D$59,Tabl_B3_Comp!$B$55:$C$65,2,FALSE))*$B65)</f>
        <v>4.4587911962880007</v>
      </c>
      <c r="E65" s="205">
        <f ca="1">((VLOOKUP(E$59,Tabl_B3_Comp!$B$55:$C$65,2,FALSE))*$B65)</f>
        <v>2.5879697153280006</v>
      </c>
      <c r="F65" s="205">
        <f ca="1">((VLOOKUP(F$59,Tabl_B3_Comp!$B$55:$C$65,2,FALSE))*$B65)</f>
        <v>5.4409724737920009E-2</v>
      </c>
      <c r="G65" s="205">
        <f ca="1">((VLOOKUP(G$59,Tabl_B3_Comp!$B$55:$C$65,2,FALSE))*$B65)</f>
        <v>2.0267232710400002E-2</v>
      </c>
      <c r="H65" s="205">
        <f ca="1">((VLOOKUP(H$59,Tabl_B3_Comp!$B$55:$C$65,2,FALSE))*$B65)</f>
        <v>0.36169215298560004</v>
      </c>
      <c r="I65" s="205">
        <f ca="1">((VLOOKUP(I$59,Tabl_B3_Comp!$B$55:$C$65,2,FALSE))*$B65)</f>
        <v>0.91826154357120016</v>
      </c>
      <c r="J65" s="205">
        <f ca="1">((VLOOKUP(J$59,Tabl_B3_Comp!$B$55:$C$65,2,FALSE))*$B65)</f>
        <v>0.19020018389760002</v>
      </c>
      <c r="K65" s="205">
        <f ca="1">((VLOOKUP(K$59,Tabl_B3_Comp!$B$55:$C$65,2,FALSE))*$B65)</f>
        <v>3.2583474126720002</v>
      </c>
      <c r="L65" s="205">
        <f ca="1">((VLOOKUP(L$59,Tabl_B3_Comp!$B$55:$C$65,2,FALSE))*$B65)</f>
        <v>0.53786117577600001</v>
      </c>
      <c r="M65" s="205">
        <f ca="1">((VLOOKUP(M$59,Tabl_B3_Comp!$B$55:$C$65,2,FALSE))*$B65)</f>
        <v>5.4253822947840007</v>
      </c>
      <c r="N65" s="205">
        <f ca="1">((VLOOKUP(N$59,Tabl_B3_Comp!$B$55:$C$65,2,FALSE))*$B65)</f>
        <v>0.26503304313600007</v>
      </c>
      <c r="O65" s="206">
        <f ca="1">((VLOOKUP(O$59,Tabl_B3_Comp!$B$55:$C$65,2,FALSE))*$C65)</f>
        <v>1.2234723072000003E-2</v>
      </c>
      <c r="P65" s="205">
        <f ca="1">((VLOOKUP(P$59,Tabl_B3_Comp!$B$55:$C$65,2,FALSE))*$C65)</f>
        <v>7.1012728320000006E-3</v>
      </c>
      <c r="Q65" s="205">
        <f ca="1">((VLOOKUP(Q$59,Tabl_B3_Comp!$B$55:$C$65,2,FALSE))*$C65)</f>
        <v>1.4929784448000001E-4</v>
      </c>
      <c r="R65" s="205">
        <f ca="1">((VLOOKUP(R$59,Tabl_B3_Comp!$B$55:$C$65,2,FALSE))*$C65)</f>
        <v>5.5612377600000003E-5</v>
      </c>
      <c r="S65" s="205">
        <f ca="1">((VLOOKUP(S$59,Tabl_B3_Comp!$B$55:$C$65,2,FALSE))*$C65)</f>
        <v>9.9246704640000008E-4</v>
      </c>
      <c r="T65" s="205">
        <f ca="1">((VLOOKUP(T$59,Tabl_B3_Comp!$B$55:$C$65,2,FALSE))*$C65)</f>
        <v>2.5196684928000001E-3</v>
      </c>
      <c r="U65" s="205">
        <f ca="1">((VLOOKUP(U$59,Tabl_B3_Comp!$B$55:$C$65,2,FALSE))*$C65)</f>
        <v>5.2190077440000002E-4</v>
      </c>
      <c r="V65" s="205">
        <f ca="1">((VLOOKUP(V$59,Tabl_B3_Comp!$B$55:$C$65,2,FALSE))*$C65)</f>
        <v>8.9407591680000006E-3</v>
      </c>
      <c r="W65" s="205">
        <f ca="1">((VLOOKUP(W$59,Tabl_B3_Comp!$B$55:$C$65,2,FALSE))*$C65)</f>
        <v>1.4758669440000001E-3</v>
      </c>
      <c r="X65" s="205">
        <f ca="1">((VLOOKUP(X$59,Tabl_B3_Comp!$B$55:$C$65,2,FALSE))*$C65)</f>
        <v>1.4887005696000002E-2</v>
      </c>
      <c r="Y65" s="205">
        <f ca="1">((VLOOKUP(Y$59,Tabl_B3_Comp!$B$55:$C$65,2,FALSE))*$C65)</f>
        <v>7.2723878400000018E-4</v>
      </c>
    </row>
    <row r="66" spans="1:25" s="22" customFormat="1">
      <c r="A66" s="24" t="s">
        <v>1287</v>
      </c>
      <c r="B66" s="154">
        <f t="shared" ca="1" si="14"/>
        <v>2209.2518520000003</v>
      </c>
      <c r="C66" s="154">
        <f t="shared" ca="1" si="15"/>
        <v>6.0620880000000001</v>
      </c>
      <c r="D66" s="205">
        <f ca="1">((VLOOKUP(D$59,Tabl_B3_Comp!$B$55:$C$65,2,FALSE))*$B66)</f>
        <v>6.3184602967200014</v>
      </c>
      <c r="E66" s="205">
        <f ca="1">((VLOOKUP(E$59,Tabl_B3_Comp!$B$55:$C$65,2,FALSE))*$B66)</f>
        <v>3.6673580743200005</v>
      </c>
      <c r="F66" s="205">
        <f ca="1">((VLOOKUP(F$59,Tabl_B3_Comp!$B$55:$C$65,2,FALSE))*$B66)</f>
        <v>7.7102889634800012E-2</v>
      </c>
      <c r="G66" s="205">
        <f ca="1">((VLOOKUP(G$59,Tabl_B3_Comp!$B$55:$C$65,2,FALSE))*$B66)</f>
        <v>2.8720274076000002E-2</v>
      </c>
      <c r="H66" s="205">
        <f ca="1">((VLOOKUP(H$59,Tabl_B3_Comp!$B$55:$C$65,2,FALSE))*$B66)</f>
        <v>0.5125464296640001</v>
      </c>
      <c r="I66" s="205">
        <f ca="1">((VLOOKUP(I$59,Tabl_B3_Comp!$B$55:$C$65,2,FALSE))*$B66)</f>
        <v>1.3012493408280001</v>
      </c>
      <c r="J66" s="205">
        <f ca="1">((VLOOKUP(J$59,Tabl_B3_Comp!$B$55:$C$65,2,FALSE))*$B66)</f>
        <v>0.26952872594400001</v>
      </c>
      <c r="K66" s="205">
        <f ca="1">((VLOOKUP(K$59,Tabl_B3_Comp!$B$55:$C$65,2,FALSE))*$B66)</f>
        <v>4.6173363706800004</v>
      </c>
      <c r="L66" s="205">
        <f ca="1">((VLOOKUP(L$59,Tabl_B3_Comp!$B$55:$C$65,2,FALSE))*$B66)</f>
        <v>0.76219188894000012</v>
      </c>
      <c r="M66" s="205">
        <f ca="1">((VLOOKUP(M$59,Tabl_B3_Comp!$B$55:$C$65,2,FALSE))*$B66)</f>
        <v>7.6881964449600009</v>
      </c>
      <c r="N66" s="205">
        <f ca="1">((VLOOKUP(N$59,Tabl_B3_Comp!$B$55:$C$65,2,FALSE))*$B66)</f>
        <v>0.3755728148400001</v>
      </c>
      <c r="O66" s="206">
        <f ca="1">((VLOOKUP(O$59,Tabl_B3_Comp!$B$55:$C$65,2,FALSE))*$C66)</f>
        <v>1.733757168E-2</v>
      </c>
      <c r="P66" s="205">
        <f ca="1">((VLOOKUP(P$59,Tabl_B3_Comp!$B$55:$C$65,2,FALSE))*$C66)</f>
        <v>1.006306608E-2</v>
      </c>
      <c r="Q66" s="205">
        <f ca="1">((VLOOKUP(Q$59,Tabl_B3_Comp!$B$55:$C$65,2,FALSE))*$C66)</f>
        <v>2.115668712E-4</v>
      </c>
      <c r="R66" s="205">
        <f ca="1">((VLOOKUP(R$59,Tabl_B3_Comp!$B$55:$C$65,2,FALSE))*$C66)</f>
        <v>7.8807144E-5</v>
      </c>
      <c r="S66" s="205">
        <f ca="1">((VLOOKUP(S$59,Tabl_B3_Comp!$B$55:$C$65,2,FALSE))*$C66)</f>
        <v>1.4064044160000001E-3</v>
      </c>
      <c r="T66" s="205">
        <f ca="1">((VLOOKUP(T$59,Tabl_B3_Comp!$B$55:$C$65,2,FALSE))*$C66)</f>
        <v>3.5705698320000001E-3</v>
      </c>
      <c r="U66" s="205">
        <f ca="1">((VLOOKUP(U$59,Tabl_B3_Comp!$B$55:$C$65,2,FALSE))*$C66)</f>
        <v>7.3957473599999999E-4</v>
      </c>
      <c r="V66" s="205">
        <f ca="1">((VLOOKUP(V$59,Tabl_B3_Comp!$B$55:$C$65,2,FALSE))*$C66)</f>
        <v>1.2669763919999999E-2</v>
      </c>
      <c r="W66" s="205">
        <f ca="1">((VLOOKUP(W$59,Tabl_B3_Comp!$B$55:$C$65,2,FALSE))*$C66)</f>
        <v>2.0914203599999999E-3</v>
      </c>
      <c r="X66" s="205">
        <f ca="1">((VLOOKUP(X$59,Tabl_B3_Comp!$B$55:$C$65,2,FALSE))*$C66)</f>
        <v>2.1096066239999999E-2</v>
      </c>
      <c r="Y66" s="205">
        <f ca="1">((VLOOKUP(Y$59,Tabl_B3_Comp!$B$55:$C$65,2,FALSE))*$C66)</f>
        <v>1.03055496E-3</v>
      </c>
    </row>
    <row r="67" spans="1:25" s="22" customFormat="1">
      <c r="A67" s="24" t="s">
        <v>1288</v>
      </c>
      <c r="B67" s="154">
        <f t="shared" ca="1" si="14"/>
        <v>1769.3309592000001</v>
      </c>
      <c r="C67" s="154">
        <f t="shared" ca="1" si="15"/>
        <v>4.8549648000000003</v>
      </c>
      <c r="D67" s="205">
        <f ca="1">((VLOOKUP(D$59,Tabl_B3_Comp!$B$55:$C$65,2,FALSE))*$B67)</f>
        <v>5.0602865433120003</v>
      </c>
      <c r="E67" s="205">
        <f ca="1">((VLOOKUP(E$59,Tabl_B3_Comp!$B$55:$C$65,2,FALSE))*$B67)</f>
        <v>2.9370893922720001</v>
      </c>
      <c r="F67" s="205">
        <f ca="1">((VLOOKUP(F$59,Tabl_B3_Comp!$B$55:$C$65,2,FALSE))*$B67)</f>
        <v>6.1749650476080005E-2</v>
      </c>
      <c r="G67" s="205">
        <f ca="1">((VLOOKUP(G$59,Tabl_B3_Comp!$B$55:$C$65,2,FALSE))*$B67)</f>
        <v>2.3001302469599999E-2</v>
      </c>
      <c r="H67" s="205">
        <f ca="1">((VLOOKUP(H$59,Tabl_B3_Comp!$B$55:$C$65,2,FALSE))*$B67)</f>
        <v>0.41048478253440002</v>
      </c>
      <c r="I67" s="205">
        <f ca="1">((VLOOKUP(I$59,Tabl_B3_Comp!$B$55:$C$65,2,FALSE))*$B67)</f>
        <v>1.0421359349688</v>
      </c>
      <c r="J67" s="205">
        <f ca="1">((VLOOKUP(J$59,Tabl_B3_Comp!$B$55:$C$65,2,FALSE))*$B67)</f>
        <v>0.21585837702239999</v>
      </c>
      <c r="K67" s="205">
        <f ca="1">((VLOOKUP(K$59,Tabl_B3_Comp!$B$55:$C$65,2,FALSE))*$B67)</f>
        <v>3.6979017047279998</v>
      </c>
      <c r="L67" s="205">
        <f ca="1">((VLOOKUP(L$59,Tabl_B3_Comp!$B$55:$C$65,2,FALSE))*$B67)</f>
        <v>0.61041918092399994</v>
      </c>
      <c r="M67" s="205">
        <f ca="1">((VLOOKUP(M$59,Tabl_B3_Comp!$B$55:$C$65,2,FALSE))*$B67)</f>
        <v>6.157271738016</v>
      </c>
      <c r="N67" s="205">
        <f ca="1">((VLOOKUP(N$59,Tabl_B3_Comp!$B$55:$C$65,2,FALSE))*$B67)</f>
        <v>0.30078626306400003</v>
      </c>
      <c r="O67" s="206">
        <f ca="1">((VLOOKUP(O$59,Tabl_B3_Comp!$B$55:$C$65,2,FALSE))*$C67)</f>
        <v>1.3885199328000001E-2</v>
      </c>
      <c r="P67" s="205">
        <f ca="1">((VLOOKUP(P$59,Tabl_B3_Comp!$B$55:$C$65,2,FALSE))*$C67)</f>
        <v>8.0592415680000012E-3</v>
      </c>
      <c r="Q67" s="205">
        <f ca="1">((VLOOKUP(Q$59,Tabl_B3_Comp!$B$55:$C$65,2,FALSE))*$C67)</f>
        <v>1.6943827152000001E-4</v>
      </c>
      <c r="R67" s="205">
        <f ca="1">((VLOOKUP(R$59,Tabl_B3_Comp!$B$55:$C$65,2,FALSE))*$C67)</f>
        <v>6.3114542400000002E-5</v>
      </c>
      <c r="S67" s="205">
        <f ca="1">((VLOOKUP(S$59,Tabl_B3_Comp!$B$55:$C$65,2,FALSE))*$C67)</f>
        <v>1.1263518336000001E-3</v>
      </c>
      <c r="T67" s="205">
        <f ca="1">((VLOOKUP(T$59,Tabl_B3_Comp!$B$55:$C$65,2,FALSE))*$C67)</f>
        <v>2.8595742672000001E-3</v>
      </c>
      <c r="U67" s="205">
        <f ca="1">((VLOOKUP(U$59,Tabl_B3_Comp!$B$55:$C$65,2,FALSE))*$C67)</f>
        <v>5.9230570559999998E-4</v>
      </c>
      <c r="V67" s="205">
        <f ca="1">((VLOOKUP(V$59,Tabl_B3_Comp!$B$55:$C$65,2,FALSE))*$C67)</f>
        <v>1.0146876431999999E-2</v>
      </c>
      <c r="W67" s="205">
        <f ca="1">((VLOOKUP(W$59,Tabl_B3_Comp!$B$55:$C$65,2,FALSE))*$C67)</f>
        <v>1.6749628559999999E-3</v>
      </c>
      <c r="X67" s="205">
        <f ca="1">((VLOOKUP(X$59,Tabl_B3_Comp!$B$55:$C$65,2,FALSE))*$C67)</f>
        <v>1.6895277504000002E-2</v>
      </c>
      <c r="Y67" s="205">
        <f ca="1">((VLOOKUP(Y$59,Tabl_B3_Comp!$B$55:$C$65,2,FALSE))*$C67)</f>
        <v>8.2534401600000014E-4</v>
      </c>
    </row>
    <row r="68" spans="1:25" s="22" customFormat="1">
      <c r="A68" s="24" t="s">
        <v>1289</v>
      </c>
      <c r="B68" s="154">
        <f t="shared" ca="1" si="14"/>
        <v>19476.146894400001</v>
      </c>
      <c r="C68" s="154">
        <f t="shared" ca="1" si="15"/>
        <v>106.8833472</v>
      </c>
      <c r="D68" s="205">
        <f ca="1">((VLOOKUP(D$59,Tabl_B3_Comp!$B$55:$C$65,2,FALSE))*$B68)</f>
        <v>55.701780117984008</v>
      </c>
      <c r="E68" s="205">
        <f ca="1">((VLOOKUP(E$59,Tabl_B3_Comp!$B$55:$C$65,2,FALSE))*$B68)</f>
        <v>32.330403844704001</v>
      </c>
      <c r="F68" s="205">
        <f ca="1">((VLOOKUP(F$59,Tabl_B3_Comp!$B$55:$C$65,2,FALSE))*$B68)</f>
        <v>0.67971752661456009</v>
      </c>
      <c r="G68" s="205">
        <f ca="1">((VLOOKUP(G$59,Tabl_B3_Comp!$B$55:$C$65,2,FALSE))*$B68)</f>
        <v>0.2531899096272</v>
      </c>
      <c r="H68" s="205">
        <f ca="1">((VLOOKUP(H$59,Tabl_B3_Comp!$B$55:$C$65,2,FALSE))*$B68)</f>
        <v>4.5184660795007998</v>
      </c>
      <c r="I68" s="205">
        <f ca="1">((VLOOKUP(I$59,Tabl_B3_Comp!$B$55:$C$65,2,FALSE))*$B68)</f>
        <v>11.4714505208016</v>
      </c>
      <c r="J68" s="205">
        <f ca="1">((VLOOKUP(J$59,Tabl_B3_Comp!$B$55:$C$65,2,FALSE))*$B68)</f>
        <v>2.3760899211168001</v>
      </c>
      <c r="K68" s="205">
        <f ca="1">((VLOOKUP(K$59,Tabl_B3_Comp!$B$55:$C$65,2,FALSE))*$B68)</f>
        <v>40.705147009295999</v>
      </c>
      <c r="L68" s="205">
        <f ca="1">((VLOOKUP(L$59,Tabl_B3_Comp!$B$55:$C$65,2,FALSE))*$B68)</f>
        <v>6.7192706785679999</v>
      </c>
      <c r="M68" s="205">
        <f ca="1">((VLOOKUP(M$59,Tabl_B3_Comp!$B$55:$C$65,2,FALSE))*$B68)</f>
        <v>67.776991192512</v>
      </c>
      <c r="N68" s="205">
        <f ca="1">((VLOOKUP(N$59,Tabl_B3_Comp!$B$55:$C$65,2,FALSE))*$B68)</f>
        <v>3.3109449720480004</v>
      </c>
      <c r="O68" s="206">
        <f ca="1">((VLOOKUP(O$59,Tabl_B3_Comp!$B$55:$C$65,2,FALSE))*$C68)</f>
        <v>0.30568637299200002</v>
      </c>
      <c r="P68" s="205">
        <f ca="1">((VLOOKUP(P$59,Tabl_B3_Comp!$B$55:$C$65,2,FALSE))*$C68)</f>
        <v>0.17742635635200002</v>
      </c>
      <c r="Q68" s="205">
        <f ca="1">((VLOOKUP(Q$59,Tabl_B3_Comp!$B$55:$C$65,2,FALSE))*$C68)</f>
        <v>3.7302288172800001E-3</v>
      </c>
      <c r="R68" s="205">
        <f ca="1">((VLOOKUP(R$59,Tabl_B3_Comp!$B$55:$C$65,2,FALSE))*$C68)</f>
        <v>1.3894835135999999E-3</v>
      </c>
      <c r="S68" s="205">
        <f ca="1">((VLOOKUP(S$59,Tabl_B3_Comp!$B$55:$C$65,2,FALSE))*$C68)</f>
        <v>2.4796936550400002E-2</v>
      </c>
      <c r="T68" s="205">
        <f ca="1">((VLOOKUP(T$59,Tabl_B3_Comp!$B$55:$C$65,2,FALSE))*$C68)</f>
        <v>6.2954291500800008E-2</v>
      </c>
      <c r="U68" s="205">
        <f ca="1">((VLOOKUP(U$59,Tabl_B3_Comp!$B$55:$C$65,2,FALSE))*$C68)</f>
        <v>1.3039768358400001E-2</v>
      </c>
      <c r="V68" s="205">
        <f ca="1">((VLOOKUP(V$59,Tabl_B3_Comp!$B$55:$C$65,2,FALSE))*$C68)</f>
        <v>0.223386195648</v>
      </c>
      <c r="W68" s="205">
        <f ca="1">((VLOOKUP(W$59,Tabl_B3_Comp!$B$55:$C$65,2,FALSE))*$C68)</f>
        <v>3.6874754784E-2</v>
      </c>
      <c r="X68" s="205">
        <f ca="1">((VLOOKUP(X$59,Tabl_B3_Comp!$B$55:$C$65,2,FALSE))*$C68)</f>
        <v>0.37195404825600004</v>
      </c>
      <c r="Y68" s="205">
        <f ca="1">((VLOOKUP(Y$59,Tabl_B3_Comp!$B$55:$C$65,2,FALSE))*$C68)</f>
        <v>1.8170169024000003E-2</v>
      </c>
    </row>
    <row r="69" spans="1:25" s="22" customFormat="1">
      <c r="A69" s="24" t="s">
        <v>1290</v>
      </c>
      <c r="B69" s="154">
        <f t="shared" ca="1" si="14"/>
        <v>2556.0754506000003</v>
      </c>
      <c r="C69" s="154">
        <f t="shared" ca="1" si="15"/>
        <v>9.1990200000000009</v>
      </c>
      <c r="D69" s="205">
        <f ca="1">((VLOOKUP(D$59,Tabl_B3_Comp!$B$55:$C$65,2,FALSE))*$B69)</f>
        <v>7.3103757887160015</v>
      </c>
      <c r="E69" s="205">
        <f ca="1">((VLOOKUP(E$59,Tabl_B3_Comp!$B$55:$C$65,2,FALSE))*$B69)</f>
        <v>4.2430852479960004</v>
      </c>
      <c r="F69" s="205">
        <f ca="1">((VLOOKUP(F$59,Tabl_B3_Comp!$B$55:$C$65,2,FALSE))*$B69)</f>
        <v>8.9207033225940008E-2</v>
      </c>
      <c r="G69" s="205">
        <f ca="1">((VLOOKUP(G$59,Tabl_B3_Comp!$B$55:$C$65,2,FALSE))*$B69)</f>
        <v>3.3228980857800003E-2</v>
      </c>
      <c r="H69" s="205">
        <f ca="1">((VLOOKUP(H$59,Tabl_B3_Comp!$B$55:$C$65,2,FALSE))*$B69)</f>
        <v>0.59300950453920009</v>
      </c>
      <c r="I69" s="205">
        <f ca="1">((VLOOKUP(I$59,Tabl_B3_Comp!$B$55:$C$65,2,FALSE))*$B69)</f>
        <v>1.5055284404034002</v>
      </c>
      <c r="J69" s="205">
        <f ca="1">((VLOOKUP(J$59,Tabl_B3_Comp!$B$55:$C$65,2,FALSE))*$B69)</f>
        <v>0.3118412049732</v>
      </c>
      <c r="K69" s="205">
        <f ca="1">((VLOOKUP(K$59,Tabl_B3_Comp!$B$55:$C$65,2,FALSE))*$B69)</f>
        <v>5.3421976917540004</v>
      </c>
      <c r="L69" s="205">
        <f ca="1">((VLOOKUP(L$59,Tabl_B3_Comp!$B$55:$C$65,2,FALSE))*$B69)</f>
        <v>0.88184603045700005</v>
      </c>
      <c r="M69" s="205">
        <f ca="1">((VLOOKUP(M$59,Tabl_B3_Comp!$B$55:$C$65,2,FALSE))*$B69)</f>
        <v>8.8951425680880014</v>
      </c>
      <c r="N69" s="205">
        <f ca="1">((VLOOKUP(N$59,Tabl_B3_Comp!$B$55:$C$65,2,FALSE))*$B69)</f>
        <v>0.4345328266020001</v>
      </c>
      <c r="O69" s="206">
        <f ca="1">((VLOOKUP(O$59,Tabl_B3_Comp!$B$55:$C$65,2,FALSE))*$C69)</f>
        <v>2.6309197200000002E-2</v>
      </c>
      <c r="P69" s="205">
        <f ca="1">((VLOOKUP(P$59,Tabl_B3_Comp!$B$55:$C$65,2,FALSE))*$C69)</f>
        <v>1.5270373200000001E-2</v>
      </c>
      <c r="Q69" s="205">
        <f ca="1">((VLOOKUP(Q$59,Tabl_B3_Comp!$B$55:$C$65,2,FALSE))*$C69)</f>
        <v>3.2104579800000006E-4</v>
      </c>
      <c r="R69" s="205">
        <f ca="1">((VLOOKUP(R$59,Tabl_B3_Comp!$B$55:$C$65,2,FALSE))*$C69)</f>
        <v>1.1958726000000001E-4</v>
      </c>
      <c r="S69" s="205">
        <f ca="1">((VLOOKUP(S$59,Tabl_B3_Comp!$B$55:$C$65,2,FALSE))*$C69)</f>
        <v>2.1341726400000002E-3</v>
      </c>
      <c r="T69" s="205">
        <f ca="1">((VLOOKUP(T$59,Tabl_B3_Comp!$B$55:$C$65,2,FALSE))*$C69)</f>
        <v>5.4182227800000007E-3</v>
      </c>
      <c r="U69" s="205">
        <f ca="1">((VLOOKUP(U$59,Tabl_B3_Comp!$B$55:$C$65,2,FALSE))*$C69)</f>
        <v>1.12228044E-3</v>
      </c>
      <c r="V69" s="205">
        <f ca="1">((VLOOKUP(V$59,Tabl_B3_Comp!$B$55:$C$65,2,FALSE))*$C69)</f>
        <v>1.9225951800000002E-2</v>
      </c>
      <c r="W69" s="205">
        <f ca="1">((VLOOKUP(W$59,Tabl_B3_Comp!$B$55:$C$65,2,FALSE))*$C69)</f>
        <v>3.1736619000000002E-3</v>
      </c>
      <c r="X69" s="205">
        <f ca="1">((VLOOKUP(X$59,Tabl_B3_Comp!$B$55:$C$65,2,FALSE))*$C69)</f>
        <v>3.2012589600000002E-2</v>
      </c>
      <c r="Y69" s="205">
        <f ca="1">((VLOOKUP(Y$59,Tabl_B3_Comp!$B$55:$C$65,2,FALSE))*$C69)</f>
        <v>1.5638334000000003E-3</v>
      </c>
    </row>
    <row r="70" spans="1:25">
      <c r="A70" s="153" t="s">
        <v>1515</v>
      </c>
      <c r="B70" s="154">
        <f t="shared" ref="B70" ca="1" si="16">SUMIF($A$12:$I$42,A70,$H$12:$H$42)</f>
        <v>2.6096184539999996</v>
      </c>
      <c r="C70" s="154">
        <f t="shared" ref="C70" ca="1" si="17">SUMIF($A$12:$I$42,A70,$I$12:$I$42)</f>
        <v>7.1606759999999995E-3</v>
      </c>
      <c r="D70" s="205">
        <f ca="1">((VLOOKUP(D$59,Tabl_B3_Comp!$B$55:$C$65,2,FALSE))*$B70)</f>
        <v>7.4635087784399989E-3</v>
      </c>
      <c r="E70" s="205">
        <f ca="1">((VLOOKUP(E$59,Tabl_B3_Comp!$B$55:$C$65,2,FALSE))*$B70)</f>
        <v>4.3319666336399994E-3</v>
      </c>
      <c r="F70" s="205">
        <f ca="1">((VLOOKUP(F$59,Tabl_B3_Comp!$B$55:$C$65,2,FALSE))*$B70)</f>
        <v>9.1075684044599994E-5</v>
      </c>
      <c r="G70" s="205">
        <f ca="1">((VLOOKUP(G$59,Tabl_B3_Comp!$B$55:$C$65,2,FALSE))*$B70)</f>
        <v>3.392503990199999E-5</v>
      </c>
      <c r="H70" s="205">
        <f ca="1">((VLOOKUP(H$59,Tabl_B3_Comp!$B$55:$C$65,2,FALSE))*$B70)</f>
        <v>6.0543148132799994E-4</v>
      </c>
      <c r="I70" s="205">
        <f ca="1">((VLOOKUP(I$59,Tabl_B3_Comp!$B$55:$C$65,2,FALSE))*$B70)</f>
        <v>1.5370652694059997E-3</v>
      </c>
      <c r="J70" s="205">
        <f ca="1">((VLOOKUP(J$59,Tabl_B3_Comp!$B$55:$C$65,2,FALSE))*$B70)</f>
        <v>3.1837345138799994E-4</v>
      </c>
      <c r="K70" s="205">
        <f ca="1">((VLOOKUP(K$59,Tabl_B3_Comp!$B$55:$C$65,2,FALSE))*$B70)</f>
        <v>5.4541025688599988E-3</v>
      </c>
      <c r="L70" s="205">
        <f ca="1">((VLOOKUP(L$59,Tabl_B3_Comp!$B$55:$C$65,2,FALSE))*$B70)</f>
        <v>9.0031836662999979E-4</v>
      </c>
      <c r="M70" s="205">
        <f ca="1">((VLOOKUP(M$59,Tabl_B3_Comp!$B$55:$C$65,2,FALSE))*$B70)</f>
        <v>9.081472219919999E-3</v>
      </c>
      <c r="N70" s="205">
        <f ca="1">((VLOOKUP(N$59,Tabl_B3_Comp!$B$55:$C$65,2,FALSE))*$B70)</f>
        <v>4.4363513717999995E-4</v>
      </c>
      <c r="O70" s="206">
        <f ca="1">((VLOOKUP(O$59,Tabl_B3_Comp!$B$55:$C$65,2,FALSE))*$C70)</f>
        <v>2.047953336E-5</v>
      </c>
      <c r="P70" s="205">
        <f ca="1">((VLOOKUP(P$59,Tabl_B3_Comp!$B$55:$C$65,2,FALSE))*$C70)</f>
        <v>1.188672216E-5</v>
      </c>
      <c r="Q70" s="205">
        <f ca="1">((VLOOKUP(Q$59,Tabl_B3_Comp!$B$55:$C$65,2,FALSE))*$C70)</f>
        <v>2.4990759239999997E-7</v>
      </c>
      <c r="R70" s="205">
        <f ca="1">((VLOOKUP(R$59,Tabl_B3_Comp!$B$55:$C$65,2,FALSE))*$C70)</f>
        <v>9.3088787999999993E-8</v>
      </c>
      <c r="S70" s="205">
        <f ca="1">((VLOOKUP(S$59,Tabl_B3_Comp!$B$55:$C$65,2,FALSE))*$C70)</f>
        <v>1.6612768319999999E-6</v>
      </c>
      <c r="T70" s="205">
        <f ca="1">((VLOOKUP(T$59,Tabl_B3_Comp!$B$55:$C$65,2,FALSE))*$C70)</f>
        <v>4.217638164E-6</v>
      </c>
      <c r="U70" s="205">
        <f ca="1">((VLOOKUP(U$59,Tabl_B3_Comp!$B$55:$C$65,2,FALSE))*$C70)</f>
        <v>8.7360247199999996E-7</v>
      </c>
      <c r="V70" s="205">
        <f ca="1">((VLOOKUP(V$59,Tabl_B3_Comp!$B$55:$C$65,2,FALSE))*$C70)</f>
        <v>1.4965812839999998E-5</v>
      </c>
      <c r="W70" s="205">
        <f ca="1">((VLOOKUP(W$59,Tabl_B3_Comp!$B$55:$C$65,2,FALSE))*$C70)</f>
        <v>2.4704332199999999E-6</v>
      </c>
      <c r="X70" s="205">
        <f ca="1">((VLOOKUP(X$59,Tabl_B3_Comp!$B$55:$C$65,2,FALSE))*$C70)</f>
        <v>2.4919152479999997E-5</v>
      </c>
      <c r="Y70" s="205">
        <f ca="1">((VLOOKUP(Y$59,Tabl_B3_Comp!$B$55:$C$65,2,FALSE))*$C70)</f>
        <v>1.2173149200000001E-6</v>
      </c>
    </row>
    <row r="71" spans="1:25">
      <c r="A71" s="153" t="s">
        <v>1516</v>
      </c>
      <c r="B71" s="154">
        <f ca="1">SUMIF($A$12:$I$42,A71,$H$12:$H$42)</f>
        <v>3.6382229625600004</v>
      </c>
      <c r="C71" s="154">
        <f ca="1">SUMIF($A$12:$I$42,A71,$I$12:$I$42)</f>
        <v>9.983120639999999E-3</v>
      </c>
      <c r="D71" s="205">
        <f ca="1">((VLOOKUP(D$59,Tabl_B3_Comp!$B$55:$C$65,2,FALSE))*$B71)</f>
        <v>1.0405317672921601E-2</v>
      </c>
      <c r="E71" s="205">
        <f ca="1">((VLOOKUP(E$59,Tabl_B3_Comp!$B$55:$C$65,2,FALSE))*$B71)</f>
        <v>6.0394501178496008E-3</v>
      </c>
      <c r="F71" s="205">
        <f ca="1">((VLOOKUP(F$59,Tabl_B3_Comp!$B$55:$C$65,2,FALSE))*$B71)</f>
        <v>1.2697398139334401E-4</v>
      </c>
      <c r="G71" s="205">
        <f ca="1">((VLOOKUP(G$59,Tabl_B3_Comp!$B$55:$C$65,2,FALSE))*$B71)</f>
        <v>4.7296898513280003E-5</v>
      </c>
      <c r="H71" s="205">
        <f ca="1">((VLOOKUP(H$59,Tabl_B3_Comp!$B$55:$C$65,2,FALSE))*$B71)</f>
        <v>8.4406772731392013E-4</v>
      </c>
      <c r="I71" s="205">
        <f ca="1">((VLOOKUP(I$59,Tabl_B3_Comp!$B$55:$C$65,2,FALSE))*$B71)</f>
        <v>2.1429133249478401E-3</v>
      </c>
      <c r="J71" s="205">
        <f ca="1">((VLOOKUP(J$59,Tabl_B3_Comp!$B$55:$C$65,2,FALSE))*$B71)</f>
        <v>4.4386320143232006E-4</v>
      </c>
      <c r="K71" s="205">
        <f ca="1">((VLOOKUP(K$59,Tabl_B3_Comp!$B$55:$C$65,2,FALSE))*$B71)</f>
        <v>7.6038859917504E-3</v>
      </c>
      <c r="L71" s="205">
        <f ca="1">((VLOOKUP(L$59,Tabl_B3_Comp!$B$55:$C$65,2,FALSE))*$B71)</f>
        <v>1.2551869220832001E-3</v>
      </c>
      <c r="M71" s="205">
        <f ca="1">((VLOOKUP(M$59,Tabl_B3_Comp!$B$55:$C$65,2,FALSE))*$B71)</f>
        <v>1.2661015909708801E-2</v>
      </c>
      <c r="N71" s="205">
        <f ca="1">((VLOOKUP(N$59,Tabl_B3_Comp!$B$55:$C$65,2,FALSE))*$B71)</f>
        <v>6.1849790363520017E-4</v>
      </c>
      <c r="O71" s="206">
        <f ca="1">((VLOOKUP(O$59,Tabl_B3_Comp!$B$55:$C$65,2,FALSE))*$C71)</f>
        <v>2.8551725030399997E-5</v>
      </c>
      <c r="P71" s="205">
        <f ca="1">((VLOOKUP(P$59,Tabl_B3_Comp!$B$55:$C$65,2,FALSE))*$C71)</f>
        <v>1.6571980262399997E-5</v>
      </c>
      <c r="Q71" s="205">
        <f ca="1">((VLOOKUP(Q$59,Tabl_B3_Comp!$B$55:$C$65,2,FALSE))*$C71)</f>
        <v>3.4841091033599997E-7</v>
      </c>
      <c r="R71" s="205">
        <f ca="1">((VLOOKUP(R$59,Tabl_B3_Comp!$B$55:$C$65,2,FALSE))*$C71)</f>
        <v>1.2978056831999998E-7</v>
      </c>
      <c r="S71" s="205">
        <f ca="1">((VLOOKUP(S$59,Tabl_B3_Comp!$B$55:$C$65,2,FALSE))*$C71)</f>
        <v>2.3160839884799997E-6</v>
      </c>
      <c r="T71" s="205">
        <f ca="1">((VLOOKUP(T$59,Tabl_B3_Comp!$B$55:$C$65,2,FALSE))*$C71)</f>
        <v>5.8800580569599993E-6</v>
      </c>
      <c r="U71" s="205">
        <f ca="1">((VLOOKUP(U$59,Tabl_B3_Comp!$B$55:$C$65,2,FALSE))*$C71)</f>
        <v>1.2179407180799998E-6</v>
      </c>
      <c r="V71" s="205">
        <f ca="1">((VLOOKUP(V$59,Tabl_B3_Comp!$B$55:$C$65,2,FALSE))*$C71)</f>
        <v>2.0864722137599998E-5</v>
      </c>
      <c r="W71" s="205">
        <f ca="1">((VLOOKUP(W$59,Tabl_B3_Comp!$B$55:$C$65,2,FALSE))*$C71)</f>
        <v>3.4441766207999996E-6</v>
      </c>
      <c r="X71" s="205">
        <f ca="1">((VLOOKUP(X$59,Tabl_B3_Comp!$B$55:$C$65,2,FALSE))*$C71)</f>
        <v>3.4741259827199996E-5</v>
      </c>
      <c r="Y71" s="205">
        <f ca="1">((VLOOKUP(Y$59,Tabl_B3_Comp!$B$55:$C$65,2,FALSE))*$C71)</f>
        <v>1.6971305087999999E-6</v>
      </c>
    </row>
    <row r="72" spans="1:25">
      <c r="A72" s="153"/>
      <c r="B72" s="267" t="s">
        <v>1561</v>
      </c>
      <c r="C72" s="267"/>
      <c r="D72" s="205">
        <f ca="1">SUM(D61:D71)</f>
        <v>88.593576981671376</v>
      </c>
      <c r="E72" s="205">
        <f t="shared" ref="E72:N72" ca="1" si="18">SUM(E61:E71)</f>
        <v>51.42144677957149</v>
      </c>
      <c r="F72" s="205">
        <f t="shared" ca="1" si="18"/>
        <v>1.0810894533777382</v>
      </c>
      <c r="G72" s="205">
        <f t="shared" ca="1" si="18"/>
        <v>0.4026980771894153</v>
      </c>
      <c r="H72" s="205">
        <f t="shared" ca="1" si="18"/>
        <v>7.1866118390726426</v>
      </c>
      <c r="I72" s="205">
        <f t="shared" ca="1" si="18"/>
        <v>18.245320574197354</v>
      </c>
      <c r="J72" s="205">
        <f t="shared" ca="1" si="18"/>
        <v>3.7791665705468205</v>
      </c>
      <c r="K72" s="205">
        <f t="shared" ca="1" si="18"/>
        <v>64.741460101990612</v>
      </c>
      <c r="L72" s="205">
        <f t="shared" ca="1" si="18"/>
        <v>10.686987433103715</v>
      </c>
      <c r="M72" s="205">
        <f t="shared" ca="1" si="18"/>
        <v>107.79917758608964</v>
      </c>
      <c r="N72" s="205">
        <f t="shared" ca="1" si="18"/>
        <v>5.2660517786308159</v>
      </c>
      <c r="O72" s="206">
        <f t="shared" ref="O72" ca="1" si="19">SUM(O61:O71)</f>
        <v>0.40218984233039046</v>
      </c>
      <c r="P72" s="205">
        <f t="shared" ref="P72" ca="1" si="20">SUM(P61:P71)</f>
        <v>0.23343885953442239</v>
      </c>
      <c r="Q72" s="205">
        <f t="shared" ref="Q72" ca="1" si="21">SUM(Q61:Q71)</f>
        <v>4.9078410829827357E-3</v>
      </c>
      <c r="R72" s="205">
        <f t="shared" ref="R72" ca="1" si="22">SUM(R61:R71)</f>
        <v>1.8281356469563199E-3</v>
      </c>
      <c r="S72" s="205">
        <f t="shared" ref="S72" ca="1" si="23">SUM(S61:S71)</f>
        <v>3.262519000722048E-2</v>
      </c>
      <c r="T72" s="205">
        <f t="shared" ref="T72" ca="1" si="24">SUM(T61:T71)</f>
        <v>8.2828607389020967E-2</v>
      </c>
      <c r="U72" s="205">
        <f t="shared" ref="U72" ca="1" si="25">SUM(U61:U71)</f>
        <v>1.7156349917590085E-2</v>
      </c>
      <c r="V72" s="205">
        <f t="shared" ref="V72" ca="1" si="26">SUM(V61:V71)</f>
        <v>0.29390796170297762</v>
      </c>
      <c r="W72" s="205">
        <f t="shared" ref="W72" ca="1" si="27">SUM(W61:W71)</f>
        <v>4.8515907553840797E-2</v>
      </c>
      <c r="X72" s="205">
        <f t="shared" ref="X72" ca="1" si="28">SUM(X61:X71)</f>
        <v>0.48937785010830726</v>
      </c>
      <c r="Y72" s="205">
        <f t="shared" ref="Y72" ca="1" si="29">SUM(Y61:Y71)</f>
        <v>2.3906389229428806E-2</v>
      </c>
    </row>
    <row r="75" spans="1:25">
      <c r="A75" s="170"/>
      <c r="B75" s="168"/>
      <c r="C75" s="146"/>
    </row>
    <row r="76" spans="1:25">
      <c r="A76" s="146"/>
      <c r="B76" s="167"/>
      <c r="C76" s="146"/>
    </row>
  </sheetData>
  <mergeCells count="3">
    <mergeCell ref="D58:N58"/>
    <mergeCell ref="O58:Y58"/>
    <mergeCell ref="B72:C72"/>
  </mergeCells>
  <phoneticPr fontId="6"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BAE4-CA00-414C-912D-1619AA3AD002}">
  <sheetPr codeName="Sheet12"/>
  <dimension ref="A1:N65"/>
  <sheetViews>
    <sheetView topLeftCell="A5" workbookViewId="0"/>
  </sheetViews>
  <sheetFormatPr baseColWidth="10" defaultColWidth="11" defaultRowHeight="16"/>
  <cols>
    <col min="1" max="1" width="49" customWidth="1"/>
    <col min="2" max="13" width="13" customWidth="1"/>
  </cols>
  <sheetData>
    <row r="1" spans="1:14" ht="19">
      <c r="A1" s="188" t="s">
        <v>1528</v>
      </c>
      <c r="C1" s="44"/>
    </row>
    <row r="2" spans="1:14" ht="19">
      <c r="A2" s="188" t="s">
        <v>1535</v>
      </c>
    </row>
    <row r="4" spans="1:14">
      <c r="B4" s="253" t="s">
        <v>1419</v>
      </c>
      <c r="C4" s="253"/>
      <c r="D4" s="253"/>
      <c r="E4" s="253"/>
      <c r="F4" s="253"/>
      <c r="G4" s="253"/>
      <c r="H4" s="253" t="s">
        <v>1407</v>
      </c>
      <c r="I4" s="253"/>
      <c r="J4" s="253"/>
      <c r="K4" s="253"/>
      <c r="L4" s="253"/>
      <c r="M4" s="253"/>
    </row>
    <row r="5" spans="1:14" ht="34">
      <c r="A5" s="135" t="s">
        <v>1402</v>
      </c>
      <c r="B5" s="135" t="s">
        <v>1349</v>
      </c>
      <c r="C5" s="135" t="s">
        <v>1350</v>
      </c>
      <c r="D5" s="135" t="s">
        <v>1403</v>
      </c>
      <c r="E5" s="135" t="s">
        <v>1404</v>
      </c>
      <c r="F5" s="135" t="s">
        <v>1405</v>
      </c>
      <c r="G5" s="135" t="s">
        <v>1406</v>
      </c>
      <c r="H5" s="135" t="s">
        <v>1349</v>
      </c>
      <c r="I5" s="135" t="s">
        <v>1350</v>
      </c>
      <c r="J5" s="135" t="s">
        <v>1403</v>
      </c>
      <c r="K5" s="135" t="s">
        <v>1404</v>
      </c>
      <c r="L5" s="135" t="s">
        <v>1405</v>
      </c>
      <c r="M5" s="135" t="s">
        <v>1406</v>
      </c>
      <c r="N5" s="135" t="s">
        <v>1420</v>
      </c>
    </row>
    <row r="6" spans="1:14" ht="18" customHeight="1">
      <c r="A6" t="s">
        <v>418</v>
      </c>
      <c r="B6" s="137" t="s">
        <v>1418</v>
      </c>
      <c r="C6" s="137" t="s">
        <v>1418</v>
      </c>
      <c r="D6" s="137" t="s">
        <v>1418</v>
      </c>
      <c r="E6" s="137" t="s">
        <v>1418</v>
      </c>
      <c r="F6" s="137" t="s">
        <v>1418</v>
      </c>
      <c r="G6" s="137" t="s">
        <v>1418</v>
      </c>
      <c r="H6">
        <f>IF(B6="ND",0,B6/1000000)</f>
        <v>0</v>
      </c>
      <c r="I6">
        <f t="shared" ref="I6:M6" si="0">IF(C6="ND",0,C6/1000000)</f>
        <v>0</v>
      </c>
      <c r="J6">
        <f t="shared" si="0"/>
        <v>0</v>
      </c>
      <c r="K6">
        <f t="shared" si="0"/>
        <v>0</v>
      </c>
      <c r="L6">
        <f t="shared" si="0"/>
        <v>0</v>
      </c>
      <c r="M6">
        <f t="shared" si="0"/>
        <v>0</v>
      </c>
      <c r="N6">
        <f>MAXA(H6:M6)</f>
        <v>0</v>
      </c>
    </row>
    <row r="7" spans="1:14" ht="18" customHeight="1">
      <c r="A7" t="s">
        <v>1179</v>
      </c>
      <c r="B7" s="137" t="s">
        <v>1418</v>
      </c>
      <c r="C7" s="137" t="s">
        <v>1418</v>
      </c>
      <c r="D7" s="137" t="s">
        <v>1418</v>
      </c>
      <c r="E7" s="137" t="s">
        <v>1418</v>
      </c>
      <c r="F7" s="137" t="s">
        <v>1418</v>
      </c>
      <c r="G7" s="137" t="s">
        <v>1418</v>
      </c>
      <c r="H7">
        <f t="shared" ref="H7:H47" si="1">IF(B7="ND",0,B7/1000000)</f>
        <v>0</v>
      </c>
      <c r="I7">
        <f t="shared" ref="I7:I47" si="2">IF(C7="ND",0,C7/1000000)</f>
        <v>0</v>
      </c>
      <c r="J7">
        <f t="shared" ref="J7:J47" si="3">IF(D7="ND",0,D7/1000000)</f>
        <v>0</v>
      </c>
      <c r="K7">
        <f t="shared" ref="K7:K47" si="4">IF(E7="ND",0,E7/1000000)</f>
        <v>0</v>
      </c>
      <c r="L7">
        <f t="shared" ref="L7:L47" si="5">IF(F7="ND",0,F7/1000000)</f>
        <v>0</v>
      </c>
      <c r="M7">
        <f t="shared" ref="M7:M47" si="6">IF(G7="ND",0,G7/1000000)</f>
        <v>0</v>
      </c>
      <c r="N7">
        <f t="shared" ref="N7:N47" si="7">MAXA(H7:M7)</f>
        <v>0</v>
      </c>
    </row>
    <row r="8" spans="1:14" ht="18" customHeight="1">
      <c r="A8" t="s">
        <v>69</v>
      </c>
      <c r="B8" s="137" t="s">
        <v>1418</v>
      </c>
      <c r="C8" s="137" t="s">
        <v>1418</v>
      </c>
      <c r="D8" s="137" t="s">
        <v>1418</v>
      </c>
      <c r="E8" s="137" t="s">
        <v>1418</v>
      </c>
      <c r="F8" s="137" t="s">
        <v>1418</v>
      </c>
      <c r="G8" s="137" t="s">
        <v>1418</v>
      </c>
      <c r="H8">
        <f t="shared" si="1"/>
        <v>0</v>
      </c>
      <c r="I8">
        <f t="shared" si="2"/>
        <v>0</v>
      </c>
      <c r="J8">
        <f t="shared" si="3"/>
        <v>0</v>
      </c>
      <c r="K8">
        <f t="shared" si="4"/>
        <v>0</v>
      </c>
      <c r="L8">
        <f t="shared" si="5"/>
        <v>0</v>
      </c>
      <c r="M8">
        <f t="shared" si="6"/>
        <v>0</v>
      </c>
      <c r="N8">
        <f t="shared" si="7"/>
        <v>0</v>
      </c>
    </row>
    <row r="9" spans="1:14" ht="18" customHeight="1">
      <c r="A9" t="s">
        <v>88</v>
      </c>
      <c r="B9" s="137" t="s">
        <v>1418</v>
      </c>
      <c r="C9" s="137" t="s">
        <v>1418</v>
      </c>
      <c r="D9" s="137">
        <v>2860</v>
      </c>
      <c r="E9" s="137" t="s">
        <v>1418</v>
      </c>
      <c r="F9" s="137" t="s">
        <v>1418</v>
      </c>
      <c r="G9" s="137" t="s">
        <v>1418</v>
      </c>
      <c r="H9">
        <f t="shared" si="1"/>
        <v>0</v>
      </c>
      <c r="I9">
        <f t="shared" si="2"/>
        <v>0</v>
      </c>
      <c r="J9" s="138">
        <f t="shared" si="3"/>
        <v>2.8600000000000001E-3</v>
      </c>
      <c r="K9">
        <f t="shared" si="4"/>
        <v>0</v>
      </c>
      <c r="L9">
        <f t="shared" si="5"/>
        <v>0</v>
      </c>
      <c r="M9">
        <f t="shared" si="6"/>
        <v>0</v>
      </c>
      <c r="N9" s="138">
        <f t="shared" si="7"/>
        <v>2.8600000000000001E-3</v>
      </c>
    </row>
    <row r="10" spans="1:14" ht="18" customHeight="1">
      <c r="A10" t="s">
        <v>42</v>
      </c>
      <c r="B10" s="137" t="s">
        <v>1418</v>
      </c>
      <c r="C10" s="137" t="s">
        <v>1418</v>
      </c>
      <c r="D10" s="137" t="s">
        <v>1418</v>
      </c>
      <c r="E10" s="137" t="s">
        <v>1418</v>
      </c>
      <c r="F10" s="137" t="s">
        <v>1418</v>
      </c>
      <c r="G10" s="137" t="s">
        <v>1418</v>
      </c>
      <c r="H10">
        <f t="shared" si="1"/>
        <v>0</v>
      </c>
      <c r="I10">
        <f t="shared" si="2"/>
        <v>0</v>
      </c>
      <c r="J10">
        <f t="shared" si="3"/>
        <v>0</v>
      </c>
      <c r="K10">
        <f t="shared" si="4"/>
        <v>0</v>
      </c>
      <c r="L10">
        <f t="shared" si="5"/>
        <v>0</v>
      </c>
      <c r="M10">
        <f t="shared" si="6"/>
        <v>0</v>
      </c>
      <c r="N10">
        <f t="shared" si="7"/>
        <v>0</v>
      </c>
    </row>
    <row r="11" spans="1:14" ht="18" customHeight="1">
      <c r="A11" t="s">
        <v>45</v>
      </c>
      <c r="B11" s="137" t="s">
        <v>1418</v>
      </c>
      <c r="C11" s="137" t="s">
        <v>1418</v>
      </c>
      <c r="D11" s="137" t="s">
        <v>1418</v>
      </c>
      <c r="E11" s="137" t="s">
        <v>1418</v>
      </c>
      <c r="F11" s="137" t="s">
        <v>1418</v>
      </c>
      <c r="G11" s="137" t="s">
        <v>1418</v>
      </c>
      <c r="H11">
        <f t="shared" si="1"/>
        <v>0</v>
      </c>
      <c r="I11">
        <f t="shared" si="2"/>
        <v>0</v>
      </c>
      <c r="J11">
        <f t="shared" si="3"/>
        <v>0</v>
      </c>
      <c r="K11">
        <f t="shared" si="4"/>
        <v>0</v>
      </c>
      <c r="L11">
        <f t="shared" si="5"/>
        <v>0</v>
      </c>
      <c r="M11">
        <f t="shared" si="6"/>
        <v>0</v>
      </c>
      <c r="N11">
        <f t="shared" si="7"/>
        <v>0</v>
      </c>
    </row>
    <row r="12" spans="1:14" ht="18" customHeight="1">
      <c r="A12" t="s">
        <v>48</v>
      </c>
      <c r="B12" s="137" t="s">
        <v>1418</v>
      </c>
      <c r="C12" s="137" t="s">
        <v>1418</v>
      </c>
      <c r="D12" s="137" t="s">
        <v>1418</v>
      </c>
      <c r="E12" s="137" t="s">
        <v>1418</v>
      </c>
      <c r="F12" s="137" t="s">
        <v>1418</v>
      </c>
      <c r="G12" s="137" t="s">
        <v>1418</v>
      </c>
      <c r="H12">
        <f t="shared" si="1"/>
        <v>0</v>
      </c>
      <c r="I12">
        <f t="shared" si="2"/>
        <v>0</v>
      </c>
      <c r="J12">
        <f t="shared" si="3"/>
        <v>0</v>
      </c>
      <c r="K12">
        <f t="shared" si="4"/>
        <v>0</v>
      </c>
      <c r="L12">
        <f t="shared" si="5"/>
        <v>0</v>
      </c>
      <c r="M12">
        <f t="shared" si="6"/>
        <v>0</v>
      </c>
      <c r="N12">
        <f t="shared" si="7"/>
        <v>0</v>
      </c>
    </row>
    <row r="13" spans="1:14" ht="18" customHeight="1">
      <c r="A13" t="s">
        <v>1408</v>
      </c>
      <c r="B13" s="137" t="s">
        <v>1418</v>
      </c>
      <c r="C13" s="137" t="s">
        <v>1418</v>
      </c>
      <c r="D13" s="137" t="s">
        <v>1418</v>
      </c>
      <c r="E13" s="137" t="s">
        <v>1418</v>
      </c>
      <c r="F13" s="137" t="s">
        <v>1418</v>
      </c>
      <c r="G13" s="137" t="s">
        <v>1418</v>
      </c>
      <c r="H13">
        <f t="shared" si="1"/>
        <v>0</v>
      </c>
      <c r="I13">
        <f t="shared" si="2"/>
        <v>0</v>
      </c>
      <c r="J13">
        <f t="shared" si="3"/>
        <v>0</v>
      </c>
      <c r="K13">
        <f t="shared" si="4"/>
        <v>0</v>
      </c>
      <c r="L13">
        <f t="shared" si="5"/>
        <v>0</v>
      </c>
      <c r="M13">
        <f t="shared" si="6"/>
        <v>0</v>
      </c>
      <c r="N13">
        <f t="shared" si="7"/>
        <v>0</v>
      </c>
    </row>
    <row r="14" spans="1:14" ht="18" customHeight="1">
      <c r="A14" t="s">
        <v>1409</v>
      </c>
      <c r="B14" s="137" t="s">
        <v>1418</v>
      </c>
      <c r="C14" s="137" t="s">
        <v>1418</v>
      </c>
      <c r="D14" s="137" t="s">
        <v>1418</v>
      </c>
      <c r="E14" s="137" t="s">
        <v>1418</v>
      </c>
      <c r="F14" s="137" t="s">
        <v>1418</v>
      </c>
      <c r="G14" s="137" t="s">
        <v>1418</v>
      </c>
      <c r="H14">
        <f t="shared" si="1"/>
        <v>0</v>
      </c>
      <c r="I14">
        <f t="shared" si="2"/>
        <v>0</v>
      </c>
      <c r="J14">
        <f t="shared" si="3"/>
        <v>0</v>
      </c>
      <c r="K14">
        <f t="shared" si="4"/>
        <v>0</v>
      </c>
      <c r="L14">
        <f t="shared" si="5"/>
        <v>0</v>
      </c>
      <c r="M14">
        <f t="shared" si="6"/>
        <v>0</v>
      </c>
      <c r="N14">
        <f t="shared" si="7"/>
        <v>0</v>
      </c>
    </row>
    <row r="15" spans="1:14" ht="18" customHeight="1">
      <c r="A15" t="s">
        <v>1410</v>
      </c>
      <c r="B15" s="137" t="s">
        <v>1418</v>
      </c>
      <c r="C15" s="137" t="s">
        <v>1418</v>
      </c>
      <c r="D15" s="137" t="s">
        <v>1418</v>
      </c>
      <c r="E15" s="137" t="s">
        <v>1418</v>
      </c>
      <c r="F15" s="137" t="s">
        <v>1418</v>
      </c>
      <c r="G15" s="137" t="s">
        <v>1418</v>
      </c>
      <c r="H15">
        <f t="shared" si="1"/>
        <v>0</v>
      </c>
      <c r="I15">
        <f t="shared" si="2"/>
        <v>0</v>
      </c>
      <c r="J15">
        <f t="shared" si="3"/>
        <v>0</v>
      </c>
      <c r="K15">
        <f t="shared" si="4"/>
        <v>0</v>
      </c>
      <c r="L15">
        <f t="shared" si="5"/>
        <v>0</v>
      </c>
      <c r="M15">
        <f t="shared" si="6"/>
        <v>0</v>
      </c>
      <c r="N15">
        <f t="shared" si="7"/>
        <v>0</v>
      </c>
    </row>
    <row r="16" spans="1:14" ht="18" customHeight="1">
      <c r="A16" t="s">
        <v>1411</v>
      </c>
      <c r="B16" s="137" t="s">
        <v>1418</v>
      </c>
      <c r="C16" s="137" t="s">
        <v>1418</v>
      </c>
      <c r="D16" s="137" t="s">
        <v>1418</v>
      </c>
      <c r="E16" s="137" t="s">
        <v>1418</v>
      </c>
      <c r="F16" s="137" t="s">
        <v>1418</v>
      </c>
      <c r="G16" s="137" t="s">
        <v>1418</v>
      </c>
      <c r="H16">
        <f t="shared" si="1"/>
        <v>0</v>
      </c>
      <c r="I16">
        <f t="shared" si="2"/>
        <v>0</v>
      </c>
      <c r="J16">
        <f t="shared" si="3"/>
        <v>0</v>
      </c>
      <c r="K16">
        <f t="shared" si="4"/>
        <v>0</v>
      </c>
      <c r="L16">
        <f t="shared" si="5"/>
        <v>0</v>
      </c>
      <c r="M16">
        <f t="shared" si="6"/>
        <v>0</v>
      </c>
      <c r="N16">
        <f t="shared" si="7"/>
        <v>0</v>
      </c>
    </row>
    <row r="17" spans="1:14" ht="18" customHeight="1">
      <c r="A17" t="s">
        <v>1412</v>
      </c>
      <c r="B17" s="137" t="s">
        <v>1418</v>
      </c>
      <c r="C17" s="137" t="s">
        <v>1418</v>
      </c>
      <c r="D17" s="137" t="s">
        <v>1418</v>
      </c>
      <c r="E17" s="137" t="s">
        <v>1418</v>
      </c>
      <c r="F17" s="137" t="s">
        <v>1418</v>
      </c>
      <c r="G17" s="137" t="s">
        <v>1418</v>
      </c>
      <c r="H17">
        <f t="shared" si="1"/>
        <v>0</v>
      </c>
      <c r="I17">
        <f t="shared" si="2"/>
        <v>0</v>
      </c>
      <c r="J17">
        <f t="shared" si="3"/>
        <v>0</v>
      </c>
      <c r="K17">
        <f t="shared" si="4"/>
        <v>0</v>
      </c>
      <c r="L17">
        <f t="shared" si="5"/>
        <v>0</v>
      </c>
      <c r="M17">
        <f t="shared" si="6"/>
        <v>0</v>
      </c>
      <c r="N17">
        <f t="shared" si="7"/>
        <v>0</v>
      </c>
    </row>
    <row r="18" spans="1:14" ht="18" customHeight="1">
      <c r="A18" t="s">
        <v>73</v>
      </c>
      <c r="B18" s="137" t="s">
        <v>1418</v>
      </c>
      <c r="C18" s="137" t="s">
        <v>1418</v>
      </c>
      <c r="D18" s="137" t="s">
        <v>1418</v>
      </c>
      <c r="E18" s="137" t="s">
        <v>1418</v>
      </c>
      <c r="F18" s="137" t="s">
        <v>1418</v>
      </c>
      <c r="G18" s="137" t="s">
        <v>1418</v>
      </c>
      <c r="H18">
        <f t="shared" si="1"/>
        <v>0</v>
      </c>
      <c r="I18">
        <f t="shared" si="2"/>
        <v>0</v>
      </c>
      <c r="J18">
        <f t="shared" si="3"/>
        <v>0</v>
      </c>
      <c r="K18">
        <f t="shared" si="4"/>
        <v>0</v>
      </c>
      <c r="L18">
        <f t="shared" si="5"/>
        <v>0</v>
      </c>
      <c r="M18">
        <f t="shared" si="6"/>
        <v>0</v>
      </c>
      <c r="N18">
        <f t="shared" si="7"/>
        <v>0</v>
      </c>
    </row>
    <row r="19" spans="1:14" ht="18" customHeight="1">
      <c r="A19" t="s">
        <v>1413</v>
      </c>
      <c r="B19" s="137" t="s">
        <v>1418</v>
      </c>
      <c r="C19" s="137" t="s">
        <v>1418</v>
      </c>
      <c r="D19" s="137" t="s">
        <v>1418</v>
      </c>
      <c r="E19" s="137" t="s">
        <v>1418</v>
      </c>
      <c r="F19" s="137" t="s">
        <v>1418</v>
      </c>
      <c r="G19" s="137" t="s">
        <v>1418</v>
      </c>
      <c r="H19">
        <f t="shared" si="1"/>
        <v>0</v>
      </c>
      <c r="I19">
        <f t="shared" si="2"/>
        <v>0</v>
      </c>
      <c r="J19">
        <f t="shared" si="3"/>
        <v>0</v>
      </c>
      <c r="K19">
        <f t="shared" si="4"/>
        <v>0</v>
      </c>
      <c r="L19">
        <f t="shared" si="5"/>
        <v>0</v>
      </c>
      <c r="M19">
        <f t="shared" si="6"/>
        <v>0</v>
      </c>
      <c r="N19">
        <f t="shared" si="7"/>
        <v>0</v>
      </c>
    </row>
    <row r="20" spans="1:14" ht="18" customHeight="1">
      <c r="A20" t="s">
        <v>79</v>
      </c>
      <c r="B20" s="137" t="s">
        <v>1418</v>
      </c>
      <c r="C20" s="137" t="s">
        <v>1418</v>
      </c>
      <c r="D20" s="137" t="s">
        <v>1418</v>
      </c>
      <c r="E20" s="137" t="s">
        <v>1418</v>
      </c>
      <c r="F20" s="137" t="s">
        <v>1418</v>
      </c>
      <c r="G20" s="137" t="s">
        <v>1418</v>
      </c>
      <c r="H20">
        <f t="shared" si="1"/>
        <v>0</v>
      </c>
      <c r="I20">
        <f t="shared" si="2"/>
        <v>0</v>
      </c>
      <c r="J20">
        <f t="shared" si="3"/>
        <v>0</v>
      </c>
      <c r="K20">
        <f t="shared" si="4"/>
        <v>0</v>
      </c>
      <c r="L20">
        <f t="shared" si="5"/>
        <v>0</v>
      </c>
      <c r="M20">
        <f t="shared" si="6"/>
        <v>0</v>
      </c>
      <c r="N20">
        <f t="shared" si="7"/>
        <v>0</v>
      </c>
    </row>
    <row r="21" spans="1:14" ht="18" customHeight="1">
      <c r="A21" t="s">
        <v>82</v>
      </c>
      <c r="B21" s="137" t="s">
        <v>1418</v>
      </c>
      <c r="C21" s="137" t="s">
        <v>1418</v>
      </c>
      <c r="D21" s="137" t="s">
        <v>1418</v>
      </c>
      <c r="E21" s="137" t="s">
        <v>1418</v>
      </c>
      <c r="F21" s="137" t="s">
        <v>1418</v>
      </c>
      <c r="G21" s="137" t="s">
        <v>1418</v>
      </c>
      <c r="H21">
        <f t="shared" si="1"/>
        <v>0</v>
      </c>
      <c r="I21">
        <f t="shared" si="2"/>
        <v>0</v>
      </c>
      <c r="J21">
        <f t="shared" si="3"/>
        <v>0</v>
      </c>
      <c r="K21">
        <f t="shared" si="4"/>
        <v>0</v>
      </c>
      <c r="L21">
        <f t="shared" si="5"/>
        <v>0</v>
      </c>
      <c r="M21">
        <f t="shared" si="6"/>
        <v>0</v>
      </c>
      <c r="N21">
        <f t="shared" si="7"/>
        <v>0</v>
      </c>
    </row>
    <row r="22" spans="1:14" ht="18" customHeight="1">
      <c r="A22" t="s">
        <v>1414</v>
      </c>
      <c r="B22" s="137" t="s">
        <v>1418</v>
      </c>
      <c r="C22" s="137" t="s">
        <v>1418</v>
      </c>
      <c r="D22" s="137" t="s">
        <v>1418</v>
      </c>
      <c r="E22" s="137" t="s">
        <v>1418</v>
      </c>
      <c r="F22" s="137" t="s">
        <v>1418</v>
      </c>
      <c r="G22" s="137" t="s">
        <v>1418</v>
      </c>
      <c r="H22">
        <f t="shared" si="1"/>
        <v>0</v>
      </c>
      <c r="I22">
        <f t="shared" si="2"/>
        <v>0</v>
      </c>
      <c r="J22">
        <f t="shared" si="3"/>
        <v>0</v>
      </c>
      <c r="K22">
        <f t="shared" si="4"/>
        <v>0</v>
      </c>
      <c r="L22">
        <f t="shared" si="5"/>
        <v>0</v>
      </c>
      <c r="M22">
        <f t="shared" si="6"/>
        <v>0</v>
      </c>
      <c r="N22">
        <f t="shared" si="7"/>
        <v>0</v>
      </c>
    </row>
    <row r="23" spans="1:14" ht="18" customHeight="1">
      <c r="A23" t="s">
        <v>693</v>
      </c>
      <c r="B23" s="137" t="s">
        <v>1418</v>
      </c>
      <c r="C23" s="137" t="s">
        <v>1418</v>
      </c>
      <c r="D23" s="137">
        <v>1660</v>
      </c>
      <c r="E23" s="137" t="s">
        <v>1418</v>
      </c>
      <c r="F23" s="137" t="s">
        <v>1418</v>
      </c>
      <c r="G23" s="137" t="s">
        <v>1418</v>
      </c>
      <c r="H23">
        <f t="shared" si="1"/>
        <v>0</v>
      </c>
      <c r="I23">
        <f t="shared" si="2"/>
        <v>0</v>
      </c>
      <c r="J23" s="138">
        <f t="shared" si="3"/>
        <v>1.66E-3</v>
      </c>
      <c r="K23">
        <f t="shared" si="4"/>
        <v>0</v>
      </c>
      <c r="L23">
        <f t="shared" si="5"/>
        <v>0</v>
      </c>
      <c r="M23">
        <f t="shared" si="6"/>
        <v>0</v>
      </c>
      <c r="N23" s="138">
        <f t="shared" si="7"/>
        <v>1.66E-3</v>
      </c>
    </row>
    <row r="24" spans="1:14" ht="18" customHeight="1">
      <c r="A24" t="s">
        <v>94</v>
      </c>
      <c r="B24" s="137" t="s">
        <v>1418</v>
      </c>
      <c r="C24" s="137" t="s">
        <v>1418</v>
      </c>
      <c r="D24" s="137" t="s">
        <v>1418</v>
      </c>
      <c r="E24" s="137" t="s">
        <v>1418</v>
      </c>
      <c r="F24" s="137" t="s">
        <v>1418</v>
      </c>
      <c r="G24" s="137" t="s">
        <v>1418</v>
      </c>
      <c r="H24">
        <f t="shared" si="1"/>
        <v>0</v>
      </c>
      <c r="I24">
        <f t="shared" si="2"/>
        <v>0</v>
      </c>
      <c r="J24">
        <f t="shared" si="3"/>
        <v>0</v>
      </c>
      <c r="K24">
        <f t="shared" si="4"/>
        <v>0</v>
      </c>
      <c r="L24">
        <f t="shared" si="5"/>
        <v>0</v>
      </c>
      <c r="M24">
        <f t="shared" si="6"/>
        <v>0</v>
      </c>
      <c r="N24">
        <f t="shared" si="7"/>
        <v>0</v>
      </c>
    </row>
    <row r="25" spans="1:14" ht="18" customHeight="1">
      <c r="A25" t="s">
        <v>814</v>
      </c>
      <c r="B25" s="137" t="s">
        <v>1418</v>
      </c>
      <c r="C25" s="137" t="s">
        <v>1418</v>
      </c>
      <c r="D25" s="137" t="s">
        <v>1418</v>
      </c>
      <c r="E25" s="137">
        <v>34.9</v>
      </c>
      <c r="F25" s="137" t="s">
        <v>1418</v>
      </c>
      <c r="G25" s="137" t="s">
        <v>1418</v>
      </c>
      <c r="H25">
        <f t="shared" si="1"/>
        <v>0</v>
      </c>
      <c r="I25">
        <f t="shared" si="2"/>
        <v>0</v>
      </c>
      <c r="J25">
        <f t="shared" si="3"/>
        <v>0</v>
      </c>
      <c r="K25" s="138">
        <f t="shared" si="4"/>
        <v>3.4900000000000001E-5</v>
      </c>
      <c r="L25">
        <f t="shared" si="5"/>
        <v>0</v>
      </c>
      <c r="M25">
        <f t="shared" si="6"/>
        <v>0</v>
      </c>
      <c r="N25" s="138">
        <f t="shared" si="7"/>
        <v>3.4900000000000001E-5</v>
      </c>
    </row>
    <row r="26" spans="1:14" ht="18" customHeight="1">
      <c r="A26" t="s">
        <v>97</v>
      </c>
      <c r="B26" s="137" t="s">
        <v>1418</v>
      </c>
      <c r="C26" s="137" t="s">
        <v>1418</v>
      </c>
      <c r="D26" s="137" t="s">
        <v>1418</v>
      </c>
      <c r="E26" s="137" t="s">
        <v>1418</v>
      </c>
      <c r="F26" s="137" t="s">
        <v>1418</v>
      </c>
      <c r="G26" s="137" t="s">
        <v>1418</v>
      </c>
      <c r="H26">
        <f t="shared" si="1"/>
        <v>0</v>
      </c>
      <c r="I26">
        <f t="shared" si="2"/>
        <v>0</v>
      </c>
      <c r="J26">
        <f t="shared" si="3"/>
        <v>0</v>
      </c>
      <c r="K26">
        <f t="shared" si="4"/>
        <v>0</v>
      </c>
      <c r="L26">
        <f t="shared" si="5"/>
        <v>0</v>
      </c>
      <c r="M26">
        <f t="shared" si="6"/>
        <v>0</v>
      </c>
      <c r="N26">
        <f t="shared" si="7"/>
        <v>0</v>
      </c>
    </row>
    <row r="27" spans="1:14" ht="18" customHeight="1">
      <c r="A27" t="s">
        <v>313</v>
      </c>
      <c r="B27" s="137" t="s">
        <v>1418</v>
      </c>
      <c r="C27" s="137" t="s">
        <v>1418</v>
      </c>
      <c r="D27" s="137" t="s">
        <v>1418</v>
      </c>
      <c r="E27" s="137">
        <v>13</v>
      </c>
      <c r="F27" s="137" t="s">
        <v>1418</v>
      </c>
      <c r="G27" s="137" t="s">
        <v>1418</v>
      </c>
      <c r="H27">
        <f t="shared" si="1"/>
        <v>0</v>
      </c>
      <c r="I27">
        <f t="shared" si="2"/>
        <v>0</v>
      </c>
      <c r="J27">
        <f t="shared" si="3"/>
        <v>0</v>
      </c>
      <c r="K27" s="138">
        <f t="shared" si="4"/>
        <v>1.2999999999999999E-5</v>
      </c>
      <c r="L27">
        <f t="shared" si="5"/>
        <v>0</v>
      </c>
      <c r="M27">
        <f t="shared" si="6"/>
        <v>0</v>
      </c>
      <c r="N27" s="138">
        <f t="shared" si="7"/>
        <v>1.2999999999999999E-5</v>
      </c>
    </row>
    <row r="28" spans="1:14" ht="18" customHeight="1">
      <c r="A28" t="s">
        <v>317</v>
      </c>
      <c r="B28" s="137" t="s">
        <v>1418</v>
      </c>
      <c r="C28" s="137" t="s">
        <v>1418</v>
      </c>
      <c r="D28" s="137" t="s">
        <v>1418</v>
      </c>
      <c r="E28" s="137" t="s">
        <v>1418</v>
      </c>
      <c r="F28" s="137" t="s">
        <v>1418</v>
      </c>
      <c r="G28" s="137" t="s">
        <v>1418</v>
      </c>
      <c r="H28">
        <f t="shared" si="1"/>
        <v>0</v>
      </c>
      <c r="I28">
        <f t="shared" si="2"/>
        <v>0</v>
      </c>
      <c r="J28">
        <f t="shared" si="3"/>
        <v>0</v>
      </c>
      <c r="K28">
        <f t="shared" si="4"/>
        <v>0</v>
      </c>
      <c r="L28">
        <f t="shared" si="5"/>
        <v>0</v>
      </c>
      <c r="M28">
        <f t="shared" si="6"/>
        <v>0</v>
      </c>
      <c r="N28">
        <f t="shared" si="7"/>
        <v>0</v>
      </c>
    </row>
    <row r="29" spans="1:14" ht="18" customHeight="1">
      <c r="A29" t="s">
        <v>1415</v>
      </c>
      <c r="B29" s="137" t="s">
        <v>1418</v>
      </c>
      <c r="C29" s="137" t="s">
        <v>1418</v>
      </c>
      <c r="D29" s="137" t="s">
        <v>1418</v>
      </c>
      <c r="E29" s="137" t="s">
        <v>1418</v>
      </c>
      <c r="F29" s="137" t="s">
        <v>1418</v>
      </c>
      <c r="G29" s="137" t="s">
        <v>1418</v>
      </c>
      <c r="H29">
        <f t="shared" si="1"/>
        <v>0</v>
      </c>
      <c r="I29">
        <f t="shared" si="2"/>
        <v>0</v>
      </c>
      <c r="J29">
        <f t="shared" si="3"/>
        <v>0</v>
      </c>
      <c r="K29">
        <f t="shared" si="4"/>
        <v>0</v>
      </c>
      <c r="L29">
        <f t="shared" si="5"/>
        <v>0</v>
      </c>
      <c r="M29">
        <f t="shared" si="6"/>
        <v>0</v>
      </c>
      <c r="N29">
        <f t="shared" si="7"/>
        <v>0</v>
      </c>
    </row>
    <row r="30" spans="1:14" ht="18" customHeight="1">
      <c r="A30" t="s">
        <v>1421</v>
      </c>
      <c r="B30" s="137" t="s">
        <v>1418</v>
      </c>
      <c r="C30" s="137" t="s">
        <v>1418</v>
      </c>
      <c r="D30" s="137" t="s">
        <v>1418</v>
      </c>
      <c r="E30" s="137" t="s">
        <v>1418</v>
      </c>
      <c r="F30" s="137" t="s">
        <v>1418</v>
      </c>
      <c r="G30" s="137" t="s">
        <v>1418</v>
      </c>
      <c r="H30">
        <f t="shared" ref="H30:H34" si="8">IF(B30="ND",0,B30/1000000)</f>
        <v>0</v>
      </c>
      <c r="I30">
        <f t="shared" ref="I30:I34" si="9">IF(C30="ND",0,C30/1000000)</f>
        <v>0</v>
      </c>
      <c r="J30">
        <f t="shared" ref="J30:J34" si="10">IF(D30="ND",0,D30/1000000)</f>
        <v>0</v>
      </c>
      <c r="K30">
        <f t="shared" ref="K30:K34" si="11">IF(E30="ND",0,E30/1000000)</f>
        <v>0</v>
      </c>
      <c r="L30">
        <f t="shared" ref="L30:L34" si="12">IF(F30="ND",0,F30/1000000)</f>
        <v>0</v>
      </c>
      <c r="M30">
        <f t="shared" ref="M30:M34" si="13">IF(G30="ND",0,G30/1000000)</f>
        <v>0</v>
      </c>
      <c r="N30">
        <f t="shared" ref="N30:N34" si="14">MAXA(H30:M30)</f>
        <v>0</v>
      </c>
    </row>
    <row r="31" spans="1:14" ht="18" customHeight="1">
      <c r="A31" t="s">
        <v>106</v>
      </c>
      <c r="B31" s="137" t="s">
        <v>1418</v>
      </c>
      <c r="C31" s="137" t="s">
        <v>1418</v>
      </c>
      <c r="D31" s="137" t="s">
        <v>1418</v>
      </c>
      <c r="E31" s="137" t="s">
        <v>1418</v>
      </c>
      <c r="F31" s="137" t="s">
        <v>1418</v>
      </c>
      <c r="G31" s="137" t="s">
        <v>1418</v>
      </c>
      <c r="H31">
        <f t="shared" si="8"/>
        <v>0</v>
      </c>
      <c r="I31">
        <f t="shared" si="9"/>
        <v>0</v>
      </c>
      <c r="J31">
        <f t="shared" si="10"/>
        <v>0</v>
      </c>
      <c r="K31">
        <f t="shared" si="11"/>
        <v>0</v>
      </c>
      <c r="L31">
        <f t="shared" si="12"/>
        <v>0</v>
      </c>
      <c r="M31">
        <f t="shared" si="13"/>
        <v>0</v>
      </c>
      <c r="N31">
        <f t="shared" si="14"/>
        <v>0</v>
      </c>
    </row>
    <row r="32" spans="1:14" ht="18" customHeight="1">
      <c r="A32" s="144" t="s">
        <v>1422</v>
      </c>
      <c r="B32" s="137" t="s">
        <v>1418</v>
      </c>
      <c r="C32" s="137" t="s">
        <v>1418</v>
      </c>
      <c r="D32" s="137" t="s">
        <v>1418</v>
      </c>
      <c r="E32" s="137" t="s">
        <v>1418</v>
      </c>
      <c r="F32" s="137" t="s">
        <v>1418</v>
      </c>
      <c r="G32" s="137" t="s">
        <v>1418</v>
      </c>
      <c r="H32">
        <f t="shared" si="8"/>
        <v>0</v>
      </c>
      <c r="I32">
        <f t="shared" si="9"/>
        <v>0</v>
      </c>
      <c r="J32">
        <f t="shared" si="10"/>
        <v>0</v>
      </c>
      <c r="K32">
        <f t="shared" si="11"/>
        <v>0</v>
      </c>
      <c r="L32">
        <f t="shared" si="12"/>
        <v>0</v>
      </c>
      <c r="M32">
        <f t="shared" si="13"/>
        <v>0</v>
      </c>
      <c r="N32">
        <f t="shared" si="14"/>
        <v>0</v>
      </c>
    </row>
    <row r="33" spans="1:14" ht="18" customHeight="1">
      <c r="A33" t="s">
        <v>1423</v>
      </c>
      <c r="B33" s="137" t="s">
        <v>1418</v>
      </c>
      <c r="C33" s="137" t="s">
        <v>1418</v>
      </c>
      <c r="D33" s="137" t="s">
        <v>1418</v>
      </c>
      <c r="E33" s="137" t="s">
        <v>1418</v>
      </c>
      <c r="F33" s="137" t="s">
        <v>1418</v>
      </c>
      <c r="G33" s="137" t="s">
        <v>1418</v>
      </c>
      <c r="H33">
        <f t="shared" si="8"/>
        <v>0</v>
      </c>
      <c r="I33">
        <f t="shared" si="9"/>
        <v>0</v>
      </c>
      <c r="J33">
        <f t="shared" si="10"/>
        <v>0</v>
      </c>
      <c r="K33">
        <f t="shared" si="11"/>
        <v>0</v>
      </c>
      <c r="L33">
        <f t="shared" si="12"/>
        <v>0</v>
      </c>
      <c r="M33">
        <f t="shared" si="13"/>
        <v>0</v>
      </c>
      <c r="N33">
        <f t="shared" si="14"/>
        <v>0</v>
      </c>
    </row>
    <row r="34" spans="1:14" ht="18" customHeight="1">
      <c r="A34" t="s">
        <v>91</v>
      </c>
      <c r="B34" s="137" t="s">
        <v>1418</v>
      </c>
      <c r="C34" s="137" t="s">
        <v>1418</v>
      </c>
      <c r="D34" s="137" t="s">
        <v>1418</v>
      </c>
      <c r="E34" s="137" t="s">
        <v>1418</v>
      </c>
      <c r="F34" s="137" t="s">
        <v>1418</v>
      </c>
      <c r="G34" s="137" t="s">
        <v>1418</v>
      </c>
      <c r="H34">
        <f t="shared" si="8"/>
        <v>0</v>
      </c>
      <c r="I34">
        <f t="shared" si="9"/>
        <v>0</v>
      </c>
      <c r="J34">
        <f t="shared" si="10"/>
        <v>0</v>
      </c>
      <c r="K34">
        <f t="shared" si="11"/>
        <v>0</v>
      </c>
      <c r="L34">
        <f t="shared" si="12"/>
        <v>0</v>
      </c>
      <c r="M34">
        <f t="shared" si="13"/>
        <v>0</v>
      </c>
      <c r="N34">
        <f t="shared" si="14"/>
        <v>0</v>
      </c>
    </row>
    <row r="35" spans="1:14" ht="18" customHeight="1">
      <c r="A35" t="s">
        <v>148</v>
      </c>
      <c r="B35" s="137" t="s">
        <v>1418</v>
      </c>
      <c r="C35" s="137" t="s">
        <v>1418</v>
      </c>
      <c r="D35" s="137">
        <v>232</v>
      </c>
      <c r="E35" s="137" t="s">
        <v>1418</v>
      </c>
      <c r="F35" s="137">
        <v>38.6</v>
      </c>
      <c r="G35" s="137" t="s">
        <v>1418</v>
      </c>
      <c r="H35">
        <f t="shared" si="1"/>
        <v>0</v>
      </c>
      <c r="I35">
        <f t="shared" si="2"/>
        <v>0</v>
      </c>
      <c r="J35" s="138">
        <f t="shared" si="3"/>
        <v>2.32E-4</v>
      </c>
      <c r="K35">
        <f t="shared" si="4"/>
        <v>0</v>
      </c>
      <c r="L35" s="138">
        <f t="shared" si="5"/>
        <v>3.8600000000000003E-5</v>
      </c>
      <c r="M35">
        <f t="shared" si="6"/>
        <v>0</v>
      </c>
      <c r="N35" s="138">
        <f t="shared" si="7"/>
        <v>2.32E-4</v>
      </c>
    </row>
    <row r="36" spans="1:14" ht="18" customHeight="1">
      <c r="A36" t="s">
        <v>499</v>
      </c>
      <c r="B36" s="137" t="s">
        <v>1418</v>
      </c>
      <c r="C36" s="137" t="s">
        <v>1418</v>
      </c>
      <c r="D36" s="137">
        <v>589</v>
      </c>
      <c r="E36" s="137" t="s">
        <v>1418</v>
      </c>
      <c r="F36" s="137">
        <v>148</v>
      </c>
      <c r="G36" s="137" t="s">
        <v>1418</v>
      </c>
      <c r="H36">
        <f t="shared" si="1"/>
        <v>0</v>
      </c>
      <c r="I36">
        <f t="shared" si="2"/>
        <v>0</v>
      </c>
      <c r="J36" s="138">
        <f t="shared" si="3"/>
        <v>5.8900000000000001E-4</v>
      </c>
      <c r="K36">
        <f t="shared" si="4"/>
        <v>0</v>
      </c>
      <c r="L36" s="138">
        <f t="shared" si="5"/>
        <v>1.4799999999999999E-4</v>
      </c>
      <c r="M36">
        <f t="shared" si="6"/>
        <v>0</v>
      </c>
      <c r="N36" s="138">
        <f t="shared" si="7"/>
        <v>5.8900000000000001E-4</v>
      </c>
    </row>
    <row r="37" spans="1:14" ht="18" customHeight="1">
      <c r="A37" t="s">
        <v>605</v>
      </c>
      <c r="B37" s="137" t="s">
        <v>1418</v>
      </c>
      <c r="C37" s="137" t="s">
        <v>1418</v>
      </c>
      <c r="D37" s="137">
        <v>122</v>
      </c>
      <c r="E37" s="137" t="s">
        <v>1418</v>
      </c>
      <c r="F37" s="137" t="s">
        <v>1418</v>
      </c>
      <c r="G37" s="137" t="s">
        <v>1418</v>
      </c>
      <c r="H37">
        <f t="shared" si="1"/>
        <v>0</v>
      </c>
      <c r="I37">
        <f t="shared" si="2"/>
        <v>0</v>
      </c>
      <c r="J37" s="138">
        <f t="shared" si="3"/>
        <v>1.22E-4</v>
      </c>
      <c r="K37">
        <f t="shared" si="4"/>
        <v>0</v>
      </c>
      <c r="L37">
        <f t="shared" si="5"/>
        <v>0</v>
      </c>
      <c r="M37">
        <f t="shared" si="6"/>
        <v>0</v>
      </c>
      <c r="N37" s="138">
        <f t="shared" si="7"/>
        <v>1.22E-4</v>
      </c>
    </row>
    <row r="38" spans="1:14" ht="18" customHeight="1">
      <c r="A38" t="s">
        <v>1416</v>
      </c>
      <c r="B38" s="137" t="s">
        <v>1418</v>
      </c>
      <c r="C38" s="137" t="s">
        <v>1418</v>
      </c>
      <c r="D38" s="137">
        <v>2500</v>
      </c>
      <c r="E38" s="137" t="s">
        <v>1418</v>
      </c>
      <c r="F38" s="137">
        <v>564</v>
      </c>
      <c r="G38" s="137" t="s">
        <v>1418</v>
      </c>
      <c r="H38">
        <f t="shared" si="1"/>
        <v>0</v>
      </c>
      <c r="I38">
        <f t="shared" si="2"/>
        <v>0</v>
      </c>
      <c r="J38" s="138">
        <f t="shared" si="3"/>
        <v>2.5000000000000001E-3</v>
      </c>
      <c r="K38">
        <f t="shared" si="4"/>
        <v>0</v>
      </c>
      <c r="L38" s="138">
        <f t="shared" si="5"/>
        <v>5.6400000000000005E-4</v>
      </c>
      <c r="M38">
        <f t="shared" si="6"/>
        <v>0</v>
      </c>
      <c r="N38" s="138">
        <f t="shared" si="7"/>
        <v>2.5000000000000001E-3</v>
      </c>
    </row>
    <row r="39" spans="1:14" ht="18" customHeight="1">
      <c r="A39" t="s">
        <v>1227</v>
      </c>
      <c r="B39" s="137" t="s">
        <v>1418</v>
      </c>
      <c r="C39" s="137" t="s">
        <v>1418</v>
      </c>
      <c r="D39" s="137">
        <v>1360</v>
      </c>
      <c r="E39" s="137" t="s">
        <v>1418</v>
      </c>
      <c r="F39" s="137">
        <v>251</v>
      </c>
      <c r="G39" s="137" t="s">
        <v>1418</v>
      </c>
      <c r="H39">
        <f t="shared" si="1"/>
        <v>0</v>
      </c>
      <c r="I39">
        <f t="shared" si="2"/>
        <v>0</v>
      </c>
      <c r="J39" s="138">
        <f t="shared" si="3"/>
        <v>1.3600000000000001E-3</v>
      </c>
      <c r="K39">
        <f t="shared" si="4"/>
        <v>0</v>
      </c>
      <c r="L39" s="138">
        <f t="shared" si="5"/>
        <v>2.5099999999999998E-4</v>
      </c>
      <c r="M39">
        <f t="shared" si="6"/>
        <v>0</v>
      </c>
      <c r="N39" s="138">
        <f t="shared" si="7"/>
        <v>1.3600000000000001E-3</v>
      </c>
    </row>
    <row r="40" spans="1:14" ht="18" customHeight="1">
      <c r="A40" t="s">
        <v>1092</v>
      </c>
      <c r="B40" s="137" t="s">
        <v>1418</v>
      </c>
      <c r="C40" s="137" t="s">
        <v>1418</v>
      </c>
      <c r="D40" s="137" t="s">
        <v>1418</v>
      </c>
      <c r="E40" s="137" t="s">
        <v>1418</v>
      </c>
      <c r="F40" s="137" t="s">
        <v>1418</v>
      </c>
      <c r="G40" s="137" t="s">
        <v>1418</v>
      </c>
      <c r="H40">
        <f t="shared" si="1"/>
        <v>0</v>
      </c>
      <c r="I40">
        <f t="shared" si="2"/>
        <v>0</v>
      </c>
      <c r="J40">
        <f t="shared" si="3"/>
        <v>0</v>
      </c>
      <c r="K40">
        <f t="shared" si="4"/>
        <v>0</v>
      </c>
      <c r="L40">
        <f t="shared" si="5"/>
        <v>0</v>
      </c>
      <c r="M40">
        <f t="shared" si="6"/>
        <v>0</v>
      </c>
      <c r="N40">
        <f t="shared" si="7"/>
        <v>0</v>
      </c>
    </row>
    <row r="41" spans="1:14" ht="18" customHeight="1">
      <c r="A41" t="s">
        <v>1129</v>
      </c>
      <c r="B41" s="137" t="s">
        <v>1418</v>
      </c>
      <c r="C41" s="137" t="s">
        <v>1418</v>
      </c>
      <c r="D41" s="137">
        <v>2090</v>
      </c>
      <c r="E41" s="137" t="s">
        <v>1418</v>
      </c>
      <c r="F41" s="137">
        <v>508</v>
      </c>
      <c r="G41" s="137" t="s">
        <v>1418</v>
      </c>
      <c r="H41">
        <f t="shared" si="1"/>
        <v>0</v>
      </c>
      <c r="I41">
        <f t="shared" si="2"/>
        <v>0</v>
      </c>
      <c r="J41" s="138">
        <f t="shared" si="3"/>
        <v>2.0899999999999998E-3</v>
      </c>
      <c r="K41">
        <f t="shared" si="4"/>
        <v>0</v>
      </c>
      <c r="L41" s="138">
        <f t="shared" si="5"/>
        <v>5.0799999999999999E-4</v>
      </c>
      <c r="M41">
        <f t="shared" si="6"/>
        <v>0</v>
      </c>
      <c r="N41" s="138">
        <f t="shared" si="7"/>
        <v>2.0899999999999998E-3</v>
      </c>
    </row>
    <row r="42" spans="1:14" ht="18" customHeight="1">
      <c r="A42" t="s">
        <v>194</v>
      </c>
      <c r="B42" s="137" t="s">
        <v>1418</v>
      </c>
      <c r="C42" s="137" t="s">
        <v>1418</v>
      </c>
      <c r="D42" s="137" t="s">
        <v>1418</v>
      </c>
      <c r="E42" s="137" t="s">
        <v>1418</v>
      </c>
      <c r="F42" s="137" t="s">
        <v>1418</v>
      </c>
      <c r="G42" s="137" t="s">
        <v>1418</v>
      </c>
      <c r="H42">
        <f t="shared" si="1"/>
        <v>0</v>
      </c>
      <c r="I42">
        <f t="shared" si="2"/>
        <v>0</v>
      </c>
      <c r="J42">
        <f t="shared" si="3"/>
        <v>0</v>
      </c>
      <c r="K42">
        <f t="shared" si="4"/>
        <v>0</v>
      </c>
      <c r="L42">
        <f t="shared" si="5"/>
        <v>0</v>
      </c>
      <c r="M42">
        <f t="shared" si="6"/>
        <v>0</v>
      </c>
      <c r="N42">
        <f t="shared" si="7"/>
        <v>0</v>
      </c>
    </row>
    <row r="43" spans="1:14" ht="18" customHeight="1">
      <c r="A43" t="s">
        <v>579</v>
      </c>
      <c r="B43" s="137" t="s">
        <v>1418</v>
      </c>
      <c r="C43" s="137" t="s">
        <v>1418</v>
      </c>
      <c r="D43" s="137">
        <v>345</v>
      </c>
      <c r="E43" s="137" t="s">
        <v>1418</v>
      </c>
      <c r="F43" s="137">
        <v>57</v>
      </c>
      <c r="G43" s="137" t="s">
        <v>1418</v>
      </c>
      <c r="H43">
        <f t="shared" si="1"/>
        <v>0</v>
      </c>
      <c r="I43">
        <f t="shared" si="2"/>
        <v>0</v>
      </c>
      <c r="J43" s="138">
        <f t="shared" si="3"/>
        <v>3.4499999999999998E-4</v>
      </c>
      <c r="K43">
        <f t="shared" si="4"/>
        <v>0</v>
      </c>
      <c r="L43" s="138">
        <f t="shared" si="5"/>
        <v>5.7000000000000003E-5</v>
      </c>
      <c r="M43">
        <f t="shared" si="6"/>
        <v>0</v>
      </c>
      <c r="N43" s="138">
        <f t="shared" si="7"/>
        <v>3.4499999999999998E-4</v>
      </c>
    </row>
    <row r="44" spans="1:14" ht="18" customHeight="1">
      <c r="A44" t="s">
        <v>1417</v>
      </c>
      <c r="B44" s="137" t="s">
        <v>1418</v>
      </c>
      <c r="C44" s="137" t="s">
        <v>1418</v>
      </c>
      <c r="D44" s="137" t="s">
        <v>1418</v>
      </c>
      <c r="E44" s="137" t="s">
        <v>1418</v>
      </c>
      <c r="F44" s="137" t="s">
        <v>1418</v>
      </c>
      <c r="G44" s="137" t="s">
        <v>1418</v>
      </c>
      <c r="H44">
        <f t="shared" si="1"/>
        <v>0</v>
      </c>
      <c r="I44">
        <f t="shared" si="2"/>
        <v>0</v>
      </c>
      <c r="J44">
        <f t="shared" si="3"/>
        <v>0</v>
      </c>
      <c r="K44">
        <f t="shared" si="4"/>
        <v>0</v>
      </c>
      <c r="L44">
        <f t="shared" si="5"/>
        <v>0</v>
      </c>
      <c r="M44">
        <f t="shared" si="6"/>
        <v>0</v>
      </c>
      <c r="N44">
        <f t="shared" si="7"/>
        <v>0</v>
      </c>
    </row>
    <row r="45" spans="1:14" ht="18" customHeight="1">
      <c r="A45" t="s">
        <v>1223</v>
      </c>
      <c r="B45" s="137" t="s">
        <v>1418</v>
      </c>
      <c r="C45" s="137" t="s">
        <v>1418</v>
      </c>
      <c r="D45" s="137">
        <v>3480</v>
      </c>
      <c r="E45" s="137" t="s">
        <v>1418</v>
      </c>
      <c r="F45" s="137">
        <v>815</v>
      </c>
      <c r="G45" s="137" t="s">
        <v>1418</v>
      </c>
      <c r="H45">
        <f t="shared" si="1"/>
        <v>0</v>
      </c>
      <c r="I45">
        <f t="shared" si="2"/>
        <v>0</v>
      </c>
      <c r="J45" s="138">
        <f t="shared" si="3"/>
        <v>3.48E-3</v>
      </c>
      <c r="K45">
        <f t="shared" si="4"/>
        <v>0</v>
      </c>
      <c r="L45" s="138">
        <f t="shared" si="5"/>
        <v>8.1499999999999997E-4</v>
      </c>
      <c r="M45">
        <f t="shared" si="6"/>
        <v>0</v>
      </c>
      <c r="N45" s="138">
        <f t="shared" si="7"/>
        <v>3.48E-3</v>
      </c>
    </row>
    <row r="46" spans="1:14" ht="18" customHeight="1">
      <c r="A46" t="s">
        <v>1199</v>
      </c>
      <c r="B46" s="137" t="s">
        <v>1418</v>
      </c>
      <c r="C46" s="137" t="s">
        <v>1418</v>
      </c>
      <c r="D46" s="137" t="s">
        <v>1418</v>
      </c>
      <c r="E46" s="137" t="s">
        <v>1418</v>
      </c>
      <c r="F46" s="137" t="s">
        <v>1418</v>
      </c>
      <c r="G46" s="137" t="s">
        <v>1418</v>
      </c>
      <c r="H46">
        <f t="shared" ref="H46" si="15">IF(B46="ND",0,B46/1000000)</f>
        <v>0</v>
      </c>
      <c r="I46">
        <f t="shared" ref="I46" si="16">IF(C46="ND",0,C46/1000000)</f>
        <v>0</v>
      </c>
      <c r="J46" s="138">
        <f t="shared" ref="J46" si="17">IF(D46="ND",0,D46/1000000)</f>
        <v>0</v>
      </c>
      <c r="K46">
        <f t="shared" ref="K46" si="18">IF(E46="ND",0,E46/1000000)</f>
        <v>0</v>
      </c>
      <c r="L46" s="138">
        <f t="shared" ref="L46" si="19">IF(F46="ND",0,F46/1000000)</f>
        <v>0</v>
      </c>
      <c r="M46">
        <f t="shared" ref="M46" si="20">IF(G46="ND",0,G46/1000000)</f>
        <v>0</v>
      </c>
      <c r="N46" s="145">
        <f t="shared" ref="N46" si="21">MAXA(H46:M46)</f>
        <v>0</v>
      </c>
    </row>
    <row r="47" spans="1:14" ht="18" customHeight="1">
      <c r="A47" t="s">
        <v>591</v>
      </c>
      <c r="B47" s="137" t="s">
        <v>1418</v>
      </c>
      <c r="C47" s="137" t="s">
        <v>1418</v>
      </c>
      <c r="D47" s="137">
        <v>170</v>
      </c>
      <c r="E47" s="137" t="s">
        <v>1418</v>
      </c>
      <c r="F47" s="137" t="s">
        <v>1418</v>
      </c>
      <c r="G47" s="137" t="s">
        <v>1418</v>
      </c>
      <c r="H47">
        <f t="shared" si="1"/>
        <v>0</v>
      </c>
      <c r="I47">
        <f t="shared" si="2"/>
        <v>0</v>
      </c>
      <c r="J47" s="138">
        <f t="shared" si="3"/>
        <v>1.7000000000000001E-4</v>
      </c>
      <c r="K47">
        <f t="shared" si="4"/>
        <v>0</v>
      </c>
      <c r="L47">
        <f t="shared" si="5"/>
        <v>0</v>
      </c>
      <c r="M47">
        <f t="shared" si="6"/>
        <v>0</v>
      </c>
      <c r="N47" s="138">
        <f t="shared" si="7"/>
        <v>1.7000000000000001E-4</v>
      </c>
    </row>
    <row r="48" spans="1:14" ht="18" customHeight="1">
      <c r="B48" s="140"/>
      <c r="C48" s="140"/>
      <c r="D48" s="140"/>
      <c r="E48" s="140"/>
      <c r="F48" s="140"/>
      <c r="G48" s="140"/>
      <c r="J48" s="138"/>
      <c r="N48" s="138"/>
    </row>
    <row r="49" spans="1:9">
      <c r="A49" t="s">
        <v>1425</v>
      </c>
    </row>
    <row r="50" spans="1:9">
      <c r="A50" t="s">
        <v>1426</v>
      </c>
    </row>
    <row r="52" spans="1:9">
      <c r="A52" s="146" t="s">
        <v>1424</v>
      </c>
    </row>
    <row r="54" spans="1:9" ht="17">
      <c r="A54" s="136" t="s">
        <v>1402</v>
      </c>
      <c r="B54" s="139" t="s">
        <v>24</v>
      </c>
      <c r="C54" s="136" t="s">
        <v>1407</v>
      </c>
      <c r="D54" s="136"/>
      <c r="E54" s="136"/>
      <c r="F54" s="136"/>
      <c r="G54" s="136"/>
      <c r="H54" s="136"/>
      <c r="I54" s="136"/>
    </row>
    <row r="55" spans="1:9">
      <c r="A55" t="s">
        <v>88</v>
      </c>
      <c r="B55" t="s">
        <v>998</v>
      </c>
      <c r="C55" s="138">
        <f>VLOOKUP(A55,$A$6:$N$47,14,FALSE)</f>
        <v>2.8600000000000001E-3</v>
      </c>
    </row>
    <row r="56" spans="1:9">
      <c r="A56" t="s">
        <v>693</v>
      </c>
      <c r="B56" t="s">
        <v>692</v>
      </c>
      <c r="C56" s="138">
        <f t="shared" ref="C56:C65" si="22">VLOOKUP(A56,$A$6:$N$47,14,FALSE)</f>
        <v>1.66E-3</v>
      </c>
    </row>
    <row r="57" spans="1:9">
      <c r="A57" t="s">
        <v>814</v>
      </c>
      <c r="B57" t="s">
        <v>813</v>
      </c>
      <c r="C57" s="138">
        <f t="shared" si="22"/>
        <v>3.4900000000000001E-5</v>
      </c>
    </row>
    <row r="58" spans="1:9">
      <c r="A58" t="s">
        <v>313</v>
      </c>
      <c r="B58" t="s">
        <v>312</v>
      </c>
      <c r="C58" s="138">
        <f t="shared" si="22"/>
        <v>1.2999999999999999E-5</v>
      </c>
    </row>
    <row r="59" spans="1:9">
      <c r="A59" t="s">
        <v>148</v>
      </c>
      <c r="B59" t="s">
        <v>147</v>
      </c>
      <c r="C59" s="138">
        <f t="shared" si="22"/>
        <v>2.32E-4</v>
      </c>
    </row>
    <row r="60" spans="1:9">
      <c r="A60" t="s">
        <v>499</v>
      </c>
      <c r="B60" t="s">
        <v>498</v>
      </c>
      <c r="C60" s="138">
        <f t="shared" si="22"/>
        <v>5.8900000000000001E-4</v>
      </c>
    </row>
    <row r="61" spans="1:9">
      <c r="A61" t="s">
        <v>605</v>
      </c>
      <c r="B61" t="s">
        <v>604</v>
      </c>
      <c r="C61" s="138">
        <f t="shared" si="22"/>
        <v>1.22E-4</v>
      </c>
    </row>
    <row r="62" spans="1:9">
      <c r="A62" t="s">
        <v>1129</v>
      </c>
      <c r="B62" t="s">
        <v>1128</v>
      </c>
      <c r="C62" s="138">
        <f t="shared" si="22"/>
        <v>2.0899999999999998E-3</v>
      </c>
    </row>
    <row r="63" spans="1:9">
      <c r="A63" t="s">
        <v>579</v>
      </c>
      <c r="B63" t="s">
        <v>578</v>
      </c>
      <c r="C63" s="138">
        <f t="shared" si="22"/>
        <v>3.4499999999999998E-4</v>
      </c>
    </row>
    <row r="64" spans="1:9">
      <c r="A64" t="s">
        <v>1223</v>
      </c>
      <c r="B64" t="s">
        <v>1222</v>
      </c>
      <c r="C64" s="138">
        <f t="shared" si="22"/>
        <v>3.48E-3</v>
      </c>
    </row>
    <row r="65" spans="1:3">
      <c r="A65" t="s">
        <v>591</v>
      </c>
      <c r="B65" t="s">
        <v>590</v>
      </c>
      <c r="C65" s="138">
        <f t="shared" si="22"/>
        <v>1.7000000000000001E-4</v>
      </c>
    </row>
  </sheetData>
  <mergeCells count="2">
    <mergeCell ref="B4:G4"/>
    <mergeCell ref="H4:M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E708A-4C2B-794A-B9E0-57C44A1ED957}">
  <sheetPr codeName="Sheet4"/>
  <dimension ref="A1:AA42"/>
  <sheetViews>
    <sheetView topLeftCell="A19" workbookViewId="0">
      <selection activeCell="C35" sqref="C35"/>
    </sheetView>
  </sheetViews>
  <sheetFormatPr baseColWidth="10" defaultColWidth="11" defaultRowHeight="16"/>
  <cols>
    <col min="1" max="1" width="23.33203125" customWidth="1"/>
    <col min="2" max="2" width="11.83203125" customWidth="1"/>
    <col min="3" max="4" width="15.1640625" customWidth="1"/>
    <col min="5" max="26" width="12.1640625" customWidth="1"/>
  </cols>
  <sheetData>
    <row r="1" spans="1:27" ht="19">
      <c r="A1" s="188" t="s">
        <v>1528</v>
      </c>
      <c r="E1" s="44"/>
    </row>
    <row r="2" spans="1:27" ht="19">
      <c r="A2" s="188" t="s">
        <v>1539</v>
      </c>
    </row>
    <row r="4" spans="1:27">
      <c r="F4" s="253" t="s">
        <v>1325</v>
      </c>
      <c r="G4" s="253"/>
      <c r="H4" s="253"/>
      <c r="I4" s="253"/>
      <c r="J4" s="253"/>
      <c r="K4" s="253"/>
      <c r="L4" s="253"/>
      <c r="M4" s="253"/>
      <c r="N4" s="253"/>
      <c r="O4" s="253"/>
      <c r="P4" s="264"/>
      <c r="Q4" s="265" t="s">
        <v>1326</v>
      </c>
      <c r="R4" s="266"/>
      <c r="S4" s="266"/>
      <c r="T4" s="266"/>
      <c r="U4" s="266"/>
      <c r="V4" s="266"/>
      <c r="W4" s="266"/>
      <c r="X4" s="266"/>
      <c r="Y4" s="266"/>
      <c r="Z4" s="266"/>
      <c r="AA4" s="266"/>
    </row>
    <row r="5" spans="1:27">
      <c r="F5" s="127" t="s">
        <v>998</v>
      </c>
      <c r="G5" s="127" t="s">
        <v>692</v>
      </c>
      <c r="H5" s="127" t="s">
        <v>813</v>
      </c>
      <c r="I5" s="127" t="s">
        <v>312</v>
      </c>
      <c r="J5" s="127" t="s">
        <v>147</v>
      </c>
      <c r="K5" s="127" t="s">
        <v>498</v>
      </c>
      <c r="L5" s="127" t="s">
        <v>604</v>
      </c>
      <c r="M5" s="127" t="s">
        <v>1128</v>
      </c>
      <c r="N5" s="127" t="s">
        <v>578</v>
      </c>
      <c r="O5" s="140" t="s">
        <v>1222</v>
      </c>
      <c r="P5" s="127" t="s">
        <v>590</v>
      </c>
      <c r="Q5" s="129" t="s">
        <v>998</v>
      </c>
      <c r="R5" s="130" t="s">
        <v>692</v>
      </c>
      <c r="S5" s="130" t="s">
        <v>813</v>
      </c>
      <c r="T5" s="130" t="s">
        <v>312</v>
      </c>
      <c r="U5" s="130" t="s">
        <v>147</v>
      </c>
      <c r="V5" s="130" t="s">
        <v>498</v>
      </c>
      <c r="W5" s="130" t="s">
        <v>604</v>
      </c>
      <c r="X5" s="130" t="s">
        <v>1128</v>
      </c>
      <c r="Y5" s="130" t="s">
        <v>578</v>
      </c>
      <c r="Z5" s="143" t="s">
        <v>1222</v>
      </c>
      <c r="AA5" s="130" t="s">
        <v>590</v>
      </c>
    </row>
    <row r="6" spans="1:27" ht="102">
      <c r="A6" s="204" t="s">
        <v>1</v>
      </c>
      <c r="B6" s="41" t="s">
        <v>1556</v>
      </c>
      <c r="C6" s="41" t="s">
        <v>1328</v>
      </c>
      <c r="D6" s="41" t="s">
        <v>1294</v>
      </c>
      <c r="E6" s="41" t="s">
        <v>1400</v>
      </c>
      <c r="F6" s="126" t="s">
        <v>88</v>
      </c>
      <c r="G6" s="126" t="s">
        <v>693</v>
      </c>
      <c r="H6" s="126" t="s">
        <v>814</v>
      </c>
      <c r="I6" s="126" t="s">
        <v>313</v>
      </c>
      <c r="J6" s="126" t="s">
        <v>148</v>
      </c>
      <c r="K6" s="126" t="s">
        <v>499</v>
      </c>
      <c r="L6" s="126" t="s">
        <v>605</v>
      </c>
      <c r="M6" s="126" t="s">
        <v>1129</v>
      </c>
      <c r="N6" s="126" t="s">
        <v>579</v>
      </c>
      <c r="O6" s="139" t="s">
        <v>1223</v>
      </c>
      <c r="P6" s="126" t="s">
        <v>591</v>
      </c>
      <c r="Q6" s="42" t="s">
        <v>88</v>
      </c>
      <c r="R6" s="128" t="s">
        <v>693</v>
      </c>
      <c r="S6" s="128" t="s">
        <v>814</v>
      </c>
      <c r="T6" s="128" t="s">
        <v>313</v>
      </c>
      <c r="U6" s="128" t="s">
        <v>148</v>
      </c>
      <c r="V6" s="128" t="s">
        <v>499</v>
      </c>
      <c r="W6" s="128" t="s">
        <v>605</v>
      </c>
      <c r="X6" s="128" t="s">
        <v>1129</v>
      </c>
      <c r="Y6" s="128" t="s">
        <v>579</v>
      </c>
      <c r="Z6" s="141" t="s">
        <v>1223</v>
      </c>
      <c r="AA6" s="128" t="s">
        <v>591</v>
      </c>
    </row>
    <row r="7" spans="1:27">
      <c r="A7" s="269" t="s">
        <v>1557</v>
      </c>
      <c r="B7" t="s">
        <v>1295</v>
      </c>
      <c r="C7" s="40">
        <v>62.437371583144724</v>
      </c>
      <c r="D7" s="13">
        <v>0.1710612920086157</v>
      </c>
      <c r="E7" s="133">
        <v>0</v>
      </c>
      <c r="F7" s="205">
        <f>((VLOOKUP(F$5,Tabl_B3_Comp!$B$55:$C$65,2,FALSE))*$C7)</f>
        <v>0.17857088272779392</v>
      </c>
      <c r="G7" s="205">
        <f>((VLOOKUP(G$5,Tabl_B3_Comp!$B$55:$C$65,2,FALSE))*$C7)</f>
        <v>0.10364603682802025</v>
      </c>
      <c r="H7" s="205">
        <f>((VLOOKUP(H$5,Tabl_B3_Comp!$B$55:$C$65,2,FALSE))*$C7)</f>
        <v>2.1790642682517508E-3</v>
      </c>
      <c r="I7" s="205">
        <f>((VLOOKUP(I$5,Tabl_B3_Comp!$B$55:$C$65,2,FALSE))*$C7)</f>
        <v>8.1168583058088134E-4</v>
      </c>
      <c r="J7" s="205">
        <f>((VLOOKUP(J$5,Tabl_B3_Comp!$B$55:$C$65,2,FALSE))*$C7)</f>
        <v>1.4485470207289576E-2</v>
      </c>
      <c r="K7" s="205">
        <f>((VLOOKUP(K$5,Tabl_B3_Comp!$B$55:$C$65,2,FALSE))*$C7)</f>
        <v>3.6775611862472246E-2</v>
      </c>
      <c r="L7" s="205">
        <f>((VLOOKUP(L$5,Tabl_B3_Comp!$B$55:$C$65,2,FALSE))*$C7)</f>
        <v>7.6173593331436565E-3</v>
      </c>
      <c r="M7" s="205">
        <f>((VLOOKUP(M$5,Tabl_B3_Comp!$B$55:$C$65,2,FALSE))*$C7)</f>
        <v>0.13049410660877248</v>
      </c>
      <c r="N7" s="205">
        <f>((VLOOKUP(N$5,Tabl_B3_Comp!$B$55:$C$65,2,FALSE))*$C7)</f>
        <v>2.1540893196184928E-2</v>
      </c>
      <c r="O7" s="205">
        <f>((VLOOKUP(O$5,Tabl_B3_Comp!$B$55:$C$65,2,FALSE))*$C7)</f>
        <v>0.21728205310934365</v>
      </c>
      <c r="P7" s="205">
        <f>((VLOOKUP(P$5,Tabl_B3_Comp!$B$55:$C$65,2,FALSE))*$C7)</f>
        <v>1.0614353169134604E-2</v>
      </c>
      <c r="Q7" s="206">
        <f>((VLOOKUP(Q$5,Tabl_B3_Comp!$B$55:$C$65,2,FALSE))*$D7)</f>
        <v>4.8923529514464091E-4</v>
      </c>
      <c r="R7" s="205">
        <f>((VLOOKUP(R$5,Tabl_B3_Comp!$B$55:$C$65,2,FALSE))*$D7)</f>
        <v>2.8396174473430206E-4</v>
      </c>
      <c r="S7" s="205">
        <f>((VLOOKUP(S$5,Tabl_B3_Comp!$B$55:$C$65,2,FALSE))*$D7)</f>
        <v>5.9700390911006877E-6</v>
      </c>
      <c r="T7" s="205">
        <f>((VLOOKUP(T$5,Tabl_B3_Comp!$B$55:$C$65,2,FALSE))*$D7)</f>
        <v>2.223796796112004E-6</v>
      </c>
      <c r="U7" s="205">
        <f>((VLOOKUP(U$5,Tabl_B3_Comp!$B$55:$C$65,2,FALSE))*$D7)</f>
        <v>3.9686219745998842E-5</v>
      </c>
      <c r="V7" s="205">
        <f>((VLOOKUP(V$5,Tabl_B3_Comp!$B$55:$C$65,2,FALSE))*$D7)</f>
        <v>1.0075510099307464E-4</v>
      </c>
      <c r="W7" s="205">
        <f>((VLOOKUP(W$5,Tabl_B3_Comp!$B$55:$C$65,2,FALSE))*$D7)</f>
        <v>2.0869477625051115E-5</v>
      </c>
      <c r="X7" s="205">
        <f>((VLOOKUP(X$5,Tabl_B3_Comp!$B$55:$C$65,2,FALSE))*$D7)</f>
        <v>3.575181002980068E-4</v>
      </c>
      <c r="Y7" s="205">
        <f>((VLOOKUP(Y$5,Tabl_B3_Comp!$B$55:$C$65,2,FALSE))*$D7)</f>
        <v>5.9016145742972411E-5</v>
      </c>
      <c r="Z7" s="205">
        <f>((VLOOKUP(Z$5,Tabl_B3_Comp!$B$55:$C$65,2,FALSE))*$D7)</f>
        <v>5.9529329618998258E-4</v>
      </c>
      <c r="AA7" s="205">
        <f>((VLOOKUP(AA$5,Tabl_B3_Comp!$B$55:$C$65,2,FALSE))*$D7)</f>
        <v>2.908041964146467E-5</v>
      </c>
    </row>
    <row r="8" spans="1:27">
      <c r="A8" s="269"/>
      <c r="B8" t="s">
        <v>1296</v>
      </c>
      <c r="C8" s="40">
        <v>62.437371583144724</v>
      </c>
      <c r="D8" s="13">
        <v>0.1710612920086157</v>
      </c>
      <c r="E8" s="133">
        <v>0</v>
      </c>
      <c r="F8" s="205">
        <f>((VLOOKUP(F$5,Tabl_B3_Comp!$B$55:$C$65,2,FALSE))*$C8)</f>
        <v>0.17857088272779392</v>
      </c>
      <c r="G8" s="205">
        <f>((VLOOKUP(G$5,Tabl_B3_Comp!$B$55:$C$65,2,FALSE))*$C8)</f>
        <v>0.10364603682802025</v>
      </c>
      <c r="H8" s="205">
        <f>((VLOOKUP(H$5,Tabl_B3_Comp!$B$55:$C$65,2,FALSE))*$C8)</f>
        <v>2.1790642682517508E-3</v>
      </c>
      <c r="I8" s="205">
        <f>((VLOOKUP(I$5,Tabl_B3_Comp!$B$55:$C$65,2,FALSE))*$C8)</f>
        <v>8.1168583058088134E-4</v>
      </c>
      <c r="J8" s="205">
        <f>((VLOOKUP(J$5,Tabl_B3_Comp!$B$55:$C$65,2,FALSE))*$C8)</f>
        <v>1.4485470207289576E-2</v>
      </c>
      <c r="K8" s="205">
        <f>((VLOOKUP(K$5,Tabl_B3_Comp!$B$55:$C$65,2,FALSE))*$C8)</f>
        <v>3.6775611862472246E-2</v>
      </c>
      <c r="L8" s="205">
        <f>((VLOOKUP(L$5,Tabl_B3_Comp!$B$55:$C$65,2,FALSE))*$C8)</f>
        <v>7.6173593331436565E-3</v>
      </c>
      <c r="M8" s="205">
        <f>((VLOOKUP(M$5,Tabl_B3_Comp!$B$55:$C$65,2,FALSE))*$C8)</f>
        <v>0.13049410660877248</v>
      </c>
      <c r="N8" s="205">
        <f>((VLOOKUP(N$5,Tabl_B3_Comp!$B$55:$C$65,2,FALSE))*$C8)</f>
        <v>2.1540893196184928E-2</v>
      </c>
      <c r="O8" s="205">
        <f>((VLOOKUP(O$5,Tabl_B3_Comp!$B$55:$C$65,2,FALSE))*$C8)</f>
        <v>0.21728205310934365</v>
      </c>
      <c r="P8" s="205">
        <f>((VLOOKUP(P$5,Tabl_B3_Comp!$B$55:$C$65,2,FALSE))*$C8)</f>
        <v>1.0614353169134604E-2</v>
      </c>
      <c r="Q8" s="206">
        <f>((VLOOKUP(Q$5,Tabl_B3_Comp!$B$55:$C$65,2,FALSE))*$D8)</f>
        <v>4.8923529514464091E-4</v>
      </c>
      <c r="R8" s="205">
        <f>((VLOOKUP(R$5,Tabl_B3_Comp!$B$55:$C$65,2,FALSE))*$D8)</f>
        <v>2.8396174473430206E-4</v>
      </c>
      <c r="S8" s="205">
        <f>((VLOOKUP(S$5,Tabl_B3_Comp!$B$55:$C$65,2,FALSE))*$D8)</f>
        <v>5.9700390911006877E-6</v>
      </c>
      <c r="T8" s="205">
        <f>((VLOOKUP(T$5,Tabl_B3_Comp!$B$55:$C$65,2,FALSE))*$D8)</f>
        <v>2.223796796112004E-6</v>
      </c>
      <c r="U8" s="205">
        <f>((VLOOKUP(U$5,Tabl_B3_Comp!$B$55:$C$65,2,FALSE))*$D8)</f>
        <v>3.9686219745998842E-5</v>
      </c>
      <c r="V8" s="205">
        <f>((VLOOKUP(V$5,Tabl_B3_Comp!$B$55:$C$65,2,FALSE))*$D8)</f>
        <v>1.0075510099307464E-4</v>
      </c>
      <c r="W8" s="205">
        <f>((VLOOKUP(W$5,Tabl_B3_Comp!$B$55:$C$65,2,FALSE))*$D8)</f>
        <v>2.0869477625051115E-5</v>
      </c>
      <c r="X8" s="205">
        <f>((VLOOKUP(X$5,Tabl_B3_Comp!$B$55:$C$65,2,FALSE))*$D8)</f>
        <v>3.575181002980068E-4</v>
      </c>
      <c r="Y8" s="205">
        <f>((VLOOKUP(Y$5,Tabl_B3_Comp!$B$55:$C$65,2,FALSE))*$D8)</f>
        <v>5.9016145742972411E-5</v>
      </c>
      <c r="Z8" s="205">
        <f>((VLOOKUP(Z$5,Tabl_B3_Comp!$B$55:$C$65,2,FALSE))*$D8)</f>
        <v>5.9529329618998258E-4</v>
      </c>
      <c r="AA8" s="205">
        <f>((VLOOKUP(AA$5,Tabl_B3_Comp!$B$55:$C$65,2,FALSE))*$D8)</f>
        <v>2.908041964146467E-5</v>
      </c>
    </row>
    <row r="9" spans="1:27">
      <c r="A9" s="269"/>
      <c r="B9" t="s">
        <v>1297</v>
      </c>
      <c r="C9" s="40">
        <v>75.956808385889872</v>
      </c>
      <c r="D9" s="13">
        <v>0.20810084489284897</v>
      </c>
      <c r="E9" s="133">
        <v>0</v>
      </c>
      <c r="F9" s="205">
        <f>((VLOOKUP(F$5,Tabl_B3_Comp!$B$55:$C$65,2,FALSE))*$C9)</f>
        <v>0.21723647198364504</v>
      </c>
      <c r="G9" s="205">
        <f>((VLOOKUP(G$5,Tabl_B3_Comp!$B$55:$C$65,2,FALSE))*$C9)</f>
        <v>0.12608830192057718</v>
      </c>
      <c r="H9" s="205">
        <f>((VLOOKUP(H$5,Tabl_B3_Comp!$B$55:$C$65,2,FALSE))*$C9)</f>
        <v>2.6508926126675566E-3</v>
      </c>
      <c r="I9" s="205">
        <f>((VLOOKUP(I$5,Tabl_B3_Comp!$B$55:$C$65,2,FALSE))*$C9)</f>
        <v>9.8743850901656825E-4</v>
      </c>
      <c r="J9" s="205">
        <f>((VLOOKUP(J$5,Tabl_B3_Comp!$B$55:$C$65,2,FALSE))*$C9)</f>
        <v>1.762197954552645E-2</v>
      </c>
      <c r="K9" s="205">
        <f>((VLOOKUP(K$5,Tabl_B3_Comp!$B$55:$C$65,2,FALSE))*$C9)</f>
        <v>4.4738560139289132E-2</v>
      </c>
      <c r="L9" s="205">
        <f>((VLOOKUP(L$5,Tabl_B3_Comp!$B$55:$C$65,2,FALSE))*$C9)</f>
        <v>9.2667306230785635E-3</v>
      </c>
      <c r="M9" s="205">
        <f>((VLOOKUP(M$5,Tabl_B3_Comp!$B$55:$C$65,2,FALSE))*$C9)</f>
        <v>0.15874972952650981</v>
      </c>
      <c r="N9" s="205">
        <f>((VLOOKUP(N$5,Tabl_B3_Comp!$B$55:$C$65,2,FALSE))*$C9)</f>
        <v>2.6205098893132005E-2</v>
      </c>
      <c r="O9" s="205">
        <f>((VLOOKUP(O$5,Tabl_B3_Comp!$B$55:$C$65,2,FALSE))*$C9)</f>
        <v>0.26432969318289673</v>
      </c>
      <c r="P9" s="205">
        <f>((VLOOKUP(P$5,Tabl_B3_Comp!$B$55:$C$65,2,FALSE))*$C9)</f>
        <v>1.2912657425601279E-2</v>
      </c>
      <c r="Q9" s="206">
        <f>((VLOOKUP(Q$5,Tabl_B3_Comp!$B$55:$C$65,2,FALSE))*$D9)</f>
        <v>5.9516841639354809E-4</v>
      </c>
      <c r="R9" s="205">
        <f>((VLOOKUP(R$5,Tabl_B3_Comp!$B$55:$C$65,2,FALSE))*$D9)</f>
        <v>3.4544740252212932E-4</v>
      </c>
      <c r="S9" s="205">
        <f>((VLOOKUP(S$5,Tabl_B3_Comp!$B$55:$C$65,2,FALSE))*$D9)</f>
        <v>7.2627194867604294E-6</v>
      </c>
      <c r="T9" s="205">
        <f>((VLOOKUP(T$5,Tabl_B3_Comp!$B$55:$C$65,2,FALSE))*$D9)</f>
        <v>2.7053109836070366E-6</v>
      </c>
      <c r="U9" s="205">
        <f>((VLOOKUP(U$5,Tabl_B3_Comp!$B$55:$C$65,2,FALSE))*$D9)</f>
        <v>4.8279396015140964E-5</v>
      </c>
      <c r="V9" s="205">
        <f>((VLOOKUP(V$5,Tabl_B3_Comp!$B$55:$C$65,2,FALSE))*$D9)</f>
        <v>1.2257139764188803E-4</v>
      </c>
      <c r="W9" s="205">
        <f>((VLOOKUP(W$5,Tabl_B3_Comp!$B$55:$C$65,2,FALSE))*$D9)</f>
        <v>2.5388303076927573E-5</v>
      </c>
      <c r="X9" s="205">
        <f>((VLOOKUP(X$5,Tabl_B3_Comp!$B$55:$C$65,2,FALSE))*$D9)</f>
        <v>4.349307658260543E-4</v>
      </c>
      <c r="Y9" s="205">
        <f>((VLOOKUP(Y$5,Tabl_B3_Comp!$B$55:$C$65,2,FALSE))*$D9)</f>
        <v>7.1794791488032894E-5</v>
      </c>
      <c r="Z9" s="205">
        <f>((VLOOKUP(Z$5,Tabl_B3_Comp!$B$55:$C$65,2,FALSE))*$D9)</f>
        <v>7.2419094022711436E-4</v>
      </c>
      <c r="AA9" s="205">
        <f>((VLOOKUP(AA$5,Tabl_B3_Comp!$B$55:$C$65,2,FALSE))*$D9)</f>
        <v>3.5377143631784326E-5</v>
      </c>
    </row>
    <row r="10" spans="1:27">
      <c r="A10" s="269"/>
      <c r="B10" t="s">
        <v>1298</v>
      </c>
      <c r="C10" s="40">
        <v>75.956808385889872</v>
      </c>
      <c r="D10" s="13">
        <v>0.20810084489284897</v>
      </c>
      <c r="E10" s="133">
        <v>0</v>
      </c>
      <c r="F10" s="205">
        <f>((VLOOKUP(F$5,Tabl_B3_Comp!$B$55:$C$65,2,FALSE))*$C10)</f>
        <v>0.21723647198364504</v>
      </c>
      <c r="G10" s="205">
        <f>((VLOOKUP(G$5,Tabl_B3_Comp!$B$55:$C$65,2,FALSE))*$C10)</f>
        <v>0.12608830192057718</v>
      </c>
      <c r="H10" s="205">
        <f>((VLOOKUP(H$5,Tabl_B3_Comp!$B$55:$C$65,2,FALSE))*$C10)</f>
        <v>2.6508926126675566E-3</v>
      </c>
      <c r="I10" s="205">
        <f>((VLOOKUP(I$5,Tabl_B3_Comp!$B$55:$C$65,2,FALSE))*$C10)</f>
        <v>9.8743850901656825E-4</v>
      </c>
      <c r="J10" s="205">
        <f>((VLOOKUP(J$5,Tabl_B3_Comp!$B$55:$C$65,2,FALSE))*$C10)</f>
        <v>1.762197954552645E-2</v>
      </c>
      <c r="K10" s="205">
        <f>((VLOOKUP(K$5,Tabl_B3_Comp!$B$55:$C$65,2,FALSE))*$C10)</f>
        <v>4.4738560139289132E-2</v>
      </c>
      <c r="L10" s="205">
        <f>((VLOOKUP(L$5,Tabl_B3_Comp!$B$55:$C$65,2,FALSE))*$C10)</f>
        <v>9.2667306230785635E-3</v>
      </c>
      <c r="M10" s="205">
        <f>((VLOOKUP(M$5,Tabl_B3_Comp!$B$55:$C$65,2,FALSE))*$C10)</f>
        <v>0.15874972952650981</v>
      </c>
      <c r="N10" s="205">
        <f>((VLOOKUP(N$5,Tabl_B3_Comp!$B$55:$C$65,2,FALSE))*$C10)</f>
        <v>2.6205098893132005E-2</v>
      </c>
      <c r="O10" s="205">
        <f>((VLOOKUP(O$5,Tabl_B3_Comp!$B$55:$C$65,2,FALSE))*$C10)</f>
        <v>0.26432969318289673</v>
      </c>
      <c r="P10" s="205">
        <f>((VLOOKUP(P$5,Tabl_B3_Comp!$B$55:$C$65,2,FALSE))*$C10)</f>
        <v>1.2912657425601279E-2</v>
      </c>
      <c r="Q10" s="206">
        <f>((VLOOKUP(Q$5,Tabl_B3_Comp!$B$55:$C$65,2,FALSE))*$D10)</f>
        <v>5.9516841639354809E-4</v>
      </c>
      <c r="R10" s="205">
        <f>((VLOOKUP(R$5,Tabl_B3_Comp!$B$55:$C$65,2,FALSE))*$D10)</f>
        <v>3.4544740252212932E-4</v>
      </c>
      <c r="S10" s="205">
        <f>((VLOOKUP(S$5,Tabl_B3_Comp!$B$55:$C$65,2,FALSE))*$D10)</f>
        <v>7.2627194867604294E-6</v>
      </c>
      <c r="T10" s="205">
        <f>((VLOOKUP(T$5,Tabl_B3_Comp!$B$55:$C$65,2,FALSE))*$D10)</f>
        <v>2.7053109836070366E-6</v>
      </c>
      <c r="U10" s="205">
        <f>((VLOOKUP(U$5,Tabl_B3_Comp!$B$55:$C$65,2,FALSE))*$D10)</f>
        <v>4.8279396015140964E-5</v>
      </c>
      <c r="V10" s="205">
        <f>((VLOOKUP(V$5,Tabl_B3_Comp!$B$55:$C$65,2,FALSE))*$D10)</f>
        <v>1.2257139764188803E-4</v>
      </c>
      <c r="W10" s="205">
        <f>((VLOOKUP(W$5,Tabl_B3_Comp!$B$55:$C$65,2,FALSE))*$D10)</f>
        <v>2.5388303076927573E-5</v>
      </c>
      <c r="X10" s="205">
        <f>((VLOOKUP(X$5,Tabl_B3_Comp!$B$55:$C$65,2,FALSE))*$D10)</f>
        <v>4.349307658260543E-4</v>
      </c>
      <c r="Y10" s="205">
        <f>((VLOOKUP(Y$5,Tabl_B3_Comp!$B$55:$C$65,2,FALSE))*$D10)</f>
        <v>7.1794791488032894E-5</v>
      </c>
      <c r="Z10" s="205">
        <f>((VLOOKUP(Z$5,Tabl_B3_Comp!$B$55:$C$65,2,FALSE))*$D10)</f>
        <v>7.2419094022711436E-4</v>
      </c>
      <c r="AA10" s="205">
        <f>((VLOOKUP(AA$5,Tabl_B3_Comp!$B$55:$C$65,2,FALSE))*$D10)</f>
        <v>3.5377143631784326E-5</v>
      </c>
    </row>
    <row r="11" spans="1:27">
      <c r="A11" s="269"/>
      <c r="B11" t="s">
        <v>1299</v>
      </c>
      <c r="C11" s="40">
        <v>62.437371583144724</v>
      </c>
      <c r="D11" s="13">
        <v>0.1710612920086157</v>
      </c>
      <c r="E11" s="133">
        <v>0</v>
      </c>
      <c r="F11" s="205">
        <f>((VLOOKUP(F$5,Tabl_B3_Comp!$B$55:$C$65,2,FALSE))*$C11)</f>
        <v>0.17857088272779392</v>
      </c>
      <c r="G11" s="205">
        <f>((VLOOKUP(G$5,Tabl_B3_Comp!$B$55:$C$65,2,FALSE))*$C11)</f>
        <v>0.10364603682802025</v>
      </c>
      <c r="H11" s="205">
        <f>((VLOOKUP(H$5,Tabl_B3_Comp!$B$55:$C$65,2,FALSE))*$C11)</f>
        <v>2.1790642682517508E-3</v>
      </c>
      <c r="I11" s="205">
        <f>((VLOOKUP(I$5,Tabl_B3_Comp!$B$55:$C$65,2,FALSE))*$C11)</f>
        <v>8.1168583058088134E-4</v>
      </c>
      <c r="J11" s="205">
        <f>((VLOOKUP(J$5,Tabl_B3_Comp!$B$55:$C$65,2,FALSE))*$C11)</f>
        <v>1.4485470207289576E-2</v>
      </c>
      <c r="K11" s="205">
        <f>((VLOOKUP(K$5,Tabl_B3_Comp!$B$55:$C$65,2,FALSE))*$C11)</f>
        <v>3.6775611862472246E-2</v>
      </c>
      <c r="L11" s="205">
        <f>((VLOOKUP(L$5,Tabl_B3_Comp!$B$55:$C$65,2,FALSE))*$C11)</f>
        <v>7.6173593331436565E-3</v>
      </c>
      <c r="M11" s="205">
        <f>((VLOOKUP(M$5,Tabl_B3_Comp!$B$55:$C$65,2,FALSE))*$C11)</f>
        <v>0.13049410660877248</v>
      </c>
      <c r="N11" s="205">
        <f>((VLOOKUP(N$5,Tabl_B3_Comp!$B$55:$C$65,2,FALSE))*$C11)</f>
        <v>2.1540893196184928E-2</v>
      </c>
      <c r="O11" s="205">
        <f>((VLOOKUP(O$5,Tabl_B3_Comp!$B$55:$C$65,2,FALSE))*$C11)</f>
        <v>0.21728205310934365</v>
      </c>
      <c r="P11" s="205">
        <f>((VLOOKUP(P$5,Tabl_B3_Comp!$B$55:$C$65,2,FALSE))*$C11)</f>
        <v>1.0614353169134604E-2</v>
      </c>
      <c r="Q11" s="206">
        <f>((VLOOKUP(Q$5,Tabl_B3_Comp!$B$55:$C$65,2,FALSE))*$D11)</f>
        <v>4.8923529514464091E-4</v>
      </c>
      <c r="R11" s="205">
        <f>((VLOOKUP(R$5,Tabl_B3_Comp!$B$55:$C$65,2,FALSE))*$D11)</f>
        <v>2.8396174473430206E-4</v>
      </c>
      <c r="S11" s="205">
        <f>((VLOOKUP(S$5,Tabl_B3_Comp!$B$55:$C$65,2,FALSE))*$D11)</f>
        <v>5.9700390911006877E-6</v>
      </c>
      <c r="T11" s="205">
        <f>((VLOOKUP(T$5,Tabl_B3_Comp!$B$55:$C$65,2,FALSE))*$D11)</f>
        <v>2.223796796112004E-6</v>
      </c>
      <c r="U11" s="205">
        <f>((VLOOKUP(U$5,Tabl_B3_Comp!$B$55:$C$65,2,FALSE))*$D11)</f>
        <v>3.9686219745998842E-5</v>
      </c>
      <c r="V11" s="205">
        <f>((VLOOKUP(V$5,Tabl_B3_Comp!$B$55:$C$65,2,FALSE))*$D11)</f>
        <v>1.0075510099307464E-4</v>
      </c>
      <c r="W11" s="205">
        <f>((VLOOKUP(W$5,Tabl_B3_Comp!$B$55:$C$65,2,FALSE))*$D11)</f>
        <v>2.0869477625051115E-5</v>
      </c>
      <c r="X11" s="205">
        <f>((VLOOKUP(X$5,Tabl_B3_Comp!$B$55:$C$65,2,FALSE))*$D11)</f>
        <v>3.575181002980068E-4</v>
      </c>
      <c r="Y11" s="205">
        <f>((VLOOKUP(Y$5,Tabl_B3_Comp!$B$55:$C$65,2,FALSE))*$D11)</f>
        <v>5.9016145742972411E-5</v>
      </c>
      <c r="Z11" s="205">
        <f>((VLOOKUP(Z$5,Tabl_B3_Comp!$B$55:$C$65,2,FALSE))*$D11)</f>
        <v>5.9529329618998258E-4</v>
      </c>
      <c r="AA11" s="205">
        <f>((VLOOKUP(AA$5,Tabl_B3_Comp!$B$55:$C$65,2,FALSE))*$D11)</f>
        <v>2.908041964146467E-5</v>
      </c>
    </row>
    <row r="12" spans="1:27">
      <c r="A12" s="269"/>
      <c r="B12" t="s">
        <v>1300</v>
      </c>
      <c r="C12" s="40">
        <v>62.437371583144724</v>
      </c>
      <c r="D12" s="13">
        <v>0.1710612920086157</v>
      </c>
      <c r="E12" s="133">
        <v>0</v>
      </c>
      <c r="F12" s="205">
        <f>((VLOOKUP(F$5,Tabl_B3_Comp!$B$55:$C$65,2,FALSE))*$C12)</f>
        <v>0.17857088272779392</v>
      </c>
      <c r="G12" s="205">
        <f>((VLOOKUP(G$5,Tabl_B3_Comp!$B$55:$C$65,2,FALSE))*$C12)</f>
        <v>0.10364603682802025</v>
      </c>
      <c r="H12" s="205">
        <f>((VLOOKUP(H$5,Tabl_B3_Comp!$B$55:$C$65,2,FALSE))*$C12)</f>
        <v>2.1790642682517508E-3</v>
      </c>
      <c r="I12" s="205">
        <f>((VLOOKUP(I$5,Tabl_B3_Comp!$B$55:$C$65,2,FALSE))*$C12)</f>
        <v>8.1168583058088134E-4</v>
      </c>
      <c r="J12" s="205">
        <f>((VLOOKUP(J$5,Tabl_B3_Comp!$B$55:$C$65,2,FALSE))*$C12)</f>
        <v>1.4485470207289576E-2</v>
      </c>
      <c r="K12" s="205">
        <f>((VLOOKUP(K$5,Tabl_B3_Comp!$B$55:$C$65,2,FALSE))*$C12)</f>
        <v>3.6775611862472246E-2</v>
      </c>
      <c r="L12" s="205">
        <f>((VLOOKUP(L$5,Tabl_B3_Comp!$B$55:$C$65,2,FALSE))*$C12)</f>
        <v>7.6173593331436565E-3</v>
      </c>
      <c r="M12" s="205">
        <f>((VLOOKUP(M$5,Tabl_B3_Comp!$B$55:$C$65,2,FALSE))*$C12)</f>
        <v>0.13049410660877248</v>
      </c>
      <c r="N12" s="205">
        <f>((VLOOKUP(N$5,Tabl_B3_Comp!$B$55:$C$65,2,FALSE))*$C12)</f>
        <v>2.1540893196184928E-2</v>
      </c>
      <c r="O12" s="205">
        <f>((VLOOKUP(O$5,Tabl_B3_Comp!$B$55:$C$65,2,FALSE))*$C12)</f>
        <v>0.21728205310934365</v>
      </c>
      <c r="P12" s="205">
        <f>((VLOOKUP(P$5,Tabl_B3_Comp!$B$55:$C$65,2,FALSE))*$C12)</f>
        <v>1.0614353169134604E-2</v>
      </c>
      <c r="Q12" s="206">
        <f>((VLOOKUP(Q$5,Tabl_B3_Comp!$B$55:$C$65,2,FALSE))*$D12)</f>
        <v>4.8923529514464091E-4</v>
      </c>
      <c r="R12" s="205">
        <f>((VLOOKUP(R$5,Tabl_B3_Comp!$B$55:$C$65,2,FALSE))*$D12)</f>
        <v>2.8396174473430206E-4</v>
      </c>
      <c r="S12" s="205">
        <f>((VLOOKUP(S$5,Tabl_B3_Comp!$B$55:$C$65,2,FALSE))*$D12)</f>
        <v>5.9700390911006877E-6</v>
      </c>
      <c r="T12" s="205">
        <f>((VLOOKUP(T$5,Tabl_B3_Comp!$B$55:$C$65,2,FALSE))*$D12)</f>
        <v>2.223796796112004E-6</v>
      </c>
      <c r="U12" s="205">
        <f>((VLOOKUP(U$5,Tabl_B3_Comp!$B$55:$C$65,2,FALSE))*$D12)</f>
        <v>3.9686219745998842E-5</v>
      </c>
      <c r="V12" s="205">
        <f>((VLOOKUP(V$5,Tabl_B3_Comp!$B$55:$C$65,2,FALSE))*$D12)</f>
        <v>1.0075510099307464E-4</v>
      </c>
      <c r="W12" s="205">
        <f>((VLOOKUP(W$5,Tabl_B3_Comp!$B$55:$C$65,2,FALSE))*$D12)</f>
        <v>2.0869477625051115E-5</v>
      </c>
      <c r="X12" s="205">
        <f>((VLOOKUP(X$5,Tabl_B3_Comp!$B$55:$C$65,2,FALSE))*$D12)</f>
        <v>3.575181002980068E-4</v>
      </c>
      <c r="Y12" s="205">
        <f>((VLOOKUP(Y$5,Tabl_B3_Comp!$B$55:$C$65,2,FALSE))*$D12)</f>
        <v>5.9016145742972411E-5</v>
      </c>
      <c r="Z12" s="205">
        <f>((VLOOKUP(Z$5,Tabl_B3_Comp!$B$55:$C$65,2,FALSE))*$D12)</f>
        <v>5.9529329618998258E-4</v>
      </c>
      <c r="AA12" s="205">
        <f>((VLOOKUP(AA$5,Tabl_B3_Comp!$B$55:$C$65,2,FALSE))*$D12)</f>
        <v>2.908041964146467E-5</v>
      </c>
    </row>
    <row r="13" spans="1:27">
      <c r="A13" s="269"/>
      <c r="B13" t="s">
        <v>1301</v>
      </c>
      <c r="C13" s="40">
        <v>62.437371583144724</v>
      </c>
      <c r="D13" s="13">
        <v>0.1710612920086157</v>
      </c>
      <c r="E13" s="133">
        <v>0</v>
      </c>
      <c r="F13" s="205">
        <f>((VLOOKUP(F$5,Tabl_B3_Comp!$B$55:$C$65,2,FALSE))*$C13)</f>
        <v>0.17857088272779392</v>
      </c>
      <c r="G13" s="205">
        <f>((VLOOKUP(G$5,Tabl_B3_Comp!$B$55:$C$65,2,FALSE))*$C13)</f>
        <v>0.10364603682802025</v>
      </c>
      <c r="H13" s="205">
        <f>((VLOOKUP(H$5,Tabl_B3_Comp!$B$55:$C$65,2,FALSE))*$C13)</f>
        <v>2.1790642682517508E-3</v>
      </c>
      <c r="I13" s="205">
        <f>((VLOOKUP(I$5,Tabl_B3_Comp!$B$55:$C$65,2,FALSE))*$C13)</f>
        <v>8.1168583058088134E-4</v>
      </c>
      <c r="J13" s="205">
        <f>((VLOOKUP(J$5,Tabl_B3_Comp!$B$55:$C$65,2,FALSE))*$C13)</f>
        <v>1.4485470207289576E-2</v>
      </c>
      <c r="K13" s="205">
        <f>((VLOOKUP(K$5,Tabl_B3_Comp!$B$55:$C$65,2,FALSE))*$C13)</f>
        <v>3.6775611862472246E-2</v>
      </c>
      <c r="L13" s="205">
        <f>((VLOOKUP(L$5,Tabl_B3_Comp!$B$55:$C$65,2,FALSE))*$C13)</f>
        <v>7.6173593331436565E-3</v>
      </c>
      <c r="M13" s="205">
        <f>((VLOOKUP(M$5,Tabl_B3_Comp!$B$55:$C$65,2,FALSE))*$C13)</f>
        <v>0.13049410660877248</v>
      </c>
      <c r="N13" s="205">
        <f>((VLOOKUP(N$5,Tabl_B3_Comp!$B$55:$C$65,2,FALSE))*$C13)</f>
        <v>2.1540893196184928E-2</v>
      </c>
      <c r="O13" s="205">
        <f>((VLOOKUP(O$5,Tabl_B3_Comp!$B$55:$C$65,2,FALSE))*$C13)</f>
        <v>0.21728205310934365</v>
      </c>
      <c r="P13" s="205">
        <f>((VLOOKUP(P$5,Tabl_B3_Comp!$B$55:$C$65,2,FALSE))*$C13)</f>
        <v>1.0614353169134604E-2</v>
      </c>
      <c r="Q13" s="206">
        <f>((VLOOKUP(Q$5,Tabl_B3_Comp!$B$55:$C$65,2,FALSE))*$D13)</f>
        <v>4.8923529514464091E-4</v>
      </c>
      <c r="R13" s="205">
        <f>((VLOOKUP(R$5,Tabl_B3_Comp!$B$55:$C$65,2,FALSE))*$D13)</f>
        <v>2.8396174473430206E-4</v>
      </c>
      <c r="S13" s="205">
        <f>((VLOOKUP(S$5,Tabl_B3_Comp!$B$55:$C$65,2,FALSE))*$D13)</f>
        <v>5.9700390911006877E-6</v>
      </c>
      <c r="T13" s="205">
        <f>((VLOOKUP(T$5,Tabl_B3_Comp!$B$55:$C$65,2,FALSE))*$D13)</f>
        <v>2.223796796112004E-6</v>
      </c>
      <c r="U13" s="205">
        <f>((VLOOKUP(U$5,Tabl_B3_Comp!$B$55:$C$65,2,FALSE))*$D13)</f>
        <v>3.9686219745998842E-5</v>
      </c>
      <c r="V13" s="205">
        <f>((VLOOKUP(V$5,Tabl_B3_Comp!$B$55:$C$65,2,FALSE))*$D13)</f>
        <v>1.0075510099307464E-4</v>
      </c>
      <c r="W13" s="205">
        <f>((VLOOKUP(W$5,Tabl_B3_Comp!$B$55:$C$65,2,FALSE))*$D13)</f>
        <v>2.0869477625051115E-5</v>
      </c>
      <c r="X13" s="205">
        <f>((VLOOKUP(X$5,Tabl_B3_Comp!$B$55:$C$65,2,FALSE))*$D13)</f>
        <v>3.575181002980068E-4</v>
      </c>
      <c r="Y13" s="205">
        <f>((VLOOKUP(Y$5,Tabl_B3_Comp!$B$55:$C$65,2,FALSE))*$D13)</f>
        <v>5.9016145742972411E-5</v>
      </c>
      <c r="Z13" s="205">
        <f>((VLOOKUP(Z$5,Tabl_B3_Comp!$B$55:$C$65,2,FALSE))*$D13)</f>
        <v>5.9529329618998258E-4</v>
      </c>
      <c r="AA13" s="205">
        <f>((VLOOKUP(AA$5,Tabl_B3_Comp!$B$55:$C$65,2,FALSE))*$D13)</f>
        <v>2.908041964146467E-5</v>
      </c>
    </row>
    <row r="14" spans="1:27">
      <c r="A14" s="269"/>
      <c r="B14" t="s">
        <v>1302</v>
      </c>
      <c r="C14" s="40">
        <v>75.653442647771584</v>
      </c>
      <c r="D14" s="13">
        <v>0.20726970588430571</v>
      </c>
      <c r="E14" s="133">
        <v>0</v>
      </c>
      <c r="F14" s="205">
        <f>((VLOOKUP(F$5,Tabl_B3_Comp!$B$55:$C$65,2,FALSE))*$C14)</f>
        <v>0.21636884597262673</v>
      </c>
      <c r="G14" s="205">
        <f>((VLOOKUP(G$5,Tabl_B3_Comp!$B$55:$C$65,2,FALSE))*$C14)</f>
        <v>0.12558471479530084</v>
      </c>
      <c r="H14" s="205">
        <f>((VLOOKUP(H$5,Tabl_B3_Comp!$B$55:$C$65,2,FALSE))*$C14)</f>
        <v>2.6403051484072283E-3</v>
      </c>
      <c r="I14" s="205">
        <f>((VLOOKUP(I$5,Tabl_B3_Comp!$B$55:$C$65,2,FALSE))*$C14)</f>
        <v>9.8349475442103054E-4</v>
      </c>
      <c r="J14" s="205">
        <f>((VLOOKUP(J$5,Tabl_B3_Comp!$B$55:$C$65,2,FALSE))*$C14)</f>
        <v>1.7551598694283008E-2</v>
      </c>
      <c r="K14" s="205">
        <f>((VLOOKUP(K$5,Tabl_B3_Comp!$B$55:$C$65,2,FALSE))*$C14)</f>
        <v>4.4559877719537462E-2</v>
      </c>
      <c r="L14" s="205">
        <f>((VLOOKUP(L$5,Tabl_B3_Comp!$B$55:$C$65,2,FALSE))*$C14)</f>
        <v>9.2297200030281336E-3</v>
      </c>
      <c r="M14" s="205">
        <f>((VLOOKUP(M$5,Tabl_B3_Comp!$B$55:$C$65,2,FALSE))*$C14)</f>
        <v>0.1581156951338426</v>
      </c>
      <c r="N14" s="205">
        <f>((VLOOKUP(N$5,Tabl_B3_Comp!$B$55:$C$65,2,FALSE))*$C14)</f>
        <v>2.6100437713481195E-2</v>
      </c>
      <c r="O14" s="205">
        <f>((VLOOKUP(O$5,Tabl_B3_Comp!$B$55:$C$65,2,FALSE))*$C14)</f>
        <v>0.2632739804142451</v>
      </c>
      <c r="P14" s="205">
        <f>((VLOOKUP(P$5,Tabl_B3_Comp!$B$55:$C$65,2,FALSE))*$C14)</f>
        <v>1.286108525012117E-2</v>
      </c>
      <c r="Q14" s="206">
        <f>((VLOOKUP(Q$5,Tabl_B3_Comp!$B$55:$C$65,2,FALSE))*$D14)</f>
        <v>5.9279135882911438E-4</v>
      </c>
      <c r="R14" s="205">
        <f>((VLOOKUP(R$5,Tabl_B3_Comp!$B$55:$C$65,2,FALSE))*$D14)</f>
        <v>3.4406771176794746E-4</v>
      </c>
      <c r="S14" s="205">
        <f>((VLOOKUP(S$5,Tabl_B3_Comp!$B$55:$C$65,2,FALSE))*$D14)</f>
        <v>7.2337127353622692E-6</v>
      </c>
      <c r="T14" s="205">
        <f>((VLOOKUP(T$5,Tabl_B3_Comp!$B$55:$C$65,2,FALSE))*$D14)</f>
        <v>2.694506176495974E-6</v>
      </c>
      <c r="U14" s="205">
        <f>((VLOOKUP(U$5,Tabl_B3_Comp!$B$55:$C$65,2,FALSE))*$D14)</f>
        <v>4.8086571765158928E-5</v>
      </c>
      <c r="V14" s="205">
        <f>((VLOOKUP(V$5,Tabl_B3_Comp!$B$55:$C$65,2,FALSE))*$D14)</f>
        <v>1.2208185676585605E-4</v>
      </c>
      <c r="W14" s="205">
        <f>((VLOOKUP(W$5,Tabl_B3_Comp!$B$55:$C$65,2,FALSE))*$D14)</f>
        <v>2.5286904117885296E-5</v>
      </c>
      <c r="X14" s="205">
        <f>((VLOOKUP(X$5,Tabl_B3_Comp!$B$55:$C$65,2,FALSE))*$D14)</f>
        <v>4.331936852981989E-4</v>
      </c>
      <c r="Y14" s="205">
        <f>((VLOOKUP(Y$5,Tabl_B3_Comp!$B$55:$C$65,2,FALSE))*$D14)</f>
        <v>7.1508048530085461E-5</v>
      </c>
      <c r="Z14" s="205">
        <f>((VLOOKUP(Z$5,Tabl_B3_Comp!$B$55:$C$65,2,FALSE))*$D14)</f>
        <v>7.2129857647738383E-4</v>
      </c>
      <c r="AA14" s="205">
        <f>((VLOOKUP(AA$5,Tabl_B3_Comp!$B$55:$C$65,2,FALSE))*$D14)</f>
        <v>3.5235850000331972E-5</v>
      </c>
    </row>
    <row r="15" spans="1:27">
      <c r="A15" s="269"/>
      <c r="B15" t="s">
        <v>1303</v>
      </c>
      <c r="C15" s="40">
        <v>75.653442647771584</v>
      </c>
      <c r="D15" s="13">
        <v>0.20726970588430571</v>
      </c>
      <c r="E15" s="133">
        <v>0</v>
      </c>
      <c r="F15" s="205">
        <f>((VLOOKUP(F$5,Tabl_B3_Comp!$B$55:$C$65,2,FALSE))*$C15)</f>
        <v>0.21636884597262673</v>
      </c>
      <c r="G15" s="205">
        <f>((VLOOKUP(G$5,Tabl_B3_Comp!$B$55:$C$65,2,FALSE))*$C15)</f>
        <v>0.12558471479530084</v>
      </c>
      <c r="H15" s="205">
        <f>((VLOOKUP(H$5,Tabl_B3_Comp!$B$55:$C$65,2,FALSE))*$C15)</f>
        <v>2.6403051484072283E-3</v>
      </c>
      <c r="I15" s="205">
        <f>((VLOOKUP(I$5,Tabl_B3_Comp!$B$55:$C$65,2,FALSE))*$C15)</f>
        <v>9.8349475442103054E-4</v>
      </c>
      <c r="J15" s="205">
        <f>((VLOOKUP(J$5,Tabl_B3_Comp!$B$55:$C$65,2,FALSE))*$C15)</f>
        <v>1.7551598694283008E-2</v>
      </c>
      <c r="K15" s="205">
        <f>((VLOOKUP(K$5,Tabl_B3_Comp!$B$55:$C$65,2,FALSE))*$C15)</f>
        <v>4.4559877719537462E-2</v>
      </c>
      <c r="L15" s="205">
        <f>((VLOOKUP(L$5,Tabl_B3_Comp!$B$55:$C$65,2,FALSE))*$C15)</f>
        <v>9.2297200030281336E-3</v>
      </c>
      <c r="M15" s="205">
        <f>((VLOOKUP(M$5,Tabl_B3_Comp!$B$55:$C$65,2,FALSE))*$C15)</f>
        <v>0.1581156951338426</v>
      </c>
      <c r="N15" s="205">
        <f>((VLOOKUP(N$5,Tabl_B3_Comp!$B$55:$C$65,2,FALSE))*$C15)</f>
        <v>2.6100437713481195E-2</v>
      </c>
      <c r="O15" s="205">
        <f>((VLOOKUP(O$5,Tabl_B3_Comp!$B$55:$C$65,2,FALSE))*$C15)</f>
        <v>0.2632739804142451</v>
      </c>
      <c r="P15" s="205">
        <f>((VLOOKUP(P$5,Tabl_B3_Comp!$B$55:$C$65,2,FALSE))*$C15)</f>
        <v>1.286108525012117E-2</v>
      </c>
      <c r="Q15" s="206">
        <f>((VLOOKUP(Q$5,Tabl_B3_Comp!$B$55:$C$65,2,FALSE))*$D15)</f>
        <v>5.9279135882911438E-4</v>
      </c>
      <c r="R15" s="205">
        <f>((VLOOKUP(R$5,Tabl_B3_Comp!$B$55:$C$65,2,FALSE))*$D15)</f>
        <v>3.4406771176794746E-4</v>
      </c>
      <c r="S15" s="205">
        <f>((VLOOKUP(S$5,Tabl_B3_Comp!$B$55:$C$65,2,FALSE))*$D15)</f>
        <v>7.2337127353622692E-6</v>
      </c>
      <c r="T15" s="205">
        <f>((VLOOKUP(T$5,Tabl_B3_Comp!$B$55:$C$65,2,FALSE))*$D15)</f>
        <v>2.694506176495974E-6</v>
      </c>
      <c r="U15" s="205">
        <f>((VLOOKUP(U$5,Tabl_B3_Comp!$B$55:$C$65,2,FALSE))*$D15)</f>
        <v>4.8086571765158928E-5</v>
      </c>
      <c r="V15" s="205">
        <f>((VLOOKUP(V$5,Tabl_B3_Comp!$B$55:$C$65,2,FALSE))*$D15)</f>
        <v>1.2208185676585605E-4</v>
      </c>
      <c r="W15" s="205">
        <f>((VLOOKUP(W$5,Tabl_B3_Comp!$B$55:$C$65,2,FALSE))*$D15)</f>
        <v>2.5286904117885296E-5</v>
      </c>
      <c r="X15" s="205">
        <f>((VLOOKUP(X$5,Tabl_B3_Comp!$B$55:$C$65,2,FALSE))*$D15)</f>
        <v>4.331936852981989E-4</v>
      </c>
      <c r="Y15" s="205">
        <f>((VLOOKUP(Y$5,Tabl_B3_Comp!$B$55:$C$65,2,FALSE))*$D15)</f>
        <v>7.1508048530085461E-5</v>
      </c>
      <c r="Z15" s="205">
        <f>((VLOOKUP(Z$5,Tabl_B3_Comp!$B$55:$C$65,2,FALSE))*$D15)</f>
        <v>7.2129857647738383E-4</v>
      </c>
      <c r="AA15" s="205">
        <f>((VLOOKUP(AA$5,Tabl_B3_Comp!$B$55:$C$65,2,FALSE))*$D15)</f>
        <v>3.5235850000331972E-5</v>
      </c>
    </row>
    <row r="16" spans="1:27">
      <c r="A16" s="269"/>
      <c r="B16" t="s">
        <v>1304</v>
      </c>
      <c r="C16" s="40">
        <v>81.384260406513221</v>
      </c>
      <c r="D16" s="13">
        <v>0.22297057645620061</v>
      </c>
      <c r="E16" s="133">
        <v>0</v>
      </c>
      <c r="F16" s="205">
        <f>((VLOOKUP(F$5,Tabl_B3_Comp!$B$55:$C$65,2,FALSE))*$C16)</f>
        <v>0.23275898476262782</v>
      </c>
      <c r="G16" s="205">
        <f>((VLOOKUP(G$5,Tabl_B3_Comp!$B$55:$C$65,2,FALSE))*$C16)</f>
        <v>0.13509787227481196</v>
      </c>
      <c r="H16" s="205">
        <f>((VLOOKUP(H$5,Tabl_B3_Comp!$B$55:$C$65,2,FALSE))*$C16)</f>
        <v>2.8403106881873114E-3</v>
      </c>
      <c r="I16" s="205">
        <f>((VLOOKUP(I$5,Tabl_B3_Comp!$B$55:$C$65,2,FALSE))*$C16)</f>
        <v>1.0579953852846717E-3</v>
      </c>
      <c r="J16" s="205">
        <f>((VLOOKUP(J$5,Tabl_B3_Comp!$B$55:$C$65,2,FALSE))*$C16)</f>
        <v>1.8881148414311068E-2</v>
      </c>
      <c r="K16" s="205">
        <f>((VLOOKUP(K$5,Tabl_B3_Comp!$B$55:$C$65,2,FALSE))*$C16)</f>
        <v>4.7935329379436287E-2</v>
      </c>
      <c r="L16" s="205">
        <f>((VLOOKUP(L$5,Tabl_B3_Comp!$B$55:$C$65,2,FALSE))*$C16)</f>
        <v>9.9288797695946136E-3</v>
      </c>
      <c r="M16" s="205">
        <f>((VLOOKUP(M$5,Tabl_B3_Comp!$B$55:$C$65,2,FALSE))*$C16)</f>
        <v>0.17009310424961263</v>
      </c>
      <c r="N16" s="205">
        <f>((VLOOKUP(N$5,Tabl_B3_Comp!$B$55:$C$65,2,FALSE))*$C16)</f>
        <v>2.807756984024706E-2</v>
      </c>
      <c r="O16" s="205">
        <f>((VLOOKUP(O$5,Tabl_B3_Comp!$B$55:$C$65,2,FALSE))*$C16)</f>
        <v>0.283217226214666</v>
      </c>
      <c r="P16" s="205">
        <f>((VLOOKUP(P$5,Tabl_B3_Comp!$B$55:$C$65,2,FALSE))*$C16)</f>
        <v>1.3835324269107248E-2</v>
      </c>
      <c r="Q16" s="206">
        <f>((VLOOKUP(Q$5,Tabl_B3_Comp!$B$55:$C$65,2,FALSE))*$D16)</f>
        <v>6.3769584866473373E-4</v>
      </c>
      <c r="R16" s="205">
        <f>((VLOOKUP(R$5,Tabl_B3_Comp!$B$55:$C$65,2,FALSE))*$D16)</f>
        <v>3.7013115691729301E-4</v>
      </c>
      <c r="S16" s="205">
        <f>((VLOOKUP(S$5,Tabl_B3_Comp!$B$55:$C$65,2,FALSE))*$D16)</f>
        <v>7.7816731183214021E-6</v>
      </c>
      <c r="T16" s="205">
        <f>((VLOOKUP(T$5,Tabl_B3_Comp!$B$55:$C$65,2,FALSE))*$D16)</f>
        <v>2.8986174939306079E-6</v>
      </c>
      <c r="U16" s="205">
        <f>((VLOOKUP(U$5,Tabl_B3_Comp!$B$55:$C$65,2,FALSE))*$D16)</f>
        <v>5.1729173737838541E-5</v>
      </c>
      <c r="V16" s="205">
        <f>((VLOOKUP(V$5,Tabl_B3_Comp!$B$55:$C$65,2,FALSE))*$D16)</f>
        <v>1.3132966953270216E-4</v>
      </c>
      <c r="W16" s="205">
        <f>((VLOOKUP(W$5,Tabl_B3_Comp!$B$55:$C$65,2,FALSE))*$D16)</f>
        <v>2.7202410327656474E-5</v>
      </c>
      <c r="X16" s="205">
        <f>((VLOOKUP(X$5,Tabl_B3_Comp!$B$55:$C$65,2,FALSE))*$D16)</f>
        <v>4.6600850479345922E-4</v>
      </c>
      <c r="Y16" s="205">
        <f>((VLOOKUP(Y$5,Tabl_B3_Comp!$B$55:$C$65,2,FALSE))*$D16)</f>
        <v>7.6924848877389209E-5</v>
      </c>
      <c r="Z16" s="205">
        <f>((VLOOKUP(Z$5,Tabl_B3_Comp!$B$55:$C$65,2,FALSE))*$D16)</f>
        <v>7.7593760606757816E-4</v>
      </c>
      <c r="AA16" s="205">
        <f>((VLOOKUP(AA$5,Tabl_B3_Comp!$B$55:$C$65,2,FALSE))*$D16)</f>
        <v>3.7904997997554106E-5</v>
      </c>
    </row>
    <row r="17" spans="1:27">
      <c r="A17" s="269"/>
      <c r="B17" t="s">
        <v>1305</v>
      </c>
      <c r="C17" s="40">
        <v>78.963168776646057</v>
      </c>
      <c r="D17" s="13">
        <v>0.2163374487031399</v>
      </c>
      <c r="E17" s="133">
        <v>0</v>
      </c>
      <c r="F17" s="205">
        <f>((VLOOKUP(F$5,Tabl_B3_Comp!$B$55:$C$65,2,FALSE))*$C17)</f>
        <v>0.22583466270120772</v>
      </c>
      <c r="G17" s="205">
        <f>((VLOOKUP(G$5,Tabl_B3_Comp!$B$55:$C$65,2,FALSE))*$C17)</f>
        <v>0.13107886016923245</v>
      </c>
      <c r="H17" s="205">
        <f>((VLOOKUP(H$5,Tabl_B3_Comp!$B$55:$C$65,2,FALSE))*$C17)</f>
        <v>2.7558145903049474E-3</v>
      </c>
      <c r="I17" s="205">
        <f>((VLOOKUP(I$5,Tabl_B3_Comp!$B$55:$C$65,2,FALSE))*$C17)</f>
        <v>1.0265211940963987E-3</v>
      </c>
      <c r="J17" s="205">
        <f>((VLOOKUP(J$5,Tabl_B3_Comp!$B$55:$C$65,2,FALSE))*$C17)</f>
        <v>1.8319455156181885E-2</v>
      </c>
      <c r="K17" s="205">
        <f>((VLOOKUP(K$5,Tabl_B3_Comp!$B$55:$C$65,2,FALSE))*$C17)</f>
        <v>4.6509306409444527E-2</v>
      </c>
      <c r="L17" s="205">
        <f>((VLOOKUP(L$5,Tabl_B3_Comp!$B$55:$C$65,2,FALSE))*$C17)</f>
        <v>9.6335065907508181E-3</v>
      </c>
      <c r="M17" s="205">
        <f>((VLOOKUP(M$5,Tabl_B3_Comp!$B$55:$C$65,2,FALSE))*$C17)</f>
        <v>0.16503302274319026</v>
      </c>
      <c r="N17" s="205">
        <f>((VLOOKUP(N$5,Tabl_B3_Comp!$B$55:$C$65,2,FALSE))*$C17)</f>
        <v>2.7242293227942888E-2</v>
      </c>
      <c r="O17" s="205">
        <f>((VLOOKUP(O$5,Tabl_B3_Comp!$B$55:$C$65,2,FALSE))*$C17)</f>
        <v>0.27479182734272828</v>
      </c>
      <c r="P17" s="205">
        <f>((VLOOKUP(P$5,Tabl_B3_Comp!$B$55:$C$65,2,FALSE))*$C17)</f>
        <v>1.342373869202983E-2</v>
      </c>
      <c r="Q17" s="206">
        <f>((VLOOKUP(Q$5,Tabl_B3_Comp!$B$55:$C$65,2,FALSE))*$D17)</f>
        <v>6.1872510329098014E-4</v>
      </c>
      <c r="R17" s="205">
        <f>((VLOOKUP(R$5,Tabl_B3_Comp!$B$55:$C$65,2,FALSE))*$D17)</f>
        <v>3.5912016484721221E-4</v>
      </c>
      <c r="S17" s="205">
        <f>((VLOOKUP(S$5,Tabl_B3_Comp!$B$55:$C$65,2,FALSE))*$D17)</f>
        <v>7.5501769597395827E-6</v>
      </c>
      <c r="T17" s="205">
        <f>((VLOOKUP(T$5,Tabl_B3_Comp!$B$55:$C$65,2,FALSE))*$D17)</f>
        <v>2.8123868331408183E-6</v>
      </c>
      <c r="U17" s="205">
        <f>((VLOOKUP(U$5,Tabl_B3_Comp!$B$55:$C$65,2,FALSE))*$D17)</f>
        <v>5.0190288099128456E-5</v>
      </c>
      <c r="V17" s="205">
        <f>((VLOOKUP(V$5,Tabl_B3_Comp!$B$55:$C$65,2,FALSE))*$D17)</f>
        <v>1.274227572861494E-4</v>
      </c>
      <c r="W17" s="205">
        <f>((VLOOKUP(W$5,Tabl_B3_Comp!$B$55:$C$65,2,FALSE))*$D17)</f>
        <v>2.6393168741783065E-5</v>
      </c>
      <c r="X17" s="205">
        <f>((VLOOKUP(X$5,Tabl_B3_Comp!$B$55:$C$65,2,FALSE))*$D17)</f>
        <v>4.5214526778956232E-4</v>
      </c>
      <c r="Y17" s="205">
        <f>((VLOOKUP(Y$5,Tabl_B3_Comp!$B$55:$C$65,2,FALSE))*$D17)</f>
        <v>7.4636419802583261E-5</v>
      </c>
      <c r="Z17" s="205">
        <f>((VLOOKUP(Z$5,Tabl_B3_Comp!$B$55:$C$65,2,FALSE))*$D17)</f>
        <v>7.5285432148692688E-4</v>
      </c>
      <c r="AA17" s="205">
        <f>((VLOOKUP(AA$5,Tabl_B3_Comp!$B$55:$C$65,2,FALSE))*$D17)</f>
        <v>3.6777366279533786E-5</v>
      </c>
    </row>
    <row r="18" spans="1:27">
      <c r="A18" s="269"/>
      <c r="B18" t="s">
        <v>1306</v>
      </c>
      <c r="C18" s="40">
        <v>7197.8163398085453</v>
      </c>
      <c r="D18" s="13">
        <v>19.720044766598754</v>
      </c>
      <c r="E18" s="133">
        <v>0</v>
      </c>
      <c r="F18" s="205">
        <f>((VLOOKUP(F$5,Tabl_B3_Comp!$B$55:$C$65,2,FALSE))*$C18)</f>
        <v>20.58575473185244</v>
      </c>
      <c r="G18" s="205">
        <f>((VLOOKUP(G$5,Tabl_B3_Comp!$B$55:$C$65,2,FALSE))*$C18)</f>
        <v>11.948375124082185</v>
      </c>
      <c r="H18" s="205">
        <f>((VLOOKUP(H$5,Tabl_B3_Comp!$B$55:$C$65,2,FALSE))*$C18)</f>
        <v>0.25120379025931822</v>
      </c>
      <c r="I18" s="205">
        <f>((VLOOKUP(I$5,Tabl_B3_Comp!$B$55:$C$65,2,FALSE))*$C18)</f>
        <v>9.357161241751108E-2</v>
      </c>
      <c r="J18" s="205">
        <f>((VLOOKUP(J$5,Tabl_B3_Comp!$B$55:$C$65,2,FALSE))*$C18)</f>
        <v>1.6698933908355824</v>
      </c>
      <c r="K18" s="205">
        <f>((VLOOKUP(K$5,Tabl_B3_Comp!$B$55:$C$65,2,FALSE))*$C18)</f>
        <v>4.2395138241472337</v>
      </c>
      <c r="L18" s="205">
        <f>((VLOOKUP(L$5,Tabl_B3_Comp!$B$55:$C$65,2,FALSE))*$C18)</f>
        <v>0.87813359345664255</v>
      </c>
      <c r="M18" s="205">
        <f>((VLOOKUP(M$5,Tabl_B3_Comp!$B$55:$C$65,2,FALSE))*$C18)</f>
        <v>15.043436150199858</v>
      </c>
      <c r="N18" s="205">
        <f>((VLOOKUP(N$5,Tabl_B3_Comp!$B$55:$C$65,2,FALSE))*$C18)</f>
        <v>2.4832466372339481</v>
      </c>
      <c r="O18" s="205">
        <f>((VLOOKUP(O$5,Tabl_B3_Comp!$B$55:$C$65,2,FALSE))*$C18)</f>
        <v>25.04840086253374</v>
      </c>
      <c r="P18" s="205">
        <f>((VLOOKUP(P$5,Tabl_B3_Comp!$B$55:$C$65,2,FALSE))*$C18)</f>
        <v>1.2236287777674528</v>
      </c>
      <c r="Q18" s="206">
        <f>((VLOOKUP(Q$5,Tabl_B3_Comp!$B$55:$C$65,2,FALSE))*$D18)</f>
        <v>5.639932803247244E-2</v>
      </c>
      <c r="R18" s="205">
        <f>((VLOOKUP(R$5,Tabl_B3_Comp!$B$55:$C$65,2,FALSE))*$D18)</f>
        <v>3.2735274312553929E-2</v>
      </c>
      <c r="S18" s="205">
        <f>((VLOOKUP(S$5,Tabl_B3_Comp!$B$55:$C$65,2,FALSE))*$D18)</f>
        <v>6.8822956235429654E-4</v>
      </c>
      <c r="T18" s="205">
        <f>((VLOOKUP(T$5,Tabl_B3_Comp!$B$55:$C$65,2,FALSE))*$D18)</f>
        <v>2.563605819657838E-4</v>
      </c>
      <c r="U18" s="205">
        <f>((VLOOKUP(U$5,Tabl_B3_Comp!$B$55:$C$65,2,FALSE))*$D18)</f>
        <v>4.5750503858509109E-3</v>
      </c>
      <c r="V18" s="205">
        <f>((VLOOKUP(V$5,Tabl_B3_Comp!$B$55:$C$65,2,FALSE))*$D18)</f>
        <v>1.1615106367526665E-2</v>
      </c>
      <c r="W18" s="205">
        <f>((VLOOKUP(W$5,Tabl_B3_Comp!$B$55:$C$65,2,FALSE))*$D18)</f>
        <v>2.405845461525048E-3</v>
      </c>
      <c r="X18" s="205">
        <f>((VLOOKUP(X$5,Tabl_B3_Comp!$B$55:$C$65,2,FALSE))*$D18)</f>
        <v>4.1214893562191393E-2</v>
      </c>
      <c r="Y18" s="205">
        <f>((VLOOKUP(Y$5,Tabl_B3_Comp!$B$55:$C$65,2,FALSE))*$D18)</f>
        <v>6.8034154444765694E-3</v>
      </c>
      <c r="Z18" s="205">
        <f>((VLOOKUP(Z$5,Tabl_B3_Comp!$B$55:$C$65,2,FALSE))*$D18)</f>
        <v>6.862575578776367E-2</v>
      </c>
      <c r="AA18" s="205">
        <f>((VLOOKUP(AA$5,Tabl_B3_Comp!$B$55:$C$65,2,FALSE))*$D18)</f>
        <v>3.3524076103217883E-3</v>
      </c>
    </row>
    <row r="19" spans="1:27">
      <c r="A19" s="269"/>
      <c r="B19" t="s">
        <v>1307</v>
      </c>
      <c r="C19" s="40">
        <v>136.82220038739317</v>
      </c>
      <c r="D19" s="13">
        <v>0.37485534352710459</v>
      </c>
      <c r="E19" s="133">
        <v>0</v>
      </c>
      <c r="F19" s="205">
        <f>((VLOOKUP(F$5,Tabl_B3_Comp!$B$55:$C$65,2,FALSE))*$C19)</f>
        <v>0.3913114931079445</v>
      </c>
      <c r="G19" s="205">
        <f>((VLOOKUP(G$5,Tabl_B3_Comp!$B$55:$C$65,2,FALSE))*$C19)</f>
        <v>0.22712485264307267</v>
      </c>
      <c r="H19" s="205">
        <f>((VLOOKUP(H$5,Tabl_B3_Comp!$B$55:$C$65,2,FALSE))*$C19)</f>
        <v>4.775094793520022E-3</v>
      </c>
      <c r="I19" s="205">
        <f>((VLOOKUP(I$5,Tabl_B3_Comp!$B$55:$C$65,2,FALSE))*$C19)</f>
        <v>1.7786886050361111E-3</v>
      </c>
      <c r="J19" s="205">
        <f>((VLOOKUP(J$5,Tabl_B3_Comp!$B$55:$C$65,2,FALSE))*$C19)</f>
        <v>3.1742750489875217E-2</v>
      </c>
      <c r="K19" s="205">
        <f>((VLOOKUP(K$5,Tabl_B3_Comp!$B$55:$C$65,2,FALSE))*$C19)</f>
        <v>8.0588276028174574E-2</v>
      </c>
      <c r="L19" s="205">
        <f>((VLOOKUP(L$5,Tabl_B3_Comp!$B$55:$C$65,2,FALSE))*$C19)</f>
        <v>1.6692308447261966E-2</v>
      </c>
      <c r="M19" s="205">
        <f>((VLOOKUP(M$5,Tabl_B3_Comp!$B$55:$C$65,2,FALSE))*$C19)</f>
        <v>0.28595839880965168</v>
      </c>
      <c r="N19" s="205">
        <f>((VLOOKUP(N$5,Tabl_B3_Comp!$B$55:$C$65,2,FALSE))*$C19)</f>
        <v>4.7203659133650641E-2</v>
      </c>
      <c r="O19" s="205">
        <f>((VLOOKUP(O$5,Tabl_B3_Comp!$B$55:$C$65,2,FALSE))*$C19)</f>
        <v>0.47614125734812823</v>
      </c>
      <c r="P19" s="205">
        <f>((VLOOKUP(P$5,Tabl_B3_Comp!$B$55:$C$65,2,FALSE))*$C19)</f>
        <v>2.3259774065856841E-2</v>
      </c>
      <c r="Q19" s="206">
        <f>((VLOOKUP(Q$5,Tabl_B3_Comp!$B$55:$C$65,2,FALSE))*$D19)</f>
        <v>1.0720862824875191E-3</v>
      </c>
      <c r="R19" s="205">
        <f>((VLOOKUP(R$5,Tabl_B3_Comp!$B$55:$C$65,2,FALSE))*$D19)</f>
        <v>6.2225987025499362E-4</v>
      </c>
      <c r="S19" s="205">
        <f>((VLOOKUP(S$5,Tabl_B3_Comp!$B$55:$C$65,2,FALSE))*$D19)</f>
        <v>1.3082451489095951E-5</v>
      </c>
      <c r="T19" s="205">
        <f>((VLOOKUP(T$5,Tabl_B3_Comp!$B$55:$C$65,2,FALSE))*$D19)</f>
        <v>4.8731194658523597E-6</v>
      </c>
      <c r="U19" s="205">
        <f>((VLOOKUP(U$5,Tabl_B3_Comp!$B$55:$C$65,2,FALSE))*$D19)</f>
        <v>8.6966439698288271E-5</v>
      </c>
      <c r="V19" s="205">
        <f>((VLOOKUP(V$5,Tabl_B3_Comp!$B$55:$C$65,2,FALSE))*$D19)</f>
        <v>2.207897973374646E-4</v>
      </c>
      <c r="W19" s="205">
        <f>((VLOOKUP(W$5,Tabl_B3_Comp!$B$55:$C$65,2,FALSE))*$D19)</f>
        <v>4.5732351910306758E-5</v>
      </c>
      <c r="X19" s="205">
        <f>((VLOOKUP(X$5,Tabl_B3_Comp!$B$55:$C$65,2,FALSE))*$D19)</f>
        <v>7.8344766797164853E-4</v>
      </c>
      <c r="Y19" s="205">
        <f>((VLOOKUP(Y$5,Tabl_B3_Comp!$B$55:$C$65,2,FALSE))*$D19)</f>
        <v>1.2932509351685107E-4</v>
      </c>
      <c r="Z19" s="205">
        <f>((VLOOKUP(Z$5,Tabl_B3_Comp!$B$55:$C$65,2,FALSE))*$D19)</f>
        <v>1.304496595474324E-3</v>
      </c>
      <c r="AA19" s="205">
        <f>((VLOOKUP(AA$5,Tabl_B3_Comp!$B$55:$C$65,2,FALSE))*$D19)</f>
        <v>6.3725408399607783E-5</v>
      </c>
    </row>
    <row r="20" spans="1:27">
      <c r="A20" s="269"/>
      <c r="B20" t="s">
        <v>1309</v>
      </c>
      <c r="C20" s="40">
        <v>107.93282529478776</v>
      </c>
      <c r="D20" s="13">
        <v>0.29570637067065142</v>
      </c>
      <c r="E20" s="133">
        <v>0</v>
      </c>
      <c r="F20" s="205">
        <f>((VLOOKUP(F$5,Tabl_B3_Comp!$B$55:$C$65,2,FALSE))*$C20)</f>
        <v>0.30868788034309302</v>
      </c>
      <c r="G20" s="205">
        <f>((VLOOKUP(G$5,Tabl_B3_Comp!$B$55:$C$65,2,FALSE))*$C20)</f>
        <v>0.17916848998934767</v>
      </c>
      <c r="H20" s="205">
        <f>((VLOOKUP(H$5,Tabl_B3_Comp!$B$55:$C$65,2,FALSE))*$C20)</f>
        <v>3.7668556027880928E-3</v>
      </c>
      <c r="I20" s="205">
        <f>((VLOOKUP(I$5,Tabl_B3_Comp!$B$55:$C$65,2,FALSE))*$C20)</f>
        <v>1.4031267288322409E-3</v>
      </c>
      <c r="J20" s="205">
        <f>((VLOOKUP(J$5,Tabl_B3_Comp!$B$55:$C$65,2,FALSE))*$C20)</f>
        <v>2.504041546839076E-2</v>
      </c>
      <c r="K20" s="205">
        <f>((VLOOKUP(K$5,Tabl_B3_Comp!$B$55:$C$65,2,FALSE))*$C20)</f>
        <v>6.357243409862999E-2</v>
      </c>
      <c r="L20" s="205">
        <f>((VLOOKUP(L$5,Tabl_B3_Comp!$B$55:$C$65,2,FALSE))*$C20)</f>
        <v>1.3167804685964107E-2</v>
      </c>
      <c r="M20" s="205">
        <f>((VLOOKUP(M$5,Tabl_B3_Comp!$B$55:$C$65,2,FALSE))*$C20)</f>
        <v>0.2255796048661064</v>
      </c>
      <c r="N20" s="205">
        <f>((VLOOKUP(N$5,Tabl_B3_Comp!$B$55:$C$65,2,FALSE))*$C20)</f>
        <v>3.7236824726701777E-2</v>
      </c>
      <c r="O20" s="205">
        <f>((VLOOKUP(O$5,Tabl_B3_Comp!$B$55:$C$65,2,FALSE))*$C20)</f>
        <v>0.37560623202586141</v>
      </c>
      <c r="P20" s="205">
        <f>((VLOOKUP(P$5,Tabl_B3_Comp!$B$55:$C$65,2,FALSE))*$C20)</f>
        <v>1.834858030011392E-2</v>
      </c>
      <c r="Q20" s="206">
        <f>((VLOOKUP(Q$5,Tabl_B3_Comp!$B$55:$C$65,2,FALSE))*$D20)</f>
        <v>8.457202201180631E-4</v>
      </c>
      <c r="R20" s="205">
        <f>((VLOOKUP(R$5,Tabl_B3_Comp!$B$55:$C$65,2,FALSE))*$D20)</f>
        <v>4.9087257531328133E-4</v>
      </c>
      <c r="S20" s="205">
        <f>((VLOOKUP(S$5,Tabl_B3_Comp!$B$55:$C$65,2,FALSE))*$D20)</f>
        <v>1.0320152336405735E-5</v>
      </c>
      <c r="T20" s="205">
        <f>((VLOOKUP(T$5,Tabl_B3_Comp!$B$55:$C$65,2,FALSE))*$D20)</f>
        <v>3.8441828187184683E-6</v>
      </c>
      <c r="U20" s="205">
        <f>((VLOOKUP(U$5,Tabl_B3_Comp!$B$55:$C$65,2,FALSE))*$D20)</f>
        <v>6.8603877995591128E-5</v>
      </c>
      <c r="V20" s="205">
        <f>((VLOOKUP(V$5,Tabl_B3_Comp!$B$55:$C$65,2,FALSE))*$D20)</f>
        <v>1.7417105232501369E-4</v>
      </c>
      <c r="W20" s="205">
        <f>((VLOOKUP(W$5,Tabl_B3_Comp!$B$55:$C$65,2,FALSE))*$D20)</f>
        <v>3.6076177221819473E-5</v>
      </c>
      <c r="X20" s="205">
        <f>((VLOOKUP(X$5,Tabl_B3_Comp!$B$55:$C$65,2,FALSE))*$D20)</f>
        <v>6.1802631470166147E-4</v>
      </c>
      <c r="Y20" s="205">
        <f>((VLOOKUP(Y$5,Tabl_B3_Comp!$B$55:$C$65,2,FALSE))*$D20)</f>
        <v>1.0201869788137473E-4</v>
      </c>
      <c r="Z20" s="205">
        <f>((VLOOKUP(Z$5,Tabl_B3_Comp!$B$55:$C$65,2,FALSE))*$D20)</f>
        <v>1.0290581699338669E-3</v>
      </c>
      <c r="AA20" s="205">
        <f>((VLOOKUP(AA$5,Tabl_B3_Comp!$B$55:$C$65,2,FALSE))*$D20)</f>
        <v>5.0270083014010743E-5</v>
      </c>
    </row>
    <row r="21" spans="1:27">
      <c r="A21" s="269"/>
      <c r="B21" t="s">
        <v>1310</v>
      </c>
      <c r="C21" s="40">
        <v>114.21571622921432</v>
      </c>
      <c r="D21" s="13">
        <v>0.31291977049099812</v>
      </c>
      <c r="E21" s="133">
        <v>0</v>
      </c>
      <c r="F21" s="205">
        <f>((VLOOKUP(F$5,Tabl_B3_Comp!$B$55:$C$65,2,FALSE))*$C21)</f>
        <v>0.32665694841555298</v>
      </c>
      <c r="G21" s="205">
        <f>((VLOOKUP(G$5,Tabl_B3_Comp!$B$55:$C$65,2,FALSE))*$C21)</f>
        <v>0.18959808894049579</v>
      </c>
      <c r="H21" s="205">
        <f>((VLOOKUP(H$5,Tabl_B3_Comp!$B$55:$C$65,2,FALSE))*$C21)</f>
        <v>3.9861284963995797E-3</v>
      </c>
      <c r="I21" s="205">
        <f>((VLOOKUP(I$5,Tabl_B3_Comp!$B$55:$C$65,2,FALSE))*$C21)</f>
        <v>1.4848043109797861E-3</v>
      </c>
      <c r="J21" s="205">
        <f>((VLOOKUP(J$5,Tabl_B3_Comp!$B$55:$C$65,2,FALSE))*$C21)</f>
        <v>2.6498046165177723E-2</v>
      </c>
      <c r="K21" s="205">
        <f>((VLOOKUP(K$5,Tabl_B3_Comp!$B$55:$C$65,2,FALSE))*$C21)</f>
        <v>6.7273056859007238E-2</v>
      </c>
      <c r="L21" s="205">
        <f>((VLOOKUP(L$5,Tabl_B3_Comp!$B$55:$C$65,2,FALSE))*$C21)</f>
        <v>1.3934317379964147E-2</v>
      </c>
      <c r="M21" s="205">
        <f>((VLOOKUP(M$5,Tabl_B3_Comp!$B$55:$C$65,2,FALSE))*$C21)</f>
        <v>0.23871084691905792</v>
      </c>
      <c r="N21" s="205">
        <f>((VLOOKUP(N$5,Tabl_B3_Comp!$B$55:$C$65,2,FALSE))*$C21)</f>
        <v>3.9404422099078941E-2</v>
      </c>
      <c r="O21" s="205">
        <f>((VLOOKUP(O$5,Tabl_B3_Comp!$B$55:$C$65,2,FALSE))*$C21)</f>
        <v>0.39747069247766587</v>
      </c>
      <c r="P21" s="205">
        <f>((VLOOKUP(P$5,Tabl_B3_Comp!$B$55:$C$65,2,FALSE))*$C21)</f>
        <v>1.9416671758966435E-2</v>
      </c>
      <c r="Q21" s="206">
        <f>((VLOOKUP(Q$5,Tabl_B3_Comp!$B$55:$C$65,2,FALSE))*$D21)</f>
        <v>8.9495054360425464E-4</v>
      </c>
      <c r="R21" s="205">
        <f>((VLOOKUP(R$5,Tabl_B3_Comp!$B$55:$C$65,2,FALSE))*$D21)</f>
        <v>5.1944681901505685E-4</v>
      </c>
      <c r="S21" s="205">
        <f>((VLOOKUP(S$5,Tabl_B3_Comp!$B$55:$C$65,2,FALSE))*$D21)</f>
        <v>1.0920899990135835E-5</v>
      </c>
      <c r="T21" s="205">
        <f>((VLOOKUP(T$5,Tabl_B3_Comp!$B$55:$C$65,2,FALSE))*$D21)</f>
        <v>4.0679570163829756E-6</v>
      </c>
      <c r="U21" s="205">
        <f>((VLOOKUP(U$5,Tabl_B3_Comp!$B$55:$C$65,2,FALSE))*$D21)</f>
        <v>7.2597386753911567E-5</v>
      </c>
      <c r="V21" s="205">
        <f>((VLOOKUP(V$5,Tabl_B3_Comp!$B$55:$C$65,2,FALSE))*$D21)</f>
        <v>1.8430974481919789E-4</v>
      </c>
      <c r="W21" s="205">
        <f>((VLOOKUP(W$5,Tabl_B3_Comp!$B$55:$C$65,2,FALSE))*$D21)</f>
        <v>3.8176211999901766E-5</v>
      </c>
      <c r="X21" s="205">
        <f>((VLOOKUP(X$5,Tabl_B3_Comp!$B$55:$C$65,2,FALSE))*$D21)</f>
        <v>6.5400232032618603E-4</v>
      </c>
      <c r="Y21" s="205">
        <f>((VLOOKUP(Y$5,Tabl_B3_Comp!$B$55:$C$65,2,FALSE))*$D21)</f>
        <v>1.0795732081939435E-4</v>
      </c>
      <c r="Z21" s="205">
        <f>((VLOOKUP(Z$5,Tabl_B3_Comp!$B$55:$C$65,2,FALSE))*$D21)</f>
        <v>1.0889608013086734E-3</v>
      </c>
      <c r="AA21" s="205">
        <f>((VLOOKUP(AA$5,Tabl_B3_Comp!$B$55:$C$65,2,FALSE))*$D21)</f>
        <v>5.3196360983469682E-5</v>
      </c>
    </row>
    <row r="22" spans="1:27">
      <c r="A22" s="269"/>
      <c r="B22" t="s">
        <v>1311</v>
      </c>
      <c r="C22" s="40">
        <v>114.21571622921432</v>
      </c>
      <c r="D22" s="13">
        <v>0.31291977049099812</v>
      </c>
      <c r="E22" s="133">
        <v>0</v>
      </c>
      <c r="F22" s="205">
        <f>((VLOOKUP(F$5,Tabl_B3_Comp!$B$55:$C$65,2,FALSE))*$C22)</f>
        <v>0.32665694841555298</v>
      </c>
      <c r="G22" s="205">
        <f>((VLOOKUP(G$5,Tabl_B3_Comp!$B$55:$C$65,2,FALSE))*$C22)</f>
        <v>0.18959808894049579</v>
      </c>
      <c r="H22" s="205">
        <f>((VLOOKUP(H$5,Tabl_B3_Comp!$B$55:$C$65,2,FALSE))*$C22)</f>
        <v>3.9861284963995797E-3</v>
      </c>
      <c r="I22" s="205">
        <f>((VLOOKUP(I$5,Tabl_B3_Comp!$B$55:$C$65,2,FALSE))*$C22)</f>
        <v>1.4848043109797861E-3</v>
      </c>
      <c r="J22" s="205">
        <f>((VLOOKUP(J$5,Tabl_B3_Comp!$B$55:$C$65,2,FALSE))*$C22)</f>
        <v>2.6498046165177723E-2</v>
      </c>
      <c r="K22" s="205">
        <f>((VLOOKUP(K$5,Tabl_B3_Comp!$B$55:$C$65,2,FALSE))*$C22)</f>
        <v>6.7273056859007238E-2</v>
      </c>
      <c r="L22" s="205">
        <f>((VLOOKUP(L$5,Tabl_B3_Comp!$B$55:$C$65,2,FALSE))*$C22)</f>
        <v>1.3934317379964147E-2</v>
      </c>
      <c r="M22" s="205">
        <f>((VLOOKUP(M$5,Tabl_B3_Comp!$B$55:$C$65,2,FALSE))*$C22)</f>
        <v>0.23871084691905792</v>
      </c>
      <c r="N22" s="205">
        <f>((VLOOKUP(N$5,Tabl_B3_Comp!$B$55:$C$65,2,FALSE))*$C22)</f>
        <v>3.9404422099078941E-2</v>
      </c>
      <c r="O22" s="205">
        <f>((VLOOKUP(O$5,Tabl_B3_Comp!$B$55:$C$65,2,FALSE))*$C22)</f>
        <v>0.39747069247766587</v>
      </c>
      <c r="P22" s="205">
        <f>((VLOOKUP(P$5,Tabl_B3_Comp!$B$55:$C$65,2,FALSE))*$C22)</f>
        <v>1.9416671758966435E-2</v>
      </c>
      <c r="Q22" s="206">
        <f>((VLOOKUP(Q$5,Tabl_B3_Comp!$B$55:$C$65,2,FALSE))*$D22)</f>
        <v>8.9495054360425464E-4</v>
      </c>
      <c r="R22" s="205">
        <f>((VLOOKUP(R$5,Tabl_B3_Comp!$B$55:$C$65,2,FALSE))*$D22)</f>
        <v>5.1944681901505685E-4</v>
      </c>
      <c r="S22" s="205">
        <f>((VLOOKUP(S$5,Tabl_B3_Comp!$B$55:$C$65,2,FALSE))*$D22)</f>
        <v>1.0920899990135835E-5</v>
      </c>
      <c r="T22" s="205">
        <f>((VLOOKUP(T$5,Tabl_B3_Comp!$B$55:$C$65,2,FALSE))*$D22)</f>
        <v>4.0679570163829756E-6</v>
      </c>
      <c r="U22" s="205">
        <f>((VLOOKUP(U$5,Tabl_B3_Comp!$B$55:$C$65,2,FALSE))*$D22)</f>
        <v>7.2597386753911567E-5</v>
      </c>
      <c r="V22" s="205">
        <f>((VLOOKUP(V$5,Tabl_B3_Comp!$B$55:$C$65,2,FALSE))*$D22)</f>
        <v>1.8430974481919789E-4</v>
      </c>
      <c r="W22" s="205">
        <f>((VLOOKUP(W$5,Tabl_B3_Comp!$B$55:$C$65,2,FALSE))*$D22)</f>
        <v>3.8176211999901766E-5</v>
      </c>
      <c r="X22" s="205">
        <f>((VLOOKUP(X$5,Tabl_B3_Comp!$B$55:$C$65,2,FALSE))*$D22)</f>
        <v>6.5400232032618603E-4</v>
      </c>
      <c r="Y22" s="205">
        <f>((VLOOKUP(Y$5,Tabl_B3_Comp!$B$55:$C$65,2,FALSE))*$D22)</f>
        <v>1.0795732081939435E-4</v>
      </c>
      <c r="Z22" s="205">
        <f>((VLOOKUP(Z$5,Tabl_B3_Comp!$B$55:$C$65,2,FALSE))*$D22)</f>
        <v>1.0889608013086734E-3</v>
      </c>
      <c r="AA22" s="205">
        <f>((VLOOKUP(AA$5,Tabl_B3_Comp!$B$55:$C$65,2,FALSE))*$D22)</f>
        <v>5.3196360983469682E-5</v>
      </c>
    </row>
    <row r="23" spans="1:27">
      <c r="A23" s="269"/>
      <c r="B23" t="s">
        <v>1312</v>
      </c>
      <c r="C23" s="40">
        <v>114.21571622921432</v>
      </c>
      <c r="D23" s="13">
        <v>0.31291977049099812</v>
      </c>
      <c r="E23" s="133">
        <v>0</v>
      </c>
      <c r="F23" s="205">
        <f>((VLOOKUP(F$5,Tabl_B3_Comp!$B$55:$C$65,2,FALSE))*$C23)</f>
        <v>0.32665694841555298</v>
      </c>
      <c r="G23" s="205">
        <f>((VLOOKUP(G$5,Tabl_B3_Comp!$B$55:$C$65,2,FALSE))*$C23)</f>
        <v>0.18959808894049579</v>
      </c>
      <c r="H23" s="205">
        <f>((VLOOKUP(H$5,Tabl_B3_Comp!$B$55:$C$65,2,FALSE))*$C23)</f>
        <v>3.9861284963995797E-3</v>
      </c>
      <c r="I23" s="205">
        <f>((VLOOKUP(I$5,Tabl_B3_Comp!$B$55:$C$65,2,FALSE))*$C23)</f>
        <v>1.4848043109797861E-3</v>
      </c>
      <c r="J23" s="205">
        <f>((VLOOKUP(J$5,Tabl_B3_Comp!$B$55:$C$65,2,FALSE))*$C23)</f>
        <v>2.6498046165177723E-2</v>
      </c>
      <c r="K23" s="205">
        <f>((VLOOKUP(K$5,Tabl_B3_Comp!$B$55:$C$65,2,FALSE))*$C23)</f>
        <v>6.7273056859007238E-2</v>
      </c>
      <c r="L23" s="205">
        <f>((VLOOKUP(L$5,Tabl_B3_Comp!$B$55:$C$65,2,FALSE))*$C23)</f>
        <v>1.3934317379964147E-2</v>
      </c>
      <c r="M23" s="205">
        <f>((VLOOKUP(M$5,Tabl_B3_Comp!$B$55:$C$65,2,FALSE))*$C23)</f>
        <v>0.23871084691905792</v>
      </c>
      <c r="N23" s="205">
        <f>((VLOOKUP(N$5,Tabl_B3_Comp!$B$55:$C$65,2,FALSE))*$C23)</f>
        <v>3.9404422099078941E-2</v>
      </c>
      <c r="O23" s="205">
        <f>((VLOOKUP(O$5,Tabl_B3_Comp!$B$55:$C$65,2,FALSE))*$C23)</f>
        <v>0.39747069247766587</v>
      </c>
      <c r="P23" s="205">
        <f>((VLOOKUP(P$5,Tabl_B3_Comp!$B$55:$C$65,2,FALSE))*$C23)</f>
        <v>1.9416671758966435E-2</v>
      </c>
      <c r="Q23" s="206">
        <f>((VLOOKUP(Q$5,Tabl_B3_Comp!$B$55:$C$65,2,FALSE))*$D23)</f>
        <v>8.9495054360425464E-4</v>
      </c>
      <c r="R23" s="205">
        <f>((VLOOKUP(R$5,Tabl_B3_Comp!$B$55:$C$65,2,FALSE))*$D23)</f>
        <v>5.1944681901505685E-4</v>
      </c>
      <c r="S23" s="205">
        <f>((VLOOKUP(S$5,Tabl_B3_Comp!$B$55:$C$65,2,FALSE))*$D23)</f>
        <v>1.0920899990135835E-5</v>
      </c>
      <c r="T23" s="205">
        <f>((VLOOKUP(T$5,Tabl_B3_Comp!$B$55:$C$65,2,FALSE))*$D23)</f>
        <v>4.0679570163829756E-6</v>
      </c>
      <c r="U23" s="205">
        <f>((VLOOKUP(U$5,Tabl_B3_Comp!$B$55:$C$65,2,FALSE))*$D23)</f>
        <v>7.2597386753911567E-5</v>
      </c>
      <c r="V23" s="205">
        <f>((VLOOKUP(V$5,Tabl_B3_Comp!$B$55:$C$65,2,FALSE))*$D23)</f>
        <v>1.8430974481919789E-4</v>
      </c>
      <c r="W23" s="205">
        <f>((VLOOKUP(W$5,Tabl_B3_Comp!$B$55:$C$65,2,FALSE))*$D23)</f>
        <v>3.8176211999901766E-5</v>
      </c>
      <c r="X23" s="205">
        <f>((VLOOKUP(X$5,Tabl_B3_Comp!$B$55:$C$65,2,FALSE))*$D23)</f>
        <v>6.5400232032618603E-4</v>
      </c>
      <c r="Y23" s="205">
        <f>((VLOOKUP(Y$5,Tabl_B3_Comp!$B$55:$C$65,2,FALSE))*$D23)</f>
        <v>1.0795732081939435E-4</v>
      </c>
      <c r="Z23" s="205">
        <f>((VLOOKUP(Z$5,Tabl_B3_Comp!$B$55:$C$65,2,FALSE))*$D23)</f>
        <v>1.0889608013086734E-3</v>
      </c>
      <c r="AA23" s="205">
        <f>((VLOOKUP(AA$5,Tabl_B3_Comp!$B$55:$C$65,2,FALSE))*$D23)</f>
        <v>5.3196360983469682E-5</v>
      </c>
    </row>
    <row r="24" spans="1:27">
      <c r="A24" s="269"/>
      <c r="B24" t="s">
        <v>1313</v>
      </c>
      <c r="C24" s="40">
        <v>114.21571622921432</v>
      </c>
      <c r="D24" s="13">
        <v>0.31291977049099812</v>
      </c>
      <c r="E24" s="133">
        <v>0</v>
      </c>
      <c r="F24" s="205">
        <f>((VLOOKUP(F$5,Tabl_B3_Comp!$B$55:$C$65,2,FALSE))*$C24)</f>
        <v>0.32665694841555298</v>
      </c>
      <c r="G24" s="205">
        <f>((VLOOKUP(G$5,Tabl_B3_Comp!$B$55:$C$65,2,FALSE))*$C24)</f>
        <v>0.18959808894049579</v>
      </c>
      <c r="H24" s="205">
        <f>((VLOOKUP(H$5,Tabl_B3_Comp!$B$55:$C$65,2,FALSE))*$C24)</f>
        <v>3.9861284963995797E-3</v>
      </c>
      <c r="I24" s="205">
        <f>((VLOOKUP(I$5,Tabl_B3_Comp!$B$55:$C$65,2,FALSE))*$C24)</f>
        <v>1.4848043109797861E-3</v>
      </c>
      <c r="J24" s="205">
        <f>((VLOOKUP(J$5,Tabl_B3_Comp!$B$55:$C$65,2,FALSE))*$C24)</f>
        <v>2.6498046165177723E-2</v>
      </c>
      <c r="K24" s="205">
        <f>((VLOOKUP(K$5,Tabl_B3_Comp!$B$55:$C$65,2,FALSE))*$C24)</f>
        <v>6.7273056859007238E-2</v>
      </c>
      <c r="L24" s="205">
        <f>((VLOOKUP(L$5,Tabl_B3_Comp!$B$55:$C$65,2,FALSE))*$C24)</f>
        <v>1.3934317379964147E-2</v>
      </c>
      <c r="M24" s="205">
        <f>((VLOOKUP(M$5,Tabl_B3_Comp!$B$55:$C$65,2,FALSE))*$C24)</f>
        <v>0.23871084691905792</v>
      </c>
      <c r="N24" s="205">
        <f>((VLOOKUP(N$5,Tabl_B3_Comp!$B$55:$C$65,2,FALSE))*$C24)</f>
        <v>3.9404422099078941E-2</v>
      </c>
      <c r="O24" s="205">
        <f>((VLOOKUP(O$5,Tabl_B3_Comp!$B$55:$C$65,2,FALSE))*$C24)</f>
        <v>0.39747069247766587</v>
      </c>
      <c r="P24" s="205">
        <f>((VLOOKUP(P$5,Tabl_B3_Comp!$B$55:$C$65,2,FALSE))*$C24)</f>
        <v>1.9416671758966435E-2</v>
      </c>
      <c r="Q24" s="206">
        <f>((VLOOKUP(Q$5,Tabl_B3_Comp!$B$55:$C$65,2,FALSE))*$D24)</f>
        <v>8.9495054360425464E-4</v>
      </c>
      <c r="R24" s="205">
        <f>((VLOOKUP(R$5,Tabl_B3_Comp!$B$55:$C$65,2,FALSE))*$D24)</f>
        <v>5.1944681901505685E-4</v>
      </c>
      <c r="S24" s="205">
        <f>((VLOOKUP(S$5,Tabl_B3_Comp!$B$55:$C$65,2,FALSE))*$D24)</f>
        <v>1.0920899990135835E-5</v>
      </c>
      <c r="T24" s="205">
        <f>((VLOOKUP(T$5,Tabl_B3_Comp!$B$55:$C$65,2,FALSE))*$D24)</f>
        <v>4.0679570163829756E-6</v>
      </c>
      <c r="U24" s="205">
        <f>((VLOOKUP(U$5,Tabl_B3_Comp!$B$55:$C$65,2,FALSE))*$D24)</f>
        <v>7.2597386753911567E-5</v>
      </c>
      <c r="V24" s="205">
        <f>((VLOOKUP(V$5,Tabl_B3_Comp!$B$55:$C$65,2,FALSE))*$D24)</f>
        <v>1.8430974481919789E-4</v>
      </c>
      <c r="W24" s="205">
        <f>((VLOOKUP(W$5,Tabl_B3_Comp!$B$55:$C$65,2,FALSE))*$D24)</f>
        <v>3.8176211999901766E-5</v>
      </c>
      <c r="X24" s="205">
        <f>((VLOOKUP(X$5,Tabl_B3_Comp!$B$55:$C$65,2,FALSE))*$D24)</f>
        <v>6.5400232032618603E-4</v>
      </c>
      <c r="Y24" s="205">
        <f>((VLOOKUP(Y$5,Tabl_B3_Comp!$B$55:$C$65,2,FALSE))*$D24)</f>
        <v>1.0795732081939435E-4</v>
      </c>
      <c r="Z24" s="205">
        <f>((VLOOKUP(Z$5,Tabl_B3_Comp!$B$55:$C$65,2,FALSE))*$D24)</f>
        <v>1.0889608013086734E-3</v>
      </c>
      <c r="AA24" s="205">
        <f>((VLOOKUP(AA$5,Tabl_B3_Comp!$B$55:$C$65,2,FALSE))*$D24)</f>
        <v>5.3196360983469682E-5</v>
      </c>
    </row>
    <row r="25" spans="1:27">
      <c r="A25" s="269"/>
      <c r="B25" t="s">
        <v>1571</v>
      </c>
      <c r="C25" s="40">
        <v>115.44916721020601</v>
      </c>
      <c r="D25" s="13">
        <v>0.31629908824713976</v>
      </c>
      <c r="E25" s="133">
        <v>0</v>
      </c>
      <c r="F25" s="205">
        <f>((VLOOKUP(F$5,Tabl_B3_Comp!$B$55:$C$65,2,FALSE))*$C25)</f>
        <v>0.33018461822118922</v>
      </c>
      <c r="G25" s="205">
        <f>((VLOOKUP(G$5,Tabl_B3_Comp!$B$55:$C$65,2,FALSE))*$C25)</f>
        <v>0.19164561756894199</v>
      </c>
      <c r="H25" s="205">
        <f>((VLOOKUP(H$5,Tabl_B3_Comp!$B$55:$C$65,2,FALSE))*$C25)</f>
        <v>4.0291759356361903E-3</v>
      </c>
      <c r="I25" s="205">
        <f>((VLOOKUP(I$5,Tabl_B3_Comp!$B$55:$C$65,2,FALSE))*$C25)</f>
        <v>1.5008391737326781E-3</v>
      </c>
      <c r="J25" s="205">
        <f>((VLOOKUP(J$5,Tabl_B3_Comp!$B$55:$C$65,2,FALSE))*$C25)</f>
        <v>2.6784206792767794E-2</v>
      </c>
      <c r="K25" s="205">
        <f>((VLOOKUP(K$5,Tabl_B3_Comp!$B$55:$C$65,2,FALSE))*$C25)</f>
        <v>6.7999559486811342E-2</v>
      </c>
      <c r="L25" s="205">
        <f>((VLOOKUP(L$5,Tabl_B3_Comp!$B$55:$C$65,2,FALSE))*$C25)</f>
        <v>1.4084798399645134E-2</v>
      </c>
      <c r="M25" s="205">
        <f>((VLOOKUP(M$5,Tabl_B3_Comp!$B$55:$C$65,2,FALSE))*$C25)</f>
        <v>0.24128875946933054</v>
      </c>
      <c r="N25" s="205">
        <f>((VLOOKUP(N$5,Tabl_B3_Comp!$B$55:$C$65,2,FALSE))*$C25)</f>
        <v>3.9829962687521071E-2</v>
      </c>
      <c r="O25" s="205">
        <f>((VLOOKUP(O$5,Tabl_B3_Comp!$B$55:$C$65,2,FALSE))*$C25)</f>
        <v>0.40176310189151693</v>
      </c>
      <c r="P25" s="205">
        <f>((VLOOKUP(P$5,Tabl_B3_Comp!$B$55:$C$65,2,FALSE))*$C25)</f>
        <v>1.9626358425735024E-2</v>
      </c>
      <c r="Q25" s="206">
        <f>((VLOOKUP(Q$5,Tabl_B3_Comp!$B$55:$C$65,2,FALSE))*$D25)</f>
        <v>9.0461539238681976E-4</v>
      </c>
      <c r="R25" s="205">
        <f>((VLOOKUP(R$5,Tabl_B3_Comp!$B$55:$C$65,2,FALSE))*$D25)</f>
        <v>5.2505648649025204E-4</v>
      </c>
      <c r="S25" s="205">
        <f>((VLOOKUP(S$5,Tabl_B3_Comp!$B$55:$C$65,2,FALSE))*$D25)</f>
        <v>1.1038838179825178E-5</v>
      </c>
      <c r="T25" s="205">
        <f>((VLOOKUP(T$5,Tabl_B3_Comp!$B$55:$C$65,2,FALSE))*$D25)</f>
        <v>4.1118881472128169E-6</v>
      </c>
      <c r="U25" s="205">
        <f>((VLOOKUP(U$5,Tabl_B3_Comp!$B$55:$C$65,2,FALSE))*$D25)</f>
        <v>7.338138847333642E-5</v>
      </c>
      <c r="V25" s="205">
        <f>((VLOOKUP(V$5,Tabl_B3_Comp!$B$55:$C$65,2,FALSE))*$D25)</f>
        <v>1.8630016297756531E-4</v>
      </c>
      <c r="W25" s="205">
        <f>((VLOOKUP(W$5,Tabl_B3_Comp!$B$55:$C$65,2,FALSE))*$D25)</f>
        <v>3.8588488766151051E-5</v>
      </c>
      <c r="X25" s="205">
        <f>((VLOOKUP(X$5,Tabl_B3_Comp!$B$55:$C$65,2,FALSE))*$D25)</f>
        <v>6.6106509443652204E-4</v>
      </c>
      <c r="Y25" s="205">
        <f>((VLOOKUP(Y$5,Tabl_B3_Comp!$B$55:$C$65,2,FALSE))*$D25)</f>
        <v>1.0912318544526321E-4</v>
      </c>
      <c r="Z25" s="205">
        <f>((VLOOKUP(Z$5,Tabl_B3_Comp!$B$55:$C$65,2,FALSE))*$D25)</f>
        <v>1.1007208271000463E-3</v>
      </c>
      <c r="AA25" s="205">
        <f>((VLOOKUP(AA$5,Tabl_B3_Comp!$B$55:$C$65,2,FALSE))*$D25)</f>
        <v>5.3770845002013763E-5</v>
      </c>
    </row>
    <row r="26" spans="1:27">
      <c r="A26" s="269"/>
      <c r="B26" t="s">
        <v>1572</v>
      </c>
      <c r="C26" s="40">
        <v>115.44916721020601</v>
      </c>
      <c r="D26" s="13">
        <v>0.31629908824713976</v>
      </c>
      <c r="E26" s="133">
        <v>0</v>
      </c>
      <c r="F26" s="205">
        <f>((VLOOKUP(F$5,Tabl_B3_Comp!$B$55:$C$65,2,FALSE))*$C26)</f>
        <v>0.33018461822118922</v>
      </c>
      <c r="G26" s="205">
        <f>((VLOOKUP(G$5,Tabl_B3_Comp!$B$55:$C$65,2,FALSE))*$C26)</f>
        <v>0.19164561756894199</v>
      </c>
      <c r="H26" s="205">
        <f>((VLOOKUP(H$5,Tabl_B3_Comp!$B$55:$C$65,2,FALSE))*$C26)</f>
        <v>4.0291759356361903E-3</v>
      </c>
      <c r="I26" s="205">
        <f>((VLOOKUP(I$5,Tabl_B3_Comp!$B$55:$C$65,2,FALSE))*$C26)</f>
        <v>1.5008391737326781E-3</v>
      </c>
      <c r="J26" s="205">
        <f>((VLOOKUP(J$5,Tabl_B3_Comp!$B$55:$C$65,2,FALSE))*$C26)</f>
        <v>2.6784206792767794E-2</v>
      </c>
      <c r="K26" s="205">
        <f>((VLOOKUP(K$5,Tabl_B3_Comp!$B$55:$C$65,2,FALSE))*$C26)</f>
        <v>6.7999559486811342E-2</v>
      </c>
      <c r="L26" s="205">
        <f>((VLOOKUP(L$5,Tabl_B3_Comp!$B$55:$C$65,2,FALSE))*$C26)</f>
        <v>1.4084798399645134E-2</v>
      </c>
      <c r="M26" s="205">
        <f>((VLOOKUP(M$5,Tabl_B3_Comp!$B$55:$C$65,2,FALSE))*$C26)</f>
        <v>0.24128875946933054</v>
      </c>
      <c r="N26" s="205">
        <f>((VLOOKUP(N$5,Tabl_B3_Comp!$B$55:$C$65,2,FALSE))*$C26)</f>
        <v>3.9829962687521071E-2</v>
      </c>
      <c r="O26" s="205">
        <f>((VLOOKUP(O$5,Tabl_B3_Comp!$B$55:$C$65,2,FALSE))*$C26)</f>
        <v>0.40176310189151693</v>
      </c>
      <c r="P26" s="205">
        <f>((VLOOKUP(P$5,Tabl_B3_Comp!$B$55:$C$65,2,FALSE))*$C26)</f>
        <v>1.9626358425735024E-2</v>
      </c>
      <c r="Q26" s="206">
        <f>((VLOOKUP(Q$5,Tabl_B3_Comp!$B$55:$C$65,2,FALSE))*$D26)</f>
        <v>9.0461539238681976E-4</v>
      </c>
      <c r="R26" s="205">
        <f>((VLOOKUP(R$5,Tabl_B3_Comp!$B$55:$C$65,2,FALSE))*$D26)</f>
        <v>5.2505648649025204E-4</v>
      </c>
      <c r="S26" s="205">
        <f>((VLOOKUP(S$5,Tabl_B3_Comp!$B$55:$C$65,2,FALSE))*$D26)</f>
        <v>1.1038838179825178E-5</v>
      </c>
      <c r="T26" s="205">
        <f>((VLOOKUP(T$5,Tabl_B3_Comp!$B$55:$C$65,2,FALSE))*$D26)</f>
        <v>4.1118881472128169E-6</v>
      </c>
      <c r="U26" s="205">
        <f>((VLOOKUP(U$5,Tabl_B3_Comp!$B$55:$C$65,2,FALSE))*$D26)</f>
        <v>7.338138847333642E-5</v>
      </c>
      <c r="V26" s="205">
        <f>((VLOOKUP(V$5,Tabl_B3_Comp!$B$55:$C$65,2,FALSE))*$D26)</f>
        <v>1.8630016297756531E-4</v>
      </c>
      <c r="W26" s="205">
        <f>((VLOOKUP(W$5,Tabl_B3_Comp!$B$55:$C$65,2,FALSE))*$D26)</f>
        <v>3.8588488766151051E-5</v>
      </c>
      <c r="X26" s="205">
        <f>((VLOOKUP(X$5,Tabl_B3_Comp!$B$55:$C$65,2,FALSE))*$D26)</f>
        <v>6.6106509443652204E-4</v>
      </c>
      <c r="Y26" s="205">
        <f>((VLOOKUP(Y$5,Tabl_B3_Comp!$B$55:$C$65,2,FALSE))*$D26)</f>
        <v>1.0912318544526321E-4</v>
      </c>
      <c r="Z26" s="205">
        <f>((VLOOKUP(Z$5,Tabl_B3_Comp!$B$55:$C$65,2,FALSE))*$D26)</f>
        <v>1.1007208271000463E-3</v>
      </c>
      <c r="AA26" s="205">
        <f>((VLOOKUP(AA$5,Tabl_B3_Comp!$B$55:$C$65,2,FALSE))*$D26)</f>
        <v>5.3770845002013763E-5</v>
      </c>
    </row>
    <row r="27" spans="1:27">
      <c r="A27" s="269"/>
      <c r="B27" t="s">
        <v>1314</v>
      </c>
      <c r="C27" s="40">
        <v>97.909422127384886</v>
      </c>
      <c r="D27" s="13">
        <v>0.26824499212982161</v>
      </c>
      <c r="E27" s="133">
        <v>0</v>
      </c>
      <c r="F27" s="205">
        <f>((VLOOKUP(F$5,Tabl_B3_Comp!$B$55:$C$65,2,FALSE))*$C27)</f>
        <v>0.28002094728432081</v>
      </c>
      <c r="G27" s="205">
        <f>((VLOOKUP(G$5,Tabl_B3_Comp!$B$55:$C$65,2,FALSE))*$C27)</f>
        <v>0.16252964073145892</v>
      </c>
      <c r="H27" s="205">
        <f>((VLOOKUP(H$5,Tabl_B3_Comp!$B$55:$C$65,2,FALSE))*$C27)</f>
        <v>3.4170388322457327E-3</v>
      </c>
      <c r="I27" s="205">
        <f>((VLOOKUP(I$5,Tabl_B3_Comp!$B$55:$C$65,2,FALSE))*$C27)</f>
        <v>1.2728224876560035E-3</v>
      </c>
      <c r="J27" s="205">
        <f>((VLOOKUP(J$5,Tabl_B3_Comp!$B$55:$C$65,2,FALSE))*$C27)</f>
        <v>2.2714985933553294E-2</v>
      </c>
      <c r="K27" s="205">
        <f>((VLOOKUP(K$5,Tabl_B3_Comp!$B$55:$C$65,2,FALSE))*$C27)</f>
        <v>5.76686496330297E-2</v>
      </c>
      <c r="L27" s="205">
        <f>((VLOOKUP(L$5,Tabl_B3_Comp!$B$55:$C$65,2,FALSE))*$C27)</f>
        <v>1.1944949499540955E-2</v>
      </c>
      <c r="M27" s="205">
        <f>((VLOOKUP(M$5,Tabl_B3_Comp!$B$55:$C$65,2,FALSE))*$C27)</f>
        <v>0.2046306922462344</v>
      </c>
      <c r="N27" s="205">
        <f>((VLOOKUP(N$5,Tabl_B3_Comp!$B$55:$C$65,2,FALSE))*$C27)</f>
        <v>3.3778750633947786E-2</v>
      </c>
      <c r="O27" s="205">
        <f>((VLOOKUP(O$5,Tabl_B3_Comp!$B$55:$C$65,2,FALSE))*$C27)</f>
        <v>0.34072478900329939</v>
      </c>
      <c r="P27" s="205">
        <f>((VLOOKUP(P$5,Tabl_B3_Comp!$B$55:$C$65,2,FALSE))*$C27)</f>
        <v>1.6644601761655432E-2</v>
      </c>
      <c r="Q27" s="206">
        <f>((VLOOKUP(Q$5,Tabl_B3_Comp!$B$55:$C$65,2,FALSE))*$D27)</f>
        <v>7.6718067749128986E-4</v>
      </c>
      <c r="R27" s="205">
        <f>((VLOOKUP(R$5,Tabl_B3_Comp!$B$55:$C$65,2,FALSE))*$D27)</f>
        <v>4.452866869355039E-4</v>
      </c>
      <c r="S27" s="205">
        <f>((VLOOKUP(S$5,Tabl_B3_Comp!$B$55:$C$65,2,FALSE))*$D27)</f>
        <v>9.3617502253307749E-6</v>
      </c>
      <c r="T27" s="205">
        <f>((VLOOKUP(T$5,Tabl_B3_Comp!$B$55:$C$65,2,FALSE))*$D27)</f>
        <v>3.4871848976876806E-6</v>
      </c>
      <c r="U27" s="205">
        <f>((VLOOKUP(U$5,Tabl_B3_Comp!$B$55:$C$65,2,FALSE))*$D27)</f>
        <v>6.2232838174118609E-5</v>
      </c>
      <c r="V27" s="205">
        <f>((VLOOKUP(V$5,Tabl_B3_Comp!$B$55:$C$65,2,FALSE))*$D27)</f>
        <v>1.5799630036446492E-4</v>
      </c>
      <c r="W27" s="205">
        <f>((VLOOKUP(W$5,Tabl_B3_Comp!$B$55:$C$65,2,FALSE))*$D27)</f>
        <v>3.2725889039838237E-5</v>
      </c>
      <c r="X27" s="205">
        <f>((VLOOKUP(X$5,Tabl_B3_Comp!$B$55:$C$65,2,FALSE))*$D27)</f>
        <v>5.6063203355132712E-4</v>
      </c>
      <c r="Y27" s="205">
        <f>((VLOOKUP(Y$5,Tabl_B3_Comp!$B$55:$C$65,2,FALSE))*$D27)</f>
        <v>9.2544522284788457E-5</v>
      </c>
      <c r="Z27" s="205">
        <f>((VLOOKUP(Z$5,Tabl_B3_Comp!$B$55:$C$65,2,FALSE))*$D27)</f>
        <v>9.3349257261177924E-4</v>
      </c>
      <c r="AA27" s="205">
        <f>((VLOOKUP(AA$5,Tabl_B3_Comp!$B$55:$C$65,2,FALSE))*$D27)</f>
        <v>4.5601648662069675E-5</v>
      </c>
    </row>
    <row r="28" spans="1:27">
      <c r="A28" s="269"/>
      <c r="B28" t="s">
        <v>1315</v>
      </c>
      <c r="C28" s="40">
        <v>97.909422127384886</v>
      </c>
      <c r="D28" s="13">
        <v>0.26824499212982161</v>
      </c>
      <c r="E28" s="133">
        <v>0</v>
      </c>
      <c r="F28" s="205">
        <f>((VLOOKUP(F$5,Tabl_B3_Comp!$B$55:$C$65,2,FALSE))*$C28)</f>
        <v>0.28002094728432081</v>
      </c>
      <c r="G28" s="205">
        <f>((VLOOKUP(G$5,Tabl_B3_Comp!$B$55:$C$65,2,FALSE))*$C28)</f>
        <v>0.16252964073145892</v>
      </c>
      <c r="H28" s="205">
        <f>((VLOOKUP(H$5,Tabl_B3_Comp!$B$55:$C$65,2,FALSE))*$C28)</f>
        <v>3.4170388322457327E-3</v>
      </c>
      <c r="I28" s="205">
        <f>((VLOOKUP(I$5,Tabl_B3_Comp!$B$55:$C$65,2,FALSE))*$C28)</f>
        <v>1.2728224876560035E-3</v>
      </c>
      <c r="J28" s="205">
        <f>((VLOOKUP(J$5,Tabl_B3_Comp!$B$55:$C$65,2,FALSE))*$C28)</f>
        <v>2.2714985933553294E-2</v>
      </c>
      <c r="K28" s="205">
        <f>((VLOOKUP(K$5,Tabl_B3_Comp!$B$55:$C$65,2,FALSE))*$C28)</f>
        <v>5.76686496330297E-2</v>
      </c>
      <c r="L28" s="205">
        <f>((VLOOKUP(L$5,Tabl_B3_Comp!$B$55:$C$65,2,FALSE))*$C28)</f>
        <v>1.1944949499540955E-2</v>
      </c>
      <c r="M28" s="205">
        <f>((VLOOKUP(M$5,Tabl_B3_Comp!$B$55:$C$65,2,FALSE))*$C28)</f>
        <v>0.2046306922462344</v>
      </c>
      <c r="N28" s="205">
        <f>((VLOOKUP(N$5,Tabl_B3_Comp!$B$55:$C$65,2,FALSE))*$C28)</f>
        <v>3.3778750633947786E-2</v>
      </c>
      <c r="O28" s="205">
        <f>((VLOOKUP(O$5,Tabl_B3_Comp!$B$55:$C$65,2,FALSE))*$C28)</f>
        <v>0.34072478900329939</v>
      </c>
      <c r="P28" s="205">
        <f>((VLOOKUP(P$5,Tabl_B3_Comp!$B$55:$C$65,2,FALSE))*$C28)</f>
        <v>1.6644601761655432E-2</v>
      </c>
      <c r="Q28" s="206">
        <f>((VLOOKUP(Q$5,Tabl_B3_Comp!$B$55:$C$65,2,FALSE))*$D28)</f>
        <v>7.6718067749128986E-4</v>
      </c>
      <c r="R28" s="205">
        <f>((VLOOKUP(R$5,Tabl_B3_Comp!$B$55:$C$65,2,FALSE))*$D28)</f>
        <v>4.452866869355039E-4</v>
      </c>
      <c r="S28" s="205">
        <f>((VLOOKUP(S$5,Tabl_B3_Comp!$B$55:$C$65,2,FALSE))*$D28)</f>
        <v>9.3617502253307749E-6</v>
      </c>
      <c r="T28" s="205">
        <f>((VLOOKUP(T$5,Tabl_B3_Comp!$B$55:$C$65,2,FALSE))*$D28)</f>
        <v>3.4871848976876806E-6</v>
      </c>
      <c r="U28" s="205">
        <f>((VLOOKUP(U$5,Tabl_B3_Comp!$B$55:$C$65,2,FALSE))*$D28)</f>
        <v>6.2232838174118609E-5</v>
      </c>
      <c r="V28" s="205">
        <f>((VLOOKUP(V$5,Tabl_B3_Comp!$B$55:$C$65,2,FALSE))*$D28)</f>
        <v>1.5799630036446492E-4</v>
      </c>
      <c r="W28" s="205">
        <f>((VLOOKUP(W$5,Tabl_B3_Comp!$B$55:$C$65,2,FALSE))*$D28)</f>
        <v>3.2725889039838237E-5</v>
      </c>
      <c r="X28" s="205">
        <f>((VLOOKUP(X$5,Tabl_B3_Comp!$B$55:$C$65,2,FALSE))*$D28)</f>
        <v>5.6063203355132712E-4</v>
      </c>
      <c r="Y28" s="205">
        <f>((VLOOKUP(Y$5,Tabl_B3_Comp!$B$55:$C$65,2,FALSE))*$D28)</f>
        <v>9.2544522284788457E-5</v>
      </c>
      <c r="Z28" s="205">
        <f>((VLOOKUP(Z$5,Tabl_B3_Comp!$B$55:$C$65,2,FALSE))*$D28)</f>
        <v>9.3349257261177924E-4</v>
      </c>
      <c r="AA28" s="205">
        <f>((VLOOKUP(AA$5,Tabl_B3_Comp!$B$55:$C$65,2,FALSE))*$D28)</f>
        <v>4.5601648662069675E-5</v>
      </c>
    </row>
    <row r="29" spans="1:27">
      <c r="A29" s="269"/>
      <c r="B29" t="s">
        <v>1316</v>
      </c>
      <c r="C29" s="40">
        <v>97.909422127384886</v>
      </c>
      <c r="D29" s="13">
        <v>0.26824499212982161</v>
      </c>
      <c r="E29" s="133">
        <v>0</v>
      </c>
      <c r="F29" s="205">
        <f>((VLOOKUP(F$5,Tabl_B3_Comp!$B$55:$C$65,2,FALSE))*$C29)</f>
        <v>0.28002094728432081</v>
      </c>
      <c r="G29" s="205">
        <f>((VLOOKUP(G$5,Tabl_B3_Comp!$B$55:$C$65,2,FALSE))*$C29)</f>
        <v>0.16252964073145892</v>
      </c>
      <c r="H29" s="205">
        <f>((VLOOKUP(H$5,Tabl_B3_Comp!$B$55:$C$65,2,FALSE))*$C29)</f>
        <v>3.4170388322457327E-3</v>
      </c>
      <c r="I29" s="205">
        <f>((VLOOKUP(I$5,Tabl_B3_Comp!$B$55:$C$65,2,FALSE))*$C29)</f>
        <v>1.2728224876560035E-3</v>
      </c>
      <c r="J29" s="205">
        <f>((VLOOKUP(J$5,Tabl_B3_Comp!$B$55:$C$65,2,FALSE))*$C29)</f>
        <v>2.2714985933553294E-2</v>
      </c>
      <c r="K29" s="205">
        <f>((VLOOKUP(K$5,Tabl_B3_Comp!$B$55:$C$65,2,FALSE))*$C29)</f>
        <v>5.76686496330297E-2</v>
      </c>
      <c r="L29" s="205">
        <f>((VLOOKUP(L$5,Tabl_B3_Comp!$B$55:$C$65,2,FALSE))*$C29)</f>
        <v>1.1944949499540955E-2</v>
      </c>
      <c r="M29" s="205">
        <f>((VLOOKUP(M$5,Tabl_B3_Comp!$B$55:$C$65,2,FALSE))*$C29)</f>
        <v>0.2046306922462344</v>
      </c>
      <c r="N29" s="205">
        <f>((VLOOKUP(N$5,Tabl_B3_Comp!$B$55:$C$65,2,FALSE))*$C29)</f>
        <v>3.3778750633947786E-2</v>
      </c>
      <c r="O29" s="205">
        <f>((VLOOKUP(O$5,Tabl_B3_Comp!$B$55:$C$65,2,FALSE))*$C29)</f>
        <v>0.34072478900329939</v>
      </c>
      <c r="P29" s="205">
        <f>((VLOOKUP(P$5,Tabl_B3_Comp!$B$55:$C$65,2,FALSE))*$C29)</f>
        <v>1.6644601761655432E-2</v>
      </c>
      <c r="Q29" s="206">
        <f>((VLOOKUP(Q$5,Tabl_B3_Comp!$B$55:$C$65,2,FALSE))*$D29)</f>
        <v>7.6718067749128986E-4</v>
      </c>
      <c r="R29" s="205">
        <f>((VLOOKUP(R$5,Tabl_B3_Comp!$B$55:$C$65,2,FALSE))*$D29)</f>
        <v>4.452866869355039E-4</v>
      </c>
      <c r="S29" s="205">
        <f>((VLOOKUP(S$5,Tabl_B3_Comp!$B$55:$C$65,2,FALSE))*$D29)</f>
        <v>9.3617502253307749E-6</v>
      </c>
      <c r="T29" s="205">
        <f>((VLOOKUP(T$5,Tabl_B3_Comp!$B$55:$C$65,2,FALSE))*$D29)</f>
        <v>3.4871848976876806E-6</v>
      </c>
      <c r="U29" s="205">
        <f>((VLOOKUP(U$5,Tabl_B3_Comp!$B$55:$C$65,2,FALSE))*$D29)</f>
        <v>6.2232838174118609E-5</v>
      </c>
      <c r="V29" s="205">
        <f>((VLOOKUP(V$5,Tabl_B3_Comp!$B$55:$C$65,2,FALSE))*$D29)</f>
        <v>1.5799630036446492E-4</v>
      </c>
      <c r="W29" s="205">
        <f>((VLOOKUP(W$5,Tabl_B3_Comp!$B$55:$C$65,2,FALSE))*$D29)</f>
        <v>3.2725889039838237E-5</v>
      </c>
      <c r="X29" s="205">
        <f>((VLOOKUP(X$5,Tabl_B3_Comp!$B$55:$C$65,2,FALSE))*$D29)</f>
        <v>5.6063203355132712E-4</v>
      </c>
      <c r="Y29" s="205">
        <f>((VLOOKUP(Y$5,Tabl_B3_Comp!$B$55:$C$65,2,FALSE))*$D29)</f>
        <v>9.2544522284788457E-5</v>
      </c>
      <c r="Z29" s="205">
        <f>((VLOOKUP(Z$5,Tabl_B3_Comp!$B$55:$C$65,2,FALSE))*$D29)</f>
        <v>9.3349257261177924E-4</v>
      </c>
      <c r="AA29" s="205">
        <f>((VLOOKUP(AA$5,Tabl_B3_Comp!$B$55:$C$65,2,FALSE))*$D29)</f>
        <v>4.5601648662069675E-5</v>
      </c>
    </row>
    <row r="30" spans="1:27">
      <c r="A30" s="269"/>
      <c r="B30" t="s">
        <v>1317</v>
      </c>
      <c r="C30" s="40">
        <v>97.909422127384886</v>
      </c>
      <c r="D30" s="13">
        <v>0.26824499212982161</v>
      </c>
      <c r="E30" s="133">
        <v>0</v>
      </c>
      <c r="F30" s="205">
        <f>((VLOOKUP(F$5,Tabl_B3_Comp!$B$55:$C$65,2,FALSE))*$C30)</f>
        <v>0.28002094728432081</v>
      </c>
      <c r="G30" s="205">
        <f>((VLOOKUP(G$5,Tabl_B3_Comp!$B$55:$C$65,2,FALSE))*$C30)</f>
        <v>0.16252964073145892</v>
      </c>
      <c r="H30" s="205">
        <f>((VLOOKUP(H$5,Tabl_B3_Comp!$B$55:$C$65,2,FALSE))*$C30)</f>
        <v>3.4170388322457327E-3</v>
      </c>
      <c r="I30" s="205">
        <f>((VLOOKUP(I$5,Tabl_B3_Comp!$B$55:$C$65,2,FALSE))*$C30)</f>
        <v>1.2728224876560035E-3</v>
      </c>
      <c r="J30" s="205">
        <f>((VLOOKUP(J$5,Tabl_B3_Comp!$B$55:$C$65,2,FALSE))*$C30)</f>
        <v>2.2714985933553294E-2</v>
      </c>
      <c r="K30" s="205">
        <f>((VLOOKUP(K$5,Tabl_B3_Comp!$B$55:$C$65,2,FALSE))*$C30)</f>
        <v>5.76686496330297E-2</v>
      </c>
      <c r="L30" s="205">
        <f>((VLOOKUP(L$5,Tabl_B3_Comp!$B$55:$C$65,2,FALSE))*$C30)</f>
        <v>1.1944949499540955E-2</v>
      </c>
      <c r="M30" s="205">
        <f>((VLOOKUP(M$5,Tabl_B3_Comp!$B$55:$C$65,2,FALSE))*$C30)</f>
        <v>0.2046306922462344</v>
      </c>
      <c r="N30" s="205">
        <f>((VLOOKUP(N$5,Tabl_B3_Comp!$B$55:$C$65,2,FALSE))*$C30)</f>
        <v>3.3778750633947786E-2</v>
      </c>
      <c r="O30" s="205">
        <f>((VLOOKUP(O$5,Tabl_B3_Comp!$B$55:$C$65,2,FALSE))*$C30)</f>
        <v>0.34072478900329939</v>
      </c>
      <c r="P30" s="205">
        <f>((VLOOKUP(P$5,Tabl_B3_Comp!$B$55:$C$65,2,FALSE))*$C30)</f>
        <v>1.6644601761655432E-2</v>
      </c>
      <c r="Q30" s="206">
        <f>((VLOOKUP(Q$5,Tabl_B3_Comp!$B$55:$C$65,2,FALSE))*$D30)</f>
        <v>7.6718067749128986E-4</v>
      </c>
      <c r="R30" s="205">
        <f>((VLOOKUP(R$5,Tabl_B3_Comp!$B$55:$C$65,2,FALSE))*$D30)</f>
        <v>4.452866869355039E-4</v>
      </c>
      <c r="S30" s="205">
        <f>((VLOOKUP(S$5,Tabl_B3_Comp!$B$55:$C$65,2,FALSE))*$D30)</f>
        <v>9.3617502253307749E-6</v>
      </c>
      <c r="T30" s="205">
        <f>((VLOOKUP(T$5,Tabl_B3_Comp!$B$55:$C$65,2,FALSE))*$D30)</f>
        <v>3.4871848976876806E-6</v>
      </c>
      <c r="U30" s="205">
        <f>((VLOOKUP(U$5,Tabl_B3_Comp!$B$55:$C$65,2,FALSE))*$D30)</f>
        <v>6.2232838174118609E-5</v>
      </c>
      <c r="V30" s="205">
        <f>((VLOOKUP(V$5,Tabl_B3_Comp!$B$55:$C$65,2,FALSE))*$D30)</f>
        <v>1.5799630036446492E-4</v>
      </c>
      <c r="W30" s="205">
        <f>((VLOOKUP(W$5,Tabl_B3_Comp!$B$55:$C$65,2,FALSE))*$D30)</f>
        <v>3.2725889039838237E-5</v>
      </c>
      <c r="X30" s="205">
        <f>((VLOOKUP(X$5,Tabl_B3_Comp!$B$55:$C$65,2,FALSE))*$D30)</f>
        <v>5.6063203355132712E-4</v>
      </c>
      <c r="Y30" s="205">
        <f>((VLOOKUP(Y$5,Tabl_B3_Comp!$B$55:$C$65,2,FALSE))*$D30)</f>
        <v>9.2544522284788457E-5</v>
      </c>
      <c r="Z30" s="205">
        <f>((VLOOKUP(Z$5,Tabl_B3_Comp!$B$55:$C$65,2,FALSE))*$D30)</f>
        <v>9.3349257261177924E-4</v>
      </c>
      <c r="AA30" s="205">
        <f>((VLOOKUP(AA$5,Tabl_B3_Comp!$B$55:$C$65,2,FALSE))*$D30)</f>
        <v>4.5601648662069675E-5</v>
      </c>
    </row>
    <row r="31" spans="1:27">
      <c r="A31" s="269"/>
      <c r="B31" t="s">
        <v>1318</v>
      </c>
      <c r="C31" s="40">
        <v>97.909422127384886</v>
      </c>
      <c r="D31" s="13">
        <v>0.26824499212982161</v>
      </c>
      <c r="E31" s="133">
        <v>0</v>
      </c>
      <c r="F31" s="205">
        <f>((VLOOKUP(F$5,Tabl_B3_Comp!$B$55:$C$65,2,FALSE))*$C31)</f>
        <v>0.28002094728432081</v>
      </c>
      <c r="G31" s="205">
        <f>((VLOOKUP(G$5,Tabl_B3_Comp!$B$55:$C$65,2,FALSE))*$C31)</f>
        <v>0.16252964073145892</v>
      </c>
      <c r="H31" s="205">
        <f>((VLOOKUP(H$5,Tabl_B3_Comp!$B$55:$C$65,2,FALSE))*$C31)</f>
        <v>3.4170388322457327E-3</v>
      </c>
      <c r="I31" s="205">
        <f>((VLOOKUP(I$5,Tabl_B3_Comp!$B$55:$C$65,2,FALSE))*$C31)</f>
        <v>1.2728224876560035E-3</v>
      </c>
      <c r="J31" s="205">
        <f>((VLOOKUP(J$5,Tabl_B3_Comp!$B$55:$C$65,2,FALSE))*$C31)</f>
        <v>2.2714985933553294E-2</v>
      </c>
      <c r="K31" s="205">
        <f>((VLOOKUP(K$5,Tabl_B3_Comp!$B$55:$C$65,2,FALSE))*$C31)</f>
        <v>5.76686496330297E-2</v>
      </c>
      <c r="L31" s="205">
        <f>((VLOOKUP(L$5,Tabl_B3_Comp!$B$55:$C$65,2,FALSE))*$C31)</f>
        <v>1.1944949499540955E-2</v>
      </c>
      <c r="M31" s="205">
        <f>((VLOOKUP(M$5,Tabl_B3_Comp!$B$55:$C$65,2,FALSE))*$C31)</f>
        <v>0.2046306922462344</v>
      </c>
      <c r="N31" s="205">
        <f>((VLOOKUP(N$5,Tabl_B3_Comp!$B$55:$C$65,2,FALSE))*$C31)</f>
        <v>3.3778750633947786E-2</v>
      </c>
      <c r="O31" s="205">
        <f>((VLOOKUP(O$5,Tabl_B3_Comp!$B$55:$C$65,2,FALSE))*$C31)</f>
        <v>0.34072478900329939</v>
      </c>
      <c r="P31" s="205">
        <f>((VLOOKUP(P$5,Tabl_B3_Comp!$B$55:$C$65,2,FALSE))*$C31)</f>
        <v>1.6644601761655432E-2</v>
      </c>
      <c r="Q31" s="206">
        <f>((VLOOKUP(Q$5,Tabl_B3_Comp!$B$55:$C$65,2,FALSE))*$D31)</f>
        <v>7.6718067749128986E-4</v>
      </c>
      <c r="R31" s="205">
        <f>((VLOOKUP(R$5,Tabl_B3_Comp!$B$55:$C$65,2,FALSE))*$D31)</f>
        <v>4.452866869355039E-4</v>
      </c>
      <c r="S31" s="205">
        <f>((VLOOKUP(S$5,Tabl_B3_Comp!$B$55:$C$65,2,FALSE))*$D31)</f>
        <v>9.3617502253307749E-6</v>
      </c>
      <c r="T31" s="205">
        <f>((VLOOKUP(T$5,Tabl_B3_Comp!$B$55:$C$65,2,FALSE))*$D31)</f>
        <v>3.4871848976876806E-6</v>
      </c>
      <c r="U31" s="205">
        <f>((VLOOKUP(U$5,Tabl_B3_Comp!$B$55:$C$65,2,FALSE))*$D31)</f>
        <v>6.2232838174118609E-5</v>
      </c>
      <c r="V31" s="205">
        <f>((VLOOKUP(V$5,Tabl_B3_Comp!$B$55:$C$65,2,FALSE))*$D31)</f>
        <v>1.5799630036446492E-4</v>
      </c>
      <c r="W31" s="205">
        <f>((VLOOKUP(W$5,Tabl_B3_Comp!$B$55:$C$65,2,FALSE))*$D31)</f>
        <v>3.2725889039838237E-5</v>
      </c>
      <c r="X31" s="205">
        <f>((VLOOKUP(X$5,Tabl_B3_Comp!$B$55:$C$65,2,FALSE))*$D31)</f>
        <v>5.6063203355132712E-4</v>
      </c>
      <c r="Y31" s="205">
        <f>((VLOOKUP(Y$5,Tabl_B3_Comp!$B$55:$C$65,2,FALSE))*$D31)</f>
        <v>9.2544522284788457E-5</v>
      </c>
      <c r="Z31" s="205">
        <f>((VLOOKUP(Z$5,Tabl_B3_Comp!$B$55:$C$65,2,FALSE))*$D31)</f>
        <v>9.3349257261177924E-4</v>
      </c>
      <c r="AA31" s="205">
        <f>((VLOOKUP(AA$5,Tabl_B3_Comp!$B$55:$C$65,2,FALSE))*$D31)</f>
        <v>4.5601648662069675E-5</v>
      </c>
    </row>
    <row r="32" spans="1:27">
      <c r="A32" s="269"/>
      <c r="B32" t="s">
        <v>1319</v>
      </c>
      <c r="C32" s="40">
        <v>97.909422127384886</v>
      </c>
      <c r="D32" s="13">
        <v>0.26824499212982161</v>
      </c>
      <c r="E32" s="133">
        <v>0</v>
      </c>
      <c r="F32" s="205">
        <f>((VLOOKUP(F$5,Tabl_B3_Comp!$B$55:$C$65,2,FALSE))*$C32)</f>
        <v>0.28002094728432081</v>
      </c>
      <c r="G32" s="205">
        <f>((VLOOKUP(G$5,Tabl_B3_Comp!$B$55:$C$65,2,FALSE))*$C32)</f>
        <v>0.16252964073145892</v>
      </c>
      <c r="H32" s="205">
        <f>((VLOOKUP(H$5,Tabl_B3_Comp!$B$55:$C$65,2,FALSE))*$C32)</f>
        <v>3.4170388322457327E-3</v>
      </c>
      <c r="I32" s="205">
        <f>((VLOOKUP(I$5,Tabl_B3_Comp!$B$55:$C$65,2,FALSE))*$C32)</f>
        <v>1.2728224876560035E-3</v>
      </c>
      <c r="J32" s="205">
        <f>((VLOOKUP(J$5,Tabl_B3_Comp!$B$55:$C$65,2,FALSE))*$C32)</f>
        <v>2.2714985933553294E-2</v>
      </c>
      <c r="K32" s="205">
        <f>((VLOOKUP(K$5,Tabl_B3_Comp!$B$55:$C$65,2,FALSE))*$C32)</f>
        <v>5.76686496330297E-2</v>
      </c>
      <c r="L32" s="205">
        <f>((VLOOKUP(L$5,Tabl_B3_Comp!$B$55:$C$65,2,FALSE))*$C32)</f>
        <v>1.1944949499540955E-2</v>
      </c>
      <c r="M32" s="205">
        <f>((VLOOKUP(M$5,Tabl_B3_Comp!$B$55:$C$65,2,FALSE))*$C32)</f>
        <v>0.2046306922462344</v>
      </c>
      <c r="N32" s="205">
        <f>((VLOOKUP(N$5,Tabl_B3_Comp!$B$55:$C$65,2,FALSE))*$C32)</f>
        <v>3.3778750633947786E-2</v>
      </c>
      <c r="O32" s="205">
        <f>((VLOOKUP(O$5,Tabl_B3_Comp!$B$55:$C$65,2,FALSE))*$C32)</f>
        <v>0.34072478900329939</v>
      </c>
      <c r="P32" s="205">
        <f>((VLOOKUP(P$5,Tabl_B3_Comp!$B$55:$C$65,2,FALSE))*$C32)</f>
        <v>1.6644601761655432E-2</v>
      </c>
      <c r="Q32" s="206">
        <f>((VLOOKUP(Q$5,Tabl_B3_Comp!$B$55:$C$65,2,FALSE))*$D32)</f>
        <v>7.6718067749128986E-4</v>
      </c>
      <c r="R32" s="205">
        <f>((VLOOKUP(R$5,Tabl_B3_Comp!$B$55:$C$65,2,FALSE))*$D32)</f>
        <v>4.452866869355039E-4</v>
      </c>
      <c r="S32" s="205">
        <f>((VLOOKUP(S$5,Tabl_B3_Comp!$B$55:$C$65,2,FALSE))*$D32)</f>
        <v>9.3617502253307749E-6</v>
      </c>
      <c r="T32" s="205">
        <f>((VLOOKUP(T$5,Tabl_B3_Comp!$B$55:$C$65,2,FALSE))*$D32)</f>
        <v>3.4871848976876806E-6</v>
      </c>
      <c r="U32" s="205">
        <f>((VLOOKUP(U$5,Tabl_B3_Comp!$B$55:$C$65,2,FALSE))*$D32)</f>
        <v>6.2232838174118609E-5</v>
      </c>
      <c r="V32" s="205">
        <f>((VLOOKUP(V$5,Tabl_B3_Comp!$B$55:$C$65,2,FALSE))*$D32)</f>
        <v>1.5799630036446492E-4</v>
      </c>
      <c r="W32" s="205">
        <f>((VLOOKUP(W$5,Tabl_B3_Comp!$B$55:$C$65,2,FALSE))*$D32)</f>
        <v>3.2725889039838237E-5</v>
      </c>
      <c r="X32" s="205">
        <f>((VLOOKUP(X$5,Tabl_B3_Comp!$B$55:$C$65,2,FALSE))*$D32)</f>
        <v>5.6063203355132712E-4</v>
      </c>
      <c r="Y32" s="205">
        <f>((VLOOKUP(Y$5,Tabl_B3_Comp!$B$55:$C$65,2,FALSE))*$D32)</f>
        <v>9.2544522284788457E-5</v>
      </c>
      <c r="Z32" s="205">
        <f>((VLOOKUP(Z$5,Tabl_B3_Comp!$B$55:$C$65,2,FALSE))*$D32)</f>
        <v>9.3349257261177924E-4</v>
      </c>
      <c r="AA32" s="205">
        <f>((VLOOKUP(AA$5,Tabl_B3_Comp!$B$55:$C$65,2,FALSE))*$D32)</f>
        <v>4.5601648662069675E-5</v>
      </c>
    </row>
    <row r="33" spans="1:27">
      <c r="A33" s="269"/>
      <c r="B33" t="s">
        <v>1321</v>
      </c>
      <c r="C33" s="40">
        <v>180.24388905542722</v>
      </c>
      <c r="D33" s="13">
        <v>0.49381887412445813</v>
      </c>
      <c r="E33" s="133">
        <v>0</v>
      </c>
      <c r="F33" s="205">
        <f>((VLOOKUP(F$5,Tabl_B3_Comp!$B$55:$C$65,2,FALSE))*$C33)</f>
        <v>0.51549752269852189</v>
      </c>
      <c r="G33" s="205">
        <f>((VLOOKUP(G$5,Tabl_B3_Comp!$B$55:$C$65,2,FALSE))*$C33)</f>
        <v>0.29920485583200918</v>
      </c>
      <c r="H33" s="205">
        <f>((VLOOKUP(H$5,Tabl_B3_Comp!$B$55:$C$65,2,FALSE))*$C33)</f>
        <v>6.29051172803441E-3</v>
      </c>
      <c r="I33" s="205">
        <f>((VLOOKUP(I$5,Tabl_B3_Comp!$B$55:$C$65,2,FALSE))*$C33)</f>
        <v>2.3431705577205537E-3</v>
      </c>
      <c r="J33" s="205">
        <f>((VLOOKUP(J$5,Tabl_B3_Comp!$B$55:$C$65,2,FALSE))*$C33)</f>
        <v>4.1816582260859117E-2</v>
      </c>
      <c r="K33" s="205">
        <f>((VLOOKUP(K$5,Tabl_B3_Comp!$B$55:$C$65,2,FALSE))*$C33)</f>
        <v>0.10616365065364664</v>
      </c>
      <c r="L33" s="205">
        <f>((VLOOKUP(L$5,Tabl_B3_Comp!$B$55:$C$65,2,FALSE))*$C33)</f>
        <v>2.1989754464762121E-2</v>
      </c>
      <c r="M33" s="205">
        <f>((VLOOKUP(M$5,Tabl_B3_Comp!$B$55:$C$65,2,FALSE))*$C33)</f>
        <v>0.37670972812584286</v>
      </c>
      <c r="N33" s="205">
        <f>((VLOOKUP(N$5,Tabl_B3_Comp!$B$55:$C$65,2,FALSE))*$C33)</f>
        <v>6.2184141724122385E-2</v>
      </c>
      <c r="O33" s="205">
        <f>((VLOOKUP(O$5,Tabl_B3_Comp!$B$55:$C$65,2,FALSE))*$C33)</f>
        <v>0.62724873391288671</v>
      </c>
      <c r="P33" s="205">
        <f>((VLOOKUP(P$5,Tabl_B3_Comp!$B$55:$C$65,2,FALSE))*$C33)</f>
        <v>3.0641461139422628E-2</v>
      </c>
      <c r="Q33" s="206">
        <f>((VLOOKUP(Q$5,Tabl_B3_Comp!$B$55:$C$65,2,FALSE))*$D33)</f>
        <v>1.4123219799959503E-3</v>
      </c>
      <c r="R33" s="205">
        <f>((VLOOKUP(R$5,Tabl_B3_Comp!$B$55:$C$65,2,FALSE))*$D33)</f>
        <v>8.197393310466005E-4</v>
      </c>
      <c r="S33" s="205">
        <f>((VLOOKUP(S$5,Tabl_B3_Comp!$B$55:$C$65,2,FALSE))*$D33)</f>
        <v>1.723427870694359E-5</v>
      </c>
      <c r="T33" s="205">
        <f>((VLOOKUP(T$5,Tabl_B3_Comp!$B$55:$C$65,2,FALSE))*$D33)</f>
        <v>6.4196453636179553E-6</v>
      </c>
      <c r="U33" s="205">
        <f>((VLOOKUP(U$5,Tabl_B3_Comp!$B$55:$C$65,2,FALSE))*$D33)</f>
        <v>1.1456597879687429E-4</v>
      </c>
      <c r="V33" s="205">
        <f>((VLOOKUP(V$5,Tabl_B3_Comp!$B$55:$C$65,2,FALSE))*$D33)</f>
        <v>2.9085931685930586E-4</v>
      </c>
      <c r="W33" s="205">
        <f>((VLOOKUP(W$5,Tabl_B3_Comp!$B$55:$C$65,2,FALSE))*$D33)</f>
        <v>6.0245902643183888E-5</v>
      </c>
      <c r="X33" s="205">
        <f>((VLOOKUP(X$5,Tabl_B3_Comp!$B$55:$C$65,2,FALSE))*$D33)</f>
        <v>1.0320814469201175E-3</v>
      </c>
      <c r="Y33" s="205">
        <f>((VLOOKUP(Y$5,Tabl_B3_Comp!$B$55:$C$65,2,FALSE))*$D33)</f>
        <v>1.7036751157293805E-4</v>
      </c>
      <c r="Z33" s="205">
        <f>((VLOOKUP(Z$5,Tabl_B3_Comp!$B$55:$C$65,2,FALSE))*$D33)</f>
        <v>1.7184896819531143E-3</v>
      </c>
      <c r="AA33" s="205">
        <f>((VLOOKUP(AA$5,Tabl_B3_Comp!$B$55:$C$65,2,FALSE))*$D33)</f>
        <v>8.3949208601157891E-5</v>
      </c>
    </row>
    <row r="34" spans="1:27" ht="23" customHeight="1">
      <c r="A34" s="268" t="s">
        <v>1566</v>
      </c>
      <c r="B34" s="268"/>
      <c r="C34" s="268"/>
      <c r="D34" s="268"/>
      <c r="E34" s="268"/>
      <c r="F34" s="205">
        <f>SUM(F7:F33)</f>
        <v>27.667033038827867</v>
      </c>
      <c r="G34" s="205">
        <f t="shared" ref="G34:P34" si="0">SUM(G7:G33)</f>
        <v>16.058487707851132</v>
      </c>
      <c r="H34" s="205">
        <f t="shared" si="0"/>
        <v>0.33761519337590645</v>
      </c>
      <c r="I34" s="205">
        <f t="shared" si="0"/>
        <v>0.1257592410855812</v>
      </c>
      <c r="J34" s="205">
        <f t="shared" si="0"/>
        <v>2.2443187639888329</v>
      </c>
      <c r="K34" s="205">
        <f t="shared" si="0"/>
        <v>5.6978609999544094</v>
      </c>
      <c r="L34" s="205">
        <f t="shared" si="0"/>
        <v>1.1802021086493004</v>
      </c>
      <c r="M34" s="205">
        <f t="shared" si="0"/>
        <v>20.218216451451124</v>
      </c>
      <c r="N34" s="205">
        <f t="shared" si="0"/>
        <v>3.3374567826558081</v>
      </c>
      <c r="O34" s="205">
        <f t="shared" si="0"/>
        <v>33.664781459832497</v>
      </c>
      <c r="P34" s="205">
        <f t="shared" si="0"/>
        <v>1.6445439218883695</v>
      </c>
      <c r="Q34" s="206">
        <f>SUM(Q7:Q33)</f>
        <v>7.5800090517336591E-2</v>
      </c>
      <c r="R34" s="205">
        <f t="shared" ref="R34:AA34" si="1">SUM(R7:R33)</f>
        <v>4.3995856733838733E-2</v>
      </c>
      <c r="S34" s="205">
        <f t="shared" si="1"/>
        <v>9.249731325367298E-4</v>
      </c>
      <c r="T34" s="205">
        <f t="shared" si="1"/>
        <v>3.4454586598789389E-4</v>
      </c>
      <c r="U34" s="205">
        <f t="shared" si="1"/>
        <v>6.1488185314762548E-3</v>
      </c>
      <c r="V34" s="205">
        <f t="shared" si="1"/>
        <v>1.5610578082066874E-2</v>
      </c>
      <c r="W34" s="205">
        <f t="shared" si="1"/>
        <v>3.2334304346556169E-3</v>
      </c>
      <c r="X34" s="205">
        <f t="shared" si="1"/>
        <v>5.539237383959212E-2</v>
      </c>
      <c r="Y34" s="205">
        <f t="shared" si="1"/>
        <v>9.1437172127556369E-3</v>
      </c>
      <c r="Z34" s="205">
        <f t="shared" si="1"/>
        <v>9.2232277972143867E-2</v>
      </c>
      <c r="AA34" s="205">
        <f t="shared" si="1"/>
        <v>4.5055997859955316E-3</v>
      </c>
    </row>
    <row r="35" spans="1:27">
      <c r="A35" s="252" t="s">
        <v>1558</v>
      </c>
      <c r="B35" t="s">
        <v>1322</v>
      </c>
      <c r="C35" s="40">
        <v>35.330126772651091</v>
      </c>
      <c r="D35" s="13">
        <v>9.6794867870276968E-2</v>
      </c>
      <c r="E35" s="133">
        <v>1</v>
      </c>
      <c r="F35" s="205">
        <f>((VLOOKUP(F$5,Tabl_B3_Comp!$B$55:$C$65,2,FALSE))*$C35)</f>
        <v>0.10104416256978213</v>
      </c>
      <c r="G35" s="205">
        <f>((VLOOKUP(G$5,Tabl_B3_Comp!$B$55:$C$65,2,FALSE))*$C35)</f>
        <v>5.8648010442600811E-2</v>
      </c>
      <c r="H35" s="205">
        <f>((VLOOKUP(H$5,Tabl_B3_Comp!$B$55:$C$65,2,FALSE))*$C35)</f>
        <v>1.2330214243655231E-3</v>
      </c>
      <c r="I35" s="205">
        <f>((VLOOKUP(I$5,Tabl_B3_Comp!$B$55:$C$65,2,FALSE))*$C35)</f>
        <v>4.5929164804446414E-4</v>
      </c>
      <c r="J35" s="205">
        <f>((VLOOKUP(J$5,Tabl_B3_Comp!$B$55:$C$65,2,FALSE))*$C35)</f>
        <v>8.1965894112550532E-3</v>
      </c>
      <c r="K35" s="205">
        <f>((VLOOKUP(K$5,Tabl_B3_Comp!$B$55:$C$65,2,FALSE))*$C35)</f>
        <v>2.0809444669091494E-2</v>
      </c>
      <c r="L35" s="205">
        <f>((VLOOKUP(L$5,Tabl_B3_Comp!$B$55:$C$65,2,FALSE))*$C35)</f>
        <v>4.3102754662634329E-3</v>
      </c>
      <c r="M35" s="205">
        <f>((VLOOKUP(M$5,Tabl_B3_Comp!$B$55:$C$65,2,FALSE))*$C35)</f>
        <v>7.383996495484077E-2</v>
      </c>
      <c r="N35" s="205">
        <f>((VLOOKUP(N$5,Tabl_B3_Comp!$B$55:$C$65,2,FALSE))*$C35)</f>
        <v>1.2188893736564626E-2</v>
      </c>
      <c r="O35" s="205">
        <f>((VLOOKUP(O$5,Tabl_B3_Comp!$B$55:$C$65,2,FALSE))*$C35)</f>
        <v>0.1229488411688258</v>
      </c>
      <c r="P35" s="205">
        <f>((VLOOKUP(P$5,Tabl_B3_Comp!$B$55:$C$65,2,FALSE))*$C35)</f>
        <v>6.0061215513506861E-3</v>
      </c>
      <c r="Q35" s="206">
        <f>((VLOOKUP(Q$5,Tabl_B3_Comp!$B$55:$C$65,2,FALSE))*$D35)</f>
        <v>2.7683332210899213E-4</v>
      </c>
      <c r="R35" s="205">
        <f>((VLOOKUP(R$5,Tabl_B3_Comp!$B$55:$C$65,2,FALSE))*$D35)</f>
        <v>1.6067948066465976E-4</v>
      </c>
      <c r="S35" s="205">
        <f>((VLOOKUP(S$5,Tabl_B3_Comp!$B$55:$C$65,2,FALSE))*$D35)</f>
        <v>3.3781408886726661E-6</v>
      </c>
      <c r="T35" s="205">
        <f>((VLOOKUP(T$5,Tabl_B3_Comp!$B$55:$C$65,2,FALSE))*$D35)</f>
        <v>1.2583332823136005E-6</v>
      </c>
      <c r="U35" s="205">
        <f>((VLOOKUP(U$5,Tabl_B3_Comp!$B$55:$C$65,2,FALSE))*$D35)</f>
        <v>2.2456409345904256E-5</v>
      </c>
      <c r="V35" s="205">
        <f>((VLOOKUP(V$5,Tabl_B3_Comp!$B$55:$C$65,2,FALSE))*$D35)</f>
        <v>5.7012177175593135E-5</v>
      </c>
      <c r="W35" s="205">
        <f>((VLOOKUP(W$5,Tabl_B3_Comp!$B$55:$C$65,2,FALSE))*$D35)</f>
        <v>1.180897388017379E-5</v>
      </c>
      <c r="X35" s="205">
        <f>((VLOOKUP(X$5,Tabl_B3_Comp!$B$55:$C$65,2,FALSE))*$D35)</f>
        <v>2.0230127384887885E-4</v>
      </c>
      <c r="Y35" s="205">
        <f>((VLOOKUP(Y$5,Tabl_B3_Comp!$B$55:$C$65,2,FALSE))*$D35)</f>
        <v>3.3394229415245555E-5</v>
      </c>
      <c r="Z35" s="205">
        <f>((VLOOKUP(Z$5,Tabl_B3_Comp!$B$55:$C$65,2,FALSE))*$D35)</f>
        <v>3.3684614018856385E-4</v>
      </c>
      <c r="AA35" s="205">
        <f>((VLOOKUP(AA$5,Tabl_B3_Comp!$B$55:$C$65,2,FALSE))*$D35)</f>
        <v>1.6455127537947086E-5</v>
      </c>
    </row>
    <row r="36" spans="1:27">
      <c r="A36" s="252"/>
      <c r="B36" t="s">
        <v>1323</v>
      </c>
      <c r="C36" s="40">
        <v>9.9485114537362236</v>
      </c>
      <c r="D36" s="13">
        <v>2.7256195763660885E-2</v>
      </c>
      <c r="E36" s="133">
        <v>1</v>
      </c>
      <c r="F36" s="205">
        <f>((VLOOKUP(F$5,Tabl_B3_Comp!$B$55:$C$65,2,FALSE))*$C36)</f>
        <v>2.8452742757685601E-2</v>
      </c>
      <c r="G36" s="205">
        <f>((VLOOKUP(G$5,Tabl_B3_Comp!$B$55:$C$65,2,FALSE))*$C36)</f>
        <v>1.651452901320213E-2</v>
      </c>
      <c r="H36" s="205">
        <f>((VLOOKUP(H$5,Tabl_B3_Comp!$B$55:$C$65,2,FALSE))*$C36)</f>
        <v>3.4720304973539422E-4</v>
      </c>
      <c r="I36" s="205">
        <f>((VLOOKUP(I$5,Tabl_B3_Comp!$B$55:$C$65,2,FALSE))*$C36)</f>
        <v>1.293306488985709E-4</v>
      </c>
      <c r="J36" s="205">
        <f>((VLOOKUP(J$5,Tabl_B3_Comp!$B$55:$C$65,2,FALSE))*$C36)</f>
        <v>2.3080546572668038E-3</v>
      </c>
      <c r="K36" s="205">
        <f>((VLOOKUP(K$5,Tabl_B3_Comp!$B$55:$C$65,2,FALSE))*$C36)</f>
        <v>5.8596732462506355E-3</v>
      </c>
      <c r="L36" s="205">
        <f>((VLOOKUP(L$5,Tabl_B3_Comp!$B$55:$C$65,2,FALSE))*$C36)</f>
        <v>1.2137183973558192E-3</v>
      </c>
      <c r="M36" s="205">
        <f>((VLOOKUP(M$5,Tabl_B3_Comp!$B$55:$C$65,2,FALSE))*$C36)</f>
        <v>2.0792388938308707E-2</v>
      </c>
      <c r="N36" s="205">
        <f>((VLOOKUP(N$5,Tabl_B3_Comp!$B$55:$C$65,2,FALSE))*$C36)</f>
        <v>3.4322364515389971E-3</v>
      </c>
      <c r="O36" s="205">
        <f>((VLOOKUP(O$5,Tabl_B3_Comp!$B$55:$C$65,2,FALSE))*$C36)</f>
        <v>3.4620819859002061E-2</v>
      </c>
      <c r="P36" s="205">
        <f>((VLOOKUP(P$5,Tabl_B3_Comp!$B$55:$C$65,2,FALSE))*$C36)</f>
        <v>1.691246947135158E-3</v>
      </c>
      <c r="Q36" s="206">
        <f>((VLOOKUP(Q$5,Tabl_B3_Comp!$B$55:$C$65,2,FALSE))*$D36)</f>
        <v>7.7952719884070136E-5</v>
      </c>
      <c r="R36" s="205">
        <f>((VLOOKUP(R$5,Tabl_B3_Comp!$B$55:$C$65,2,FALSE))*$D36)</f>
        <v>4.5245284967677071E-5</v>
      </c>
      <c r="S36" s="205">
        <f>((VLOOKUP(S$5,Tabl_B3_Comp!$B$55:$C$65,2,FALSE))*$D36)</f>
        <v>9.5124123215176497E-7</v>
      </c>
      <c r="T36" s="205">
        <f>((VLOOKUP(T$5,Tabl_B3_Comp!$B$55:$C$65,2,FALSE))*$D36)</f>
        <v>3.5433054492759148E-7</v>
      </c>
      <c r="U36" s="205">
        <f>((VLOOKUP(U$5,Tabl_B3_Comp!$B$55:$C$65,2,FALSE))*$D36)</f>
        <v>6.3234374171693253E-6</v>
      </c>
      <c r="V36" s="205">
        <f>((VLOOKUP(V$5,Tabl_B3_Comp!$B$55:$C$65,2,FALSE))*$D36)</f>
        <v>1.6053899304796261E-5</v>
      </c>
      <c r="W36" s="205">
        <f>((VLOOKUP(W$5,Tabl_B3_Comp!$B$55:$C$65,2,FALSE))*$D36)</f>
        <v>3.3252558831666278E-6</v>
      </c>
      <c r="X36" s="205">
        <f>((VLOOKUP(X$5,Tabl_B3_Comp!$B$55:$C$65,2,FALSE))*$D36)</f>
        <v>5.6965449146051244E-5</v>
      </c>
      <c r="Y36" s="205">
        <f>((VLOOKUP(Y$5,Tabl_B3_Comp!$B$55:$C$65,2,FALSE))*$D36)</f>
        <v>9.4033875384630051E-6</v>
      </c>
      <c r="Z36" s="205">
        <f>((VLOOKUP(Z$5,Tabl_B3_Comp!$B$55:$C$65,2,FALSE))*$D36)</f>
        <v>9.4851561257539878E-5</v>
      </c>
      <c r="AA36" s="205">
        <f>((VLOOKUP(AA$5,Tabl_B3_Comp!$B$55:$C$65,2,FALSE))*$D36)</f>
        <v>4.6335532798223508E-6</v>
      </c>
    </row>
    <row r="37" spans="1:27">
      <c r="A37" s="252"/>
      <c r="B37" t="s">
        <v>1324</v>
      </c>
      <c r="C37" s="40">
        <v>8.8879726358380182</v>
      </c>
      <c r="D37" s="13">
        <v>2.4350609961200049E-2</v>
      </c>
      <c r="E37" s="133">
        <v>1</v>
      </c>
      <c r="F37" s="205">
        <f>((VLOOKUP(F$5,Tabl_B3_Comp!$B$55:$C$65,2,FALSE))*$C37)</f>
        <v>2.5419601738496733E-2</v>
      </c>
      <c r="G37" s="205">
        <f>((VLOOKUP(G$5,Tabl_B3_Comp!$B$55:$C$65,2,FALSE))*$C37)</f>
        <v>1.4754034575491111E-2</v>
      </c>
      <c r="H37" s="205">
        <f>((VLOOKUP(H$5,Tabl_B3_Comp!$B$55:$C$65,2,FALSE))*$C37)</f>
        <v>3.1019024499074683E-4</v>
      </c>
      <c r="I37" s="205">
        <f>((VLOOKUP(I$5,Tabl_B3_Comp!$B$55:$C$65,2,FALSE))*$C37)</f>
        <v>1.1554364426589423E-4</v>
      </c>
      <c r="J37" s="205">
        <f>((VLOOKUP(J$5,Tabl_B3_Comp!$B$55:$C$65,2,FALSE))*$C37)</f>
        <v>2.0620096515144202E-3</v>
      </c>
      <c r="K37" s="205">
        <f>((VLOOKUP(K$5,Tabl_B3_Comp!$B$55:$C$65,2,FALSE))*$C37)</f>
        <v>5.2350158825085931E-3</v>
      </c>
      <c r="L37" s="205">
        <f>((VLOOKUP(L$5,Tabl_B3_Comp!$B$55:$C$65,2,FALSE))*$C37)</f>
        <v>1.0843326615722381E-3</v>
      </c>
      <c r="M37" s="205">
        <f>((VLOOKUP(M$5,Tabl_B3_Comp!$B$55:$C$65,2,FALSE))*$C37)</f>
        <v>1.8575862808901458E-2</v>
      </c>
      <c r="N37" s="205">
        <f>((VLOOKUP(N$5,Tabl_B3_Comp!$B$55:$C$65,2,FALSE))*$C37)</f>
        <v>3.066350559364116E-3</v>
      </c>
      <c r="O37" s="205">
        <f>((VLOOKUP(O$5,Tabl_B3_Comp!$B$55:$C$65,2,FALSE))*$C37)</f>
        <v>3.0930144772716304E-2</v>
      </c>
      <c r="P37" s="205">
        <f>((VLOOKUP(P$5,Tabl_B3_Comp!$B$55:$C$65,2,FALSE))*$C37)</f>
        <v>1.5109553480924633E-3</v>
      </c>
      <c r="Q37" s="206">
        <f>((VLOOKUP(Q$5,Tabl_B3_Comp!$B$55:$C$65,2,FALSE))*$D37)</f>
        <v>6.9642744489032145E-5</v>
      </c>
      <c r="R37" s="205">
        <f>((VLOOKUP(R$5,Tabl_B3_Comp!$B$55:$C$65,2,FALSE))*$D37)</f>
        <v>4.0422012535592078E-5</v>
      </c>
      <c r="S37" s="205">
        <f>((VLOOKUP(S$5,Tabl_B3_Comp!$B$55:$C$65,2,FALSE))*$D37)</f>
        <v>8.498362876458817E-7</v>
      </c>
      <c r="T37" s="205">
        <f>((VLOOKUP(T$5,Tabl_B3_Comp!$B$55:$C$65,2,FALSE))*$D37)</f>
        <v>3.1655792949560059E-7</v>
      </c>
      <c r="U37" s="205">
        <f>((VLOOKUP(U$5,Tabl_B3_Comp!$B$55:$C$65,2,FALSE))*$D37)</f>
        <v>5.6493415109984116E-6</v>
      </c>
      <c r="V37" s="205">
        <f>((VLOOKUP(V$5,Tabl_B3_Comp!$B$55:$C$65,2,FALSE))*$D37)</f>
        <v>1.4342509267146829E-5</v>
      </c>
      <c r="W37" s="205">
        <f>((VLOOKUP(W$5,Tabl_B3_Comp!$B$55:$C$65,2,FALSE))*$D37)</f>
        <v>2.9707744152664059E-6</v>
      </c>
      <c r="X37" s="205">
        <f>((VLOOKUP(X$5,Tabl_B3_Comp!$B$55:$C$65,2,FALSE))*$D37)</f>
        <v>5.0892774818908096E-5</v>
      </c>
      <c r="Y37" s="205">
        <f>((VLOOKUP(Y$5,Tabl_B3_Comp!$B$55:$C$65,2,FALSE))*$D37)</f>
        <v>8.4009604366140156E-6</v>
      </c>
      <c r="Z37" s="205">
        <f>((VLOOKUP(Z$5,Tabl_B3_Comp!$B$55:$C$65,2,FALSE))*$D37)</f>
        <v>8.4740122664976177E-5</v>
      </c>
      <c r="AA37" s="205">
        <f>((VLOOKUP(AA$5,Tabl_B3_Comp!$B$55:$C$65,2,FALSE))*$D37)</f>
        <v>4.1396036934040083E-6</v>
      </c>
    </row>
    <row r="38" spans="1:27">
      <c r="A38" s="252"/>
      <c r="B38" t="s">
        <v>1308</v>
      </c>
      <c r="C38" s="40">
        <v>13.170871504078338</v>
      </c>
      <c r="D38" s="13">
        <v>3.6084579463228322E-2</v>
      </c>
      <c r="E38" s="133">
        <v>1</v>
      </c>
      <c r="F38" s="205">
        <f>((VLOOKUP(F$5,Tabl_B3_Comp!$B$55:$C$65,2,FALSE))*$C38)</f>
        <v>3.7668692501664047E-2</v>
      </c>
      <c r="G38" s="205">
        <f>((VLOOKUP(G$5,Tabl_B3_Comp!$B$55:$C$65,2,FALSE))*$C38)</f>
        <v>2.1863646696770041E-2</v>
      </c>
      <c r="H38" s="205">
        <f>((VLOOKUP(H$5,Tabl_B3_Comp!$B$55:$C$65,2,FALSE))*$C38)</f>
        <v>4.5966341549233403E-4</v>
      </c>
      <c r="I38" s="205">
        <f>((VLOOKUP(I$5,Tabl_B3_Comp!$B$55:$C$65,2,FALSE))*$C38)</f>
        <v>1.7122132955301838E-4</v>
      </c>
      <c r="J38" s="205">
        <f>((VLOOKUP(J$5,Tabl_B3_Comp!$B$55:$C$65,2,FALSE))*$C38)</f>
        <v>3.0556421889461746E-3</v>
      </c>
      <c r="K38" s="205">
        <f>((VLOOKUP(K$5,Tabl_B3_Comp!$B$55:$C$65,2,FALSE))*$C38)</f>
        <v>7.7576433159021411E-3</v>
      </c>
      <c r="L38" s="205">
        <f>((VLOOKUP(L$5,Tabl_B3_Comp!$B$55:$C$65,2,FALSE))*$C38)</f>
        <v>1.6068463234975572E-3</v>
      </c>
      <c r="M38" s="205">
        <f>((VLOOKUP(M$5,Tabl_B3_Comp!$B$55:$C$65,2,FALSE))*$C38)</f>
        <v>2.7527121443523726E-2</v>
      </c>
      <c r="N38" s="205">
        <f>((VLOOKUP(N$5,Tabl_B3_Comp!$B$55:$C$65,2,FALSE))*$C38)</f>
        <v>4.5439506689070267E-3</v>
      </c>
      <c r="O38" s="205">
        <f>((VLOOKUP(O$5,Tabl_B3_Comp!$B$55:$C$65,2,FALSE))*$C38)</f>
        <v>4.5834632834192618E-2</v>
      </c>
      <c r="P38" s="205">
        <f>((VLOOKUP(P$5,Tabl_B3_Comp!$B$55:$C$65,2,FALSE))*$C38)</f>
        <v>2.2390481556933176E-3</v>
      </c>
      <c r="Q38" s="206">
        <f>((VLOOKUP(Q$5,Tabl_B3_Comp!$B$55:$C$65,2,FALSE))*$D38)</f>
        <v>1.0320189726483301E-4</v>
      </c>
      <c r="R38" s="205">
        <f>((VLOOKUP(R$5,Tabl_B3_Comp!$B$55:$C$65,2,FALSE))*$D38)</f>
        <v>5.9900401908959014E-5</v>
      </c>
      <c r="S38" s="205">
        <f>((VLOOKUP(S$5,Tabl_B3_Comp!$B$55:$C$65,2,FALSE))*$D38)</f>
        <v>1.2593518232666684E-6</v>
      </c>
      <c r="T38" s="205">
        <f>((VLOOKUP(T$5,Tabl_B3_Comp!$B$55:$C$65,2,FALSE))*$D38)</f>
        <v>4.6909953302196816E-7</v>
      </c>
      <c r="U38" s="205">
        <f>((VLOOKUP(U$5,Tabl_B3_Comp!$B$55:$C$65,2,FALSE))*$D38)</f>
        <v>8.3716224354689706E-6</v>
      </c>
      <c r="V38" s="205">
        <f>((VLOOKUP(V$5,Tabl_B3_Comp!$B$55:$C$65,2,FALSE))*$D38)</f>
        <v>2.1253817303841482E-5</v>
      </c>
      <c r="W38" s="205">
        <f>((VLOOKUP(W$5,Tabl_B3_Comp!$B$55:$C$65,2,FALSE))*$D38)</f>
        <v>4.4023186945138555E-6</v>
      </c>
      <c r="X38" s="205">
        <f>((VLOOKUP(X$5,Tabl_B3_Comp!$B$55:$C$65,2,FALSE))*$D38)</f>
        <v>7.5416771078147185E-5</v>
      </c>
      <c r="Y38" s="205">
        <f>((VLOOKUP(Y$5,Tabl_B3_Comp!$B$55:$C$65,2,FALSE))*$D38)</f>
        <v>1.2449179914813771E-5</v>
      </c>
      <c r="Z38" s="205">
        <f>((VLOOKUP(Z$5,Tabl_B3_Comp!$B$55:$C$65,2,FALSE))*$D38)</f>
        <v>1.2557433653203457E-4</v>
      </c>
      <c r="AA38" s="205">
        <f>((VLOOKUP(AA$5,Tabl_B3_Comp!$B$55:$C$65,2,FALSE))*$D38)</f>
        <v>6.1343785087488149E-6</v>
      </c>
    </row>
    <row r="39" spans="1:27">
      <c r="A39" s="252"/>
      <c r="B39" t="s">
        <v>1320</v>
      </c>
      <c r="C39" s="40">
        <v>12.893325089861406</v>
      </c>
      <c r="D39" s="13">
        <v>3.5324178328387412E-2</v>
      </c>
      <c r="E39" s="133">
        <v>1</v>
      </c>
      <c r="F39" s="205">
        <f>((VLOOKUP(F$5,Tabl_B3_Comp!$B$55:$C$65,2,FALSE))*$C39)</f>
        <v>3.6874909757003624E-2</v>
      </c>
      <c r="G39" s="205">
        <f>((VLOOKUP(G$5,Tabl_B3_Comp!$B$55:$C$65,2,FALSE))*$C39)</f>
        <v>2.1402919649169936E-2</v>
      </c>
      <c r="H39" s="205">
        <f>((VLOOKUP(H$5,Tabl_B3_Comp!$B$55:$C$65,2,FALSE))*$C39)</f>
        <v>4.4997704563616309E-4</v>
      </c>
      <c r="I39" s="205">
        <f>((VLOOKUP(I$5,Tabl_B3_Comp!$B$55:$C$65,2,FALSE))*$C39)</f>
        <v>1.6761322616819826E-4</v>
      </c>
      <c r="J39" s="205">
        <f>((VLOOKUP(J$5,Tabl_B3_Comp!$B$55:$C$65,2,FALSE))*$C39)</f>
        <v>2.9912514208478465E-3</v>
      </c>
      <c r="K39" s="205">
        <f>((VLOOKUP(K$5,Tabl_B3_Comp!$B$55:$C$65,2,FALSE))*$C39)</f>
        <v>7.594168477928368E-3</v>
      </c>
      <c r="L39" s="205">
        <f>((VLOOKUP(L$5,Tabl_B3_Comp!$B$55:$C$65,2,FALSE))*$C39)</f>
        <v>1.5729856609630916E-3</v>
      </c>
      <c r="M39" s="205">
        <f>((VLOOKUP(M$5,Tabl_B3_Comp!$B$55:$C$65,2,FALSE))*$C39)</f>
        <v>2.6947049437810337E-2</v>
      </c>
      <c r="N39" s="205">
        <f>((VLOOKUP(N$5,Tabl_B3_Comp!$B$55:$C$65,2,FALSE))*$C39)</f>
        <v>4.4481971560021852E-3</v>
      </c>
      <c r="O39" s="205">
        <f>((VLOOKUP(O$5,Tabl_B3_Comp!$B$55:$C$65,2,FALSE))*$C39)</f>
        <v>4.4868771312717694E-2</v>
      </c>
      <c r="P39" s="205">
        <f>((VLOOKUP(P$5,Tabl_B3_Comp!$B$55:$C$65,2,FALSE))*$C39)</f>
        <v>2.1918652652764391E-3</v>
      </c>
      <c r="Q39" s="206">
        <f>((VLOOKUP(Q$5,Tabl_B3_Comp!$B$55:$C$65,2,FALSE))*$D39)</f>
        <v>1.01027150019188E-4</v>
      </c>
      <c r="R39" s="205">
        <f>((VLOOKUP(R$5,Tabl_B3_Comp!$B$55:$C$65,2,FALSE))*$D39)</f>
        <v>5.8638136025123108E-5</v>
      </c>
      <c r="S39" s="205">
        <f>((VLOOKUP(S$5,Tabl_B3_Comp!$B$55:$C$65,2,FALSE))*$D39)</f>
        <v>1.2328138236607208E-6</v>
      </c>
      <c r="T39" s="205">
        <f>((VLOOKUP(T$5,Tabl_B3_Comp!$B$55:$C$65,2,FALSE))*$D39)</f>
        <v>4.5921431826903634E-7</v>
      </c>
      <c r="U39" s="205">
        <f>((VLOOKUP(U$5,Tabl_B3_Comp!$B$55:$C$65,2,FALSE))*$D39)</f>
        <v>8.1952093721858793E-6</v>
      </c>
      <c r="V39" s="205">
        <f>((VLOOKUP(V$5,Tabl_B3_Comp!$B$55:$C$65,2,FALSE))*$D39)</f>
        <v>2.0805941035420186E-5</v>
      </c>
      <c r="W39" s="205">
        <f>((VLOOKUP(W$5,Tabl_B3_Comp!$B$55:$C$65,2,FALSE))*$D39)</f>
        <v>4.3095497560632645E-6</v>
      </c>
      <c r="X39" s="205">
        <f>((VLOOKUP(X$5,Tabl_B3_Comp!$B$55:$C$65,2,FALSE))*$D39)</f>
        <v>7.3827532706329687E-5</v>
      </c>
      <c r="Y39" s="205">
        <f>((VLOOKUP(Y$5,Tabl_B3_Comp!$B$55:$C$65,2,FALSE))*$D39)</f>
        <v>1.2186841523293657E-5</v>
      </c>
      <c r="Z39" s="205">
        <f>((VLOOKUP(Z$5,Tabl_B3_Comp!$B$55:$C$65,2,FALSE))*$D39)</f>
        <v>1.2292814058278821E-4</v>
      </c>
      <c r="AA39" s="205">
        <f>((VLOOKUP(AA$5,Tabl_B3_Comp!$B$55:$C$65,2,FALSE))*$D39)</f>
        <v>6.0051103158258602E-6</v>
      </c>
    </row>
    <row r="40" spans="1:27" ht="21" customHeight="1">
      <c r="A40" s="268" t="s">
        <v>1567</v>
      </c>
      <c r="B40" s="268"/>
      <c r="C40" s="268"/>
      <c r="D40" s="268"/>
      <c r="E40" s="268"/>
      <c r="F40" s="205">
        <f>SUM(F35:F39)</f>
        <v>0.22946010932463212</v>
      </c>
      <c r="G40" s="205">
        <f t="shared" ref="G40:P40" si="2">SUM(G35:G39)</f>
        <v>0.13318314037723403</v>
      </c>
      <c r="H40" s="205">
        <f t="shared" si="2"/>
        <v>2.8000551802201609E-3</v>
      </c>
      <c r="I40" s="205">
        <f t="shared" si="2"/>
        <v>1.043000496930146E-3</v>
      </c>
      <c r="J40" s="205">
        <f t="shared" si="2"/>
        <v>1.86135473298303E-2</v>
      </c>
      <c r="K40" s="205">
        <f t="shared" si="2"/>
        <v>4.7255945591681225E-2</v>
      </c>
      <c r="L40" s="205">
        <f t="shared" si="2"/>
        <v>9.7881585096521399E-3</v>
      </c>
      <c r="M40" s="205">
        <f t="shared" si="2"/>
        <v>0.167682387583385</v>
      </c>
      <c r="N40" s="205">
        <f t="shared" si="2"/>
        <v>2.7679628572376949E-2</v>
      </c>
      <c r="O40" s="205">
        <f t="shared" si="2"/>
        <v>0.27920320994745451</v>
      </c>
      <c r="P40" s="205">
        <f t="shared" si="2"/>
        <v>1.3639237267548066E-2</v>
      </c>
      <c r="Q40" s="205">
        <f>SUM(Q35:Q39)</f>
        <v>6.2865783376611542E-4</v>
      </c>
      <c r="R40" s="205">
        <f t="shared" ref="R40:AA40" si="3">SUM(R35:R39)</f>
        <v>3.6488531610201101E-4</v>
      </c>
      <c r="S40" s="205">
        <f t="shared" si="3"/>
        <v>7.6713840553977017E-6</v>
      </c>
      <c r="T40" s="205">
        <f t="shared" si="3"/>
        <v>2.8575356080277968E-6</v>
      </c>
      <c r="U40" s="205">
        <f t="shared" si="3"/>
        <v>5.0996020081726847E-5</v>
      </c>
      <c r="V40" s="205">
        <f t="shared" si="3"/>
        <v>1.2946834408679789E-4</v>
      </c>
      <c r="W40" s="205">
        <f t="shared" si="3"/>
        <v>2.6816872629183948E-5</v>
      </c>
      <c r="X40" s="205">
        <f t="shared" si="3"/>
        <v>4.5940380159831506E-4</v>
      </c>
      <c r="Y40" s="205">
        <f t="shared" si="3"/>
        <v>7.5834598828430005E-5</v>
      </c>
      <c r="Z40" s="205">
        <f t="shared" si="3"/>
        <v>7.6494030122590271E-4</v>
      </c>
      <c r="AA40" s="205">
        <f t="shared" si="3"/>
        <v>3.7367773335748117E-5</v>
      </c>
    </row>
    <row r="42" spans="1:27">
      <c r="A42" t="s">
        <v>1329</v>
      </c>
    </row>
  </sheetData>
  <mergeCells count="6">
    <mergeCell ref="A40:E40"/>
    <mergeCell ref="Q4:AA4"/>
    <mergeCell ref="F4:P4"/>
    <mergeCell ref="A7:A33"/>
    <mergeCell ref="A35:A39"/>
    <mergeCell ref="A34:E34"/>
  </mergeCells>
  <phoneticPr fontId="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98D8E-3E38-A940-92F3-302CC4747E28}">
  <sheetPr codeName="Sheet5"/>
  <dimension ref="A1:P61"/>
  <sheetViews>
    <sheetView topLeftCell="A24" workbookViewId="0">
      <selection activeCell="I47" sqref="I47:I57"/>
    </sheetView>
  </sheetViews>
  <sheetFormatPr baseColWidth="10" defaultColWidth="10.83203125" defaultRowHeight="16"/>
  <cols>
    <col min="1" max="1" width="28.6640625" style="43" customWidth="1"/>
    <col min="2" max="2" width="21.83203125" style="43" customWidth="1"/>
    <col min="3" max="3" width="16.6640625" style="43" customWidth="1"/>
    <col min="4" max="7" width="17.1640625" style="43" customWidth="1"/>
    <col min="8" max="8" width="15.5" style="43" customWidth="1"/>
    <col min="9" max="9" width="13.33203125" style="43" customWidth="1"/>
    <col min="10" max="10" width="10.83203125" style="43"/>
    <col min="11" max="12" width="15.5" style="43" customWidth="1"/>
    <col min="13" max="13" width="10.83203125" style="43"/>
    <col min="14" max="14" width="21.33203125" style="43" customWidth="1"/>
    <col min="15" max="15" width="26.33203125" style="43" customWidth="1"/>
    <col min="16" max="16384" width="10.83203125" style="43"/>
  </cols>
  <sheetData>
    <row r="1" spans="1:13" ht="19">
      <c r="A1" s="188" t="s">
        <v>1528</v>
      </c>
      <c r="D1" s="44"/>
    </row>
    <row r="2" spans="1:13" s="22" customFormat="1" ht="19">
      <c r="A2" s="188" t="s">
        <v>1540</v>
      </c>
      <c r="B2" s="45"/>
      <c r="F2" s="46"/>
      <c r="G2" s="46"/>
    </row>
    <row r="3" spans="1:13" s="22" customFormat="1" ht="19">
      <c r="A3" s="188"/>
      <c r="B3" s="45"/>
      <c r="F3" s="46"/>
      <c r="G3" s="46"/>
    </row>
    <row r="4" spans="1:13" customFormat="1">
      <c r="B4" s="4" t="s">
        <v>1553</v>
      </c>
      <c r="C4" t="s">
        <v>1399</v>
      </c>
    </row>
    <row r="5" spans="1:13" customFormat="1">
      <c r="B5" s="4" t="s">
        <v>29</v>
      </c>
      <c r="C5" t="s">
        <v>1399</v>
      </c>
    </row>
    <row r="6" spans="1:13" customFormat="1">
      <c r="B6" s="4" t="s">
        <v>30</v>
      </c>
      <c r="C6" t="s">
        <v>1559</v>
      </c>
    </row>
    <row r="8" spans="1:13">
      <c r="A8" s="47" t="s">
        <v>1330</v>
      </c>
    </row>
    <row r="10" spans="1:13">
      <c r="B10" s="48" t="s">
        <v>1331</v>
      </c>
      <c r="C10" s="49" t="s">
        <v>1332</v>
      </c>
      <c r="D10" s="43" t="s">
        <v>1333</v>
      </c>
      <c r="F10" s="50"/>
      <c r="L10" s="50"/>
      <c r="M10" s="50"/>
    </row>
    <row r="11" spans="1:13">
      <c r="B11" s="47"/>
      <c r="C11" s="48" t="s">
        <v>1334</v>
      </c>
      <c r="F11" s="50"/>
      <c r="L11" s="50"/>
      <c r="M11" s="50"/>
    </row>
    <row r="12" spans="1:13">
      <c r="F12" s="50"/>
      <c r="L12" s="50"/>
      <c r="M12" s="50"/>
    </row>
    <row r="13" spans="1:13">
      <c r="A13" s="50"/>
      <c r="B13" s="51" t="s">
        <v>1331</v>
      </c>
      <c r="C13" s="50" t="s">
        <v>1335</v>
      </c>
      <c r="D13" s="50"/>
      <c r="E13" s="50"/>
      <c r="F13" s="50"/>
      <c r="L13" s="50"/>
      <c r="M13" s="50"/>
    </row>
    <row r="14" spans="1:13">
      <c r="A14" s="50"/>
      <c r="B14" s="51" t="s">
        <v>1336</v>
      </c>
      <c r="C14" s="50" t="s">
        <v>1560</v>
      </c>
      <c r="D14" s="50"/>
      <c r="E14" s="50"/>
      <c r="F14" s="50"/>
      <c r="L14" s="50"/>
      <c r="M14" s="50"/>
    </row>
    <row r="15" spans="1:13">
      <c r="A15" s="50"/>
      <c r="B15" s="51" t="s">
        <v>1337</v>
      </c>
      <c r="C15" s="50" t="s">
        <v>1338</v>
      </c>
      <c r="D15" s="50"/>
      <c r="E15" s="50"/>
      <c r="F15" s="50"/>
      <c r="L15" s="50"/>
      <c r="M15" s="50"/>
    </row>
    <row r="16" spans="1:13">
      <c r="A16" s="50"/>
      <c r="B16" s="51" t="s">
        <v>1339</v>
      </c>
      <c r="C16" s="50" t="s">
        <v>1340</v>
      </c>
      <c r="D16" s="50"/>
      <c r="E16" s="50"/>
      <c r="F16" s="50"/>
      <c r="L16" s="50"/>
      <c r="M16" s="50"/>
    </row>
    <row r="17" spans="1:16">
      <c r="A17" s="50"/>
      <c r="B17" s="51" t="s">
        <v>1341</v>
      </c>
      <c r="C17" s="50" t="s">
        <v>1342</v>
      </c>
      <c r="D17" s="50"/>
      <c r="E17" s="50"/>
      <c r="F17" s="50"/>
      <c r="G17" s="50"/>
      <c r="H17" s="50"/>
      <c r="I17" s="50"/>
      <c r="J17" s="50"/>
      <c r="K17" s="50"/>
      <c r="L17" s="50"/>
      <c r="M17" s="50"/>
    </row>
    <row r="18" spans="1:16">
      <c r="A18" s="50"/>
      <c r="B18" s="51"/>
      <c r="C18" s="50"/>
      <c r="D18" s="50"/>
      <c r="E18" s="50"/>
      <c r="F18" s="50"/>
      <c r="G18" s="50"/>
      <c r="H18" s="50"/>
      <c r="I18" s="50"/>
      <c r="J18" s="50"/>
      <c r="K18" s="50"/>
      <c r="L18" s="50"/>
      <c r="M18" s="50"/>
    </row>
    <row r="19" spans="1:16">
      <c r="A19" s="50"/>
      <c r="B19" s="51"/>
      <c r="C19" s="50"/>
      <c r="D19" s="50"/>
      <c r="E19" s="50"/>
      <c r="F19" s="50"/>
      <c r="G19" s="50"/>
      <c r="H19" s="50"/>
      <c r="I19" s="50"/>
      <c r="J19" s="50"/>
      <c r="K19" s="270" t="s">
        <v>1634</v>
      </c>
      <c r="L19" s="270"/>
      <c r="M19" s="50"/>
    </row>
    <row r="20" spans="1:16">
      <c r="K20" s="270"/>
      <c r="L20" s="270"/>
      <c r="M20" s="46"/>
      <c r="N20" s="46"/>
      <c r="O20" s="46"/>
      <c r="P20" s="46"/>
    </row>
    <row r="21" spans="1:16" ht="57" customHeight="1">
      <c r="A21" s="52" t="s">
        <v>1348</v>
      </c>
      <c r="B21" s="52" t="s">
        <v>1347</v>
      </c>
      <c r="C21" s="52" t="s">
        <v>1343</v>
      </c>
      <c r="D21" s="52" t="s">
        <v>1344</v>
      </c>
      <c r="E21" s="52" t="s">
        <v>1448</v>
      </c>
      <c r="F21" s="52" t="s">
        <v>1449</v>
      </c>
      <c r="G21" s="52" t="s">
        <v>1334</v>
      </c>
      <c r="H21" s="52" t="s">
        <v>1345</v>
      </c>
      <c r="I21" s="52" t="s">
        <v>1346</v>
      </c>
      <c r="J21" s="52" t="s">
        <v>1281</v>
      </c>
      <c r="K21" s="52" t="s">
        <v>1346</v>
      </c>
      <c r="L21" s="52" t="s">
        <v>1281</v>
      </c>
      <c r="M21" s="46"/>
      <c r="N21" s="46"/>
    </row>
    <row r="22" spans="1:16">
      <c r="A22" s="43" t="s">
        <v>1349</v>
      </c>
      <c r="B22" s="53">
        <v>6000000</v>
      </c>
      <c r="C22" s="43" t="s">
        <v>1463</v>
      </c>
      <c r="D22" s="43">
        <v>1</v>
      </c>
      <c r="E22" s="43">
        <v>0.05</v>
      </c>
      <c r="F22" s="43">
        <v>130</v>
      </c>
      <c r="G22" s="43">
        <v>528</v>
      </c>
      <c r="H22" s="54">
        <f t="shared" ref="H22:H26" si="0">(12.46*D22*E22*F22)/G22</f>
        <v>0.15339015151515153</v>
      </c>
      <c r="I22" s="55">
        <f t="shared" ref="I22:I26" si="1">J22/365</f>
        <v>2.5214819427148196</v>
      </c>
      <c r="J22" s="53">
        <f>B22/1000*H22</f>
        <v>920.34090909090924</v>
      </c>
      <c r="K22" s="46"/>
      <c r="L22" s="46"/>
      <c r="M22" s="46"/>
      <c r="N22" s="46"/>
    </row>
    <row r="23" spans="1:16">
      <c r="A23" s="43" t="s">
        <v>1350</v>
      </c>
      <c r="B23" s="53">
        <v>6000000</v>
      </c>
      <c r="C23" s="43" t="s">
        <v>1463</v>
      </c>
      <c r="D23" s="43">
        <v>1</v>
      </c>
      <c r="E23" s="43">
        <v>7.0000000000000007E-2</v>
      </c>
      <c r="F23" s="43">
        <v>130</v>
      </c>
      <c r="G23" s="43">
        <v>528</v>
      </c>
      <c r="H23" s="54">
        <f t="shared" si="0"/>
        <v>0.21474621212121217</v>
      </c>
      <c r="I23" s="55">
        <f t="shared" si="1"/>
        <v>3.5300747198007478</v>
      </c>
      <c r="J23" s="53">
        <f t="shared" ref="J23:J26" si="2">B23/1000*H23</f>
        <v>1288.477272727273</v>
      </c>
      <c r="K23" s="46"/>
      <c r="L23" s="46"/>
      <c r="M23" s="46"/>
      <c r="N23" s="46"/>
    </row>
    <row r="24" spans="1:16">
      <c r="A24" s="43" t="s">
        <v>1537</v>
      </c>
      <c r="B24" s="53">
        <v>1000000</v>
      </c>
      <c r="C24" s="43" t="s">
        <v>1463</v>
      </c>
      <c r="D24" s="43">
        <v>1</v>
      </c>
      <c r="E24" s="43">
        <v>0.09</v>
      </c>
      <c r="F24" s="43">
        <v>130</v>
      </c>
      <c r="G24" s="43">
        <v>528</v>
      </c>
      <c r="H24" s="54">
        <f t="shared" si="0"/>
        <v>0.27610227272727267</v>
      </c>
      <c r="I24" s="55">
        <f t="shared" si="1"/>
        <v>0.75644458281444571</v>
      </c>
      <c r="J24" s="53">
        <f t="shared" si="2"/>
        <v>276.10227272727269</v>
      </c>
      <c r="K24" s="46"/>
      <c r="L24" s="46"/>
      <c r="M24" s="46"/>
      <c r="N24" s="46"/>
    </row>
    <row r="25" spans="1:16">
      <c r="A25" s="43" t="s">
        <v>1538</v>
      </c>
      <c r="B25" s="53">
        <v>3600000</v>
      </c>
      <c r="C25" s="43" t="s">
        <v>1463</v>
      </c>
      <c r="D25" s="43">
        <v>1</v>
      </c>
      <c r="E25" s="43">
        <v>0.08</v>
      </c>
      <c r="F25" s="43">
        <v>130</v>
      </c>
      <c r="G25" s="43">
        <v>528</v>
      </c>
      <c r="H25" s="54">
        <f t="shared" ref="H25" si="3">(12.46*D25*E25*F25)/G25</f>
        <v>0.24542424242424243</v>
      </c>
      <c r="I25" s="55">
        <f t="shared" ref="I25" si="4">J25/365</f>
        <v>2.4206226650062268</v>
      </c>
      <c r="J25" s="53">
        <f t="shared" ref="J25" si="5">B25/1000*H25</f>
        <v>883.52727272727282</v>
      </c>
      <c r="K25" s="46"/>
      <c r="L25" s="46"/>
      <c r="M25" s="46"/>
      <c r="N25" s="46"/>
    </row>
    <row r="26" spans="1:16">
      <c r="A26" s="43" t="s">
        <v>1543</v>
      </c>
      <c r="B26" s="53">
        <v>1200000</v>
      </c>
      <c r="C26" s="43" t="s">
        <v>1463</v>
      </c>
      <c r="D26" s="43">
        <v>1</v>
      </c>
      <c r="E26" s="43">
        <v>0.25</v>
      </c>
      <c r="F26" s="43">
        <v>130</v>
      </c>
      <c r="G26" s="43">
        <v>810</v>
      </c>
      <c r="H26" s="54">
        <f t="shared" si="0"/>
        <v>0.49993827160493831</v>
      </c>
      <c r="I26" s="55">
        <f t="shared" si="1"/>
        <v>1.6436326737696603</v>
      </c>
      <c r="J26" s="53">
        <f t="shared" si="2"/>
        <v>599.92592592592598</v>
      </c>
      <c r="K26" s="250">
        <f>H26*B29/1000</f>
        <v>37.995308641975306</v>
      </c>
      <c r="L26" s="250">
        <f>H26*B28/1000</f>
        <v>8898.9012345679002</v>
      </c>
      <c r="M26" s="46"/>
      <c r="N26" s="249"/>
    </row>
    <row r="27" spans="1:16">
      <c r="H27" s="47" t="s">
        <v>1351</v>
      </c>
      <c r="I27" s="65">
        <f>SUM(I22:I26)</f>
        <v>10.8722565841059</v>
      </c>
      <c r="J27" s="65">
        <f>SUM(J22:J26)</f>
        <v>3968.3736531986533</v>
      </c>
      <c r="L27" s="46"/>
      <c r="M27" s="46"/>
      <c r="N27" s="249"/>
      <c r="O27" s="46"/>
    </row>
    <row r="28" spans="1:16">
      <c r="A28" s="43" t="s">
        <v>1568</v>
      </c>
      <c r="B28" s="53">
        <f>SUM(B22:B26)</f>
        <v>17800000</v>
      </c>
      <c r="C28" s="43" t="s">
        <v>1243</v>
      </c>
      <c r="H28" s="47"/>
      <c r="I28" s="65"/>
      <c r="J28" s="65"/>
      <c r="L28" s="46"/>
      <c r="M28" s="46"/>
      <c r="N28" s="46"/>
      <c r="O28" s="46"/>
    </row>
    <row r="29" spans="1:16">
      <c r="A29" s="43" t="s">
        <v>1569</v>
      </c>
      <c r="B29" s="214">
        <v>76000</v>
      </c>
      <c r="C29" s="43" t="s">
        <v>1242</v>
      </c>
      <c r="H29" s="47"/>
      <c r="I29" s="65"/>
      <c r="J29" s="65"/>
      <c r="L29" s="46"/>
      <c r="M29" s="46"/>
      <c r="N29" s="46"/>
      <c r="O29" s="46"/>
    </row>
    <row r="30" spans="1:16">
      <c r="H30" s="47"/>
      <c r="I30" s="65"/>
      <c r="J30" s="65"/>
      <c r="L30" s="46"/>
      <c r="M30" s="46"/>
      <c r="N30" s="46"/>
      <c r="O30" s="46"/>
    </row>
    <row r="31" spans="1:16">
      <c r="A31" s="43" t="s">
        <v>1542</v>
      </c>
      <c r="M31" s="46"/>
      <c r="N31" s="46"/>
      <c r="O31" s="46"/>
      <c r="P31" s="46"/>
    </row>
    <row r="32" spans="1:16">
      <c r="A32" s="43" t="s">
        <v>1450</v>
      </c>
      <c r="M32" s="46"/>
      <c r="N32" s="46"/>
      <c r="O32" s="46"/>
      <c r="P32" s="46"/>
    </row>
    <row r="33" spans="1:16">
      <c r="M33" s="46"/>
      <c r="N33" s="46"/>
      <c r="O33" s="46"/>
      <c r="P33" s="46"/>
    </row>
    <row r="34" spans="1:16">
      <c r="M34" s="46"/>
      <c r="N34" s="46"/>
      <c r="O34" s="46"/>
      <c r="P34" s="46"/>
    </row>
    <row r="35" spans="1:16">
      <c r="M35" s="46"/>
      <c r="N35" s="46"/>
      <c r="O35" s="46"/>
      <c r="P35" s="46"/>
    </row>
    <row r="36" spans="1:16">
      <c r="A36" s="191" t="s">
        <v>1547</v>
      </c>
      <c r="B36" s="192" t="s">
        <v>1548</v>
      </c>
      <c r="C36" s="193"/>
      <c r="D36" s="194"/>
      <c r="E36" s="195"/>
      <c r="F36" s="196"/>
      <c r="M36" s="46"/>
      <c r="N36" s="46"/>
      <c r="O36" s="46"/>
      <c r="P36" s="46"/>
    </row>
    <row r="37" spans="1:16">
      <c r="A37" s="197"/>
      <c r="B37" s="198" t="s">
        <v>1544</v>
      </c>
      <c r="C37" s="198"/>
      <c r="D37" s="198"/>
      <c r="E37" s="198"/>
      <c r="F37" s="199"/>
      <c r="M37" s="46"/>
      <c r="N37" s="46"/>
      <c r="O37" s="46"/>
      <c r="P37" s="46"/>
    </row>
    <row r="38" spans="1:16">
      <c r="A38" s="197"/>
      <c r="B38" s="198" t="s">
        <v>1545</v>
      </c>
      <c r="C38" s="198"/>
      <c r="D38" s="198"/>
      <c r="E38" s="198"/>
      <c r="F38" s="199"/>
      <c r="M38" s="46"/>
      <c r="N38" s="46"/>
      <c r="O38" s="46"/>
      <c r="P38" s="46"/>
    </row>
    <row r="39" spans="1:16">
      <c r="A39" s="197"/>
      <c r="B39" s="198" t="s">
        <v>1546</v>
      </c>
      <c r="C39" s="198" t="s">
        <v>1551</v>
      </c>
      <c r="D39" s="198"/>
      <c r="E39" s="198"/>
      <c r="F39" s="199"/>
      <c r="M39" s="46"/>
      <c r="N39" s="46"/>
      <c r="O39" s="46"/>
      <c r="P39" s="46"/>
    </row>
    <row r="40" spans="1:16">
      <c r="A40" s="197"/>
      <c r="B40" s="198" t="s">
        <v>1550</v>
      </c>
      <c r="C40" s="198"/>
      <c r="D40" s="198"/>
      <c r="E40" s="198"/>
      <c r="F40" s="199"/>
      <c r="M40" s="46"/>
      <c r="N40" s="46"/>
      <c r="O40" s="46"/>
      <c r="P40" s="46"/>
    </row>
    <row r="41" spans="1:16">
      <c r="A41" s="200"/>
      <c r="B41" s="201" t="s">
        <v>1549</v>
      </c>
      <c r="C41" s="202"/>
      <c r="D41" s="202"/>
      <c r="E41" s="202"/>
      <c r="F41" s="203"/>
      <c r="M41" s="46"/>
      <c r="N41" s="46"/>
      <c r="O41" s="46"/>
      <c r="P41" s="46"/>
    </row>
    <row r="42" spans="1:16">
      <c r="M42" s="46"/>
      <c r="N42" s="46"/>
      <c r="O42" s="46"/>
      <c r="P42" s="46"/>
    </row>
    <row r="43" spans="1:16">
      <c r="M43" s="46"/>
      <c r="N43" s="46"/>
      <c r="O43" s="46"/>
      <c r="P43" s="46"/>
    </row>
    <row r="44" spans="1:16">
      <c r="M44" s="46"/>
      <c r="N44" s="46"/>
      <c r="O44" s="46"/>
      <c r="P44" s="46"/>
    </row>
    <row r="45" spans="1:16" s="22" customFormat="1" ht="32" customHeight="1">
      <c r="B45" s="45"/>
      <c r="F45" s="46"/>
      <c r="G45" s="271" t="s">
        <v>1635</v>
      </c>
      <c r="H45" s="272"/>
      <c r="I45" s="272"/>
    </row>
    <row r="46" spans="1:16" s="22" customFormat="1" ht="28">
      <c r="A46" s="56" t="s">
        <v>1292</v>
      </c>
      <c r="B46" s="57" t="s">
        <v>24</v>
      </c>
      <c r="C46" s="58" t="s">
        <v>1327</v>
      </c>
      <c r="D46" s="58" t="s">
        <v>22</v>
      </c>
      <c r="E46" s="58" t="s">
        <v>1293</v>
      </c>
      <c r="F46" s="59" t="s">
        <v>1632</v>
      </c>
      <c r="G46" s="58" t="s">
        <v>22</v>
      </c>
      <c r="H46" s="58" t="s">
        <v>1293</v>
      </c>
      <c r="I46" s="59" t="s">
        <v>1632</v>
      </c>
    </row>
    <row r="47" spans="1:16" s="22" customFormat="1" ht="13">
      <c r="A47" s="60" t="s">
        <v>88</v>
      </c>
      <c r="B47" s="22" t="s">
        <v>998</v>
      </c>
      <c r="C47" s="164">
        <f>VLOOKUP(B47,Tabl_B3_Comp!$B$55:$C$65,2,FALSE)</f>
        <v>2.8600000000000001E-3</v>
      </c>
      <c r="D47" s="208">
        <f>C47*$I$27</f>
        <v>3.1094653830542874E-2</v>
      </c>
      <c r="E47" s="208">
        <f>C47*$J$27</f>
        <v>11.349548648148149</v>
      </c>
      <c r="F47" s="209">
        <f>E47/$B$28</f>
        <v>6.3761509259259267E-7</v>
      </c>
      <c r="G47" s="208">
        <f>C47*$K$26</f>
        <v>0.10866658271604938</v>
      </c>
      <c r="H47" s="208">
        <f>C47*$L$26</f>
        <v>25.450857530864194</v>
      </c>
      <c r="I47" s="209">
        <f>H47/$B$28</f>
        <v>1.4298234567901234E-6</v>
      </c>
      <c r="K47" s="251"/>
      <c r="L47" s="251"/>
    </row>
    <row r="48" spans="1:16" s="22" customFormat="1" ht="13">
      <c r="A48" s="60" t="s">
        <v>693</v>
      </c>
      <c r="B48" s="22" t="s">
        <v>692</v>
      </c>
      <c r="C48" s="164">
        <f>VLOOKUP(B48,Tabl_B3_Comp!$B$55:$C$65,2,FALSE)</f>
        <v>1.66E-3</v>
      </c>
      <c r="D48" s="210">
        <f t="shared" ref="D48:D57" si="6">C48*$I$27</f>
        <v>1.8047945929615793E-2</v>
      </c>
      <c r="E48" s="247">
        <f t="shared" ref="E48:E57" si="7">C48*$J$27</f>
        <v>6.5875002643097647</v>
      </c>
      <c r="F48" s="211">
        <f t="shared" ref="F48:F57" si="8">E48/$B$28</f>
        <v>3.7008428451178452E-7</v>
      </c>
      <c r="G48" s="210">
        <f t="shared" ref="G48:G57" si="9">C48*$K$26</f>
        <v>6.3072212345679016E-2</v>
      </c>
      <c r="H48" s="247">
        <f t="shared" ref="H48:H57" si="10">C48*$L$26</f>
        <v>14.772176049382715</v>
      </c>
      <c r="I48" s="211">
        <f t="shared" ref="I48:I57" si="11">H48/$B$28</f>
        <v>8.2989753086419746E-7</v>
      </c>
    </row>
    <row r="49" spans="1:13" s="22" customFormat="1" ht="13">
      <c r="A49" s="60" t="s">
        <v>814</v>
      </c>
      <c r="B49" s="22" t="s">
        <v>813</v>
      </c>
      <c r="C49" s="164">
        <f>VLOOKUP(B49,Tabl_B3_Comp!$B$55:$C$65,2,FALSE)</f>
        <v>3.4900000000000001E-5</v>
      </c>
      <c r="D49" s="210">
        <f t="shared" si="6"/>
        <v>3.794417547852959E-4</v>
      </c>
      <c r="E49" s="247">
        <f t="shared" si="7"/>
        <v>0.13849624049663301</v>
      </c>
      <c r="F49" s="211">
        <f t="shared" si="8"/>
        <v>7.7806876683501689E-9</v>
      </c>
      <c r="G49" s="210">
        <f t="shared" si="9"/>
        <v>1.3260362716049382E-3</v>
      </c>
      <c r="H49" s="247">
        <f t="shared" si="10"/>
        <v>0.31057165308641971</v>
      </c>
      <c r="I49" s="211">
        <f t="shared" si="11"/>
        <v>1.7447845679012344E-8</v>
      </c>
    </row>
    <row r="50" spans="1:13" s="22" customFormat="1" ht="28">
      <c r="A50" s="61" t="s">
        <v>313</v>
      </c>
      <c r="B50" s="22" t="s">
        <v>312</v>
      </c>
      <c r="C50" s="164">
        <f>VLOOKUP(B50,Tabl_B3_Comp!$B$55:$C$65,2,FALSE)</f>
        <v>1.2999999999999999E-5</v>
      </c>
      <c r="D50" s="210">
        <f t="shared" si="6"/>
        <v>1.4133933559337669E-4</v>
      </c>
      <c r="E50" s="247">
        <f t="shared" si="7"/>
        <v>5.1588857491582492E-2</v>
      </c>
      <c r="F50" s="211">
        <f t="shared" si="8"/>
        <v>2.8982504208754208E-9</v>
      </c>
      <c r="G50" s="210">
        <f t="shared" si="9"/>
        <v>4.9393901234567894E-4</v>
      </c>
      <c r="H50" s="247">
        <f t="shared" si="10"/>
        <v>0.1156857160493827</v>
      </c>
      <c r="I50" s="211">
        <f t="shared" si="11"/>
        <v>6.4991975308641965E-9</v>
      </c>
    </row>
    <row r="51" spans="1:13" s="22" customFormat="1" ht="13">
      <c r="A51" s="60" t="s">
        <v>148</v>
      </c>
      <c r="B51" s="22" t="s">
        <v>147</v>
      </c>
      <c r="C51" s="164">
        <f>VLOOKUP(B51,Tabl_B3_Comp!$B$55:$C$65,2,FALSE)</f>
        <v>2.32E-4</v>
      </c>
      <c r="D51" s="210">
        <f t="shared" si="6"/>
        <v>2.5223635275125689E-3</v>
      </c>
      <c r="E51" s="247">
        <f t="shared" si="7"/>
        <v>0.92066268754208758</v>
      </c>
      <c r="F51" s="211">
        <f t="shared" si="8"/>
        <v>5.1722622895622898E-8</v>
      </c>
      <c r="G51" s="210">
        <f t="shared" si="9"/>
        <v>8.8149116049382713E-3</v>
      </c>
      <c r="H51" s="247">
        <f t="shared" si="10"/>
        <v>2.064545086419753</v>
      </c>
      <c r="I51" s="211">
        <f t="shared" si="11"/>
        <v>1.1598567901234567E-7</v>
      </c>
    </row>
    <row r="52" spans="1:13" s="22" customFormat="1" ht="13">
      <c r="A52" s="60" t="s">
        <v>499</v>
      </c>
      <c r="B52" s="22" t="s">
        <v>498</v>
      </c>
      <c r="C52" s="164">
        <f>VLOOKUP(B52,Tabl_B3_Comp!$B$55:$C$65,2,FALSE)</f>
        <v>5.8900000000000001E-4</v>
      </c>
      <c r="D52" s="210">
        <f t="shared" si="6"/>
        <v>6.4037591280383752E-3</v>
      </c>
      <c r="E52" s="247">
        <f t="shared" si="7"/>
        <v>2.3373720817340069</v>
      </c>
      <c r="F52" s="211">
        <f t="shared" si="8"/>
        <v>1.313130382996633E-7</v>
      </c>
      <c r="G52" s="210">
        <f t="shared" si="9"/>
        <v>2.2379236790123457E-2</v>
      </c>
      <c r="H52" s="247">
        <f t="shared" si="10"/>
        <v>5.2414528271604937</v>
      </c>
      <c r="I52" s="211">
        <f t="shared" si="11"/>
        <v>2.9446364197530865E-7</v>
      </c>
    </row>
    <row r="53" spans="1:13" s="22" customFormat="1" ht="13">
      <c r="A53" s="60" t="s">
        <v>605</v>
      </c>
      <c r="B53" s="22" t="s">
        <v>604</v>
      </c>
      <c r="C53" s="164">
        <f>VLOOKUP(B53,Tabl_B3_Comp!$B$55:$C$65,2,FALSE)</f>
        <v>1.22E-4</v>
      </c>
      <c r="D53" s="210">
        <f t="shared" si="6"/>
        <v>1.3264153032609197E-3</v>
      </c>
      <c r="E53" s="247">
        <f t="shared" si="7"/>
        <v>0.48414158569023569</v>
      </c>
      <c r="F53" s="211">
        <f t="shared" si="8"/>
        <v>2.7198965488215487E-8</v>
      </c>
      <c r="G53" s="210">
        <f t="shared" si="9"/>
        <v>4.6354276543209873E-3</v>
      </c>
      <c r="H53" s="247">
        <f t="shared" si="10"/>
        <v>1.0856659506172839</v>
      </c>
      <c r="I53" s="211">
        <f t="shared" si="11"/>
        <v>6.0992469135802465E-8</v>
      </c>
    </row>
    <row r="54" spans="1:13" s="22" customFormat="1" ht="13">
      <c r="A54" s="60" t="s">
        <v>1129</v>
      </c>
      <c r="B54" s="22" t="s">
        <v>1128</v>
      </c>
      <c r="C54" s="164">
        <f>VLOOKUP(B54,Tabl_B3_Comp!$B$55:$C$65,2,FALSE)</f>
        <v>2.0899999999999998E-3</v>
      </c>
      <c r="D54" s="210">
        <f t="shared" si="6"/>
        <v>2.2723016260781329E-2</v>
      </c>
      <c r="E54" s="247">
        <f t="shared" si="7"/>
        <v>8.2939009351851851</v>
      </c>
      <c r="F54" s="211">
        <f t="shared" si="8"/>
        <v>4.6594949074074076E-7</v>
      </c>
      <c r="G54" s="210">
        <f t="shared" si="9"/>
        <v>7.9410195061728389E-2</v>
      </c>
      <c r="H54" s="247">
        <f t="shared" si="10"/>
        <v>18.598703580246909</v>
      </c>
      <c r="I54" s="211">
        <f t="shared" si="11"/>
        <v>1.0448709876543207E-6</v>
      </c>
    </row>
    <row r="55" spans="1:13" s="22" customFormat="1" ht="13">
      <c r="A55" s="60" t="s">
        <v>579</v>
      </c>
      <c r="B55" s="22" t="s">
        <v>578</v>
      </c>
      <c r="C55" s="164">
        <f>VLOOKUP(B55,Tabl_B3_Comp!$B$55:$C$65,2,FALSE)</f>
        <v>3.4499999999999998E-4</v>
      </c>
      <c r="D55" s="210">
        <f t="shared" si="6"/>
        <v>3.7509285215165354E-3</v>
      </c>
      <c r="E55" s="247">
        <f t="shared" si="7"/>
        <v>1.3690889103535353</v>
      </c>
      <c r="F55" s="211">
        <f t="shared" si="8"/>
        <v>7.6915107323232314E-8</v>
      </c>
      <c r="G55" s="210">
        <f t="shared" si="9"/>
        <v>1.310838148148148E-2</v>
      </c>
      <c r="H55" s="247">
        <f t="shared" si="10"/>
        <v>3.0701209259259254</v>
      </c>
      <c r="I55" s="211">
        <f t="shared" si="11"/>
        <v>1.7247870370370367E-7</v>
      </c>
    </row>
    <row r="56" spans="1:13" s="22" customFormat="1" ht="28">
      <c r="A56" s="61" t="s">
        <v>1223</v>
      </c>
      <c r="B56" s="22" t="s">
        <v>1222</v>
      </c>
      <c r="C56" s="164">
        <f>VLOOKUP(B56,Tabl_B3_Comp!$B$55:$C$65,2,FALSE)</f>
        <v>3.48E-3</v>
      </c>
      <c r="D56" s="210">
        <f t="shared" si="6"/>
        <v>3.7835452912688534E-2</v>
      </c>
      <c r="E56" s="247">
        <f t="shared" si="7"/>
        <v>13.809940313131314</v>
      </c>
      <c r="F56" s="211">
        <f t="shared" si="8"/>
        <v>7.758393434343435E-7</v>
      </c>
      <c r="G56" s="210">
        <f t="shared" si="9"/>
        <v>0.13222367407407407</v>
      </c>
      <c r="H56" s="247">
        <f t="shared" si="10"/>
        <v>30.968176296296292</v>
      </c>
      <c r="I56" s="211">
        <f t="shared" si="11"/>
        <v>1.7397851851851849E-6</v>
      </c>
    </row>
    <row r="57" spans="1:13" s="22" customFormat="1" ht="13">
      <c r="A57" s="62" t="s">
        <v>591</v>
      </c>
      <c r="B57" s="63" t="s">
        <v>590</v>
      </c>
      <c r="C57" s="165">
        <f>VLOOKUP(B57,Tabl_B3_Comp!$B$55:$C$65,2,FALSE)</f>
        <v>1.7000000000000001E-4</v>
      </c>
      <c r="D57" s="212">
        <f t="shared" si="6"/>
        <v>1.8482836192980031E-3</v>
      </c>
      <c r="E57" s="212">
        <f t="shared" si="7"/>
        <v>0.6746235210437711</v>
      </c>
      <c r="F57" s="213">
        <f t="shared" si="8"/>
        <v>3.7900197811447818E-8</v>
      </c>
      <c r="G57" s="212">
        <f t="shared" si="9"/>
        <v>6.4592024691358029E-3</v>
      </c>
      <c r="H57" s="212">
        <f t="shared" si="10"/>
        <v>1.5128132098765432</v>
      </c>
      <c r="I57" s="213">
        <f t="shared" si="11"/>
        <v>8.4989506172839511E-8</v>
      </c>
    </row>
    <row r="58" spans="1:13" s="22" customFormat="1" ht="13">
      <c r="B58" s="23"/>
      <c r="C58" s="66" t="s">
        <v>1351</v>
      </c>
      <c r="D58" s="38">
        <f>SUM(D47:D57)</f>
        <v>0.12607360012363361</v>
      </c>
      <c r="E58" s="38">
        <f>SUM(E47:E57)</f>
        <v>46.016864045126269</v>
      </c>
      <c r="F58" s="38"/>
      <c r="G58" s="38">
        <f>SUM(G47:G57)</f>
        <v>0.44058979948148147</v>
      </c>
      <c r="H58" s="38">
        <f>SUM(H47:H57)</f>
        <v>103.1907688259259</v>
      </c>
      <c r="I58" s="38"/>
    </row>
    <row r="59" spans="1:13" s="22" customFormat="1" ht="15">
      <c r="B59" s="23"/>
      <c r="C59" s="23"/>
      <c r="D59" s="23"/>
      <c r="E59" s="23"/>
      <c r="F59" s="46"/>
      <c r="G59" s="46"/>
      <c r="H59" s="23"/>
    </row>
    <row r="60" spans="1:13" s="22" customFormat="1" ht="15">
      <c r="A60" s="64"/>
      <c r="F60" s="46"/>
      <c r="G60" s="46"/>
    </row>
    <row r="61" spans="1:13">
      <c r="A61" s="50"/>
      <c r="B61" s="51"/>
      <c r="C61" s="50"/>
      <c r="D61" s="50"/>
      <c r="E61" s="50"/>
      <c r="F61" s="50"/>
      <c r="G61" s="50"/>
      <c r="H61" s="50"/>
      <c r="I61" s="50"/>
      <c r="J61" s="50"/>
      <c r="K61" s="50"/>
      <c r="L61" s="50"/>
      <c r="M61" s="50"/>
    </row>
  </sheetData>
  <mergeCells count="2">
    <mergeCell ref="K19:L20"/>
    <mergeCell ref="G45:I45"/>
  </mergeCells>
  <pageMargins left="0.75" right="0.75" top="1" bottom="1" header="0.5" footer="0.5"/>
  <pageSetup scale="61" orientation="landscape" horizontalDpi="4294967292" verticalDpi="429496729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Facility xmlns="89cdaa30-7b22-4a6a-9ff8-e919efaf11cd">EcoLube</Facility>
    <PublishingStartDate xmlns="http://schemas.microsoft.com/sharepoint/v3" xsi:nil="true"/>
  </documentManagement>
</p:properties>
</file>

<file path=customXml/itemProps1.xml><?xml version="1.0" encoding="utf-8"?>
<ds:datastoreItem xmlns:ds="http://schemas.openxmlformats.org/officeDocument/2006/customXml" ds:itemID="{1E06C1F7-9B95-43E6-84E5-A205C1B6ACD0}"/>
</file>

<file path=customXml/itemProps2.xml><?xml version="1.0" encoding="utf-8"?>
<ds:datastoreItem xmlns:ds="http://schemas.openxmlformats.org/officeDocument/2006/customXml" ds:itemID="{6C46C28F-69EA-46E2-BB28-7CD805A7A732}"/>
</file>

<file path=customXml/itemProps3.xml><?xml version="1.0" encoding="utf-8"?>
<ds:datastoreItem xmlns:ds="http://schemas.openxmlformats.org/officeDocument/2006/customXml" ds:itemID="{FD49C679-9EE3-43B2-BA5B-A083158E89C5}"/>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Source_List</vt:lpstr>
      <vt:lpstr>X_EMIS</vt:lpstr>
      <vt:lpstr>errata</vt:lpstr>
      <vt:lpstr>Tabl_B1_RTO</vt:lpstr>
      <vt:lpstr>Tabl_B1a_SO3</vt:lpstr>
      <vt:lpstr>Tabl_B2_Fug</vt:lpstr>
      <vt:lpstr>Tabl_B3_Comp</vt:lpstr>
      <vt:lpstr>Tabl_B4_Tanks</vt:lpstr>
      <vt:lpstr>Tabl_B5_TLoad</vt:lpstr>
      <vt:lpstr>Tabl_B6_Carbon_BU</vt:lpstr>
      <vt:lpstr>Site Summary</vt:lpstr>
      <vt:lpstr>CAO_Pollutant_List</vt:lpstr>
      <vt:lpstr>NG_Factor_Sort</vt:lpstr>
      <vt:lpstr>RBC</vt:lpstr>
      <vt:lpstr>RBC_old</vt:lpstr>
      <vt:lpstr>Sheet2</vt:lpstr>
      <vt:lpstr>Sheet2!Extract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Browning</dc:creator>
  <cp:lastModifiedBy>John Browning</cp:lastModifiedBy>
  <dcterms:created xsi:type="dcterms:W3CDTF">2020-05-07T22:34:50Z</dcterms:created>
  <dcterms:modified xsi:type="dcterms:W3CDTF">2022-07-10T00:20:50Z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