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eqhq1\AQCOMMON\CleanerAirOR\Facility Files\New facilities\Northwest Region\2020\26-0315_NW Metals\NW Metals submittals\Kristen's QA\"/>
    </mc:Choice>
  </mc:AlternateContent>
  <bookViews>
    <workbookView xWindow="0" yWindow="0" windowWidth="10340" windowHeight="10170" tabRatio="735"/>
  </bookViews>
  <sheets>
    <sheet name="Emission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E134" i="5" l="1"/>
  <c r="D134" i="5"/>
  <c r="G134" i="5" s="1"/>
  <c r="O134" i="5" s="1"/>
  <c r="F134" i="5" l="1"/>
  <c r="N134" i="5" s="1"/>
  <c r="D76" i="5"/>
  <c r="E102" i="5" s="1"/>
  <c r="D75" i="5"/>
  <c r="D102" i="5" s="1"/>
  <c r="E139" i="5" l="1"/>
  <c r="E138" i="5"/>
  <c r="E137" i="5"/>
  <c r="E136" i="5"/>
  <c r="E135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D135" i="5"/>
  <c r="G135" i="5" s="1"/>
  <c r="D133" i="5"/>
  <c r="F133" i="5" s="1"/>
  <c r="D126" i="5"/>
  <c r="G126" i="5" s="1"/>
  <c r="D125" i="5"/>
  <c r="F125" i="5" s="1"/>
  <c r="D132" i="5"/>
  <c r="F132" i="5" l="1"/>
  <c r="G132" i="5"/>
  <c r="D119" i="5"/>
  <c r="D127" i="5"/>
  <c r="D128" i="5"/>
  <c r="D121" i="5"/>
  <c r="F135" i="5"/>
  <c r="N135" i="5" s="1"/>
  <c r="F126" i="5"/>
  <c r="D136" i="5"/>
  <c r="D120" i="5"/>
  <c r="D137" i="5"/>
  <c r="D129" i="5"/>
  <c r="D138" i="5"/>
  <c r="D122" i="5"/>
  <c r="D130" i="5"/>
  <c r="D139" i="5"/>
  <c r="D123" i="5"/>
  <c r="D131" i="5"/>
  <c r="G133" i="5"/>
  <c r="G125" i="5"/>
  <c r="D124" i="5"/>
  <c r="F129" i="5" l="1"/>
  <c r="G129" i="5"/>
  <c r="F131" i="5"/>
  <c r="G131" i="5"/>
  <c r="F120" i="5"/>
  <c r="G120" i="5"/>
  <c r="F123" i="5"/>
  <c r="G123" i="5"/>
  <c r="G136" i="5"/>
  <c r="F136" i="5"/>
  <c r="F139" i="5"/>
  <c r="G139" i="5"/>
  <c r="G130" i="5"/>
  <c r="F130" i="5"/>
  <c r="G122" i="5"/>
  <c r="F122" i="5"/>
  <c r="F121" i="5"/>
  <c r="G121" i="5"/>
  <c r="F124" i="5"/>
  <c r="G124" i="5"/>
  <c r="F138" i="5"/>
  <c r="G138" i="5"/>
  <c r="F128" i="5"/>
  <c r="G128" i="5"/>
  <c r="F127" i="5"/>
  <c r="G127" i="5"/>
  <c r="F137" i="5"/>
  <c r="G137" i="5"/>
  <c r="G119" i="5"/>
  <c r="F119" i="5"/>
  <c r="D90" i="5" l="1"/>
  <c r="H90" i="5" l="1"/>
  <c r="I90" i="5"/>
  <c r="E110" i="5"/>
  <c r="D108" i="5"/>
  <c r="H108" i="5" s="1"/>
  <c r="D106" i="5"/>
  <c r="I106" i="5" s="1"/>
  <c r="D103" i="5"/>
  <c r="I103" i="5" s="1"/>
  <c r="H102" i="5"/>
  <c r="D97" i="5"/>
  <c r="H97" i="5" s="1"/>
  <c r="D96" i="5"/>
  <c r="I96" i="5" s="1"/>
  <c r="D95" i="5"/>
  <c r="I95" i="5" s="1"/>
  <c r="D94" i="5"/>
  <c r="H94" i="5" s="1"/>
  <c r="D93" i="5"/>
  <c r="H93" i="5" s="1"/>
  <c r="D92" i="5"/>
  <c r="I92" i="5" s="1"/>
  <c r="D91" i="5"/>
  <c r="I91" i="5" l="1"/>
  <c r="H91" i="5"/>
  <c r="H103" i="5"/>
  <c r="I102" i="5"/>
  <c r="E84" i="5"/>
  <c r="H106" i="5"/>
  <c r="E89" i="5"/>
  <c r="H96" i="5"/>
  <c r="E98" i="5"/>
  <c r="H95" i="5"/>
  <c r="H92" i="5"/>
  <c r="I94" i="5"/>
  <c r="E107" i="5"/>
  <c r="E99" i="5"/>
  <c r="E100" i="5"/>
  <c r="I97" i="5"/>
  <c r="I93" i="5"/>
  <c r="E81" i="5"/>
  <c r="E82" i="5"/>
  <c r="E101" i="5"/>
  <c r="E83" i="5"/>
  <c r="E109" i="5"/>
  <c r="I108" i="5"/>
  <c r="E85" i="5"/>
  <c r="D79" i="5"/>
  <c r="E79" i="5"/>
  <c r="E87" i="5"/>
  <c r="E105" i="5"/>
  <c r="E86" i="5"/>
  <c r="E104" i="5"/>
  <c r="E80" i="5"/>
  <c r="E88" i="5"/>
  <c r="J146" i="5"/>
  <c r="O137" i="5" l="1"/>
  <c r="O139" i="5"/>
  <c r="N139" i="5"/>
  <c r="O132" i="5"/>
  <c r="N132" i="5"/>
  <c r="O130" i="5"/>
  <c r="N130" i="5"/>
  <c r="O124" i="5"/>
  <c r="N124" i="5"/>
  <c r="O126" i="5"/>
  <c r="N126" i="5"/>
  <c r="O123" i="5"/>
  <c r="N123" i="5"/>
  <c r="O119" i="5"/>
  <c r="N119" i="5"/>
  <c r="O122" i="5"/>
  <c r="N122" i="5"/>
  <c r="O138" i="5"/>
  <c r="N138" i="5"/>
  <c r="O127" i="5"/>
  <c r="N127" i="5"/>
  <c r="H79" i="5"/>
  <c r="I79" i="5"/>
  <c r="O125" i="5"/>
  <c r="N125" i="5"/>
  <c r="O128" i="5"/>
  <c r="N128" i="5"/>
  <c r="O135" i="5"/>
  <c r="O133" i="5"/>
  <c r="N133" i="5"/>
  <c r="O120" i="5"/>
  <c r="N120" i="5"/>
  <c r="O129" i="5"/>
  <c r="N129" i="5"/>
  <c r="O131" i="5"/>
  <c r="N131" i="5"/>
  <c r="O136" i="5"/>
  <c r="N136" i="5"/>
  <c r="O121" i="5"/>
  <c r="N121" i="5"/>
  <c r="N137" i="5"/>
  <c r="N154" i="5"/>
  <c r="N155" i="5" s="1"/>
  <c r="J147" i="5" s="1"/>
  <c r="J150" i="5" s="1"/>
  <c r="D145" i="5" l="1"/>
  <c r="D149" i="5"/>
  <c r="D146" i="5"/>
  <c r="D148" i="5"/>
  <c r="D147" i="5"/>
  <c r="D144" i="5"/>
  <c r="E47" i="5"/>
  <c r="E46" i="5"/>
  <c r="M144" i="5" l="1"/>
  <c r="J145" i="5" s="1"/>
  <c r="J149" i="5" s="1"/>
  <c r="M143" i="5"/>
  <c r="J144" i="5" s="1"/>
  <c r="J148" i="5" s="1"/>
  <c r="E144" i="5" s="1"/>
  <c r="E145" i="5" l="1"/>
  <c r="E146" i="5"/>
  <c r="E147" i="5"/>
  <c r="E148" i="5"/>
  <c r="E149" i="5"/>
  <c r="F149" i="5"/>
  <c r="F145" i="5"/>
  <c r="F148" i="5"/>
  <c r="F144" i="5"/>
  <c r="F146" i="5"/>
  <c r="F147" i="5"/>
  <c r="H40" i="5"/>
  <c r="I40" i="5" s="1"/>
  <c r="N40" i="5"/>
  <c r="O40" i="5" l="1"/>
  <c r="D110" i="5" l="1"/>
  <c r="D109" i="5"/>
  <c r="D107" i="5"/>
  <c r="D105" i="5"/>
  <c r="D104" i="5"/>
  <c r="D101" i="5"/>
  <c r="D100" i="5"/>
  <c r="D99" i="5"/>
  <c r="D98" i="5"/>
  <c r="D89" i="5"/>
  <c r="D88" i="5"/>
  <c r="D87" i="5"/>
  <c r="D86" i="5"/>
  <c r="D85" i="5"/>
  <c r="D84" i="5"/>
  <c r="D83" i="5"/>
  <c r="D82" i="5"/>
  <c r="D81" i="5"/>
  <c r="D80" i="5"/>
  <c r="H81" i="5" l="1"/>
  <c r="N81" i="5" s="1"/>
  <c r="I81" i="5"/>
  <c r="O81" i="5" s="1"/>
  <c r="H89" i="5"/>
  <c r="N89" i="5" s="1"/>
  <c r="I89" i="5"/>
  <c r="O89" i="5" s="1"/>
  <c r="H109" i="5"/>
  <c r="N109" i="5" s="1"/>
  <c r="I109" i="5"/>
  <c r="O109" i="5" s="1"/>
  <c r="H82" i="5"/>
  <c r="N82" i="5" s="1"/>
  <c r="I82" i="5"/>
  <c r="O82" i="5" s="1"/>
  <c r="H98" i="5"/>
  <c r="N98" i="5" s="1"/>
  <c r="I98" i="5"/>
  <c r="O98" i="5" s="1"/>
  <c r="I110" i="5"/>
  <c r="O110" i="5" s="1"/>
  <c r="H110" i="5"/>
  <c r="N110" i="5" s="1"/>
  <c r="I83" i="5"/>
  <c r="O83" i="5" s="1"/>
  <c r="H83" i="5"/>
  <c r="N83" i="5" s="1"/>
  <c r="I99" i="5"/>
  <c r="O99" i="5" s="1"/>
  <c r="H99" i="5"/>
  <c r="N99" i="5" s="1"/>
  <c r="H84" i="5"/>
  <c r="N84" i="5" s="1"/>
  <c r="I84" i="5"/>
  <c r="O84" i="5" s="1"/>
  <c r="H100" i="5"/>
  <c r="N100" i="5" s="1"/>
  <c r="I100" i="5"/>
  <c r="O100" i="5" s="1"/>
  <c r="H85" i="5"/>
  <c r="N85" i="5" s="1"/>
  <c r="I85" i="5"/>
  <c r="O85" i="5" s="1"/>
  <c r="H101" i="5"/>
  <c r="N101" i="5" s="1"/>
  <c r="I101" i="5"/>
  <c r="O101" i="5" s="1"/>
  <c r="H86" i="5"/>
  <c r="N86" i="5" s="1"/>
  <c r="I86" i="5"/>
  <c r="O86" i="5" s="1"/>
  <c r="H104" i="5"/>
  <c r="N104" i="5" s="1"/>
  <c r="I104" i="5"/>
  <c r="O104" i="5" s="1"/>
  <c r="I87" i="5"/>
  <c r="O87" i="5" s="1"/>
  <c r="H87" i="5"/>
  <c r="N87" i="5" s="1"/>
  <c r="H105" i="5"/>
  <c r="N105" i="5" s="1"/>
  <c r="I105" i="5"/>
  <c r="O105" i="5" s="1"/>
  <c r="H80" i="5"/>
  <c r="N80" i="5" s="1"/>
  <c r="I80" i="5"/>
  <c r="O80" i="5" s="1"/>
  <c r="H88" i="5"/>
  <c r="N88" i="5" s="1"/>
  <c r="I88" i="5"/>
  <c r="O88" i="5" s="1"/>
  <c r="I107" i="5"/>
  <c r="O107" i="5" s="1"/>
  <c r="H107" i="5"/>
  <c r="N107" i="5" s="1"/>
  <c r="O103" i="5"/>
  <c r="N103" i="5"/>
  <c r="O95" i="5"/>
  <c r="N95" i="5"/>
  <c r="O106" i="5"/>
  <c r="N106" i="5"/>
  <c r="N79" i="5"/>
  <c r="O79" i="5"/>
  <c r="N97" i="5"/>
  <c r="O97" i="5"/>
  <c r="O108" i="5"/>
  <c r="N108" i="5"/>
  <c r="N90" i="5"/>
  <c r="O90" i="5"/>
  <c r="O93" i="5"/>
  <c r="N93" i="5"/>
  <c r="N96" i="5"/>
  <c r="O96" i="5"/>
  <c r="O91" i="5"/>
  <c r="N91" i="5"/>
  <c r="O92" i="5"/>
  <c r="N92" i="5"/>
  <c r="N94" i="5"/>
  <c r="O94" i="5"/>
  <c r="N102" i="5"/>
  <c r="O102" i="5"/>
  <c r="H47" i="5"/>
  <c r="O47" i="5" s="1"/>
  <c r="H48" i="5"/>
  <c r="O48" i="5" s="1"/>
  <c r="H49" i="5"/>
  <c r="O49" i="5" s="1"/>
  <c r="H50" i="5"/>
  <c r="O50" i="5" s="1"/>
  <c r="H51" i="5"/>
  <c r="O51" i="5" s="1"/>
  <c r="H52" i="5"/>
  <c r="O52" i="5" s="1"/>
  <c r="H53" i="5"/>
  <c r="O53" i="5" s="1"/>
  <c r="H54" i="5"/>
  <c r="O54" i="5" s="1"/>
  <c r="H55" i="5"/>
  <c r="O55" i="5" s="1"/>
  <c r="H56" i="5"/>
  <c r="O56" i="5" s="1"/>
  <c r="H57" i="5"/>
  <c r="O57" i="5" s="1"/>
  <c r="H58" i="5"/>
  <c r="O58" i="5" s="1"/>
  <c r="H59" i="5"/>
  <c r="O59" i="5" s="1"/>
  <c r="H60" i="5"/>
  <c r="O60" i="5" s="1"/>
  <c r="H61" i="5"/>
  <c r="O61" i="5" s="1"/>
  <c r="H62" i="5"/>
  <c r="O62" i="5" s="1"/>
  <c r="H63" i="5"/>
  <c r="O63" i="5" s="1"/>
  <c r="H64" i="5"/>
  <c r="O64" i="5" s="1"/>
  <c r="H65" i="5"/>
  <c r="O65" i="5" s="1"/>
  <c r="H66" i="5"/>
  <c r="O66" i="5" s="1"/>
  <c r="H67" i="5"/>
  <c r="O67" i="5" s="1"/>
  <c r="H68" i="5"/>
  <c r="O68" i="5" s="1"/>
  <c r="H69" i="5"/>
  <c r="O69" i="5" s="1"/>
  <c r="H46" i="5"/>
  <c r="O46" i="5" s="1"/>
  <c r="G47" i="5"/>
  <c r="N47" i="5" s="1"/>
  <c r="G48" i="5"/>
  <c r="N48" i="5" s="1"/>
  <c r="G49" i="5"/>
  <c r="N49" i="5" s="1"/>
  <c r="G50" i="5"/>
  <c r="N50" i="5" s="1"/>
  <c r="G51" i="5"/>
  <c r="N51" i="5" s="1"/>
  <c r="G52" i="5"/>
  <c r="N52" i="5" s="1"/>
  <c r="G53" i="5"/>
  <c r="N53" i="5" s="1"/>
  <c r="G54" i="5"/>
  <c r="N54" i="5" s="1"/>
  <c r="G55" i="5"/>
  <c r="N55" i="5" s="1"/>
  <c r="G56" i="5"/>
  <c r="N56" i="5" s="1"/>
  <c r="G57" i="5"/>
  <c r="N57" i="5" s="1"/>
  <c r="G58" i="5"/>
  <c r="N58" i="5" s="1"/>
  <c r="G59" i="5"/>
  <c r="N59" i="5" s="1"/>
  <c r="G60" i="5"/>
  <c r="N60" i="5" s="1"/>
  <c r="G61" i="5"/>
  <c r="N61" i="5" s="1"/>
  <c r="G62" i="5"/>
  <c r="N62" i="5" s="1"/>
  <c r="G63" i="5"/>
  <c r="N63" i="5" s="1"/>
  <c r="G64" i="5"/>
  <c r="N64" i="5" s="1"/>
  <c r="G65" i="5"/>
  <c r="N65" i="5" s="1"/>
  <c r="G66" i="5"/>
  <c r="N66" i="5" s="1"/>
  <c r="G67" i="5"/>
  <c r="N67" i="5" s="1"/>
  <c r="G68" i="5"/>
  <c r="N68" i="5" s="1"/>
  <c r="G69" i="5"/>
  <c r="N69" i="5" s="1"/>
  <c r="G46" i="5"/>
  <c r="N46" i="5" s="1"/>
  <c r="H18" i="5"/>
  <c r="I18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N4" i="5" l="1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O3" i="5"/>
  <c r="N3" i="5"/>
</calcChain>
</file>

<file path=xl/comments1.xml><?xml version="1.0" encoding="utf-8"?>
<comments xmlns="http://schemas.openxmlformats.org/spreadsheetml/2006/main">
  <authors>
    <author>GISKA J.R.</author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These are EF references from source testing data.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Derived from cut sheet consumption of 205 g/kW-hr at 1,900 rpm with power of 490kW and density of diesel at 6.943 lb/gal.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AP-42 EF from Table 3.4-4 of 2.57E-7 and HHV of 138,000 BTU/gal diesel.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estimate of HC emissions for condensible PM fraction for Tier 4 engines and using 515kW for this engine.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Uncontrolled PM EF is 0.0261 lb PM10/ton material shredded.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Controlled PM EF is 0.00958 lb PM10/ton material shredded.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VOC calcs based on total %ASR, not PM.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VOC emissions accounted for in shredder emissions.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Uncontrolled PM EF for ASR storage.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Controlled PM EF for ASR pile in 3-sided container.</t>
        </r>
      </text>
    </comment>
  </commentList>
</comments>
</file>

<file path=xl/sharedStrings.xml><?xml version="1.0" encoding="utf-8"?>
<sst xmlns="http://schemas.openxmlformats.org/spreadsheetml/2006/main" count="379" uniqueCount="186">
  <si>
    <t>Pollutant</t>
  </si>
  <si>
    <t>Benzene</t>
  </si>
  <si>
    <t>Hexane</t>
  </si>
  <si>
    <t>Naphthalene</t>
  </si>
  <si>
    <t>Styrene</t>
  </si>
  <si>
    <t>Toluene</t>
  </si>
  <si>
    <t>Vinyl Chloride</t>
  </si>
  <si>
    <t>Shredding Operations</t>
  </si>
  <si>
    <t>CAS</t>
  </si>
  <si>
    <t>General Iron</t>
  </si>
  <si>
    <t>Northern Metals</t>
  </si>
  <si>
    <t>wTe Recycling</t>
  </si>
  <si>
    <t>SMM New England</t>
  </si>
  <si>
    <t>ISRI</t>
  </si>
  <si>
    <t>tons/hr</t>
  </si>
  <si>
    <t>hr/yr</t>
  </si>
  <si>
    <t>hr/day</t>
  </si>
  <si>
    <t>lb/yr</t>
  </si>
  <si>
    <t>lb/day</t>
  </si>
  <si>
    <t>Antimony and compounds</t>
  </si>
  <si>
    <t>7440-36-0</t>
  </si>
  <si>
    <t>Arsenic and compounds</t>
  </si>
  <si>
    <t>7440-38-2</t>
  </si>
  <si>
    <t>Barium and compounds</t>
  </si>
  <si>
    <t>7440-39-3</t>
  </si>
  <si>
    <t>Beryllium and compounds</t>
  </si>
  <si>
    <t>7440-41-7</t>
  </si>
  <si>
    <t>Cadmium and compounds</t>
  </si>
  <si>
    <t>7440-43-9</t>
  </si>
  <si>
    <t>Chromium VI, chromate and dichromate particulate</t>
  </si>
  <si>
    <t>18540-29-9</t>
  </si>
  <si>
    <t>Cobalt and compounds</t>
  </si>
  <si>
    <t>7440-48-4</t>
  </si>
  <si>
    <t>Copper and compounds</t>
  </si>
  <si>
    <t>7440-50-8</t>
  </si>
  <si>
    <t>Lead and compounds</t>
  </si>
  <si>
    <t>7439-92-1</t>
  </si>
  <si>
    <t>Manganese and compounds</t>
  </si>
  <si>
    <t>7439-96-5</t>
  </si>
  <si>
    <t>Mercury and compounds</t>
  </si>
  <si>
    <t>7439-97-6</t>
  </si>
  <si>
    <t>Nickel compounds, insoluble</t>
  </si>
  <si>
    <t>365</t>
  </si>
  <si>
    <t>Phosphorus and compounds</t>
  </si>
  <si>
    <t>7723-14-0</t>
  </si>
  <si>
    <t>Selenium and compounds</t>
  </si>
  <si>
    <t>7782-49-2</t>
  </si>
  <si>
    <t>Thallium and compounds</t>
  </si>
  <si>
    <t>7440-28-0</t>
  </si>
  <si>
    <t>Silver and compounds</t>
  </si>
  <si>
    <t>7440-22-4</t>
  </si>
  <si>
    <t>Zinc and compounds</t>
  </si>
  <si>
    <t>7440-66-6</t>
  </si>
  <si>
    <t>1,1-Dichloroethane (Ethylidene dichloride)</t>
  </si>
  <si>
    <t>75-34-3</t>
  </si>
  <si>
    <t>71-43-2</t>
  </si>
  <si>
    <t>Ethyl benzene</t>
  </si>
  <si>
    <t>100-41-4</t>
  </si>
  <si>
    <t>110-54-3</t>
  </si>
  <si>
    <t>Bromomethane (Methyl bromide)</t>
  </si>
  <si>
    <t>74-83-9</t>
  </si>
  <si>
    <t>1,1,1-Trichloroethane (Methyl chloroform)</t>
  </si>
  <si>
    <t>71-55-6</t>
  </si>
  <si>
    <t>2-Butanone (Methyl ethyl ketone)</t>
  </si>
  <si>
    <t>78-93-3</t>
  </si>
  <si>
    <t>Methyl isobutyl ketone (MIBK, Hexone)</t>
  </si>
  <si>
    <t>108-10-1</t>
  </si>
  <si>
    <t>Dichloromethane (Methylene chloride)</t>
  </si>
  <si>
    <t>75-09-2</t>
  </si>
  <si>
    <t>91-20-3</t>
  </si>
  <si>
    <t>100-42-5</t>
  </si>
  <si>
    <t>Tetrachloroethene (Perchloroethylene)</t>
  </si>
  <si>
    <t>127-18-4</t>
  </si>
  <si>
    <t>108-88-3</t>
  </si>
  <si>
    <t>Trichloroethene (TCE, Trichloroethylene)</t>
  </si>
  <si>
    <t>79-01-6</t>
  </si>
  <si>
    <t>75-01-4</t>
  </si>
  <si>
    <t>Vinylidene chloride</t>
  </si>
  <si>
    <t>75-35-4</t>
  </si>
  <si>
    <t>Xylene (mixture), including m-xylene, o-xylene, p-xylene</t>
  </si>
  <si>
    <t>1330-20-7</t>
  </si>
  <si>
    <t>Polychlorinated biphenyls (PCBs)</t>
  </si>
  <si>
    <t>1336-36-3</t>
  </si>
  <si>
    <t>Polychlorinated biphenyls (PCBs) TEQ</t>
  </si>
  <si>
    <t>645</t>
  </si>
  <si>
    <t>Polychlorinated dibenzo-p-dioxins (PCDDs) &amp; dibenzofurans (PCDFs) TEQ</t>
  </si>
  <si>
    <t>646</t>
  </si>
  <si>
    <t>75-07-0</t>
  </si>
  <si>
    <t>Acetaldehyde</t>
  </si>
  <si>
    <t>107-02-8</t>
  </si>
  <si>
    <t>Acrolein</t>
  </si>
  <si>
    <t>7429-90-5</t>
  </si>
  <si>
    <t>Aluminum and compounds</t>
  </si>
  <si>
    <t>7664-41-7</t>
  </si>
  <si>
    <t>117-81-7</t>
  </si>
  <si>
    <t>Bis(2-ethylhexyl) phthalate (DEHP)</t>
  </si>
  <si>
    <t>106-99-0</t>
  </si>
  <si>
    <t>1,3-Butadiene</t>
  </si>
  <si>
    <t>200</t>
  </si>
  <si>
    <t>50-00-0</t>
  </si>
  <si>
    <t>Formaldehyde</t>
  </si>
  <si>
    <t>118-74-1</t>
  </si>
  <si>
    <t>Hexachlorobenzene</t>
  </si>
  <si>
    <t>7647-01-0</t>
  </si>
  <si>
    <t>Hydrochloric acid</t>
  </si>
  <si>
    <t>447</t>
  </si>
  <si>
    <t>Polybrominated diphenyl ethers (PBDEs)</t>
  </si>
  <si>
    <t>401</t>
  </si>
  <si>
    <t>Polycyclic aromatic hydrocarbons (PAHs)</t>
  </si>
  <si>
    <t>50-32-8</t>
  </si>
  <si>
    <t>88-06-2</t>
  </si>
  <si>
    <t>2,4,6-Trichlorophenol</t>
  </si>
  <si>
    <t>95-63-6</t>
  </si>
  <si>
    <t>108-67-8</t>
  </si>
  <si>
    <t>1,3,5-Trimethylbenzene</t>
  </si>
  <si>
    <t>Max EF [lb/ton]</t>
  </si>
  <si>
    <t>Diesel Emissions</t>
  </si>
  <si>
    <t>M gal/hour</t>
  </si>
  <si>
    <t>EF [lb/M gal]</t>
  </si>
  <si>
    <t>Chromium VI, chromate, and dichromate particulate</t>
  </si>
  <si>
    <t>Nickel and compounds</t>
  </si>
  <si>
    <t>7440-02-0</t>
  </si>
  <si>
    <t>PAHs (excluding Naphthalene)*</t>
  </si>
  <si>
    <t>Benzo[a]pyrene*</t>
  </si>
  <si>
    <t>Ammonia**</t>
  </si>
  <si>
    <t>Ethylbenzene</t>
  </si>
  <si>
    <t>ASR/Fluff conveyor emissions</t>
  </si>
  <si>
    <t>Percent ASR</t>
  </si>
  <si>
    <t>PM10</t>
  </si>
  <si>
    <t>lb/year</t>
  </si>
  <si>
    <t>1,2,4 -Trimethylbenzene</t>
  </si>
  <si>
    <t>Polychlorinated naphthalenes</t>
  </si>
  <si>
    <t>PBDDs/PBDFs</t>
  </si>
  <si>
    <t>Tetrabromobisphenol A</t>
  </si>
  <si>
    <t>79-94-7</t>
  </si>
  <si>
    <t>Hexabromocyclododecane</t>
  </si>
  <si>
    <t>3194-55-6</t>
  </si>
  <si>
    <t>2,4,6-Tribromophenol</t>
  </si>
  <si>
    <t>118-79-6</t>
  </si>
  <si>
    <t>Diesel exhaust particulates (PM 2.5)^^</t>
  </si>
  <si>
    <t>PAHs</t>
  </si>
  <si>
    <t>[lb/hr]</t>
  </si>
  <si>
    <t>hr/d</t>
  </si>
  <si>
    <t>ton/auto</t>
  </si>
  <si>
    <t>shredder ton/hr</t>
  </si>
  <si>
    <t>% VOC</t>
  </si>
  <si>
    <t>lb VOC/yr</t>
  </si>
  <si>
    <t>lb VOC/day</t>
  </si>
  <si>
    <t>2,2,4 Trimethylpentane</t>
  </si>
  <si>
    <t>Xylenes</t>
  </si>
  <si>
    <t>540-84-1</t>
  </si>
  <si>
    <t>auto/yr</t>
  </si>
  <si>
    <t>auto/hr</t>
  </si>
  <si>
    <t>Fluid Draining Operations</t>
  </si>
  <si>
    <t>gal/auto</t>
  </si>
  <si>
    <t>VOC Emission Factor Variables</t>
  </si>
  <si>
    <t>Physical Data</t>
  </si>
  <si>
    <t>Gasoline</t>
  </si>
  <si>
    <t>Reference</t>
  </si>
  <si>
    <t>Saturation Factor (S)</t>
  </si>
  <si>
    <t>AP-42 Table 5.2-1; worst case</t>
  </si>
  <si>
    <t>AP-42 Table 7.1-2; RVP 13 Gasoline</t>
  </si>
  <si>
    <t>AP 42 Table 7.1-7; Salem OR</t>
  </si>
  <si>
    <t>AP-42 Chapter 5.2 Eq. (1)</t>
  </si>
  <si>
    <t>VOC EF = 12.46 x SPM / T</t>
  </si>
  <si>
    <t>lb VOC/M gal</t>
  </si>
  <si>
    <t>lb VOC/hr</t>
  </si>
  <si>
    <t>auto/day</t>
  </si>
  <si>
    <t>lb/hr</t>
  </si>
  <si>
    <r>
      <t>True Vapor Pressure (P, psia)</t>
    </r>
    <r>
      <rPr>
        <vertAlign val="superscript"/>
        <sz val="11"/>
        <rFont val="Arial"/>
        <family val="2"/>
      </rPr>
      <t>b</t>
    </r>
  </si>
  <si>
    <r>
      <t>Vapor Molecular Weight (M, lb/lb-mol)</t>
    </r>
    <r>
      <rPr>
        <vertAlign val="superscript"/>
        <sz val="11"/>
        <rFont val="Arial"/>
        <family val="2"/>
      </rPr>
      <t>b</t>
    </r>
  </si>
  <si>
    <r>
      <t>Temperature (T, deg R)</t>
    </r>
    <r>
      <rPr>
        <vertAlign val="superscript"/>
        <sz val="11"/>
        <rFont val="Arial"/>
        <family val="2"/>
      </rPr>
      <t>c</t>
    </r>
  </si>
  <si>
    <r>
      <t>VOC Emissions Factor (lb/10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gal)</t>
    </r>
  </si>
  <si>
    <t>PM</t>
  </si>
  <si>
    <t>VOC</t>
  </si>
  <si>
    <t>SVOC</t>
  </si>
  <si>
    <t>[lb PM/lb material]</t>
  </si>
  <si>
    <t>Drops</t>
  </si>
  <si>
    <t>Unc</t>
  </si>
  <si>
    <t>Con</t>
  </si>
  <si>
    <t>Uncon</t>
  </si>
  <si>
    <t>[lb/lb material shredded]</t>
  </si>
  <si>
    <t>ASR/Fluff Storage Pile emissions</t>
  </si>
  <si>
    <t>[lb ASR PM/hour]</t>
  </si>
  <si>
    <t>M gal/yr</t>
  </si>
  <si>
    <t>M gal/day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</si>
</sst>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0000"/>
    <numFmt numFmtId="166" formatCode="0.0"/>
    <numFmt numFmtId="167" formatCode="#,##0.000"/>
    <numFmt numFmtId="168" formatCode="0.000"/>
    <numFmt numFmtId="169" formatCode="0E+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sz val="4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5" fillId="0" borderId="0" xfId="0" applyFont="1"/>
    <xf numFmtId="0" fontId="6" fillId="0" borderId="0" xfId="0" applyFont="1"/>
    <xf numFmtId="11" fontId="6" fillId="0" borderId="0" xfId="0" applyNumberFormat="1" applyFont="1"/>
    <xf numFmtId="0" fontId="7" fillId="0" borderId="0" xfId="0" applyFont="1" applyAlignment="1">
      <alignment horizontal="center" wrapText="1"/>
    </xf>
    <xf numFmtId="11" fontId="7" fillId="0" borderId="0" xfId="0" applyNumberFormat="1" applyFont="1" applyAlignment="1">
      <alignment horizontal="center" wrapText="1"/>
    </xf>
    <xf numFmtId="0" fontId="6" fillId="2" borderId="0" xfId="0" applyFont="1" applyFill="1"/>
    <xf numFmtId="3" fontId="6" fillId="2" borderId="0" xfId="0" applyNumberFormat="1" applyFont="1" applyFill="1"/>
    <xf numFmtId="166" fontId="6" fillId="2" borderId="0" xfId="0" applyNumberFormat="1" applyFont="1" applyFill="1"/>
    <xf numFmtId="11" fontId="6" fillId="0" borderId="0" xfId="0" applyNumberFormat="1" applyFont="1" applyFill="1"/>
    <xf numFmtId="0" fontId="6" fillId="3" borderId="0" xfId="0" applyFont="1" applyFill="1"/>
    <xf numFmtId="11" fontId="6" fillId="3" borderId="0" xfId="0" applyNumberFormat="1" applyFont="1" applyFill="1"/>
    <xf numFmtId="11" fontId="7" fillId="0" borderId="0" xfId="0" applyNumberFormat="1" applyFont="1"/>
    <xf numFmtId="0" fontId="7" fillId="0" borderId="0" xfId="0" applyFont="1" applyAlignment="1">
      <alignment horizontal="center"/>
    </xf>
    <xf numFmtId="11" fontId="7" fillId="0" borderId="0" xfId="0" applyNumberFormat="1" applyFont="1" applyAlignment="1">
      <alignment horizontal="left"/>
    </xf>
    <xf numFmtId="11" fontId="6" fillId="4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Font="1" applyFill="1" applyBorder="1"/>
    <xf numFmtId="165" fontId="6" fillId="5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166" fontId="6" fillId="5" borderId="0" xfId="0" applyNumberFormat="1" applyFont="1" applyFill="1" applyBorder="1" applyAlignment="1">
      <alignment horizontal="center"/>
    </xf>
    <xf numFmtId="9" fontId="6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1" fontId="6" fillId="4" borderId="0" xfId="0" applyNumberFormat="1" applyFont="1" applyFill="1" applyAlignment="1">
      <alignment horizontal="center"/>
    </xf>
    <xf numFmtId="11" fontId="6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6" fillId="0" borderId="0" xfId="1" applyNumberFormat="1" applyFont="1" applyAlignment="1">
      <alignment horizontal="center"/>
    </xf>
    <xf numFmtId="11" fontId="6" fillId="0" borderId="0" xfId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6" fillId="0" borderId="0" xfId="0" applyNumberFormat="1" applyFont="1"/>
    <xf numFmtId="168" fontId="6" fillId="0" borderId="0" xfId="0" applyNumberFormat="1" applyFont="1"/>
    <xf numFmtId="0" fontId="8" fillId="0" borderId="0" xfId="2" applyFont="1" applyFill="1" applyBorder="1" applyAlignment="1">
      <alignment horizontal="center"/>
    </xf>
    <xf numFmtId="0" fontId="9" fillId="0" borderId="0" xfId="2" applyFont="1"/>
    <xf numFmtId="0" fontId="9" fillId="0" borderId="3" xfId="2" applyFont="1" applyBorder="1" applyAlignment="1">
      <alignment horizontal="center" vertical="center"/>
    </xf>
    <xf numFmtId="0" fontId="9" fillId="0" borderId="4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" xfId="2" applyFont="1" applyFill="1" applyBorder="1"/>
    <xf numFmtId="167" fontId="9" fillId="0" borderId="1" xfId="2" applyNumberFormat="1" applyFont="1" applyBorder="1"/>
    <xf numFmtId="0" fontId="9" fillId="0" borderId="0" xfId="2" applyFont="1" applyFill="1" applyBorder="1" applyAlignment="1">
      <alignment horizontal="left"/>
    </xf>
    <xf numFmtId="0" fontId="9" fillId="0" borderId="0" xfId="2" applyFont="1" applyFill="1" applyAlignment="1">
      <alignment horizontal="left" indent="1"/>
    </xf>
    <xf numFmtId="1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9" fontId="6" fillId="0" borderId="0" xfId="0" applyNumberFormat="1" applyFont="1"/>
    <xf numFmtId="0" fontId="6" fillId="6" borderId="0" xfId="0" applyFont="1" applyFill="1"/>
    <xf numFmtId="11" fontId="6" fillId="6" borderId="0" xfId="0" applyNumberFormat="1" applyFont="1" applyFill="1"/>
    <xf numFmtId="169" fontId="6" fillId="6" borderId="0" xfId="0" applyNumberFormat="1" applyFont="1" applyFill="1"/>
    <xf numFmtId="1" fontId="6" fillId="6" borderId="0" xfId="0" applyNumberFormat="1" applyFont="1" applyFill="1" applyAlignment="1">
      <alignment horizontal="center"/>
    </xf>
    <xf numFmtId="0" fontId="6" fillId="7" borderId="0" xfId="0" applyFont="1" applyFill="1"/>
    <xf numFmtId="0" fontId="6" fillId="0" borderId="0" xfId="0" applyFont="1" applyFill="1"/>
    <xf numFmtId="11" fontId="7" fillId="0" borderId="0" xfId="0" applyNumberFormat="1" applyFont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1" fontId="6" fillId="0" borderId="0" xfId="0" applyNumberFormat="1" applyFont="1" applyAlignment="1">
      <alignment horizontal="center"/>
    </xf>
    <xf numFmtId="11" fontId="7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50"/>
  </sheetPr>
  <dimension ref="A1:U156"/>
  <sheetViews>
    <sheetView tabSelected="1" topLeftCell="A114" zoomScaleNormal="100" workbookViewId="0">
      <selection activeCell="I122" sqref="I122"/>
    </sheetView>
  </sheetViews>
  <sheetFormatPr defaultColWidth="9.1796875" defaultRowHeight="14" x14ac:dyDescent="0.3"/>
  <cols>
    <col min="1" max="1" width="59.26953125" style="2" customWidth="1"/>
    <col min="2" max="2" width="12.1796875" style="2" bestFit="1" customWidth="1"/>
    <col min="3" max="3" width="10.08984375" style="2" bestFit="1" customWidth="1"/>
    <col min="4" max="5" width="11.6328125" style="2" customWidth="1"/>
    <col min="6" max="6" width="12.26953125" style="2" bestFit="1" customWidth="1"/>
    <col min="7" max="9" width="9.36328125" style="2" bestFit="1" customWidth="1"/>
    <col min="10" max="10" width="9.26953125" style="2" bestFit="1" customWidth="1"/>
    <col min="11" max="11" width="5.7265625" style="2" bestFit="1" customWidth="1"/>
    <col min="12" max="12" width="9.26953125" style="2" bestFit="1" customWidth="1"/>
    <col min="13" max="13" width="33.7265625" style="2" bestFit="1" customWidth="1"/>
    <col min="14" max="15" width="9.36328125" style="2" bestFit="1" customWidth="1"/>
    <col min="16" max="19" width="9.1796875" style="2"/>
    <col min="20" max="20" width="13.26953125" style="2" bestFit="1" customWidth="1"/>
    <col min="21" max="21" width="9.36328125" style="2" bestFit="1" customWidth="1"/>
    <col min="22" max="16384" width="9.1796875" style="2"/>
  </cols>
  <sheetData>
    <row r="1" spans="1:15" ht="60" x14ac:dyDescent="1.1499999999999999">
      <c r="A1" s="1" t="s">
        <v>7</v>
      </c>
      <c r="C1" s="3"/>
      <c r="D1" s="3"/>
      <c r="E1" s="3"/>
      <c r="F1" s="3"/>
      <c r="G1" s="3"/>
    </row>
    <row r="2" spans="1:15" ht="28" x14ac:dyDescent="0.3">
      <c r="A2" s="4" t="s">
        <v>0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4" t="s">
        <v>115</v>
      </c>
      <c r="I2" s="4" t="s">
        <v>141</v>
      </c>
      <c r="J2" s="4" t="s">
        <v>14</v>
      </c>
      <c r="K2" s="4" t="s">
        <v>15</v>
      </c>
      <c r="L2" s="4" t="s">
        <v>16</v>
      </c>
      <c r="M2" s="4"/>
      <c r="N2" s="4" t="s">
        <v>17</v>
      </c>
      <c r="O2" s="4" t="s">
        <v>18</v>
      </c>
    </row>
    <row r="3" spans="1:15" x14ac:dyDescent="0.3">
      <c r="A3" s="2" t="s">
        <v>19</v>
      </c>
      <c r="B3" s="2" t="s">
        <v>20</v>
      </c>
      <c r="C3" s="3">
        <v>1.7529049558049457E-7</v>
      </c>
      <c r="D3" s="3"/>
      <c r="E3" s="3"/>
      <c r="F3" s="3">
        <v>2.23E-7</v>
      </c>
      <c r="G3" s="3"/>
      <c r="H3" s="3">
        <f>MAX(C3:G3)</f>
        <v>2.23E-7</v>
      </c>
      <c r="I3" s="3">
        <f>H3*$J$3</f>
        <v>2.2299999999999998E-6</v>
      </c>
      <c r="J3" s="6">
        <v>10</v>
      </c>
      <c r="K3" s="7">
        <v>2265</v>
      </c>
      <c r="L3" s="8">
        <f>6.6</f>
        <v>6.6</v>
      </c>
      <c r="N3" s="3">
        <f>H3*$J$3*$K$3</f>
        <v>5.0509499999999994E-3</v>
      </c>
      <c r="O3" s="3">
        <f>H3*$J$3*$L$3</f>
        <v>1.4717999999999999E-5</v>
      </c>
    </row>
    <row r="4" spans="1:15" x14ac:dyDescent="0.3">
      <c r="A4" s="2" t="s">
        <v>21</v>
      </c>
      <c r="B4" s="2" t="s">
        <v>22</v>
      </c>
      <c r="C4" s="3">
        <v>7.0016883503823624E-8</v>
      </c>
      <c r="D4" s="3"/>
      <c r="E4" s="3"/>
      <c r="F4" s="3"/>
      <c r="G4" s="3"/>
      <c r="H4" s="3">
        <f t="shared" ref="H4:H39" si="0">MAX(C4:G4)</f>
        <v>7.0016883503823624E-8</v>
      </c>
      <c r="I4" s="3">
        <f t="shared" ref="I4:I40" si="1">H4*$J$3</f>
        <v>7.0016883503823624E-7</v>
      </c>
      <c r="N4" s="3">
        <f t="shared" ref="N4:N39" si="2">H4*$J$3*$K$3</f>
        <v>1.5858824113616052E-3</v>
      </c>
      <c r="O4" s="3">
        <f t="shared" ref="O4:O40" si="3">H4*$J$3*$L$3</f>
        <v>4.6211143112523587E-6</v>
      </c>
    </row>
    <row r="5" spans="1:15" x14ac:dyDescent="0.3">
      <c r="A5" s="2" t="s">
        <v>23</v>
      </c>
      <c r="B5" s="2" t="s">
        <v>24</v>
      </c>
      <c r="C5" s="3">
        <v>1.5642069718939321E-6</v>
      </c>
      <c r="D5" s="3"/>
      <c r="E5" s="3"/>
      <c r="F5" s="3"/>
      <c r="G5" s="3"/>
      <c r="H5" s="3">
        <f t="shared" si="0"/>
        <v>1.5642069718939321E-6</v>
      </c>
      <c r="I5" s="3">
        <f t="shared" si="1"/>
        <v>1.5642069718939322E-5</v>
      </c>
      <c r="N5" s="3">
        <f t="shared" si="2"/>
        <v>3.5429287913397563E-2</v>
      </c>
      <c r="O5" s="3">
        <f t="shared" si="3"/>
        <v>1.0323766014499951E-4</v>
      </c>
    </row>
    <row r="6" spans="1:15" x14ac:dyDescent="0.3">
      <c r="A6" s="2" t="s">
        <v>25</v>
      </c>
      <c r="B6" s="2" t="s">
        <v>26</v>
      </c>
      <c r="C6" s="3">
        <v>1.464892243519714E-8</v>
      </c>
      <c r="D6" s="3"/>
      <c r="E6" s="3"/>
      <c r="F6" s="3"/>
      <c r="G6" s="3"/>
      <c r="H6" s="3">
        <f t="shared" si="0"/>
        <v>1.464892243519714E-8</v>
      </c>
      <c r="I6" s="3">
        <f t="shared" si="1"/>
        <v>1.4648922435197139E-7</v>
      </c>
      <c r="N6" s="3">
        <f t="shared" si="2"/>
        <v>3.3179809315721519E-4</v>
      </c>
      <c r="O6" s="3">
        <f t="shared" si="3"/>
        <v>9.6682888072301117E-7</v>
      </c>
    </row>
    <row r="7" spans="1:15" x14ac:dyDescent="0.3">
      <c r="A7" s="2" t="s">
        <v>27</v>
      </c>
      <c r="B7" s="2" t="s">
        <v>28</v>
      </c>
      <c r="C7" s="3">
        <v>6.4802860264177174E-7</v>
      </c>
      <c r="D7" s="3"/>
      <c r="E7" s="3">
        <v>7.7100000000000007E-6</v>
      </c>
      <c r="F7" s="3">
        <v>2.5499999999999999E-7</v>
      </c>
      <c r="G7" s="3">
        <v>1.1599999999999999E-6</v>
      </c>
      <c r="H7" s="3">
        <f t="shared" si="0"/>
        <v>7.7100000000000007E-6</v>
      </c>
      <c r="I7" s="3">
        <f t="shared" si="1"/>
        <v>7.7100000000000004E-5</v>
      </c>
      <c r="N7" s="3">
        <f t="shared" si="2"/>
        <v>0.1746315</v>
      </c>
      <c r="O7" s="3">
        <f t="shared" si="3"/>
        <v>5.0885999999999998E-4</v>
      </c>
    </row>
    <row r="8" spans="1:15" x14ac:dyDescent="0.3">
      <c r="A8" s="2" t="s">
        <v>29</v>
      </c>
      <c r="B8" s="2" t="s">
        <v>30</v>
      </c>
      <c r="C8" s="3"/>
      <c r="D8" s="3">
        <v>1.6500000000000001E-5</v>
      </c>
      <c r="E8" s="3"/>
      <c r="F8" s="3"/>
      <c r="G8" s="3"/>
      <c r="H8" s="3">
        <f t="shared" si="0"/>
        <v>1.6500000000000001E-5</v>
      </c>
      <c r="I8" s="3">
        <f t="shared" si="1"/>
        <v>1.65E-4</v>
      </c>
      <c r="N8" s="3">
        <f t="shared" si="2"/>
        <v>0.37372499999999997</v>
      </c>
      <c r="O8" s="3">
        <f t="shared" si="3"/>
        <v>1.0889999999999999E-3</v>
      </c>
    </row>
    <row r="9" spans="1:15" x14ac:dyDescent="0.3">
      <c r="A9" s="2" t="s">
        <v>31</v>
      </c>
      <c r="B9" s="2" t="s">
        <v>32</v>
      </c>
      <c r="C9" s="3">
        <v>6.3809712980435E-8</v>
      </c>
      <c r="D9" s="3"/>
      <c r="E9" s="3"/>
      <c r="F9" s="3">
        <v>1.3400000000000001E-7</v>
      </c>
      <c r="G9" s="3"/>
      <c r="H9" s="3">
        <f t="shared" si="0"/>
        <v>1.3400000000000001E-7</v>
      </c>
      <c r="I9" s="3">
        <f t="shared" si="1"/>
        <v>1.3400000000000001E-6</v>
      </c>
      <c r="N9" s="3">
        <f t="shared" si="2"/>
        <v>3.0351000000000002E-3</v>
      </c>
      <c r="O9" s="3">
        <f t="shared" si="3"/>
        <v>8.8440000000000004E-6</v>
      </c>
    </row>
    <row r="10" spans="1:15" x14ac:dyDescent="0.3">
      <c r="A10" s="2" t="s">
        <v>33</v>
      </c>
      <c r="B10" s="2" t="s">
        <v>34</v>
      </c>
      <c r="C10" s="3">
        <v>1.5443440262190885E-6</v>
      </c>
      <c r="D10" s="3"/>
      <c r="E10" s="3"/>
      <c r="F10" s="3"/>
      <c r="G10" s="3"/>
      <c r="H10" s="3">
        <f t="shared" si="0"/>
        <v>1.5443440262190885E-6</v>
      </c>
      <c r="I10" s="3">
        <f t="shared" si="1"/>
        <v>1.5443440262190885E-5</v>
      </c>
      <c r="N10" s="3">
        <f t="shared" si="2"/>
        <v>3.4979392193862355E-2</v>
      </c>
      <c r="O10" s="3">
        <f t="shared" si="3"/>
        <v>1.0192670573045983E-4</v>
      </c>
    </row>
    <row r="11" spans="1:15" x14ac:dyDescent="0.3">
      <c r="A11" s="2" t="s">
        <v>35</v>
      </c>
      <c r="B11" s="2" t="s">
        <v>36</v>
      </c>
      <c r="C11" s="3">
        <v>2.8801271228523189E-6</v>
      </c>
      <c r="D11" s="3"/>
      <c r="E11" s="9">
        <v>7.7200000000000006E-5</v>
      </c>
      <c r="F11" s="3"/>
      <c r="G11" s="3">
        <v>7.8900000000000007E-6</v>
      </c>
      <c r="H11" s="3">
        <f t="shared" si="0"/>
        <v>7.7200000000000006E-5</v>
      </c>
      <c r="I11" s="3">
        <f t="shared" si="1"/>
        <v>7.7200000000000012E-4</v>
      </c>
      <c r="N11" s="3">
        <f t="shared" si="2"/>
        <v>1.7485800000000002</v>
      </c>
      <c r="O11" s="3">
        <f t="shared" si="3"/>
        <v>5.0952000000000002E-3</v>
      </c>
    </row>
    <row r="12" spans="1:15" x14ac:dyDescent="0.3">
      <c r="A12" s="2" t="s">
        <v>37</v>
      </c>
      <c r="B12" s="2" t="s">
        <v>38</v>
      </c>
      <c r="C12" s="3">
        <v>2.3860363491905851E-6</v>
      </c>
      <c r="D12" s="3"/>
      <c r="E12" s="3"/>
      <c r="F12" s="3"/>
      <c r="G12" s="3"/>
      <c r="H12" s="3">
        <f t="shared" si="0"/>
        <v>2.3860363491905851E-6</v>
      </c>
      <c r="I12" s="3">
        <f t="shared" si="1"/>
        <v>2.3860363491905851E-5</v>
      </c>
      <c r="N12" s="3">
        <f t="shared" si="2"/>
        <v>5.404372330916675E-2</v>
      </c>
      <c r="O12" s="3">
        <f t="shared" si="3"/>
        <v>1.5747839904657862E-4</v>
      </c>
    </row>
    <row r="13" spans="1:15" x14ac:dyDescent="0.3">
      <c r="A13" s="2" t="s">
        <v>39</v>
      </c>
      <c r="B13" s="2" t="s">
        <v>40</v>
      </c>
      <c r="C13" s="3">
        <v>4.9657364187108953E-5</v>
      </c>
      <c r="D13" s="3">
        <v>4.1027324197915887E-5</v>
      </c>
      <c r="E13" s="3">
        <v>9.3400000000000004E-6</v>
      </c>
      <c r="F13" s="3">
        <v>5.9900000000000002E-6</v>
      </c>
      <c r="G13" s="3"/>
      <c r="H13" s="3">
        <f t="shared" si="0"/>
        <v>4.9657364187108953E-5</v>
      </c>
      <c r="I13" s="3">
        <f t="shared" si="1"/>
        <v>4.9657364187108953E-4</v>
      </c>
      <c r="N13" s="3">
        <f t="shared" si="2"/>
        <v>1.1247392988380178</v>
      </c>
      <c r="O13" s="3">
        <f t="shared" si="3"/>
        <v>3.2773860363491908E-3</v>
      </c>
    </row>
    <row r="14" spans="1:15" x14ac:dyDescent="0.3">
      <c r="A14" s="2" t="s">
        <v>41</v>
      </c>
      <c r="B14" s="2" t="s">
        <v>42</v>
      </c>
      <c r="C14" s="3">
        <v>8.8141821432118382E-7</v>
      </c>
      <c r="D14" s="3"/>
      <c r="E14" s="3"/>
      <c r="F14" s="3">
        <v>6.3300000000000002E-7</v>
      </c>
      <c r="G14" s="3"/>
      <c r="H14" s="3">
        <f t="shared" si="0"/>
        <v>8.8141821432118382E-7</v>
      </c>
      <c r="I14" s="3">
        <f t="shared" si="1"/>
        <v>8.8141821432118382E-6</v>
      </c>
      <c r="N14" s="3">
        <f t="shared" si="2"/>
        <v>1.9964122554374814E-2</v>
      </c>
      <c r="O14" s="3">
        <f t="shared" si="3"/>
        <v>5.8173602145198131E-5</v>
      </c>
    </row>
    <row r="15" spans="1:15" x14ac:dyDescent="0.3">
      <c r="A15" s="2" t="s">
        <v>43</v>
      </c>
      <c r="B15" s="2" t="s">
        <v>44</v>
      </c>
      <c r="C15" s="3">
        <v>9.0128115999602745</v>
      </c>
      <c r="D15" s="3"/>
      <c r="E15" s="3"/>
      <c r="F15" s="3"/>
      <c r="G15" s="3"/>
      <c r="H15" s="3">
        <f t="shared" si="0"/>
        <v>9.0128115999602745</v>
      </c>
      <c r="I15" s="3">
        <f t="shared" si="1"/>
        <v>90.128115999602741</v>
      </c>
      <c r="N15" s="3">
        <f t="shared" si="2"/>
        <v>204140.18273910022</v>
      </c>
      <c r="O15" s="3">
        <f t="shared" si="3"/>
        <v>594.84556559737803</v>
      </c>
    </row>
    <row r="16" spans="1:15" x14ac:dyDescent="0.3">
      <c r="A16" s="2" t="s">
        <v>45</v>
      </c>
      <c r="B16" s="2" t="s">
        <v>46</v>
      </c>
      <c r="C16" s="3">
        <v>3.0042705333200912E-7</v>
      </c>
      <c r="D16" s="3"/>
      <c r="E16" s="3"/>
      <c r="F16" s="3">
        <v>2.3300000000000001E-7</v>
      </c>
      <c r="G16" s="3"/>
      <c r="H16" s="3">
        <f t="shared" si="0"/>
        <v>3.0042705333200912E-7</v>
      </c>
      <c r="I16" s="3">
        <f t="shared" si="1"/>
        <v>3.0042705333200911E-6</v>
      </c>
      <c r="N16" s="3">
        <f t="shared" si="2"/>
        <v>6.8046727579700065E-3</v>
      </c>
      <c r="O16" s="3">
        <f t="shared" si="3"/>
        <v>1.9828185519912601E-5</v>
      </c>
    </row>
    <row r="17" spans="1:15" x14ac:dyDescent="0.3">
      <c r="A17" s="2" t="s">
        <v>47</v>
      </c>
      <c r="B17" s="2" t="s">
        <v>48</v>
      </c>
      <c r="C17" s="3">
        <v>5.8347402919853014E-8</v>
      </c>
      <c r="D17" s="3"/>
      <c r="E17" s="3"/>
      <c r="F17" s="3"/>
      <c r="G17" s="3"/>
      <c r="H17" s="3">
        <f t="shared" si="0"/>
        <v>5.8347402919853014E-8</v>
      </c>
      <c r="I17" s="3">
        <f t="shared" si="1"/>
        <v>5.8347402919853015E-7</v>
      </c>
      <c r="N17" s="3">
        <f t="shared" si="2"/>
        <v>1.3215686761346708E-3</v>
      </c>
      <c r="O17" s="3">
        <f t="shared" si="3"/>
        <v>3.8509285927102992E-6</v>
      </c>
    </row>
    <row r="18" spans="1:15" x14ac:dyDescent="0.3">
      <c r="A18" s="2" t="s">
        <v>49</v>
      </c>
      <c r="B18" s="2" t="s">
        <v>50</v>
      </c>
      <c r="C18" s="3">
        <v>2.5325255735425563E-7</v>
      </c>
      <c r="D18" s="3"/>
      <c r="E18" s="3"/>
      <c r="F18" s="3"/>
      <c r="G18" s="3"/>
      <c r="H18" s="3">
        <f>MAX(C18:G18)</f>
        <v>2.5325255735425563E-7</v>
      </c>
      <c r="I18" s="3">
        <f t="shared" si="1"/>
        <v>2.5325255735425562E-6</v>
      </c>
      <c r="N18" s="3">
        <f t="shared" si="2"/>
        <v>5.7361704240738894E-3</v>
      </c>
      <c r="O18" s="3">
        <f t="shared" si="3"/>
        <v>1.6714668785380868E-5</v>
      </c>
    </row>
    <row r="19" spans="1:15" x14ac:dyDescent="0.3">
      <c r="A19" s="2" t="s">
        <v>51</v>
      </c>
      <c r="B19" s="2" t="s">
        <v>52</v>
      </c>
      <c r="C19" s="3">
        <v>1.6858675141523489E-4</v>
      </c>
      <c r="D19" s="3"/>
      <c r="E19" s="3"/>
      <c r="F19" s="3"/>
      <c r="G19" s="3"/>
      <c r="H19" s="3">
        <f t="shared" si="0"/>
        <v>1.6858675141523489E-4</v>
      </c>
      <c r="I19" s="3">
        <f t="shared" si="1"/>
        <v>1.6858675141523489E-3</v>
      </c>
      <c r="N19" s="3">
        <f t="shared" si="2"/>
        <v>3.8184899195550703</v>
      </c>
      <c r="O19" s="3">
        <f t="shared" si="3"/>
        <v>1.1126725593405502E-2</v>
      </c>
    </row>
    <row r="20" spans="1:15" x14ac:dyDescent="0.3">
      <c r="A20" s="2" t="s">
        <v>53</v>
      </c>
      <c r="B20" s="2" t="s">
        <v>54</v>
      </c>
      <c r="C20" s="3"/>
      <c r="D20" s="3"/>
      <c r="E20" s="3"/>
      <c r="F20" s="3"/>
      <c r="G20" s="3">
        <v>1.33E-5</v>
      </c>
      <c r="H20" s="3">
        <f t="shared" si="0"/>
        <v>1.33E-5</v>
      </c>
      <c r="I20" s="3">
        <f t="shared" si="1"/>
        <v>1.3300000000000001E-4</v>
      </c>
      <c r="N20" s="3">
        <f t="shared" si="2"/>
        <v>0.30124500000000004</v>
      </c>
      <c r="O20" s="3">
        <f t="shared" si="3"/>
        <v>8.7779999999999998E-4</v>
      </c>
    </row>
    <row r="21" spans="1:15" x14ac:dyDescent="0.3">
      <c r="A21" s="2" t="s">
        <v>1</v>
      </c>
      <c r="B21" s="2" t="s">
        <v>55</v>
      </c>
      <c r="C21" s="3"/>
      <c r="D21" s="3"/>
      <c r="E21" s="3">
        <v>1.1388836684833679E-3</v>
      </c>
      <c r="F21" s="3"/>
      <c r="G21" s="3">
        <v>4.0000000000000002E-4</v>
      </c>
      <c r="H21" s="3">
        <f t="shared" si="0"/>
        <v>1.1388836684833679E-3</v>
      </c>
      <c r="I21" s="3">
        <f t="shared" si="1"/>
        <v>1.1388836684833679E-2</v>
      </c>
      <c r="N21" s="3">
        <f t="shared" si="2"/>
        <v>25.795715091148281</v>
      </c>
      <c r="O21" s="3">
        <f t="shared" si="3"/>
        <v>7.5166322119902276E-2</v>
      </c>
    </row>
    <row r="22" spans="1:15" x14ac:dyDescent="0.3">
      <c r="A22" s="2" t="s">
        <v>56</v>
      </c>
      <c r="B22" s="2" t="s">
        <v>57</v>
      </c>
      <c r="C22" s="3"/>
      <c r="D22" s="3"/>
      <c r="E22" s="3">
        <v>1.0486750610787447E-3</v>
      </c>
      <c r="F22" s="3"/>
      <c r="G22" s="3">
        <v>6.6699999999999995E-5</v>
      </c>
      <c r="H22" s="3">
        <f t="shared" si="0"/>
        <v>1.0486750610787447E-3</v>
      </c>
      <c r="I22" s="3">
        <f t="shared" si="1"/>
        <v>1.0486750610787448E-2</v>
      </c>
      <c r="N22" s="3">
        <f t="shared" si="2"/>
        <v>23.752490133433568</v>
      </c>
      <c r="O22" s="3">
        <f t="shared" si="3"/>
        <v>6.9212554031197152E-2</v>
      </c>
    </row>
    <row r="23" spans="1:15" x14ac:dyDescent="0.3">
      <c r="A23" s="2" t="s">
        <v>2</v>
      </c>
      <c r="B23" s="2" t="s">
        <v>58</v>
      </c>
      <c r="C23" s="3"/>
      <c r="D23" s="3"/>
      <c r="E23" s="3">
        <v>3.420409697425296E-3</v>
      </c>
      <c r="F23" s="3"/>
      <c r="G23" s="3"/>
      <c r="H23" s="3">
        <f t="shared" si="0"/>
        <v>3.420409697425296E-3</v>
      </c>
      <c r="I23" s="3">
        <f t="shared" si="1"/>
        <v>3.4204096974252959E-2</v>
      </c>
      <c r="N23" s="3">
        <f t="shared" si="2"/>
        <v>77.472279646682949</v>
      </c>
      <c r="O23" s="3">
        <f t="shared" si="3"/>
        <v>0.22574704003006951</v>
      </c>
    </row>
    <row r="24" spans="1:15" x14ac:dyDescent="0.3">
      <c r="A24" s="2" t="s">
        <v>59</v>
      </c>
      <c r="B24" s="2" t="s">
        <v>60</v>
      </c>
      <c r="C24" s="3"/>
      <c r="D24" s="3"/>
      <c r="E24" s="3">
        <v>1.2967487314414582E-6</v>
      </c>
      <c r="F24" s="3"/>
      <c r="G24" s="3"/>
      <c r="H24" s="3">
        <f t="shared" si="0"/>
        <v>1.2967487314414582E-6</v>
      </c>
      <c r="I24" s="3">
        <f t="shared" si="1"/>
        <v>1.2967487314414581E-5</v>
      </c>
      <c r="N24" s="3">
        <f t="shared" si="2"/>
        <v>2.9371358767149029E-2</v>
      </c>
      <c r="O24" s="3">
        <f t="shared" si="3"/>
        <v>8.558541627513623E-5</v>
      </c>
    </row>
    <row r="25" spans="1:15" x14ac:dyDescent="0.3">
      <c r="A25" s="2" t="s">
        <v>61</v>
      </c>
      <c r="B25" s="2" t="s">
        <v>62</v>
      </c>
      <c r="C25" s="3"/>
      <c r="D25" s="3"/>
      <c r="E25" s="3">
        <v>4.3788761510994172E-6</v>
      </c>
      <c r="F25" s="3"/>
      <c r="G25" s="3">
        <v>2.0000000000000001E-4</v>
      </c>
      <c r="H25" s="3">
        <f t="shared" si="0"/>
        <v>2.0000000000000001E-4</v>
      </c>
      <c r="I25" s="3">
        <f t="shared" si="1"/>
        <v>2E-3</v>
      </c>
      <c r="N25" s="3">
        <f t="shared" si="2"/>
        <v>4.53</v>
      </c>
      <c r="O25" s="3">
        <f t="shared" si="3"/>
        <v>1.32E-2</v>
      </c>
    </row>
    <row r="26" spans="1:15" x14ac:dyDescent="0.3">
      <c r="A26" s="2" t="s">
        <v>63</v>
      </c>
      <c r="B26" s="2" t="s">
        <v>64</v>
      </c>
      <c r="C26" s="3"/>
      <c r="D26" s="3"/>
      <c r="E26" s="3"/>
      <c r="F26" s="3"/>
      <c r="G26" s="3">
        <v>5.3299999999999998E-6</v>
      </c>
      <c r="H26" s="3">
        <f t="shared" si="0"/>
        <v>5.3299999999999998E-6</v>
      </c>
      <c r="I26" s="3">
        <f t="shared" si="1"/>
        <v>5.3299999999999995E-5</v>
      </c>
      <c r="N26" s="3">
        <f t="shared" si="2"/>
        <v>0.12072449999999998</v>
      </c>
      <c r="O26" s="3">
        <f t="shared" si="3"/>
        <v>3.5177999999999994E-4</v>
      </c>
    </row>
    <row r="27" spans="1:15" x14ac:dyDescent="0.3">
      <c r="A27" s="2" t="s">
        <v>65</v>
      </c>
      <c r="B27" s="2" t="s">
        <v>66</v>
      </c>
      <c r="C27" s="3"/>
      <c r="D27" s="3"/>
      <c r="E27" s="3">
        <v>8.569817703439202E-5</v>
      </c>
      <c r="F27" s="3"/>
      <c r="G27" s="3"/>
      <c r="H27" s="3">
        <f t="shared" si="0"/>
        <v>8.569817703439202E-5</v>
      </c>
      <c r="I27" s="3">
        <f t="shared" si="1"/>
        <v>8.569817703439202E-4</v>
      </c>
      <c r="N27" s="3">
        <f t="shared" si="2"/>
        <v>1.9410637098289794</v>
      </c>
      <c r="O27" s="3">
        <f t="shared" si="3"/>
        <v>5.656079684269873E-3</v>
      </c>
    </row>
    <row r="28" spans="1:15" x14ac:dyDescent="0.3">
      <c r="A28" s="2" t="s">
        <v>67</v>
      </c>
      <c r="B28" s="2" t="s">
        <v>68</v>
      </c>
      <c r="C28" s="3"/>
      <c r="D28" s="3"/>
      <c r="E28" s="3">
        <v>2.3679759443713587E-4</v>
      </c>
      <c r="F28" s="3"/>
      <c r="G28" s="3">
        <v>6.0000000000000002E-5</v>
      </c>
      <c r="H28" s="3">
        <f t="shared" si="0"/>
        <v>2.3679759443713587E-4</v>
      </c>
      <c r="I28" s="3">
        <f t="shared" si="1"/>
        <v>2.3679759443713585E-3</v>
      </c>
      <c r="N28" s="3">
        <f t="shared" si="2"/>
        <v>5.3634655140011267</v>
      </c>
      <c r="O28" s="3">
        <f t="shared" si="3"/>
        <v>1.5628641232850966E-2</v>
      </c>
    </row>
    <row r="29" spans="1:15" x14ac:dyDescent="0.3">
      <c r="A29" s="2" t="s">
        <v>3</v>
      </c>
      <c r="B29" s="2" t="s">
        <v>69</v>
      </c>
      <c r="C29" s="3"/>
      <c r="D29" s="3"/>
      <c r="E29" s="3">
        <v>3.4392031573012595E-5</v>
      </c>
      <c r="F29" s="3"/>
      <c r="G29" s="3"/>
      <c r="H29" s="3">
        <f t="shared" si="0"/>
        <v>3.4392031573012595E-5</v>
      </c>
      <c r="I29" s="3">
        <f t="shared" si="1"/>
        <v>3.4392031573012596E-4</v>
      </c>
      <c r="N29" s="3">
        <f t="shared" si="2"/>
        <v>0.77897951512873531</v>
      </c>
      <c r="O29" s="3">
        <f t="shared" si="3"/>
        <v>2.2698740838188311E-3</v>
      </c>
    </row>
    <row r="30" spans="1:15" x14ac:dyDescent="0.3">
      <c r="A30" s="2" t="s">
        <v>4</v>
      </c>
      <c r="B30" s="2" t="s">
        <v>70</v>
      </c>
      <c r="C30" s="3"/>
      <c r="D30" s="3"/>
      <c r="E30" s="3">
        <v>3.5895508363089642E-4</v>
      </c>
      <c r="F30" s="3"/>
      <c r="G30" s="3">
        <v>1.33E-5</v>
      </c>
      <c r="H30" s="3">
        <f t="shared" si="0"/>
        <v>3.5895508363089642E-4</v>
      </c>
      <c r="I30" s="3">
        <f t="shared" si="1"/>
        <v>3.5895508363089643E-3</v>
      </c>
      <c r="N30" s="3">
        <f t="shared" si="2"/>
        <v>8.1303326442398038</v>
      </c>
      <c r="O30" s="3">
        <f t="shared" si="3"/>
        <v>2.3691035519639164E-2</v>
      </c>
    </row>
    <row r="31" spans="1:15" x14ac:dyDescent="0.3">
      <c r="A31" s="2" t="s">
        <v>71</v>
      </c>
      <c r="B31" s="2" t="s">
        <v>72</v>
      </c>
      <c r="C31" s="3"/>
      <c r="D31" s="3"/>
      <c r="E31" s="3">
        <v>2.0296936666040218E-5</v>
      </c>
      <c r="F31" s="3"/>
      <c r="G31" s="3">
        <v>2.6699999999999998E-6</v>
      </c>
      <c r="H31" s="3">
        <f t="shared" si="0"/>
        <v>2.0296936666040218E-5</v>
      </c>
      <c r="I31" s="3">
        <f t="shared" si="1"/>
        <v>2.0296936666040218E-4</v>
      </c>
      <c r="N31" s="3">
        <f t="shared" si="2"/>
        <v>0.45972561548581092</v>
      </c>
      <c r="O31" s="3">
        <f t="shared" si="3"/>
        <v>1.3395978199586542E-3</v>
      </c>
    </row>
    <row r="32" spans="1:15" x14ac:dyDescent="0.3">
      <c r="A32" s="2" t="s">
        <v>5</v>
      </c>
      <c r="B32" s="2" t="s">
        <v>73</v>
      </c>
      <c r="C32" s="3"/>
      <c r="D32" s="3"/>
      <c r="E32" s="3">
        <v>5.3561360646495011E-3</v>
      </c>
      <c r="F32" s="3"/>
      <c r="G32" s="3">
        <v>3.3300000000000002E-4</v>
      </c>
      <c r="H32" s="3">
        <f t="shared" si="0"/>
        <v>5.3561360646495011E-3</v>
      </c>
      <c r="I32" s="3">
        <f t="shared" si="1"/>
        <v>5.3561360646495013E-2</v>
      </c>
      <c r="N32" s="3">
        <f t="shared" si="2"/>
        <v>121.3164818643112</v>
      </c>
      <c r="O32" s="3">
        <f t="shared" si="3"/>
        <v>0.35350498026686705</v>
      </c>
    </row>
    <row r="33" spans="1:15" x14ac:dyDescent="0.3">
      <c r="A33" s="2" t="s">
        <v>74</v>
      </c>
      <c r="B33" s="2" t="s">
        <v>75</v>
      </c>
      <c r="C33" s="3"/>
      <c r="D33" s="3"/>
      <c r="E33" s="3"/>
      <c r="F33" s="3"/>
      <c r="G33" s="3">
        <v>6.6699999999999995E-5</v>
      </c>
      <c r="H33" s="3">
        <f t="shared" si="0"/>
        <v>6.6699999999999995E-5</v>
      </c>
      <c r="I33" s="3">
        <f t="shared" si="1"/>
        <v>6.6699999999999995E-4</v>
      </c>
      <c r="N33" s="3">
        <f t="shared" si="2"/>
        <v>1.5107549999999998</v>
      </c>
      <c r="O33" s="3">
        <f t="shared" si="3"/>
        <v>4.4021999999999993E-3</v>
      </c>
    </row>
    <row r="34" spans="1:15" x14ac:dyDescent="0.3">
      <c r="A34" s="2" t="s">
        <v>6</v>
      </c>
      <c r="B34" s="2" t="s">
        <v>76</v>
      </c>
      <c r="C34" s="3"/>
      <c r="D34" s="3"/>
      <c r="E34" s="3">
        <v>3.4392031573012591E-6</v>
      </c>
      <c r="F34" s="3"/>
      <c r="G34" s="3"/>
      <c r="H34" s="3">
        <f t="shared" si="0"/>
        <v>3.4392031573012591E-6</v>
      </c>
      <c r="I34" s="3">
        <f t="shared" si="1"/>
        <v>3.4392031573012588E-5</v>
      </c>
      <c r="N34" s="3">
        <f t="shared" si="2"/>
        <v>7.7897951512873514E-2</v>
      </c>
      <c r="O34" s="3">
        <f t="shared" si="3"/>
        <v>2.2698740838188308E-4</v>
      </c>
    </row>
    <row r="35" spans="1:15" x14ac:dyDescent="0.3">
      <c r="A35" s="2" t="s">
        <v>77</v>
      </c>
      <c r="B35" s="2" t="s">
        <v>78</v>
      </c>
      <c r="C35" s="3"/>
      <c r="D35" s="3"/>
      <c r="E35" s="3">
        <v>2.6686713023867693E-5</v>
      </c>
      <c r="F35" s="3"/>
      <c r="G35" s="3"/>
      <c r="H35" s="3">
        <f t="shared" si="0"/>
        <v>2.6686713023867693E-5</v>
      </c>
      <c r="I35" s="3">
        <f t="shared" si="1"/>
        <v>2.6686713023867694E-4</v>
      </c>
      <c r="N35" s="3">
        <f t="shared" si="2"/>
        <v>0.60445404999060326</v>
      </c>
      <c r="O35" s="3">
        <f t="shared" si="3"/>
        <v>1.7613230595752676E-3</v>
      </c>
    </row>
    <row r="36" spans="1:15" x14ac:dyDescent="0.3">
      <c r="A36" s="2" t="s">
        <v>79</v>
      </c>
      <c r="B36" s="2" t="s">
        <v>80</v>
      </c>
      <c r="C36" s="3"/>
      <c r="D36" s="3"/>
      <c r="E36" s="3">
        <v>4.8923134749107311E-3</v>
      </c>
      <c r="F36" s="3"/>
      <c r="G36" s="3">
        <v>2.0000000000000001E-4</v>
      </c>
      <c r="H36" s="3">
        <f t="shared" si="0"/>
        <v>4.8923134749107311E-3</v>
      </c>
      <c r="I36" s="3">
        <f t="shared" si="1"/>
        <v>4.8923134749107311E-2</v>
      </c>
      <c r="N36" s="3">
        <f t="shared" si="2"/>
        <v>110.81090020672806</v>
      </c>
      <c r="O36" s="3">
        <f t="shared" si="3"/>
        <v>0.32289268934410825</v>
      </c>
    </row>
    <row r="37" spans="1:15" x14ac:dyDescent="0.3">
      <c r="A37" s="2" t="s">
        <v>81</v>
      </c>
      <c r="B37" s="2" t="s">
        <v>82</v>
      </c>
      <c r="C37" s="3"/>
      <c r="D37" s="3">
        <v>1.5100000000000001E-4</v>
      </c>
      <c r="E37" s="3"/>
      <c r="F37" s="3"/>
      <c r="G37" s="3">
        <v>8.7299999999999994E-5</v>
      </c>
      <c r="H37" s="3">
        <f t="shared" si="0"/>
        <v>1.5100000000000001E-4</v>
      </c>
      <c r="I37" s="3">
        <f t="shared" si="1"/>
        <v>1.5100000000000001E-3</v>
      </c>
      <c r="N37" s="3">
        <f t="shared" si="2"/>
        <v>3.42015</v>
      </c>
      <c r="O37" s="3">
        <f t="shared" si="3"/>
        <v>9.9659999999999992E-3</v>
      </c>
    </row>
    <row r="38" spans="1:15" x14ac:dyDescent="0.3">
      <c r="A38" s="2" t="s">
        <v>83</v>
      </c>
      <c r="B38" s="2" t="s">
        <v>84</v>
      </c>
      <c r="C38" s="3"/>
      <c r="D38" s="3">
        <v>2.6099999999999998E-10</v>
      </c>
      <c r="E38" s="3"/>
      <c r="F38" s="3"/>
      <c r="G38" s="3"/>
      <c r="H38" s="3">
        <f t="shared" si="0"/>
        <v>2.6099999999999998E-10</v>
      </c>
      <c r="I38" s="3">
        <f t="shared" si="1"/>
        <v>2.6099999999999999E-9</v>
      </c>
      <c r="N38" s="3">
        <f t="shared" si="2"/>
        <v>5.9116499999999995E-6</v>
      </c>
      <c r="O38" s="3">
        <f t="shared" si="3"/>
        <v>1.7225999999999998E-8</v>
      </c>
    </row>
    <row r="39" spans="1:15" x14ac:dyDescent="0.3">
      <c r="A39" s="2" t="s">
        <v>85</v>
      </c>
      <c r="B39" s="2" t="s">
        <v>86</v>
      </c>
      <c r="C39" s="3"/>
      <c r="D39" s="3">
        <v>1.7399999999999999E-11</v>
      </c>
      <c r="E39" s="3"/>
      <c r="F39" s="3"/>
      <c r="G39" s="3"/>
      <c r="H39" s="3">
        <f t="shared" si="0"/>
        <v>1.7399999999999999E-11</v>
      </c>
      <c r="I39" s="3">
        <f t="shared" si="1"/>
        <v>1.7399999999999999E-10</v>
      </c>
      <c r="N39" s="3">
        <f t="shared" si="2"/>
        <v>3.9410999999999997E-7</v>
      </c>
      <c r="O39" s="3">
        <f t="shared" si="3"/>
        <v>1.1483999999999999E-9</v>
      </c>
    </row>
    <row r="40" spans="1:15" x14ac:dyDescent="0.3">
      <c r="A40" s="2" t="s">
        <v>140</v>
      </c>
      <c r="B40" s="2" t="s">
        <v>107</v>
      </c>
      <c r="C40" s="3"/>
      <c r="D40" s="3"/>
      <c r="E40" s="3"/>
      <c r="F40" s="3"/>
      <c r="G40" s="3"/>
      <c r="H40" s="3">
        <f>0.00002995*0.3</f>
        <v>8.9849999999999995E-6</v>
      </c>
      <c r="I40" s="3">
        <f t="shared" si="1"/>
        <v>8.9849999999999988E-5</v>
      </c>
      <c r="N40" s="3">
        <f>H40*$J$3*$K$3</f>
        <v>0.20351024999999998</v>
      </c>
      <c r="O40" s="3">
        <f t="shared" si="3"/>
        <v>5.9300999999999993E-4</v>
      </c>
    </row>
    <row r="41" spans="1:15" x14ac:dyDescent="0.3">
      <c r="C41" s="3"/>
      <c r="D41" s="3"/>
      <c r="E41" s="3"/>
      <c r="F41" s="3"/>
      <c r="G41" s="3"/>
      <c r="H41" s="3"/>
      <c r="N41" s="3"/>
      <c r="O41" s="3"/>
    </row>
    <row r="42" spans="1:15" x14ac:dyDescent="0.3">
      <c r="C42" s="3"/>
      <c r="D42" s="3"/>
      <c r="E42" s="3"/>
      <c r="F42" s="3"/>
      <c r="G42" s="3"/>
    </row>
    <row r="43" spans="1:15" x14ac:dyDescent="0.3">
      <c r="A43" s="10"/>
      <c r="B43" s="10"/>
      <c r="C43" s="11"/>
      <c r="D43" s="11"/>
      <c r="E43" s="11"/>
      <c r="F43" s="11"/>
      <c r="G43" s="11"/>
      <c r="H43" s="10"/>
    </row>
    <row r="44" spans="1:15" ht="60" x14ac:dyDescent="1.1499999999999999">
      <c r="A44" s="1" t="s">
        <v>116</v>
      </c>
      <c r="C44" s="3"/>
      <c r="D44" s="3"/>
      <c r="E44" s="12" t="s">
        <v>117</v>
      </c>
      <c r="F44" s="3"/>
      <c r="G44" s="3"/>
    </row>
    <row r="45" spans="1:15" x14ac:dyDescent="0.3">
      <c r="A45" s="13" t="s">
        <v>0</v>
      </c>
      <c r="B45" s="13" t="s">
        <v>8</v>
      </c>
      <c r="C45" s="14" t="s">
        <v>118</v>
      </c>
      <c r="D45" s="3"/>
      <c r="E45" s="15">
        <v>3.2000000000000001E-2</v>
      </c>
      <c r="F45" s="3"/>
      <c r="G45" s="4" t="s">
        <v>17</v>
      </c>
      <c r="H45" s="4" t="s">
        <v>18</v>
      </c>
    </row>
    <row r="46" spans="1:15" x14ac:dyDescent="0.3">
      <c r="A46" s="16" t="s">
        <v>1</v>
      </c>
      <c r="B46" s="16" t="s">
        <v>55</v>
      </c>
      <c r="C46" s="17">
        <v>0.18629999999999999</v>
      </c>
      <c r="D46" s="3"/>
      <c r="E46" s="18">
        <f>E45*$K$3</f>
        <v>72.48</v>
      </c>
      <c r="F46" s="3" t="s">
        <v>184</v>
      </c>
      <c r="G46" s="3">
        <f>C46*$E$45*$K$3</f>
        <v>13.503024</v>
      </c>
      <c r="H46" s="3">
        <f>C46*E$45*$L$3</f>
        <v>3.9346559999999996E-2</v>
      </c>
      <c r="N46" s="3">
        <f>G46</f>
        <v>13.503024</v>
      </c>
      <c r="O46" s="3">
        <f>H46</f>
        <v>3.9346559999999996E-2</v>
      </c>
    </row>
    <row r="47" spans="1:15" x14ac:dyDescent="0.3">
      <c r="A47" s="16" t="s">
        <v>97</v>
      </c>
      <c r="B47" s="16" t="s">
        <v>96</v>
      </c>
      <c r="C47" s="17">
        <v>0.21740000000000001</v>
      </c>
      <c r="D47" s="3"/>
      <c r="E47" s="18">
        <f>E45*$L$3</f>
        <v>0.2112</v>
      </c>
      <c r="F47" s="3" t="s">
        <v>185</v>
      </c>
      <c r="G47" s="3">
        <f t="shared" ref="G47:G69" si="4">C47*$E$45*$K$3</f>
        <v>15.757152000000001</v>
      </c>
      <c r="H47" s="3">
        <f t="shared" ref="H47:H69" si="5">C47*E$45*$L$3</f>
        <v>4.5914880000000005E-2</v>
      </c>
      <c r="N47" s="3">
        <f t="shared" ref="N47:N69" si="6">G47</f>
        <v>15.757152000000001</v>
      </c>
      <c r="O47" s="3">
        <f t="shared" ref="O47:O69" si="7">H47</f>
        <v>4.5914880000000005E-2</v>
      </c>
    </row>
    <row r="48" spans="1:15" x14ac:dyDescent="0.3">
      <c r="A48" s="16" t="s">
        <v>27</v>
      </c>
      <c r="B48" s="16" t="s">
        <v>28</v>
      </c>
      <c r="C48" s="17">
        <v>1.5E-3</v>
      </c>
      <c r="D48" s="3"/>
      <c r="E48" s="3"/>
      <c r="F48" s="3"/>
      <c r="G48" s="3">
        <f t="shared" si="4"/>
        <v>0.10872</v>
      </c>
      <c r="H48" s="3">
        <f t="shared" si="5"/>
        <v>3.168E-4</v>
      </c>
      <c r="N48" s="3">
        <f t="shared" si="6"/>
        <v>0.10872</v>
      </c>
      <c r="O48" s="3">
        <f t="shared" si="7"/>
        <v>3.168E-4</v>
      </c>
    </row>
    <row r="49" spans="1:15" x14ac:dyDescent="0.3">
      <c r="A49" s="16" t="s">
        <v>100</v>
      </c>
      <c r="B49" s="16" t="s">
        <v>99</v>
      </c>
      <c r="C49" s="17">
        <v>1.7261</v>
      </c>
      <c r="D49" s="3"/>
      <c r="E49" s="3"/>
      <c r="F49" s="3"/>
      <c r="G49" s="3">
        <f t="shared" si="4"/>
        <v>125.10772799999999</v>
      </c>
      <c r="H49" s="3">
        <f t="shared" si="5"/>
        <v>0.36455231999999999</v>
      </c>
      <c r="N49" s="3">
        <f t="shared" si="6"/>
        <v>125.10772799999999</v>
      </c>
      <c r="O49" s="3">
        <f t="shared" si="7"/>
        <v>0.36455231999999999</v>
      </c>
    </row>
    <row r="50" spans="1:15" x14ac:dyDescent="0.3">
      <c r="A50" s="16" t="s">
        <v>119</v>
      </c>
      <c r="B50" s="16" t="s">
        <v>30</v>
      </c>
      <c r="C50" s="17">
        <v>1E-4</v>
      </c>
      <c r="D50" s="3"/>
      <c r="E50" s="3"/>
      <c r="F50" s="3"/>
      <c r="G50" s="3">
        <f t="shared" si="4"/>
        <v>7.248000000000001E-3</v>
      </c>
      <c r="H50" s="3">
        <f t="shared" si="5"/>
        <v>2.1120000000000001E-5</v>
      </c>
      <c r="N50" s="3">
        <f t="shared" si="6"/>
        <v>7.248000000000001E-3</v>
      </c>
      <c r="O50" s="3">
        <f t="shared" si="7"/>
        <v>2.1120000000000001E-5</v>
      </c>
    </row>
    <row r="51" spans="1:15" x14ac:dyDescent="0.3">
      <c r="A51" s="16" t="s">
        <v>21</v>
      </c>
      <c r="B51" s="16" t="s">
        <v>22</v>
      </c>
      <c r="C51" s="17">
        <v>1.6000000000000001E-3</v>
      </c>
      <c r="D51" s="3"/>
      <c r="E51" s="3"/>
      <c r="F51" s="3"/>
      <c r="G51" s="3">
        <f t="shared" si="4"/>
        <v>0.11596800000000002</v>
      </c>
      <c r="H51" s="3">
        <f t="shared" si="5"/>
        <v>3.3792000000000002E-4</v>
      </c>
      <c r="N51" s="3">
        <f t="shared" si="6"/>
        <v>0.11596800000000002</v>
      </c>
      <c r="O51" s="3">
        <f t="shared" si="7"/>
        <v>3.3792000000000002E-4</v>
      </c>
    </row>
    <row r="52" spans="1:15" x14ac:dyDescent="0.3">
      <c r="A52" s="16" t="s">
        <v>35</v>
      </c>
      <c r="B52" s="19" t="s">
        <v>36</v>
      </c>
      <c r="C52" s="17">
        <v>8.3000000000000001E-3</v>
      </c>
      <c r="D52" s="3"/>
      <c r="E52" s="3"/>
      <c r="F52" s="3"/>
      <c r="G52" s="3">
        <f t="shared" si="4"/>
        <v>0.60158400000000001</v>
      </c>
      <c r="H52" s="3">
        <f t="shared" si="5"/>
        <v>1.75296E-3</v>
      </c>
      <c r="N52" s="3">
        <f t="shared" si="6"/>
        <v>0.60158400000000001</v>
      </c>
      <c r="O52" s="3">
        <f t="shared" si="7"/>
        <v>1.75296E-3</v>
      </c>
    </row>
    <row r="53" spans="1:15" x14ac:dyDescent="0.3">
      <c r="A53" s="16" t="s">
        <v>120</v>
      </c>
      <c r="B53" s="16" t="s">
        <v>121</v>
      </c>
      <c r="C53" s="17">
        <v>3.8999999999999998E-3</v>
      </c>
      <c r="D53" s="3"/>
      <c r="E53" s="3"/>
      <c r="F53" s="3"/>
      <c r="G53" s="3">
        <f t="shared" si="4"/>
        <v>0.28267199999999998</v>
      </c>
      <c r="H53" s="3">
        <f t="shared" si="5"/>
        <v>8.2367999999999992E-4</v>
      </c>
      <c r="N53" s="3">
        <f t="shared" si="6"/>
        <v>0.28267199999999998</v>
      </c>
      <c r="O53" s="3">
        <f t="shared" si="7"/>
        <v>8.2367999999999992E-4</v>
      </c>
    </row>
    <row r="54" spans="1:15" x14ac:dyDescent="0.3">
      <c r="A54" s="16" t="s">
        <v>3</v>
      </c>
      <c r="B54" s="19" t="s">
        <v>69</v>
      </c>
      <c r="C54" s="17">
        <v>1.9699999999999999E-2</v>
      </c>
      <c r="D54" s="3"/>
      <c r="E54" s="3"/>
      <c r="F54" s="3"/>
      <c r="G54" s="3">
        <f t="shared" si="4"/>
        <v>1.4278559999999998</v>
      </c>
      <c r="H54" s="3">
        <f t="shared" si="5"/>
        <v>4.1606399999999993E-3</v>
      </c>
      <c r="N54" s="3">
        <f t="shared" si="6"/>
        <v>1.4278559999999998</v>
      </c>
      <c r="O54" s="3">
        <f t="shared" si="7"/>
        <v>4.1606399999999993E-3</v>
      </c>
    </row>
    <row r="55" spans="1:15" x14ac:dyDescent="0.3">
      <c r="A55" s="16" t="s">
        <v>122</v>
      </c>
      <c r="B55" s="2" t="s">
        <v>107</v>
      </c>
      <c r="C55" s="17">
        <v>3.6200000000000003E-2</v>
      </c>
      <c r="D55" s="3"/>
      <c r="E55" s="3"/>
      <c r="F55" s="3"/>
      <c r="G55" s="3">
        <f t="shared" si="4"/>
        <v>2.6237760000000003</v>
      </c>
      <c r="H55" s="3">
        <f t="shared" si="5"/>
        <v>7.6454400000000007E-3</v>
      </c>
      <c r="N55" s="3">
        <f t="shared" si="6"/>
        <v>2.6237760000000003</v>
      </c>
      <c r="O55" s="3">
        <f t="shared" si="7"/>
        <v>7.6454400000000007E-3</v>
      </c>
    </row>
    <row r="56" spans="1:15" x14ac:dyDescent="0.3">
      <c r="A56" s="16" t="s">
        <v>123</v>
      </c>
      <c r="B56" s="19" t="s">
        <v>109</v>
      </c>
      <c r="C56" s="20">
        <v>3.5500000000000002E-5</v>
      </c>
      <c r="D56" s="3"/>
      <c r="E56" s="3"/>
      <c r="F56" s="3"/>
      <c r="G56" s="3">
        <f t="shared" si="4"/>
        <v>2.57304E-3</v>
      </c>
      <c r="H56" s="3">
        <f t="shared" si="5"/>
        <v>7.4976E-6</v>
      </c>
      <c r="N56" s="3">
        <f t="shared" si="6"/>
        <v>2.57304E-3</v>
      </c>
      <c r="O56" s="3">
        <f t="shared" si="7"/>
        <v>7.4976E-6</v>
      </c>
    </row>
    <row r="57" spans="1:15" x14ac:dyDescent="0.3">
      <c r="A57" s="16" t="s">
        <v>88</v>
      </c>
      <c r="B57" s="19" t="s">
        <v>87</v>
      </c>
      <c r="C57" s="17">
        <v>0.7833</v>
      </c>
      <c r="D57" s="3"/>
      <c r="E57" s="3"/>
      <c r="F57" s="3"/>
      <c r="G57" s="3">
        <f t="shared" si="4"/>
        <v>56.773584</v>
      </c>
      <c r="H57" s="3">
        <f t="shared" si="5"/>
        <v>0.16543295999999999</v>
      </c>
      <c r="N57" s="3">
        <f t="shared" si="6"/>
        <v>56.773584</v>
      </c>
      <c r="O57" s="3">
        <f t="shared" si="7"/>
        <v>0.16543295999999999</v>
      </c>
    </row>
    <row r="58" spans="1:15" x14ac:dyDescent="0.3">
      <c r="A58" s="16" t="s">
        <v>90</v>
      </c>
      <c r="B58" s="19" t="s">
        <v>89</v>
      </c>
      <c r="C58" s="17">
        <v>3.39E-2</v>
      </c>
      <c r="D58" s="3"/>
      <c r="E58" s="3"/>
      <c r="F58" s="3"/>
      <c r="G58" s="3">
        <f t="shared" si="4"/>
        <v>2.4570719999999997</v>
      </c>
      <c r="H58" s="3">
        <f t="shared" si="5"/>
        <v>7.159679999999999E-3</v>
      </c>
      <c r="N58" s="3">
        <f t="shared" si="6"/>
        <v>2.4570719999999997</v>
      </c>
      <c r="O58" s="3">
        <f t="shared" si="7"/>
        <v>7.159679999999999E-3</v>
      </c>
    </row>
    <row r="59" spans="1:15" x14ac:dyDescent="0.3">
      <c r="A59" s="21" t="s">
        <v>124</v>
      </c>
      <c r="B59" s="21" t="s">
        <v>93</v>
      </c>
      <c r="C59" s="22">
        <v>0.8</v>
      </c>
      <c r="D59" s="3"/>
      <c r="E59" s="3"/>
      <c r="F59" s="3"/>
      <c r="G59" s="3">
        <f t="shared" si="4"/>
        <v>57.984000000000002</v>
      </c>
      <c r="H59" s="3">
        <f t="shared" si="5"/>
        <v>0.16896</v>
      </c>
      <c r="N59" s="3">
        <f t="shared" si="6"/>
        <v>57.984000000000002</v>
      </c>
      <c r="O59" s="3">
        <f t="shared" si="7"/>
        <v>0.16896</v>
      </c>
    </row>
    <row r="60" spans="1:15" x14ac:dyDescent="0.3">
      <c r="A60" s="16" t="s">
        <v>33</v>
      </c>
      <c r="B60" s="19" t="s">
        <v>34</v>
      </c>
      <c r="C60" s="17">
        <v>4.1000000000000003E-3</v>
      </c>
      <c r="D60" s="3"/>
      <c r="E60" s="3"/>
      <c r="F60" s="3"/>
      <c r="G60" s="3">
        <f t="shared" si="4"/>
        <v>0.29716800000000004</v>
      </c>
      <c r="H60" s="3">
        <f t="shared" si="5"/>
        <v>8.6592000000000006E-4</v>
      </c>
      <c r="N60" s="3">
        <f t="shared" si="6"/>
        <v>0.29716800000000004</v>
      </c>
      <c r="O60" s="3">
        <f t="shared" si="7"/>
        <v>8.6592000000000006E-4</v>
      </c>
    </row>
    <row r="61" spans="1:15" x14ac:dyDescent="0.3">
      <c r="A61" s="16" t="s">
        <v>125</v>
      </c>
      <c r="B61" s="19" t="s">
        <v>57</v>
      </c>
      <c r="C61" s="17">
        <v>1.09E-2</v>
      </c>
      <c r="D61" s="3"/>
      <c r="E61" s="3"/>
      <c r="F61" s="3"/>
      <c r="G61" s="3">
        <f t="shared" si="4"/>
        <v>0.79003200000000007</v>
      </c>
      <c r="H61" s="3">
        <f t="shared" si="5"/>
        <v>2.3020800000000002E-3</v>
      </c>
      <c r="N61" s="3">
        <f t="shared" si="6"/>
        <v>0.79003200000000007</v>
      </c>
      <c r="O61" s="3">
        <f t="shared" si="7"/>
        <v>2.3020800000000002E-3</v>
      </c>
    </row>
    <row r="62" spans="1:15" x14ac:dyDescent="0.3">
      <c r="A62" s="16" t="s">
        <v>2</v>
      </c>
      <c r="B62" s="19" t="s">
        <v>58</v>
      </c>
      <c r="C62" s="17">
        <v>2.69E-2</v>
      </c>
      <c r="D62" s="3"/>
      <c r="E62" s="3"/>
      <c r="F62" s="3"/>
      <c r="G62" s="3">
        <f t="shared" si="4"/>
        <v>1.9497119999999999</v>
      </c>
      <c r="H62" s="3">
        <f t="shared" si="5"/>
        <v>5.6812799999999995E-3</v>
      </c>
      <c r="N62" s="3">
        <f t="shared" si="6"/>
        <v>1.9497119999999999</v>
      </c>
      <c r="O62" s="3">
        <f t="shared" si="7"/>
        <v>5.6812799999999995E-3</v>
      </c>
    </row>
    <row r="63" spans="1:15" x14ac:dyDescent="0.3">
      <c r="A63" s="19" t="s">
        <v>104</v>
      </c>
      <c r="B63" s="19" t="s">
        <v>103</v>
      </c>
      <c r="C63" s="23">
        <v>0.18629999999999999</v>
      </c>
      <c r="D63" s="3"/>
      <c r="E63" s="3"/>
      <c r="F63" s="3"/>
      <c r="G63" s="3">
        <f t="shared" si="4"/>
        <v>13.503024</v>
      </c>
      <c r="H63" s="3">
        <f t="shared" si="5"/>
        <v>3.9346559999999996E-2</v>
      </c>
      <c r="N63" s="3">
        <f t="shared" si="6"/>
        <v>13.503024</v>
      </c>
      <c r="O63" s="3">
        <f t="shared" si="7"/>
        <v>3.9346559999999996E-2</v>
      </c>
    </row>
    <row r="64" spans="1:15" x14ac:dyDescent="0.3">
      <c r="A64" s="19" t="s">
        <v>37</v>
      </c>
      <c r="B64" s="19" t="s">
        <v>38</v>
      </c>
      <c r="C64" s="23">
        <v>3.0999999999999999E-3</v>
      </c>
      <c r="D64" s="3"/>
      <c r="E64" s="3"/>
      <c r="F64" s="3"/>
      <c r="G64" s="3">
        <f t="shared" si="4"/>
        <v>0.224688</v>
      </c>
      <c r="H64" s="3">
        <f t="shared" si="5"/>
        <v>6.5471999999999991E-4</v>
      </c>
      <c r="N64" s="3">
        <f t="shared" si="6"/>
        <v>0.224688</v>
      </c>
      <c r="O64" s="3">
        <f t="shared" si="7"/>
        <v>6.5471999999999991E-4</v>
      </c>
    </row>
    <row r="65" spans="1:21" x14ac:dyDescent="0.3">
      <c r="A65" s="19" t="s">
        <v>39</v>
      </c>
      <c r="B65" s="19" t="s">
        <v>40</v>
      </c>
      <c r="C65" s="23">
        <v>2E-3</v>
      </c>
      <c r="D65" s="3"/>
      <c r="E65" s="3"/>
      <c r="F65" s="3"/>
      <c r="G65" s="3">
        <f t="shared" si="4"/>
        <v>0.14496000000000001</v>
      </c>
      <c r="H65" s="3">
        <f t="shared" si="5"/>
        <v>4.2239999999999997E-4</v>
      </c>
      <c r="N65" s="3">
        <f t="shared" si="6"/>
        <v>0.14496000000000001</v>
      </c>
      <c r="O65" s="3">
        <f t="shared" si="7"/>
        <v>4.2239999999999997E-4</v>
      </c>
    </row>
    <row r="66" spans="1:21" x14ac:dyDescent="0.3">
      <c r="A66" s="19" t="s">
        <v>45</v>
      </c>
      <c r="B66" s="19" t="s">
        <v>46</v>
      </c>
      <c r="C66" s="23">
        <v>2.2000000000000001E-3</v>
      </c>
      <c r="D66" s="3"/>
      <c r="E66" s="3"/>
      <c r="F66" s="3"/>
      <c r="G66" s="3">
        <f t="shared" si="4"/>
        <v>0.15945600000000001</v>
      </c>
      <c r="H66" s="3">
        <f t="shared" si="5"/>
        <v>4.6464E-4</v>
      </c>
      <c r="N66" s="3">
        <f t="shared" si="6"/>
        <v>0.15945600000000001</v>
      </c>
      <c r="O66" s="3">
        <f t="shared" si="7"/>
        <v>4.6464E-4</v>
      </c>
    </row>
    <row r="67" spans="1:21" x14ac:dyDescent="0.3">
      <c r="A67" s="19" t="s">
        <v>5</v>
      </c>
      <c r="B67" s="16" t="s">
        <v>73</v>
      </c>
      <c r="C67" s="23">
        <v>0.10539999999999999</v>
      </c>
      <c r="D67" s="3"/>
      <c r="E67" s="3"/>
      <c r="F67" s="3"/>
      <c r="G67" s="3">
        <f t="shared" si="4"/>
        <v>7.639392</v>
      </c>
      <c r="H67" s="3">
        <f t="shared" si="5"/>
        <v>2.2260479999999999E-2</v>
      </c>
      <c r="N67" s="3">
        <f t="shared" si="6"/>
        <v>7.639392</v>
      </c>
      <c r="O67" s="3">
        <f t="shared" si="7"/>
        <v>2.2260479999999999E-2</v>
      </c>
    </row>
    <row r="68" spans="1:21" x14ac:dyDescent="0.3">
      <c r="A68" s="16" t="s">
        <v>79</v>
      </c>
      <c r="B68" s="16" t="s">
        <v>80</v>
      </c>
      <c r="C68" s="17">
        <v>4.24E-2</v>
      </c>
      <c r="D68" s="3"/>
      <c r="E68" s="3"/>
      <c r="F68" s="3"/>
      <c r="G68" s="3">
        <f t="shared" si="4"/>
        <v>3.0731519999999999</v>
      </c>
      <c r="H68" s="3">
        <f t="shared" si="5"/>
        <v>8.9548800000000001E-3</v>
      </c>
      <c r="N68" s="3">
        <f t="shared" si="6"/>
        <v>3.0731519999999999</v>
      </c>
      <c r="O68" s="3">
        <f t="shared" si="7"/>
        <v>8.9548800000000001E-3</v>
      </c>
    </row>
    <row r="69" spans="1:21" x14ac:dyDescent="0.3">
      <c r="A69" s="24" t="s">
        <v>139</v>
      </c>
      <c r="B69" s="2" t="s">
        <v>98</v>
      </c>
      <c r="C69" s="25">
        <v>7.4</v>
      </c>
      <c r="D69" s="3"/>
      <c r="E69" s="3"/>
      <c r="F69" s="3"/>
      <c r="G69" s="3">
        <f t="shared" si="4"/>
        <v>536.35199999999998</v>
      </c>
      <c r="H69" s="3">
        <f t="shared" si="5"/>
        <v>1.56288</v>
      </c>
      <c r="N69" s="3">
        <f t="shared" si="6"/>
        <v>536.35199999999998</v>
      </c>
      <c r="O69" s="3">
        <f t="shared" si="7"/>
        <v>1.56288</v>
      </c>
    </row>
    <row r="70" spans="1:21" x14ac:dyDescent="0.3">
      <c r="C70" s="3"/>
      <c r="D70" s="3"/>
      <c r="E70" s="3"/>
      <c r="F70" s="3"/>
      <c r="G70" s="3"/>
    </row>
    <row r="71" spans="1:21" x14ac:dyDescent="0.3">
      <c r="C71" s="3"/>
      <c r="D71" s="3"/>
      <c r="E71" s="3"/>
      <c r="F71" s="3"/>
      <c r="G71" s="3"/>
    </row>
    <row r="72" spans="1:21" x14ac:dyDescent="0.3">
      <c r="A72" s="10"/>
      <c r="B72" s="10"/>
      <c r="C72" s="11"/>
      <c r="D72" s="11"/>
      <c r="E72" s="11"/>
      <c r="F72" s="11"/>
      <c r="G72" s="11"/>
      <c r="H72" s="10"/>
    </row>
    <row r="73" spans="1:21" ht="60" x14ac:dyDescent="1.1499999999999999">
      <c r="A73" s="1" t="s">
        <v>126</v>
      </c>
      <c r="C73" s="3"/>
      <c r="D73" s="3"/>
      <c r="E73" s="3"/>
      <c r="F73" s="3"/>
      <c r="G73" s="3"/>
    </row>
    <row r="74" spans="1:21" x14ac:dyDescent="0.3">
      <c r="A74" s="13" t="s">
        <v>0</v>
      </c>
      <c r="B74" s="13" t="s">
        <v>8</v>
      </c>
      <c r="C74" s="13"/>
      <c r="D74" s="14" t="s">
        <v>176</v>
      </c>
      <c r="E74" s="3"/>
      <c r="F74" s="15" t="s">
        <v>127</v>
      </c>
      <c r="G74" s="26">
        <v>0.3</v>
      </c>
      <c r="H74" s="3"/>
    </row>
    <row r="75" spans="1:21" x14ac:dyDescent="0.3">
      <c r="A75" s="27" t="s">
        <v>128</v>
      </c>
      <c r="B75" s="28"/>
      <c r="C75" s="28" t="s">
        <v>178</v>
      </c>
      <c r="D75" s="29">
        <f>0.0261075579013896/2000</f>
        <v>1.3053778950694799E-5</v>
      </c>
      <c r="E75" s="3"/>
      <c r="F75" s="60"/>
      <c r="G75" s="60"/>
      <c r="H75" s="3"/>
    </row>
    <row r="76" spans="1:21" x14ac:dyDescent="0.3">
      <c r="A76" s="27"/>
      <c r="B76" s="28"/>
      <c r="C76" s="28" t="s">
        <v>179</v>
      </c>
      <c r="D76" s="29">
        <f>0.00957536347030113/2000</f>
        <v>4.7876817351505646E-6</v>
      </c>
      <c r="E76" s="3"/>
      <c r="F76" s="30"/>
      <c r="G76" s="30"/>
      <c r="H76" s="3"/>
    </row>
    <row r="77" spans="1:21" x14ac:dyDescent="0.3">
      <c r="A77" s="27"/>
      <c r="B77" s="28"/>
      <c r="C77" s="28"/>
      <c r="D77" s="61" t="s">
        <v>181</v>
      </c>
      <c r="E77" s="61"/>
      <c r="F77" s="60" t="s">
        <v>177</v>
      </c>
      <c r="G77" s="60"/>
      <c r="H77" s="3"/>
    </row>
    <row r="78" spans="1:21" x14ac:dyDescent="0.3">
      <c r="A78" s="27"/>
      <c r="B78" s="28"/>
      <c r="C78" s="28"/>
      <c r="D78" s="31" t="s">
        <v>180</v>
      </c>
      <c r="E78" s="31" t="s">
        <v>179</v>
      </c>
      <c r="F78" s="31" t="s">
        <v>180</v>
      </c>
      <c r="G78" s="31" t="s">
        <v>179</v>
      </c>
      <c r="H78" s="31" t="s">
        <v>129</v>
      </c>
      <c r="I78" s="31" t="s">
        <v>18</v>
      </c>
      <c r="J78" s="3"/>
    </row>
    <row r="79" spans="1:21" x14ac:dyDescent="0.3">
      <c r="A79" s="2" t="s">
        <v>92</v>
      </c>
      <c r="B79" s="2" t="s">
        <v>91</v>
      </c>
      <c r="C79" s="2" t="s">
        <v>173</v>
      </c>
      <c r="D79" s="3">
        <f>0.00787*$D$75</f>
        <v>1.0273324034196808E-7</v>
      </c>
      <c r="E79" s="3">
        <f>0.00787*$D$76</f>
        <v>3.7679055255634944E-8</v>
      </c>
      <c r="F79" s="49">
        <v>3</v>
      </c>
      <c r="G79" s="49">
        <v>1</v>
      </c>
      <c r="H79" s="3">
        <f>(D79*$J$3*$K$3*$G$74*2000*F79)+(E79*$J$3*$K$3*$G$74*2000*G79)</f>
        <v>4.7004925696661175</v>
      </c>
      <c r="I79" s="3">
        <f>(D79*$J$3*$L$3*$G$74*2000*F79)+(E79*$J$3*$L$3*$G$74*2000*G79)</f>
        <v>1.369679954074895E-2</v>
      </c>
      <c r="J79" s="3"/>
      <c r="N79" s="3">
        <f>H79</f>
        <v>4.7004925696661175</v>
      </c>
      <c r="O79" s="3">
        <f>I79</f>
        <v>1.369679954074895E-2</v>
      </c>
      <c r="S79" s="3"/>
      <c r="T79" s="3"/>
      <c r="U79" s="3"/>
    </row>
    <row r="80" spans="1:21" x14ac:dyDescent="0.3">
      <c r="A80" s="2" t="s">
        <v>21</v>
      </c>
      <c r="B80" s="2" t="s">
        <v>22</v>
      </c>
      <c r="C80" s="2" t="s">
        <v>173</v>
      </c>
      <c r="D80" s="3">
        <f>0.000016*$D$75</f>
        <v>2.0886046321111679E-10</v>
      </c>
      <c r="E80" s="3">
        <f>0.000016*$D$76</f>
        <v>7.6602907762409027E-11</v>
      </c>
      <c r="F80" s="49">
        <v>3</v>
      </c>
      <c r="G80" s="49">
        <v>1</v>
      </c>
      <c r="H80" s="3">
        <f t="shared" ref="H80:H110" si="8">(D80*$J$3*$K$3*$G$74*2000*F80)+(E80*$J$3*$K$3*$G$74*2000*G80)</f>
        <v>9.556274601608369E-3</v>
      </c>
      <c r="I80" s="3">
        <f t="shared" ref="I80:I110" si="9">(D80*$J$3*$L$3*$G$74*2000*F80)+(E80*$J$3*$L$3*$G$74*2000*G80)</f>
        <v>2.7846098176872066E-5</v>
      </c>
      <c r="J80" s="3"/>
      <c r="N80" s="3">
        <f t="shared" ref="N80:N110" si="10">H80</f>
        <v>9.556274601608369E-3</v>
      </c>
      <c r="O80" s="3">
        <f t="shared" ref="O80:O110" si="11">I80</f>
        <v>2.7846098176872066E-5</v>
      </c>
      <c r="S80" s="3"/>
      <c r="T80" s="3"/>
      <c r="U80" s="3"/>
    </row>
    <row r="81" spans="1:21" x14ac:dyDescent="0.3">
      <c r="A81" s="2" t="s">
        <v>23</v>
      </c>
      <c r="B81" s="2" t="s">
        <v>24</v>
      </c>
      <c r="C81" s="2" t="s">
        <v>173</v>
      </c>
      <c r="D81" s="3">
        <f>0.0000345*$D$75</f>
        <v>4.5035537379897057E-10</v>
      </c>
      <c r="E81" s="3">
        <f>0.0000345*$D$76</f>
        <v>1.6517501986269447E-10</v>
      </c>
      <c r="F81" s="49">
        <v>3</v>
      </c>
      <c r="G81" s="49">
        <v>1</v>
      </c>
      <c r="H81" s="3">
        <f t="shared" si="8"/>
        <v>2.0605717109718046E-2</v>
      </c>
      <c r="I81" s="3">
        <f t="shared" si="9"/>
        <v>6.0043149193880402E-5</v>
      </c>
      <c r="J81" s="3"/>
      <c r="N81" s="3">
        <f t="shared" si="10"/>
        <v>2.0605717109718046E-2</v>
      </c>
      <c r="O81" s="3">
        <f t="shared" si="11"/>
        <v>6.0043149193880402E-5</v>
      </c>
      <c r="S81" s="3"/>
      <c r="T81" s="3"/>
      <c r="U81" s="3"/>
    </row>
    <row r="82" spans="1:21" x14ac:dyDescent="0.3">
      <c r="A82" s="2" t="s">
        <v>27</v>
      </c>
      <c r="B82" s="2" t="s">
        <v>28</v>
      </c>
      <c r="C82" s="2" t="s">
        <v>173</v>
      </c>
      <c r="D82" s="3">
        <f>0.0000254*$D$75</f>
        <v>3.3156598534764791E-10</v>
      </c>
      <c r="E82" s="3">
        <f>0.0000254*$D$76</f>
        <v>1.2160711607282436E-10</v>
      </c>
      <c r="F82" s="49">
        <v>3</v>
      </c>
      <c r="G82" s="49">
        <v>1</v>
      </c>
      <c r="H82" s="3">
        <f t="shared" si="8"/>
        <v>1.517058593005329E-2</v>
      </c>
      <c r="I82" s="3">
        <f t="shared" si="9"/>
        <v>4.4205680855784418E-5</v>
      </c>
      <c r="J82" s="3"/>
      <c r="N82" s="3">
        <f t="shared" si="10"/>
        <v>1.517058593005329E-2</v>
      </c>
      <c r="O82" s="3">
        <f t="shared" si="11"/>
        <v>4.4205680855784418E-5</v>
      </c>
      <c r="S82" s="3"/>
      <c r="T82" s="3"/>
      <c r="U82" s="3"/>
    </row>
    <row r="83" spans="1:21" x14ac:dyDescent="0.3">
      <c r="A83" s="2" t="s">
        <v>31</v>
      </c>
      <c r="B83" s="2" t="s">
        <v>32</v>
      </c>
      <c r="C83" s="2" t="s">
        <v>173</v>
      </c>
      <c r="D83" s="3">
        <f>0.0000219*$D$75</f>
        <v>2.8587775902021609E-10</v>
      </c>
      <c r="E83" s="3">
        <f>0.0000219*$D$76</f>
        <v>1.0485022999979736E-10</v>
      </c>
      <c r="F83" s="49">
        <v>3</v>
      </c>
      <c r="G83" s="49">
        <v>1</v>
      </c>
      <c r="H83" s="3">
        <f t="shared" si="8"/>
        <v>1.3080150860951455E-2</v>
      </c>
      <c r="I83" s="3">
        <f t="shared" si="9"/>
        <v>3.8114346879593647E-5</v>
      </c>
      <c r="J83" s="3"/>
      <c r="N83" s="3">
        <f t="shared" si="10"/>
        <v>1.3080150860951455E-2</v>
      </c>
      <c r="O83" s="3">
        <f t="shared" si="11"/>
        <v>3.8114346879593647E-5</v>
      </c>
      <c r="S83" s="3"/>
      <c r="T83" s="3"/>
      <c r="U83" s="3"/>
    </row>
    <row r="84" spans="1:21" x14ac:dyDescent="0.3">
      <c r="A84" s="2" t="s">
        <v>33</v>
      </c>
      <c r="B84" s="2" t="s">
        <v>34</v>
      </c>
      <c r="C84" s="2" t="s">
        <v>173</v>
      </c>
      <c r="D84" s="3">
        <f>0.03536*$D$75</f>
        <v>4.6158162369656812E-7</v>
      </c>
      <c r="E84" s="3">
        <f>0.03536*$D$76</f>
        <v>1.6929242615492398E-7</v>
      </c>
      <c r="F84" s="49">
        <v>3</v>
      </c>
      <c r="G84" s="49">
        <v>1</v>
      </c>
      <c r="H84" s="3">
        <f t="shared" si="8"/>
        <v>21.119366869554501</v>
      </c>
      <c r="I84" s="3">
        <f t="shared" si="9"/>
        <v>6.1539876970887267E-2</v>
      </c>
      <c r="J84" s="3"/>
      <c r="N84" s="3">
        <f t="shared" si="10"/>
        <v>21.119366869554501</v>
      </c>
      <c r="O84" s="3">
        <f t="shared" si="11"/>
        <v>6.1539876970887267E-2</v>
      </c>
      <c r="S84" s="3"/>
      <c r="T84" s="3"/>
      <c r="U84" s="3"/>
    </row>
    <row r="85" spans="1:21" x14ac:dyDescent="0.3">
      <c r="A85" s="2" t="s">
        <v>35</v>
      </c>
      <c r="B85" s="2" t="s">
        <v>36</v>
      </c>
      <c r="C85" s="2" t="s">
        <v>173</v>
      </c>
      <c r="D85" s="3">
        <f>0.0116*$D$75</f>
        <v>1.5142383582805965E-7</v>
      </c>
      <c r="E85" s="3">
        <f>0.0116*$D$76</f>
        <v>5.5537108127746549E-8</v>
      </c>
      <c r="F85" s="49">
        <v>3</v>
      </c>
      <c r="G85" s="49">
        <v>1</v>
      </c>
      <c r="H85" s="3">
        <f t="shared" si="8"/>
        <v>6.928299086166068</v>
      </c>
      <c r="I85" s="3">
        <f t="shared" si="9"/>
        <v>2.0188421178232246E-2</v>
      </c>
      <c r="J85" s="3"/>
      <c r="N85" s="3">
        <f t="shared" si="10"/>
        <v>6.928299086166068</v>
      </c>
      <c r="O85" s="3">
        <f>I85</f>
        <v>2.0188421178232246E-2</v>
      </c>
      <c r="S85" s="3"/>
      <c r="T85" s="3"/>
      <c r="U85" s="3"/>
    </row>
    <row r="86" spans="1:21" x14ac:dyDescent="0.3">
      <c r="A86" s="2" t="s">
        <v>37</v>
      </c>
      <c r="B86" s="2" t="s">
        <v>38</v>
      </c>
      <c r="C86" s="2" t="s">
        <v>173</v>
      </c>
      <c r="D86" s="3">
        <f>0.000547*$D$75</f>
        <v>7.1404170860300547E-9</v>
      </c>
      <c r="E86" s="3">
        <f>0.000547*$D$76</f>
        <v>2.6188619091273586E-9</v>
      </c>
      <c r="F86" s="49">
        <v>3</v>
      </c>
      <c r="G86" s="49">
        <v>1</v>
      </c>
      <c r="H86" s="3">
        <f t="shared" si="8"/>
        <v>0.32670513794248612</v>
      </c>
      <c r="I86" s="3">
        <f t="shared" si="9"/>
        <v>9.5198848142181384E-4</v>
      </c>
      <c r="J86" s="3"/>
      <c r="N86" s="3">
        <f t="shared" si="10"/>
        <v>0.32670513794248612</v>
      </c>
      <c r="O86" s="3">
        <f t="shared" si="11"/>
        <v>9.5198848142181384E-4</v>
      </c>
      <c r="S86" s="3"/>
      <c r="T86" s="3"/>
      <c r="U86" s="3"/>
    </row>
    <row r="87" spans="1:21" x14ac:dyDescent="0.3">
      <c r="A87" s="2" t="s">
        <v>39</v>
      </c>
      <c r="B87" s="2" t="s">
        <v>40</v>
      </c>
      <c r="C87" s="2" t="s">
        <v>173</v>
      </c>
      <c r="D87" s="3">
        <f>0.00000065*$D$75</f>
        <v>8.48495631795162E-12</v>
      </c>
      <c r="E87" s="3">
        <f>0.00000065*$D$76</f>
        <v>3.1119931278478671E-12</v>
      </c>
      <c r="F87" s="49">
        <v>3</v>
      </c>
      <c r="G87" s="49">
        <v>1</v>
      </c>
      <c r="H87" s="3">
        <f t="shared" si="8"/>
        <v>3.8822365569034006E-4</v>
      </c>
      <c r="I87" s="3">
        <f t="shared" si="9"/>
        <v>1.1312477384354279E-6</v>
      </c>
      <c r="J87" s="3"/>
      <c r="N87" s="3">
        <f t="shared" si="10"/>
        <v>3.8822365569034006E-4</v>
      </c>
      <c r="O87" s="3">
        <f t="shared" si="11"/>
        <v>1.1312477384354279E-6</v>
      </c>
      <c r="S87" s="3"/>
      <c r="T87" s="3"/>
      <c r="U87" s="3"/>
    </row>
    <row r="88" spans="1:21" x14ac:dyDescent="0.3">
      <c r="A88" s="2" t="s">
        <v>41</v>
      </c>
      <c r="B88" s="2" t="s">
        <v>42</v>
      </c>
      <c r="C88" s="2" t="s">
        <v>173</v>
      </c>
      <c r="D88" s="3">
        <f>0.00039*$D$75</f>
        <v>5.090973790770972E-9</v>
      </c>
      <c r="E88" s="3">
        <f>0.00039*$D$76</f>
        <v>1.8671958767087201E-9</v>
      </c>
      <c r="F88" s="49">
        <v>3</v>
      </c>
      <c r="G88" s="49">
        <v>1</v>
      </c>
      <c r="H88" s="3">
        <f t="shared" si="8"/>
        <v>0.23293419341420402</v>
      </c>
      <c r="I88" s="3">
        <f t="shared" si="9"/>
        <v>6.7874864306125687E-4</v>
      </c>
      <c r="J88" s="3"/>
      <c r="N88" s="3">
        <f t="shared" si="10"/>
        <v>0.23293419341420402</v>
      </c>
      <c r="O88" s="3">
        <f t="shared" si="11"/>
        <v>6.7874864306125687E-4</v>
      </c>
      <c r="S88" s="3"/>
      <c r="T88" s="3"/>
      <c r="U88" s="3"/>
    </row>
    <row r="89" spans="1:21" x14ac:dyDescent="0.3">
      <c r="A89" s="2" t="s">
        <v>51</v>
      </c>
      <c r="B89" s="2" t="s">
        <v>52</v>
      </c>
      <c r="C89" s="2" t="s">
        <v>173</v>
      </c>
      <c r="D89" s="3">
        <f>0.0117*$D$75</f>
        <v>1.5272921372312915E-7</v>
      </c>
      <c r="E89" s="3">
        <f>0.0117*$D$76</f>
        <v>5.6015876301261605E-8</v>
      </c>
      <c r="F89" s="49">
        <v>3</v>
      </c>
      <c r="G89" s="49">
        <v>1</v>
      </c>
      <c r="H89" s="3">
        <f t="shared" si="8"/>
        <v>6.9880258024261206</v>
      </c>
      <c r="I89" s="3">
        <f t="shared" si="9"/>
        <v>2.0362459291837703E-2</v>
      </c>
      <c r="J89" s="3"/>
      <c r="N89" s="3">
        <f t="shared" si="10"/>
        <v>6.9880258024261206</v>
      </c>
      <c r="O89" s="3">
        <f t="shared" si="11"/>
        <v>2.0362459291837703E-2</v>
      </c>
      <c r="S89" s="3"/>
      <c r="T89" s="3"/>
      <c r="U89" s="3"/>
    </row>
    <row r="90" spans="1:21" x14ac:dyDescent="0.3">
      <c r="A90" s="55" t="s">
        <v>1</v>
      </c>
      <c r="B90" s="55" t="s">
        <v>55</v>
      </c>
      <c r="C90" s="55" t="s">
        <v>174</v>
      </c>
      <c r="D90" s="3">
        <f>0.000000005</f>
        <v>5.0000000000000001E-9</v>
      </c>
      <c r="E90" s="50">
        <v>0</v>
      </c>
      <c r="F90" s="49">
        <v>1</v>
      </c>
      <c r="G90" s="49">
        <v>0</v>
      </c>
      <c r="H90" s="3">
        <f t="shared" si="8"/>
        <v>6.7949999999999997E-2</v>
      </c>
      <c r="I90" s="3">
        <f t="shared" si="9"/>
        <v>1.9799999999999996E-4</v>
      </c>
      <c r="J90" s="3"/>
      <c r="N90" s="3">
        <f t="shared" si="10"/>
        <v>6.7949999999999997E-2</v>
      </c>
      <c r="O90" s="3">
        <f t="shared" si="11"/>
        <v>1.9799999999999996E-4</v>
      </c>
      <c r="S90" s="3"/>
      <c r="T90" s="3"/>
      <c r="U90" s="3"/>
    </row>
    <row r="91" spans="1:21" x14ac:dyDescent="0.3">
      <c r="A91" s="51" t="s">
        <v>56</v>
      </c>
      <c r="B91" s="51" t="s">
        <v>57</v>
      </c>
      <c r="C91" s="51" t="s">
        <v>174</v>
      </c>
      <c r="D91" s="52">
        <f>0.00012195</f>
        <v>1.2195E-4</v>
      </c>
      <c r="E91" s="53">
        <v>0</v>
      </c>
      <c r="F91" s="54">
        <v>0</v>
      </c>
      <c r="G91" s="54">
        <v>0</v>
      </c>
      <c r="H91" s="52">
        <f>(D91*$J$3*$K$3*$G$74*2000*F91)+(E91*$J$3*$K$3*$G$74*2000*G91)</f>
        <v>0</v>
      </c>
      <c r="I91" s="52">
        <f t="shared" si="9"/>
        <v>0</v>
      </c>
      <c r="J91" s="3"/>
      <c r="N91" s="3">
        <f t="shared" si="10"/>
        <v>0</v>
      </c>
      <c r="O91" s="3">
        <f t="shared" si="11"/>
        <v>0</v>
      </c>
      <c r="S91" s="3"/>
      <c r="T91" s="3"/>
      <c r="U91" s="3"/>
    </row>
    <row r="92" spans="1:21" x14ac:dyDescent="0.3">
      <c r="A92" s="51" t="s">
        <v>3</v>
      </c>
      <c r="B92" s="51" t="s">
        <v>69</v>
      </c>
      <c r="C92" s="51" t="s">
        <v>174</v>
      </c>
      <c r="D92" s="52">
        <f>0.00014125</f>
        <v>1.4124999999999999E-4</v>
      </c>
      <c r="E92" s="53">
        <v>0</v>
      </c>
      <c r="F92" s="54">
        <v>0</v>
      </c>
      <c r="G92" s="54">
        <v>0</v>
      </c>
      <c r="H92" s="52">
        <f t="shared" si="8"/>
        <v>0</v>
      </c>
      <c r="I92" s="52">
        <f t="shared" si="9"/>
        <v>0</v>
      </c>
      <c r="J92" s="3"/>
      <c r="N92" s="3">
        <f t="shared" si="10"/>
        <v>0</v>
      </c>
      <c r="O92" s="3">
        <f t="shared" si="11"/>
        <v>0</v>
      </c>
      <c r="S92" s="3"/>
      <c r="T92" s="3"/>
      <c r="U92" s="3"/>
    </row>
    <row r="93" spans="1:21" x14ac:dyDescent="0.3">
      <c r="A93" s="51" t="s">
        <v>4</v>
      </c>
      <c r="B93" s="51" t="s">
        <v>70</v>
      </c>
      <c r="C93" s="51" t="s">
        <v>174</v>
      </c>
      <c r="D93" s="52">
        <f>0.0001895</f>
        <v>1.895E-4</v>
      </c>
      <c r="E93" s="53">
        <v>0</v>
      </c>
      <c r="F93" s="54">
        <v>0</v>
      </c>
      <c r="G93" s="54">
        <v>0</v>
      </c>
      <c r="H93" s="52">
        <f t="shared" si="8"/>
        <v>0</v>
      </c>
      <c r="I93" s="52">
        <f t="shared" si="9"/>
        <v>0</v>
      </c>
      <c r="J93" s="3"/>
      <c r="N93" s="3">
        <f t="shared" si="10"/>
        <v>0</v>
      </c>
      <c r="O93" s="3">
        <f t="shared" si="11"/>
        <v>0</v>
      </c>
      <c r="S93" s="3"/>
      <c r="T93" s="3"/>
      <c r="U93" s="3"/>
    </row>
    <row r="94" spans="1:21" x14ac:dyDescent="0.3">
      <c r="A94" s="51" t="s">
        <v>5</v>
      </c>
      <c r="B94" s="51" t="s">
        <v>73</v>
      </c>
      <c r="C94" s="51" t="s">
        <v>174</v>
      </c>
      <c r="D94" s="52">
        <f>0.0003235</f>
        <v>3.235E-4</v>
      </c>
      <c r="E94" s="53">
        <v>0</v>
      </c>
      <c r="F94" s="54">
        <v>0</v>
      </c>
      <c r="G94" s="54">
        <v>0</v>
      </c>
      <c r="H94" s="52">
        <f t="shared" si="8"/>
        <v>0</v>
      </c>
      <c r="I94" s="52">
        <f t="shared" si="9"/>
        <v>0</v>
      </c>
      <c r="J94" s="3"/>
      <c r="N94" s="3">
        <f t="shared" si="10"/>
        <v>0</v>
      </c>
      <c r="O94" s="3">
        <f t="shared" si="11"/>
        <v>0</v>
      </c>
      <c r="S94" s="3"/>
      <c r="T94" s="3"/>
      <c r="U94" s="3"/>
    </row>
    <row r="95" spans="1:21" x14ac:dyDescent="0.3">
      <c r="A95" s="51" t="s">
        <v>130</v>
      </c>
      <c r="B95" s="51" t="s">
        <v>112</v>
      </c>
      <c r="C95" s="51" t="s">
        <v>174</v>
      </c>
      <c r="D95" s="52">
        <f>0.000687</f>
        <v>6.87E-4</v>
      </c>
      <c r="E95" s="53">
        <v>0</v>
      </c>
      <c r="F95" s="54">
        <v>0</v>
      </c>
      <c r="G95" s="54">
        <v>0</v>
      </c>
      <c r="H95" s="52">
        <f t="shared" si="8"/>
        <v>0</v>
      </c>
      <c r="I95" s="52">
        <f t="shared" si="9"/>
        <v>0</v>
      </c>
      <c r="J95" s="3"/>
      <c r="N95" s="3">
        <f t="shared" si="10"/>
        <v>0</v>
      </c>
      <c r="O95" s="3">
        <f t="shared" si="11"/>
        <v>0</v>
      </c>
      <c r="S95" s="3"/>
      <c r="T95" s="3"/>
      <c r="U95" s="3"/>
    </row>
    <row r="96" spans="1:21" x14ac:dyDescent="0.3">
      <c r="A96" s="51" t="s">
        <v>114</v>
      </c>
      <c r="B96" s="51" t="s">
        <v>113</v>
      </c>
      <c r="C96" s="51" t="s">
        <v>174</v>
      </c>
      <c r="D96" s="52">
        <f>0.0002505</f>
        <v>2.5050000000000002E-4</v>
      </c>
      <c r="E96" s="53">
        <v>0</v>
      </c>
      <c r="F96" s="54">
        <v>0</v>
      </c>
      <c r="G96" s="54">
        <v>0</v>
      </c>
      <c r="H96" s="52">
        <f t="shared" si="8"/>
        <v>0</v>
      </c>
      <c r="I96" s="52">
        <f t="shared" si="9"/>
        <v>0</v>
      </c>
      <c r="J96" s="3"/>
      <c r="N96" s="3">
        <f t="shared" si="10"/>
        <v>0</v>
      </c>
      <c r="O96" s="3">
        <f t="shared" si="11"/>
        <v>0</v>
      </c>
      <c r="S96" s="3"/>
      <c r="T96" s="3"/>
      <c r="U96" s="3"/>
    </row>
    <row r="97" spans="1:21" x14ac:dyDescent="0.3">
      <c r="A97" s="51" t="s">
        <v>79</v>
      </c>
      <c r="B97" s="51" t="s">
        <v>80</v>
      </c>
      <c r="C97" s="51" t="s">
        <v>174</v>
      </c>
      <c r="D97" s="52">
        <f>0.000714</f>
        <v>7.1400000000000001E-4</v>
      </c>
      <c r="E97" s="53">
        <v>0</v>
      </c>
      <c r="F97" s="54">
        <v>0</v>
      </c>
      <c r="G97" s="54">
        <v>0</v>
      </c>
      <c r="H97" s="52">
        <f t="shared" si="8"/>
        <v>0</v>
      </c>
      <c r="I97" s="52">
        <f t="shared" si="9"/>
        <v>0</v>
      </c>
      <c r="J97" s="3"/>
      <c r="N97" s="3">
        <f t="shared" si="10"/>
        <v>0</v>
      </c>
      <c r="O97" s="3">
        <f t="shared" si="11"/>
        <v>0</v>
      </c>
      <c r="S97" s="3"/>
      <c r="T97" s="3"/>
      <c r="U97" s="3"/>
    </row>
    <row r="98" spans="1:21" x14ac:dyDescent="0.3">
      <c r="A98" s="2" t="s">
        <v>81</v>
      </c>
      <c r="B98" s="2" t="s">
        <v>82</v>
      </c>
      <c r="C98" s="2" t="s">
        <v>175</v>
      </c>
      <c r="D98" s="3">
        <f>0.000016*$D$75</f>
        <v>2.0886046321111679E-10</v>
      </c>
      <c r="E98" s="3">
        <f>0.000016*$D$76</f>
        <v>7.6602907762409027E-11</v>
      </c>
      <c r="F98" s="49">
        <v>3</v>
      </c>
      <c r="G98" s="49">
        <v>1</v>
      </c>
      <c r="H98" s="3">
        <f t="shared" si="8"/>
        <v>9.556274601608369E-3</v>
      </c>
      <c r="I98" s="3">
        <f t="shared" si="9"/>
        <v>2.7846098176872066E-5</v>
      </c>
      <c r="J98" s="3"/>
      <c r="N98" s="3">
        <f t="shared" si="10"/>
        <v>9.556274601608369E-3</v>
      </c>
      <c r="O98" s="3">
        <f t="shared" si="11"/>
        <v>2.7846098176872066E-5</v>
      </c>
      <c r="S98" s="3"/>
      <c r="T98" s="3"/>
      <c r="U98" s="3"/>
    </row>
    <row r="99" spans="1:21" x14ac:dyDescent="0.3">
      <c r="A99" s="2" t="s">
        <v>83</v>
      </c>
      <c r="B99" s="2" t="s">
        <v>84</v>
      </c>
      <c r="C99" s="2" t="s">
        <v>175</v>
      </c>
      <c r="D99" s="3">
        <f>0.0000000002*$D$75</f>
        <v>2.61075579013896E-15</v>
      </c>
      <c r="E99" s="3">
        <f>0.0000000002*$D$76</f>
        <v>9.5753634703011287E-16</v>
      </c>
      <c r="F99" s="49">
        <v>3</v>
      </c>
      <c r="G99" s="49">
        <v>1</v>
      </c>
      <c r="H99" s="3">
        <f t="shared" si="8"/>
        <v>1.1945343252010466E-7</v>
      </c>
      <c r="I99" s="3">
        <f t="shared" si="9"/>
        <v>3.4807622721090094E-10</v>
      </c>
      <c r="J99" s="3"/>
      <c r="N99" s="3">
        <f t="shared" si="10"/>
        <v>1.1945343252010466E-7</v>
      </c>
      <c r="O99" s="3">
        <f t="shared" si="11"/>
        <v>3.4807622721090094E-10</v>
      </c>
      <c r="S99" s="3"/>
      <c r="T99" s="3"/>
      <c r="U99" s="3"/>
    </row>
    <row r="100" spans="1:21" x14ac:dyDescent="0.3">
      <c r="A100" s="2" t="s">
        <v>85</v>
      </c>
      <c r="B100" s="2" t="s">
        <v>86</v>
      </c>
      <c r="C100" s="2" t="s">
        <v>175</v>
      </c>
      <c r="D100" s="3">
        <f>0.00000000022*$D$75</f>
        <v>2.8718313691528558E-15</v>
      </c>
      <c r="E100" s="3">
        <f>0.00000000022*$D$76</f>
        <v>1.0532899817331243E-15</v>
      </c>
      <c r="F100" s="49">
        <v>3</v>
      </c>
      <c r="G100" s="49">
        <v>1</v>
      </c>
      <c r="H100" s="3">
        <f t="shared" si="8"/>
        <v>1.3139877577211508E-7</v>
      </c>
      <c r="I100" s="3">
        <f t="shared" si="9"/>
        <v>3.8288384993199098E-10</v>
      </c>
      <c r="J100" s="3"/>
      <c r="N100" s="3">
        <f t="shared" si="10"/>
        <v>1.3139877577211508E-7</v>
      </c>
      <c r="O100" s="3">
        <f t="shared" si="11"/>
        <v>3.8288384993199098E-10</v>
      </c>
      <c r="S100" s="3"/>
      <c r="T100" s="3"/>
      <c r="U100" s="3"/>
    </row>
    <row r="101" spans="1:21" x14ac:dyDescent="0.3">
      <c r="A101" s="2" t="s">
        <v>131</v>
      </c>
      <c r="C101" s="2" t="s">
        <v>175</v>
      </c>
      <c r="D101" s="3">
        <f>0.000000037*$D$75</f>
        <v>4.8298982117570759E-13</v>
      </c>
      <c r="E101" s="3">
        <f>0.000000037*$D$76</f>
        <v>1.7714422420057089E-13</v>
      </c>
      <c r="F101" s="49">
        <v>3</v>
      </c>
      <c r="G101" s="49">
        <v>1</v>
      </c>
      <c r="H101" s="3">
        <f t="shared" si="8"/>
        <v>2.2098885016219351E-5</v>
      </c>
      <c r="I101" s="3">
        <f t="shared" si="9"/>
        <v>6.4394102034016658E-8</v>
      </c>
      <c r="J101" s="3"/>
      <c r="N101" s="3">
        <f t="shared" si="10"/>
        <v>2.2098885016219351E-5</v>
      </c>
      <c r="O101" s="3">
        <f t="shared" si="11"/>
        <v>6.4394102034016658E-8</v>
      </c>
      <c r="S101" s="3"/>
      <c r="T101" s="3"/>
      <c r="U101" s="3"/>
    </row>
    <row r="102" spans="1:21" x14ac:dyDescent="0.3">
      <c r="A102" s="56" t="s">
        <v>102</v>
      </c>
      <c r="B102" s="56" t="s">
        <v>101</v>
      </c>
      <c r="C102" s="56" t="s">
        <v>175</v>
      </c>
      <c r="D102" s="3">
        <f>0.0000011*$D$75</f>
        <v>1.435915684576428E-11</v>
      </c>
      <c r="E102" s="50">
        <f>0.0000011*$D$76</f>
        <v>5.2664499086656216E-12</v>
      </c>
      <c r="F102" s="49">
        <v>3</v>
      </c>
      <c r="G102" s="49">
        <v>1</v>
      </c>
      <c r="H102" s="3">
        <f t="shared" si="8"/>
        <v>6.5699387886057549E-4</v>
      </c>
      <c r="I102" s="3">
        <f t="shared" si="9"/>
        <v>1.9144192496599548E-6</v>
      </c>
      <c r="J102" s="3"/>
      <c r="N102" s="3">
        <f t="shared" si="10"/>
        <v>6.5699387886057549E-4</v>
      </c>
      <c r="O102" s="3">
        <f t="shared" si="11"/>
        <v>1.9144192496599548E-6</v>
      </c>
      <c r="S102" s="3"/>
      <c r="T102" s="3"/>
      <c r="U102" s="3"/>
    </row>
    <row r="103" spans="1:21" x14ac:dyDescent="0.3">
      <c r="A103" s="55" t="s">
        <v>111</v>
      </c>
      <c r="B103" s="55" t="s">
        <v>110</v>
      </c>
      <c r="C103" s="55" t="s">
        <v>174</v>
      </c>
      <c r="D103" s="3">
        <f>0.000001</f>
        <v>9.9999999999999995E-7</v>
      </c>
      <c r="E103" s="50">
        <v>0</v>
      </c>
      <c r="F103" s="49">
        <v>1</v>
      </c>
      <c r="G103" s="49">
        <v>0</v>
      </c>
      <c r="H103" s="3">
        <f t="shared" si="8"/>
        <v>13.589999999999998</v>
      </c>
      <c r="I103" s="3">
        <f t="shared" si="9"/>
        <v>3.9599999999999996E-2</v>
      </c>
      <c r="J103" s="3"/>
      <c r="N103" s="3">
        <f t="shared" si="10"/>
        <v>13.589999999999998</v>
      </c>
      <c r="O103" s="3">
        <f t="shared" si="11"/>
        <v>3.9599999999999996E-2</v>
      </c>
      <c r="S103" s="3"/>
      <c r="T103" s="3"/>
      <c r="U103" s="3"/>
    </row>
    <row r="104" spans="1:21" x14ac:dyDescent="0.3">
      <c r="A104" s="2" t="s">
        <v>132</v>
      </c>
      <c r="C104" s="2" t="s">
        <v>175</v>
      </c>
      <c r="D104" s="3">
        <f>0.000000065*$D$75</f>
        <v>8.4849563179516198E-13</v>
      </c>
      <c r="E104" s="3">
        <f>0.000000065*$D$76</f>
        <v>3.111993127847867E-13</v>
      </c>
      <c r="F104" s="49">
        <v>3</v>
      </c>
      <c r="G104" s="49">
        <v>1</v>
      </c>
      <c r="H104" s="3">
        <f t="shared" si="8"/>
        <v>3.882236556903401E-5</v>
      </c>
      <c r="I104" s="3">
        <f t="shared" si="9"/>
        <v>1.131247738435428E-7</v>
      </c>
      <c r="J104" s="3"/>
      <c r="N104" s="3">
        <f t="shared" si="10"/>
        <v>3.882236556903401E-5</v>
      </c>
      <c r="O104" s="3">
        <f t="shared" si="11"/>
        <v>1.131247738435428E-7</v>
      </c>
      <c r="S104" s="3"/>
      <c r="T104" s="3"/>
      <c r="U104" s="3"/>
    </row>
    <row r="105" spans="1:21" x14ac:dyDescent="0.3">
      <c r="A105" s="2" t="s">
        <v>106</v>
      </c>
      <c r="B105" s="2" t="s">
        <v>105</v>
      </c>
      <c r="C105" s="2" t="s">
        <v>175</v>
      </c>
      <c r="D105" s="3">
        <f>0.000175*$D$75</f>
        <v>2.2844113163715901E-9</v>
      </c>
      <c r="E105" s="3">
        <f>0.000175*$D$76</f>
        <v>8.3784430365134883E-10</v>
      </c>
      <c r="F105" s="49">
        <v>3</v>
      </c>
      <c r="G105" s="49">
        <v>1</v>
      </c>
      <c r="H105" s="3">
        <f t="shared" si="8"/>
        <v>0.10452175345509154</v>
      </c>
      <c r="I105" s="3">
        <f t="shared" si="9"/>
        <v>3.0456669880953827E-4</v>
      </c>
      <c r="J105" s="3"/>
      <c r="N105" s="3">
        <f t="shared" si="10"/>
        <v>0.10452175345509154</v>
      </c>
      <c r="O105" s="3">
        <f t="shared" si="11"/>
        <v>3.0456669880953827E-4</v>
      </c>
      <c r="S105" s="3"/>
      <c r="T105" s="3"/>
      <c r="U105" s="3"/>
    </row>
    <row r="106" spans="1:21" x14ac:dyDescent="0.3">
      <c r="A106" s="55" t="s">
        <v>133</v>
      </c>
      <c r="B106" s="55" t="s">
        <v>134</v>
      </c>
      <c r="C106" s="55" t="s">
        <v>174</v>
      </c>
      <c r="D106" s="3">
        <f>0.000000585</f>
        <v>5.8500000000000001E-7</v>
      </c>
      <c r="E106" s="50">
        <v>0</v>
      </c>
      <c r="F106" s="49">
        <v>1</v>
      </c>
      <c r="G106" s="49">
        <v>0</v>
      </c>
      <c r="H106" s="3">
        <f t="shared" si="8"/>
        <v>7.9501499999999998</v>
      </c>
      <c r="I106" s="3">
        <f t="shared" si="9"/>
        <v>2.3165999999999999E-2</v>
      </c>
      <c r="J106" s="3"/>
      <c r="N106" s="3">
        <f t="shared" si="10"/>
        <v>7.9501499999999998</v>
      </c>
      <c r="O106" s="3">
        <f t="shared" si="11"/>
        <v>2.3165999999999999E-2</v>
      </c>
      <c r="S106" s="3"/>
      <c r="T106" s="3"/>
      <c r="U106" s="3"/>
    </row>
    <row r="107" spans="1:21" x14ac:dyDescent="0.3">
      <c r="A107" s="2" t="s">
        <v>135</v>
      </c>
      <c r="B107" s="2" t="s">
        <v>136</v>
      </c>
      <c r="C107" s="2" t="s">
        <v>175</v>
      </c>
      <c r="D107" s="3">
        <f>0.000003345*$D$75</f>
        <v>4.3664890590074104E-11</v>
      </c>
      <c r="E107" s="3">
        <f>0.000003345*$D$76</f>
        <v>1.6014795404078641E-11</v>
      </c>
      <c r="F107" s="49">
        <v>3</v>
      </c>
      <c r="G107" s="49">
        <v>1</v>
      </c>
      <c r="H107" s="3">
        <f t="shared" si="8"/>
        <v>1.9978586588987497E-3</v>
      </c>
      <c r="I107" s="3">
        <f t="shared" si="9"/>
        <v>5.8215749001023168E-6</v>
      </c>
      <c r="J107" s="3"/>
      <c r="N107" s="3">
        <f t="shared" si="10"/>
        <v>1.9978586588987497E-3</v>
      </c>
      <c r="O107" s="3">
        <f t="shared" si="11"/>
        <v>5.8215749001023168E-6</v>
      </c>
      <c r="S107" s="3"/>
      <c r="T107" s="3"/>
      <c r="U107" s="3"/>
    </row>
    <row r="108" spans="1:21" x14ac:dyDescent="0.3">
      <c r="A108" s="55" t="s">
        <v>137</v>
      </c>
      <c r="B108" s="55" t="s">
        <v>138</v>
      </c>
      <c r="C108" s="55" t="s">
        <v>174</v>
      </c>
      <c r="D108" s="3">
        <f>0.000000124</f>
        <v>1.24E-7</v>
      </c>
      <c r="E108" s="50">
        <v>0</v>
      </c>
      <c r="F108" s="49">
        <v>1</v>
      </c>
      <c r="G108" s="49">
        <v>0</v>
      </c>
      <c r="H108" s="3">
        <f t="shared" si="8"/>
        <v>1.68516</v>
      </c>
      <c r="I108" s="3">
        <f t="shared" si="9"/>
        <v>4.9103999999999997E-3</v>
      </c>
      <c r="J108" s="3"/>
      <c r="N108" s="3">
        <f t="shared" si="10"/>
        <v>1.68516</v>
      </c>
      <c r="O108" s="3">
        <f t="shared" si="11"/>
        <v>4.9103999999999997E-3</v>
      </c>
      <c r="S108" s="3"/>
      <c r="T108" s="3"/>
      <c r="U108" s="3"/>
    </row>
    <row r="109" spans="1:21" x14ac:dyDescent="0.3">
      <c r="A109" s="2" t="s">
        <v>108</v>
      </c>
      <c r="B109" s="2" t="s">
        <v>107</v>
      </c>
      <c r="C109" s="2" t="s">
        <v>175</v>
      </c>
      <c r="D109" s="3">
        <f>0.00002995*$D$75</f>
        <v>3.9096067957330921E-10</v>
      </c>
      <c r="E109" s="3">
        <f>0.00002995*$D$76</f>
        <v>1.433910679677594E-10</v>
      </c>
      <c r="F109" s="49">
        <v>3</v>
      </c>
      <c r="G109" s="49">
        <v>1</v>
      </c>
      <c r="H109" s="3">
        <f t="shared" si="8"/>
        <v>1.7888151519885664E-2</v>
      </c>
      <c r="I109" s="3">
        <f t="shared" si="9"/>
        <v>5.2124415024832397E-5</v>
      </c>
      <c r="J109" s="3"/>
      <c r="N109" s="3">
        <f t="shared" si="10"/>
        <v>1.7888151519885664E-2</v>
      </c>
      <c r="O109" s="3">
        <f t="shared" si="11"/>
        <v>5.2124415024832397E-5</v>
      </c>
      <c r="S109" s="3"/>
      <c r="T109" s="3"/>
      <c r="U109" s="3"/>
    </row>
    <row r="110" spans="1:21" x14ac:dyDescent="0.3">
      <c r="A110" s="2" t="s">
        <v>95</v>
      </c>
      <c r="B110" s="2" t="s">
        <v>94</v>
      </c>
      <c r="C110" s="2" t="s">
        <v>175</v>
      </c>
      <c r="D110" s="3">
        <f>0.0000083*$D$75</f>
        <v>1.0834636529076684E-10</v>
      </c>
      <c r="E110" s="3">
        <f>0.0000083*$D$76</f>
        <v>3.9737758401749689E-11</v>
      </c>
      <c r="F110" s="49">
        <v>3</v>
      </c>
      <c r="G110" s="49">
        <v>1</v>
      </c>
      <c r="H110" s="3">
        <f t="shared" si="8"/>
        <v>4.9573174495843421E-3</v>
      </c>
      <c r="I110" s="3">
        <f t="shared" si="9"/>
        <v>1.4445163429252385E-5</v>
      </c>
      <c r="J110" s="3"/>
      <c r="N110" s="3">
        <f t="shared" si="10"/>
        <v>4.9573174495843421E-3</v>
      </c>
      <c r="O110" s="3">
        <f t="shared" si="11"/>
        <v>1.4445163429252385E-5</v>
      </c>
      <c r="S110" s="3"/>
      <c r="T110" s="3"/>
      <c r="U110" s="3"/>
    </row>
    <row r="112" spans="1:21" x14ac:dyDescent="0.3">
      <c r="A112" s="10"/>
      <c r="B112" s="10"/>
      <c r="C112" s="11"/>
      <c r="D112" s="11"/>
      <c r="E112" s="11"/>
      <c r="F112" s="11"/>
      <c r="G112" s="11"/>
      <c r="H112" s="10"/>
    </row>
    <row r="113" spans="1:15" ht="60" x14ac:dyDescent="1.1499999999999999">
      <c r="A113" s="1" t="s">
        <v>182</v>
      </c>
      <c r="C113" s="3"/>
      <c r="D113" s="3"/>
      <c r="E113" s="3"/>
      <c r="F113" s="3"/>
      <c r="G113" s="3"/>
    </row>
    <row r="114" spans="1:15" x14ac:dyDescent="0.3">
      <c r="A114" s="13" t="s">
        <v>0</v>
      </c>
      <c r="B114" s="13" t="s">
        <v>8</v>
      </c>
      <c r="C114" s="13"/>
      <c r="D114" s="14" t="s">
        <v>183</v>
      </c>
      <c r="E114" s="3"/>
      <c r="F114" s="15" t="s">
        <v>127</v>
      </c>
      <c r="G114" s="26">
        <v>1</v>
      </c>
      <c r="H114" s="3"/>
      <c r="I114" s="2">
        <v>8760</v>
      </c>
      <c r="J114" s="2" t="s">
        <v>15</v>
      </c>
    </row>
    <row r="115" spans="1:15" x14ac:dyDescent="0.3">
      <c r="A115" s="27" t="s">
        <v>128</v>
      </c>
      <c r="B115" s="28"/>
      <c r="C115" s="28" t="s">
        <v>178</v>
      </c>
      <c r="D115" s="29">
        <v>1.0291902760721234E-3</v>
      </c>
      <c r="E115" s="3"/>
      <c r="F115" s="60"/>
      <c r="G115" s="60"/>
      <c r="H115" s="3"/>
      <c r="I115" s="2">
        <v>24</v>
      </c>
      <c r="J115" s="2" t="s">
        <v>16</v>
      </c>
    </row>
    <row r="116" spans="1:15" x14ac:dyDescent="0.3">
      <c r="A116" s="27"/>
      <c r="B116" s="28"/>
      <c r="C116" s="28" t="s">
        <v>179</v>
      </c>
      <c r="D116" s="29">
        <v>1.8568891949936771E-5</v>
      </c>
      <c r="E116" s="3"/>
      <c r="F116" s="48"/>
      <c r="G116" s="48"/>
      <c r="H116" s="3"/>
    </row>
    <row r="117" spans="1:15" x14ac:dyDescent="0.3">
      <c r="A117" s="27"/>
      <c r="B117" s="28"/>
      <c r="C117" s="28"/>
      <c r="D117" s="61"/>
      <c r="E117" s="61"/>
      <c r="F117" s="3"/>
    </row>
    <row r="118" spans="1:15" x14ac:dyDescent="0.3">
      <c r="A118" s="27"/>
      <c r="B118" s="28"/>
      <c r="C118" s="28"/>
      <c r="D118" s="31" t="s">
        <v>180</v>
      </c>
      <c r="E118" s="31" t="s">
        <v>179</v>
      </c>
      <c r="F118" s="31" t="s">
        <v>129</v>
      </c>
      <c r="G118" s="31" t="s">
        <v>18</v>
      </c>
      <c r="H118" s="57"/>
      <c r="I118" s="57"/>
      <c r="J118" s="3"/>
    </row>
    <row r="119" spans="1:15" x14ac:dyDescent="0.3">
      <c r="A119" s="2" t="s">
        <v>92</v>
      </c>
      <c r="B119" s="2" t="s">
        <v>91</v>
      </c>
      <c r="C119" s="2" t="s">
        <v>173</v>
      </c>
      <c r="D119" s="3">
        <f>0.00787*$D$115</f>
        <v>8.0997274726876123E-6</v>
      </c>
      <c r="E119" s="3">
        <f>0.00787*$D$116</f>
        <v>1.4613717964600238E-7</v>
      </c>
      <c r="F119" s="3">
        <f>(D119*$I$114)+(E119*$I$114)</f>
        <v>7.2233774354442462E-2</v>
      </c>
      <c r="G119" s="3">
        <f>(D119*$I$115)+(E119*$I$115)</f>
        <v>1.9790075165600676E-4</v>
      </c>
      <c r="H119" s="3"/>
      <c r="I119" s="3"/>
      <c r="J119" s="3"/>
      <c r="N119" s="3">
        <f>F119</f>
        <v>7.2233774354442462E-2</v>
      </c>
      <c r="O119" s="3">
        <f>G119</f>
        <v>1.9790075165600676E-4</v>
      </c>
    </row>
    <row r="120" spans="1:15" x14ac:dyDescent="0.3">
      <c r="A120" s="2" t="s">
        <v>21</v>
      </c>
      <c r="B120" s="2" t="s">
        <v>22</v>
      </c>
      <c r="C120" s="2" t="s">
        <v>173</v>
      </c>
      <c r="D120" s="3">
        <f>0.000016*$D$115</f>
        <v>1.6467044417153974E-8</v>
      </c>
      <c r="E120" s="3">
        <f>0.000016*$D$116</f>
        <v>2.9710227119898834E-10</v>
      </c>
      <c r="F120" s="3">
        <f>(D120*$I$114)+(E120*$I$114)</f>
        <v>1.4685392498997194E-4</v>
      </c>
      <c r="G120" s="3">
        <f>(D120*$I$115)+(E120*$I$115)</f>
        <v>4.0233952052047114E-7</v>
      </c>
      <c r="H120" s="3"/>
      <c r="I120" s="3"/>
      <c r="J120" s="3"/>
      <c r="N120" s="3">
        <f t="shared" ref="N120:N139" si="12">F120</f>
        <v>1.4685392498997194E-4</v>
      </c>
      <c r="O120" s="3">
        <f t="shared" ref="O120:O124" si="13">G120</f>
        <v>4.0233952052047114E-7</v>
      </c>
    </row>
    <row r="121" spans="1:15" x14ac:dyDescent="0.3">
      <c r="A121" s="2" t="s">
        <v>23</v>
      </c>
      <c r="B121" s="2" t="s">
        <v>24</v>
      </c>
      <c r="C121" s="2" t="s">
        <v>173</v>
      </c>
      <c r="D121" s="3">
        <f>0.0000345*$D$115</f>
        <v>3.5507064524488256E-8</v>
      </c>
      <c r="E121" s="3">
        <f>0.0000345*$D$116</f>
        <v>6.406267722728186E-10</v>
      </c>
      <c r="F121" s="3">
        <f>(D121*$I$114)+(E121*$I$114)</f>
        <v>3.1665377575962702E-4</v>
      </c>
      <c r="G121" s="3">
        <f>(D121*$I$115)+(E121*$I$115)</f>
        <v>8.6754459112226585E-7</v>
      </c>
      <c r="H121" s="3"/>
      <c r="I121" s="3"/>
      <c r="J121" s="3"/>
      <c r="N121" s="3">
        <f t="shared" si="12"/>
        <v>3.1665377575962702E-4</v>
      </c>
      <c r="O121" s="3">
        <f t="shared" si="13"/>
        <v>8.6754459112226585E-7</v>
      </c>
    </row>
    <row r="122" spans="1:15" x14ac:dyDescent="0.3">
      <c r="A122" s="2" t="s">
        <v>27</v>
      </c>
      <c r="B122" s="2" t="s">
        <v>28</v>
      </c>
      <c r="C122" s="2" t="s">
        <v>173</v>
      </c>
      <c r="D122" s="3">
        <f>0.0000254*$D$115</f>
        <v>2.6141433012231935E-8</v>
      </c>
      <c r="E122" s="3">
        <f>0.0000254*$D$116</f>
        <v>4.7164985552839397E-10</v>
      </c>
      <c r="F122" s="3">
        <f>(D122*$I$114)+(E122*$I$114)</f>
        <v>2.3313060592158047E-4</v>
      </c>
      <c r="G122" s="3">
        <f>(D122*$I$115)+(E122*$I$115)</f>
        <v>6.3871398882624797E-7</v>
      </c>
      <c r="H122" s="3"/>
      <c r="I122" s="3"/>
      <c r="J122" s="3"/>
      <c r="N122" s="3">
        <f t="shared" si="12"/>
        <v>2.3313060592158047E-4</v>
      </c>
      <c r="O122" s="3">
        <f t="shared" si="13"/>
        <v>6.3871398882624797E-7</v>
      </c>
    </row>
    <row r="123" spans="1:15" x14ac:dyDescent="0.3">
      <c r="A123" s="2" t="s">
        <v>31</v>
      </c>
      <c r="B123" s="2" t="s">
        <v>32</v>
      </c>
      <c r="C123" s="2" t="s">
        <v>173</v>
      </c>
      <c r="D123" s="3">
        <f>0.0000219*$D$115</f>
        <v>2.2539267045979503E-8</v>
      </c>
      <c r="E123" s="3">
        <f>0.0000219*$D$116</f>
        <v>4.0665873370361527E-10</v>
      </c>
      <c r="F123" s="3">
        <f>(D123*$I$114)+(E123*$I$114)</f>
        <v>2.0100630983002412E-4</v>
      </c>
      <c r="G123" s="3">
        <f>(D123*$I$115)+(E123*$I$115)</f>
        <v>5.5070221871239481E-7</v>
      </c>
      <c r="H123" s="3"/>
      <c r="I123" s="3"/>
      <c r="J123" s="3"/>
      <c r="N123" s="3">
        <f t="shared" si="12"/>
        <v>2.0100630983002412E-4</v>
      </c>
      <c r="O123" s="3">
        <f t="shared" si="13"/>
        <v>5.5070221871239481E-7</v>
      </c>
    </row>
    <row r="124" spans="1:15" x14ac:dyDescent="0.3">
      <c r="A124" s="2" t="s">
        <v>33</v>
      </c>
      <c r="B124" s="2" t="s">
        <v>34</v>
      </c>
      <c r="C124" s="2" t="s">
        <v>173</v>
      </c>
      <c r="D124" s="3">
        <f>0.03536*$D$115</f>
        <v>3.6392168161910286E-5</v>
      </c>
      <c r="E124" s="3">
        <f>0.03536*$D$116</f>
        <v>6.5659601934976431E-7</v>
      </c>
      <c r="F124" s="3">
        <f>(D124*$I$114)+(E124*$I$114)</f>
        <v>0.32454717422783802</v>
      </c>
      <c r="G124" s="3">
        <f>(D124*$I$115)+(E124*$I$115)</f>
        <v>8.8917034035024126E-4</v>
      </c>
      <c r="H124" s="3"/>
      <c r="I124" s="3"/>
      <c r="J124" s="3"/>
      <c r="N124" s="3">
        <f t="shared" si="12"/>
        <v>0.32454717422783802</v>
      </c>
      <c r="O124" s="3">
        <f t="shared" si="13"/>
        <v>8.8917034035024126E-4</v>
      </c>
    </row>
    <row r="125" spans="1:15" x14ac:dyDescent="0.3">
      <c r="A125" s="2" t="s">
        <v>35</v>
      </c>
      <c r="B125" s="2" t="s">
        <v>36</v>
      </c>
      <c r="C125" s="2" t="s">
        <v>173</v>
      </c>
      <c r="D125" s="3">
        <f>0.0116*$D$115</f>
        <v>1.1938607202436631E-5</v>
      </c>
      <c r="E125" s="3">
        <f>0.0116*$D$116</f>
        <v>2.1539914661926654E-7</v>
      </c>
      <c r="F125" s="3">
        <f>(D125*$I$114)+(E125*$I$114)</f>
        <v>0.10646909561772966</v>
      </c>
      <c r="G125" s="3">
        <f>(D125*$I$115)+(E125*$I$115)</f>
        <v>2.9169615237734152E-4</v>
      </c>
      <c r="H125" s="3"/>
      <c r="I125" s="3"/>
      <c r="J125" s="3"/>
      <c r="N125" s="3">
        <f t="shared" si="12"/>
        <v>0.10646909561772966</v>
      </c>
      <c r="O125" s="3">
        <f t="shared" ref="O125:O139" si="14">G125</f>
        <v>2.9169615237734152E-4</v>
      </c>
    </row>
    <row r="126" spans="1:15" x14ac:dyDescent="0.3">
      <c r="A126" s="2" t="s">
        <v>37</v>
      </c>
      <c r="B126" s="2" t="s">
        <v>38</v>
      </c>
      <c r="C126" s="2" t="s">
        <v>173</v>
      </c>
      <c r="D126" s="3">
        <f>0.000547*$D$115</f>
        <v>5.6296708101145143E-7</v>
      </c>
      <c r="E126" s="3">
        <f>0.000547*$D$116</f>
        <v>1.0157183896615412E-8</v>
      </c>
      <c r="F126" s="3">
        <f>(D126*$I$114)+(E126*$I$114)</f>
        <v>5.0205685605946649E-3</v>
      </c>
      <c r="G126" s="3">
        <f>(D126*$I$115)+(E126*$I$115)</f>
        <v>1.3754982357793605E-5</v>
      </c>
      <c r="H126" s="3"/>
      <c r="I126" s="3"/>
      <c r="J126" s="3"/>
      <c r="N126" s="3">
        <f t="shared" si="12"/>
        <v>5.0205685605946649E-3</v>
      </c>
      <c r="O126" s="3">
        <f t="shared" si="14"/>
        <v>1.3754982357793605E-5</v>
      </c>
    </row>
    <row r="127" spans="1:15" x14ac:dyDescent="0.3">
      <c r="A127" s="2" t="s">
        <v>39</v>
      </c>
      <c r="B127" s="2" t="s">
        <v>40</v>
      </c>
      <c r="C127" s="2" t="s">
        <v>173</v>
      </c>
      <c r="D127" s="3">
        <f>0.00000065*$D$115</f>
        <v>6.6897367944688022E-10</v>
      </c>
      <c r="E127" s="3">
        <f>0.00000065*$D$116</f>
        <v>1.2069779767458901E-11</v>
      </c>
      <c r="F127" s="3">
        <f>(D127*$I$114)+(E127*$I$114)</f>
        <v>5.9659407027176109E-6</v>
      </c>
      <c r="G127" s="3">
        <f>(D127*$I$115)+(E127*$I$115)</f>
        <v>1.6345043021144138E-8</v>
      </c>
      <c r="H127" s="3"/>
      <c r="I127" s="3"/>
      <c r="J127" s="3"/>
      <c r="N127" s="3">
        <f t="shared" si="12"/>
        <v>5.9659407027176109E-6</v>
      </c>
      <c r="O127" s="3">
        <f t="shared" si="14"/>
        <v>1.6345043021144138E-8</v>
      </c>
    </row>
    <row r="128" spans="1:15" x14ac:dyDescent="0.3">
      <c r="A128" s="2" t="s">
        <v>41</v>
      </c>
      <c r="B128" s="2" t="s">
        <v>42</v>
      </c>
      <c r="C128" s="2" t="s">
        <v>173</v>
      </c>
      <c r="D128" s="3">
        <f>0.00039*$D$115</f>
        <v>4.0138420766812813E-7</v>
      </c>
      <c r="E128" s="3">
        <f>0.00039*$D$116</f>
        <v>7.2418678604753405E-9</v>
      </c>
      <c r="F128" s="3">
        <f>(D128*$I$114)+(E128*$I$114)</f>
        <v>3.5795644216305663E-3</v>
      </c>
      <c r="G128" s="3">
        <f>(D128*$I$115)+(E128*$I$115)</f>
        <v>9.8070258126864824E-6</v>
      </c>
      <c r="H128" s="3"/>
      <c r="I128" s="3"/>
      <c r="J128" s="3"/>
      <c r="N128" s="3">
        <f t="shared" si="12"/>
        <v>3.5795644216305663E-3</v>
      </c>
      <c r="O128" s="3">
        <f t="shared" si="14"/>
        <v>9.8070258126864824E-6</v>
      </c>
    </row>
    <row r="129" spans="1:15" x14ac:dyDescent="0.3">
      <c r="A129" s="2" t="s">
        <v>51</v>
      </c>
      <c r="B129" s="2" t="s">
        <v>52</v>
      </c>
      <c r="C129" s="2" t="s">
        <v>173</v>
      </c>
      <c r="D129" s="3">
        <f>0.0117*$D$115</f>
        <v>1.2041526230043844E-5</v>
      </c>
      <c r="E129" s="3">
        <f>0.0117*$D$116</f>
        <v>2.1725603581426023E-7</v>
      </c>
      <c r="F129" s="3">
        <f>(D129*$I$114)+(E129*$I$114)</f>
        <v>0.10738693264891699</v>
      </c>
      <c r="G129" s="3">
        <f>(D129*$I$115)+(E129*$I$115)</f>
        <v>2.9421077438059452E-4</v>
      </c>
      <c r="H129" s="3"/>
      <c r="I129" s="3"/>
      <c r="J129" s="3"/>
      <c r="N129" s="3">
        <f t="shared" si="12"/>
        <v>0.10738693264891699</v>
      </c>
      <c r="O129" s="3">
        <f t="shared" si="14"/>
        <v>2.9421077438059452E-4</v>
      </c>
    </row>
    <row r="130" spans="1:15" x14ac:dyDescent="0.3">
      <c r="A130" s="2" t="s">
        <v>81</v>
      </c>
      <c r="B130" s="2" t="s">
        <v>82</v>
      </c>
      <c r="C130" s="2" t="s">
        <v>175</v>
      </c>
      <c r="D130" s="3">
        <f>0.000016*$D$115</f>
        <v>1.6467044417153974E-8</v>
      </c>
      <c r="E130" s="3">
        <f>0.000016*$D$116</f>
        <v>2.9710227119898834E-10</v>
      </c>
      <c r="F130" s="3">
        <f>(D130*$I$114)+(E130*$I$114)</f>
        <v>1.4685392498997194E-4</v>
      </c>
      <c r="G130" s="3">
        <f>(D130*$I$115)+(E130*$I$115)</f>
        <v>4.0233952052047114E-7</v>
      </c>
      <c r="H130" s="3"/>
      <c r="I130" s="3"/>
      <c r="J130" s="3"/>
      <c r="N130" s="3">
        <f t="shared" si="12"/>
        <v>1.4685392498997194E-4</v>
      </c>
      <c r="O130" s="3">
        <f t="shared" si="14"/>
        <v>4.0233952052047114E-7</v>
      </c>
    </row>
    <row r="131" spans="1:15" x14ac:dyDescent="0.3">
      <c r="A131" s="2" t="s">
        <v>83</v>
      </c>
      <c r="B131" s="2" t="s">
        <v>84</v>
      </c>
      <c r="C131" s="2" t="s">
        <v>175</v>
      </c>
      <c r="D131" s="3">
        <f>0.0000000002*$D$115</f>
        <v>2.058380552144247E-13</v>
      </c>
      <c r="E131" s="3">
        <f>0.0000000002*$D$116</f>
        <v>3.7137783899873542E-15</v>
      </c>
      <c r="F131" s="3">
        <f>(D131*$I$114)+(E131*$I$114)</f>
        <v>1.8356740623746497E-9</v>
      </c>
      <c r="G131" s="3">
        <f>(D131*$I$115)+(E131*$I$115)</f>
        <v>5.0292440065058886E-12</v>
      </c>
      <c r="H131" s="3"/>
      <c r="I131" s="3"/>
      <c r="J131" s="3"/>
      <c r="N131" s="3">
        <f t="shared" si="12"/>
        <v>1.8356740623746497E-9</v>
      </c>
      <c r="O131" s="3">
        <f t="shared" si="14"/>
        <v>5.0292440065058886E-12</v>
      </c>
    </row>
    <row r="132" spans="1:15" x14ac:dyDescent="0.3">
      <c r="A132" s="2" t="s">
        <v>85</v>
      </c>
      <c r="B132" s="2" t="s">
        <v>86</v>
      </c>
      <c r="C132" s="2" t="s">
        <v>175</v>
      </c>
      <c r="D132" s="3">
        <f>0.00000000022*$D$115</f>
        <v>2.2642186073586715E-13</v>
      </c>
      <c r="E132" s="3">
        <f>0.00000000022*$D$116</f>
        <v>4.0851562289860891E-15</v>
      </c>
      <c r="F132" s="3">
        <f>(D132*$I$114)+(E132*$I$114)</f>
        <v>2.0192414686121145E-9</v>
      </c>
      <c r="G132" s="3">
        <f>(D132*$I$115)+(E132*$I$115)</f>
        <v>5.532168407156478E-12</v>
      </c>
      <c r="H132" s="3"/>
      <c r="I132" s="3"/>
      <c r="J132" s="3"/>
      <c r="N132" s="3">
        <f t="shared" si="12"/>
        <v>2.0192414686121145E-9</v>
      </c>
      <c r="O132" s="3">
        <f t="shared" si="14"/>
        <v>5.532168407156478E-12</v>
      </c>
    </row>
    <row r="133" spans="1:15" x14ac:dyDescent="0.3">
      <c r="A133" s="2" t="s">
        <v>131</v>
      </c>
      <c r="C133" s="2" t="s">
        <v>175</v>
      </c>
      <c r="D133" s="3">
        <f>0.000000037*$D$115</f>
        <v>3.8080040214668565E-11</v>
      </c>
      <c r="E133" s="3">
        <f>0.000000037*$D$116</f>
        <v>6.8704900214766047E-13</v>
      </c>
      <c r="F133" s="3">
        <f>(D133*$I$114)+(E133*$I$114)</f>
        <v>3.3959970153931014E-7</v>
      </c>
      <c r="G133" s="3">
        <f>(D133*$I$115)+(E133*$I$115)</f>
        <v>9.3041014120358946E-10</v>
      </c>
      <c r="H133" s="3"/>
      <c r="I133" s="3"/>
      <c r="J133" s="3"/>
      <c r="N133" s="3">
        <f t="shared" si="12"/>
        <v>3.3959970153931014E-7</v>
      </c>
      <c r="O133" s="3">
        <f t="shared" si="14"/>
        <v>9.3041014120358946E-10</v>
      </c>
    </row>
    <row r="134" spans="1:15" x14ac:dyDescent="0.3">
      <c r="A134" s="56" t="s">
        <v>102</v>
      </c>
      <c r="B134" s="56" t="s">
        <v>101</v>
      </c>
      <c r="C134" s="56" t="s">
        <v>175</v>
      </c>
      <c r="D134" s="3">
        <f>0.0000011*$D$115</f>
        <v>1.1321093036793359E-9</v>
      </c>
      <c r="E134" s="3">
        <f>0.0000011*$D$116</f>
        <v>2.0425781144930449E-11</v>
      </c>
      <c r="F134" s="3">
        <f>(D134*$I$114)+(E134*$I$114)</f>
        <v>1.0096207343060572E-5</v>
      </c>
      <c r="G134" s="3">
        <f>(D134*$I$115)+(E134*$I$115)</f>
        <v>2.7660842035782392E-8</v>
      </c>
      <c r="H134" s="3"/>
      <c r="I134" s="3"/>
      <c r="J134" s="3"/>
      <c r="N134" s="3">
        <f t="shared" si="12"/>
        <v>1.0096207343060572E-5</v>
      </c>
      <c r="O134" s="3">
        <f t="shared" si="14"/>
        <v>2.7660842035782392E-8</v>
      </c>
    </row>
    <row r="135" spans="1:15" x14ac:dyDescent="0.3">
      <c r="A135" s="2" t="s">
        <v>132</v>
      </c>
      <c r="C135" s="2" t="s">
        <v>175</v>
      </c>
      <c r="D135" s="3">
        <f>0.000000065*$D$115</f>
        <v>6.6897367944688024E-11</v>
      </c>
      <c r="E135" s="3">
        <f>0.000000065*$D$116</f>
        <v>1.2069779767458901E-12</v>
      </c>
      <c r="F135" s="3">
        <f>(D135*$I$114)+(E135*$I$114)</f>
        <v>5.9659407027176112E-7</v>
      </c>
      <c r="G135" s="3">
        <f>(D135*$I$115)+(E135*$I$115)</f>
        <v>1.6345043021144141E-9</v>
      </c>
      <c r="H135" s="3"/>
      <c r="I135" s="3"/>
      <c r="J135" s="3"/>
      <c r="N135" s="3">
        <f t="shared" si="12"/>
        <v>5.9659407027176112E-7</v>
      </c>
      <c r="O135" s="3">
        <f t="shared" si="14"/>
        <v>1.6345043021144141E-9</v>
      </c>
    </row>
    <row r="136" spans="1:15" x14ac:dyDescent="0.3">
      <c r="A136" s="2" t="s">
        <v>106</v>
      </c>
      <c r="B136" s="2" t="s">
        <v>105</v>
      </c>
      <c r="C136" s="2" t="s">
        <v>175</v>
      </c>
      <c r="D136" s="3">
        <f>0.000175*$D$115</f>
        <v>1.8010829831262161E-7</v>
      </c>
      <c r="E136" s="3">
        <f>0.000175*$D$116</f>
        <v>3.2495560912389348E-9</v>
      </c>
      <c r="F136" s="3">
        <f>(D136*$I$114)+(E136*$I$114)</f>
        <v>1.6062148045778183E-3</v>
      </c>
      <c r="G136" s="3">
        <f>(D136*$I$115)+(E136*$I$115)</f>
        <v>4.4005885056926527E-6</v>
      </c>
      <c r="H136" s="3"/>
      <c r="I136" s="3"/>
      <c r="J136" s="3"/>
      <c r="N136" s="3">
        <f t="shared" si="12"/>
        <v>1.6062148045778183E-3</v>
      </c>
      <c r="O136" s="3">
        <f t="shared" si="14"/>
        <v>4.4005885056926527E-6</v>
      </c>
    </row>
    <row r="137" spans="1:15" x14ac:dyDescent="0.3">
      <c r="A137" s="2" t="s">
        <v>135</v>
      </c>
      <c r="B137" s="2" t="s">
        <v>136</v>
      </c>
      <c r="C137" s="2" t="s">
        <v>175</v>
      </c>
      <c r="D137" s="3">
        <f>0.000003345*$D$115</f>
        <v>3.4426414734612531E-9</v>
      </c>
      <c r="E137" s="3">
        <f>0.000003345*$D$116</f>
        <v>6.2112943572538507E-11</v>
      </c>
      <c r="F137" s="3">
        <f>(D137*$I$114)+(E137*$I$114)</f>
        <v>3.0701648693216015E-5</v>
      </c>
      <c r="G137" s="3">
        <f>(D137*$I$115)+(E137*$I$115)</f>
        <v>8.4114106008810991E-8</v>
      </c>
      <c r="H137" s="3"/>
      <c r="I137" s="3"/>
      <c r="J137" s="3"/>
      <c r="N137" s="3">
        <f t="shared" si="12"/>
        <v>3.0701648693216015E-5</v>
      </c>
      <c r="O137" s="3">
        <f t="shared" si="14"/>
        <v>8.4114106008810991E-8</v>
      </c>
    </row>
    <row r="138" spans="1:15" x14ac:dyDescent="0.3">
      <c r="A138" s="2" t="s">
        <v>108</v>
      </c>
      <c r="B138" s="2" t="s">
        <v>107</v>
      </c>
      <c r="C138" s="2" t="s">
        <v>175</v>
      </c>
      <c r="D138" s="3">
        <f>0.00002995*$D$115</f>
        <v>3.0824248768360095E-8</v>
      </c>
      <c r="E138" s="3">
        <f>0.00002995*$D$116</f>
        <v>5.5613831390060629E-10</v>
      </c>
      <c r="F138" s="3">
        <f>(D138*$I$114)+(E138*$I$114)</f>
        <v>2.7489219084060373E-4</v>
      </c>
      <c r="G138" s="3">
        <f>(D138*$I$115)+(E138*$I$115)</f>
        <v>7.5312928997425686E-7</v>
      </c>
      <c r="H138" s="3"/>
      <c r="I138" s="3"/>
      <c r="J138" s="3"/>
      <c r="N138" s="3">
        <f t="shared" si="12"/>
        <v>2.7489219084060373E-4</v>
      </c>
      <c r="O138" s="3">
        <f t="shared" si="14"/>
        <v>7.5312928997425686E-7</v>
      </c>
    </row>
    <row r="139" spans="1:15" x14ac:dyDescent="0.3">
      <c r="A139" s="2" t="s">
        <v>95</v>
      </c>
      <c r="B139" s="2" t="s">
        <v>94</v>
      </c>
      <c r="C139" s="2" t="s">
        <v>175</v>
      </c>
      <c r="D139" s="3">
        <f>0.0000083*$D$115</f>
        <v>8.5422792913986246E-9</v>
      </c>
      <c r="E139" s="3">
        <f>0.0000083*$D$116</f>
        <v>1.541218031844752E-10</v>
      </c>
      <c r="F139" s="3">
        <f>(D139*$I$114)+(E139*$I$114)</f>
        <v>7.6180473588547955E-5</v>
      </c>
      <c r="G139" s="3">
        <f>(D139*$I$115)+(E139*$I$115)</f>
        <v>2.0871362626999439E-7</v>
      </c>
      <c r="H139" s="3"/>
      <c r="I139" s="3"/>
      <c r="J139" s="3"/>
      <c r="N139" s="3">
        <f t="shared" si="12"/>
        <v>7.6180473588547955E-5</v>
      </c>
      <c r="O139" s="3">
        <f t="shared" si="14"/>
        <v>2.0871362626999439E-7</v>
      </c>
    </row>
    <row r="141" spans="1:15" x14ac:dyDescent="0.3">
      <c r="A141" s="10"/>
      <c r="B141" s="10"/>
      <c r="C141" s="10"/>
      <c r="D141" s="10"/>
      <c r="E141" s="10"/>
      <c r="F141" s="10"/>
      <c r="G141" s="10"/>
      <c r="H141" s="10"/>
    </row>
    <row r="142" spans="1:15" ht="60" x14ac:dyDescent="1.1499999999999999">
      <c r="A142" s="1" t="s">
        <v>153</v>
      </c>
    </row>
    <row r="143" spans="1:15" x14ac:dyDescent="0.3">
      <c r="A143" s="13" t="s">
        <v>0</v>
      </c>
      <c r="B143" s="13" t="s">
        <v>8</v>
      </c>
      <c r="C143" s="13" t="s">
        <v>145</v>
      </c>
      <c r="D143" s="13" t="s">
        <v>168</v>
      </c>
      <c r="E143" s="13" t="s">
        <v>129</v>
      </c>
      <c r="F143" s="13" t="s">
        <v>18</v>
      </c>
      <c r="J143" s="18">
        <v>2.7</v>
      </c>
      <c r="K143" s="2" t="s">
        <v>154</v>
      </c>
      <c r="M143" s="32">
        <f>K3</f>
        <v>2265</v>
      </c>
      <c r="N143" s="2" t="s">
        <v>15</v>
      </c>
    </row>
    <row r="144" spans="1:15" x14ac:dyDescent="0.3">
      <c r="A144" s="2" t="s">
        <v>148</v>
      </c>
      <c r="B144" s="2" t="s">
        <v>150</v>
      </c>
      <c r="C144" s="33">
        <v>2.6</v>
      </c>
      <c r="D144" s="34">
        <f>$J$150*C144/100</f>
        <v>7.0164904474187394E-3</v>
      </c>
      <c r="E144" s="35">
        <f>C144*$J$148/100</f>
        <v>15.892350863403442</v>
      </c>
      <c r="F144" s="30">
        <f>C144*$J$149/100</f>
        <v>4.6308836952963679E-2</v>
      </c>
      <c r="J144" s="36">
        <f>$M$146/$M$145*M143</f>
        <v>15100</v>
      </c>
      <c r="K144" s="2" t="s">
        <v>151</v>
      </c>
      <c r="M144" s="2">
        <f>L3</f>
        <v>6.6</v>
      </c>
      <c r="N144" s="2" t="s">
        <v>142</v>
      </c>
    </row>
    <row r="145" spans="1:17" x14ac:dyDescent="0.3">
      <c r="A145" s="2" t="s">
        <v>1</v>
      </c>
      <c r="B145" s="2" t="s">
        <v>55</v>
      </c>
      <c r="C145" s="35">
        <v>2.2000000000000002</v>
      </c>
      <c r="D145" s="34">
        <f t="shared" ref="D145:D149" si="15">$J$150*C145/100</f>
        <v>5.9370303785850871E-3</v>
      </c>
      <c r="E145" s="35">
        <f t="shared" ref="E145:E149" si="16">C145*$J$148/100</f>
        <v>13.447373807495222</v>
      </c>
      <c r="F145" s="30">
        <f t="shared" ref="F145:F149" si="17">C145*$J$149/100</f>
        <v>3.9184400498661572E-2</v>
      </c>
      <c r="J145" s="36">
        <f>$M$146/$M$145*M144</f>
        <v>44</v>
      </c>
      <c r="K145" s="2" t="s">
        <v>167</v>
      </c>
      <c r="M145" s="2">
        <v>1.5</v>
      </c>
      <c r="N145" s="2" t="s">
        <v>143</v>
      </c>
    </row>
    <row r="146" spans="1:17" x14ac:dyDescent="0.3">
      <c r="A146" s="2" t="s">
        <v>125</v>
      </c>
      <c r="B146" s="2" t="s">
        <v>57</v>
      </c>
      <c r="C146" s="35">
        <v>0.5</v>
      </c>
      <c r="D146" s="34">
        <f t="shared" si="15"/>
        <v>1.3493250860420651E-3</v>
      </c>
      <c r="E146" s="35">
        <f t="shared" si="16"/>
        <v>3.0562213198852772</v>
      </c>
      <c r="F146" s="30">
        <f t="shared" si="17"/>
        <v>8.9055455678776294E-3</v>
      </c>
      <c r="J146" s="18">
        <f>M146/M145</f>
        <v>6.666666666666667</v>
      </c>
      <c r="K146" s="2" t="s">
        <v>152</v>
      </c>
      <c r="M146" s="2">
        <v>10</v>
      </c>
      <c r="N146" s="2" t="s">
        <v>144</v>
      </c>
    </row>
    <row r="147" spans="1:17" x14ac:dyDescent="0.3">
      <c r="A147" s="2" t="s">
        <v>2</v>
      </c>
      <c r="B147" s="2" t="s">
        <v>58</v>
      </c>
      <c r="C147" s="35">
        <v>4.4000000000000004</v>
      </c>
      <c r="D147" s="34">
        <f t="shared" si="15"/>
        <v>1.1874060757170174E-2</v>
      </c>
      <c r="E147" s="35">
        <f t="shared" si="16"/>
        <v>26.894747614990443</v>
      </c>
      <c r="F147" s="30">
        <f t="shared" si="17"/>
        <v>7.8368800997323143E-2</v>
      </c>
      <c r="J147" s="37">
        <f>N155</f>
        <v>14.992500956022944</v>
      </c>
      <c r="K147" s="2" t="s">
        <v>165</v>
      </c>
    </row>
    <row r="148" spans="1:17" x14ac:dyDescent="0.3">
      <c r="A148" s="2" t="s">
        <v>5</v>
      </c>
      <c r="B148" s="2" t="s">
        <v>73</v>
      </c>
      <c r="C148" s="35">
        <v>4</v>
      </c>
      <c r="D148" s="34">
        <f t="shared" si="15"/>
        <v>1.0794600688336521E-2</v>
      </c>
      <c r="E148" s="35">
        <f t="shared" si="16"/>
        <v>24.449770559082218</v>
      </c>
      <c r="F148" s="30">
        <f t="shared" si="17"/>
        <v>7.1244364543021035E-2</v>
      </c>
      <c r="J148" s="18">
        <f>J144*$J$143/1000*$J$147</f>
        <v>611.24426397705543</v>
      </c>
      <c r="K148" s="2" t="s">
        <v>146</v>
      </c>
    </row>
    <row r="149" spans="1:17" x14ac:dyDescent="0.3">
      <c r="A149" s="2" t="s">
        <v>149</v>
      </c>
      <c r="B149" s="2" t="s">
        <v>80</v>
      </c>
      <c r="C149" s="35">
        <v>1.5</v>
      </c>
      <c r="D149" s="34">
        <f t="shared" si="15"/>
        <v>4.0479752581261954E-3</v>
      </c>
      <c r="E149" s="35">
        <f t="shared" si="16"/>
        <v>9.1686639596558308</v>
      </c>
      <c r="F149" s="30">
        <f t="shared" si="17"/>
        <v>2.671663670363289E-2</v>
      </c>
      <c r="J149" s="18">
        <f>J145*$J$143/1000*$J$147</f>
        <v>1.7811091135755259</v>
      </c>
      <c r="K149" s="2" t="s">
        <v>147</v>
      </c>
      <c r="N149" s="58" t="s">
        <v>155</v>
      </c>
      <c r="O149" s="59"/>
      <c r="P149" s="38"/>
      <c r="Q149" s="39"/>
    </row>
    <row r="150" spans="1:17" x14ac:dyDescent="0.3">
      <c r="J150" s="18">
        <f>J146*$J$143/1000*$J$147</f>
        <v>0.26986501720841305</v>
      </c>
      <c r="K150" s="2" t="s">
        <v>166</v>
      </c>
      <c r="M150" s="40" t="s">
        <v>156</v>
      </c>
      <c r="N150" s="41" t="s">
        <v>157</v>
      </c>
      <c r="O150" s="42" t="s">
        <v>158</v>
      </c>
      <c r="P150" s="39"/>
    </row>
    <row r="151" spans="1:17" x14ac:dyDescent="0.3">
      <c r="M151" s="40" t="s">
        <v>159</v>
      </c>
      <c r="N151" s="41">
        <v>1.45</v>
      </c>
      <c r="O151" s="43" t="s">
        <v>160</v>
      </c>
      <c r="P151" s="39"/>
    </row>
    <row r="152" spans="1:17" ht="16.5" x14ac:dyDescent="0.3">
      <c r="M152" s="43" t="s">
        <v>169</v>
      </c>
      <c r="N152" s="41">
        <v>7</v>
      </c>
      <c r="O152" s="43" t="s">
        <v>161</v>
      </c>
      <c r="P152" s="39"/>
    </row>
    <row r="153" spans="1:17" ht="16.5" x14ac:dyDescent="0.3">
      <c r="M153" s="43" t="s">
        <v>170</v>
      </c>
      <c r="N153" s="41">
        <v>62</v>
      </c>
      <c r="O153" s="43" t="s">
        <v>161</v>
      </c>
      <c r="P153" s="39"/>
    </row>
    <row r="154" spans="1:17" ht="16.5" x14ac:dyDescent="0.3">
      <c r="M154" s="43" t="s">
        <v>171</v>
      </c>
      <c r="N154" s="41">
        <f>63+460</f>
        <v>523</v>
      </c>
      <c r="O154" s="43" t="s">
        <v>162</v>
      </c>
      <c r="P154" s="39"/>
    </row>
    <row r="155" spans="1:17" ht="16.5" x14ac:dyDescent="0.3">
      <c r="M155" s="44" t="s">
        <v>172</v>
      </c>
      <c r="N155" s="45">
        <f>12.46*N151*N152*N153/N154</f>
        <v>14.992500956022944</v>
      </c>
      <c r="O155" s="46" t="s">
        <v>163</v>
      </c>
      <c r="P155" s="39"/>
    </row>
    <row r="156" spans="1:17" x14ac:dyDescent="0.3">
      <c r="M156" s="47" t="s">
        <v>164</v>
      </c>
      <c r="N156" s="45"/>
      <c r="O156" s="42"/>
      <c r="P156" s="39"/>
    </row>
  </sheetData>
  <mergeCells count="6">
    <mergeCell ref="N149:O149"/>
    <mergeCell ref="F75:G75"/>
    <mergeCell ref="D77:E77"/>
    <mergeCell ref="F115:G115"/>
    <mergeCell ref="D117:E117"/>
    <mergeCell ref="F77:G7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acility xmlns="89cdaa30-7b22-4a6a-9ff8-e919efaf11cd">NWMetals</Facility>
  </documentManagement>
</p:properties>
</file>

<file path=customXml/itemProps1.xml><?xml version="1.0" encoding="utf-8"?>
<ds:datastoreItem xmlns:ds="http://schemas.openxmlformats.org/officeDocument/2006/customXml" ds:itemID="{749EE62C-A45E-4DF6-BEEB-91C3EBB6ECE5}"/>
</file>

<file path=customXml/itemProps2.xml><?xml version="1.0" encoding="utf-8"?>
<ds:datastoreItem xmlns:ds="http://schemas.openxmlformats.org/officeDocument/2006/customXml" ds:itemID="{97F7D7BA-9E98-4992-BB7F-F71F0F581A60}"/>
</file>

<file path=customXml/itemProps3.xml><?xml version="1.0" encoding="utf-8"?>
<ds:datastoreItem xmlns:ds="http://schemas.openxmlformats.org/officeDocument/2006/customXml" ds:itemID="{4B57DB0B-63F5-4E84-82C8-A45EC2994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Emissions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Kristen</dc:creator>
  <cp:lastModifiedBy>GISKA J.R.</cp:lastModifiedBy>
  <dcterms:created xsi:type="dcterms:W3CDTF">2020-05-01T18:03:14Z</dcterms:created>
  <dcterms:modified xsi:type="dcterms:W3CDTF">2021-03-24T17:50:23Z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