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mea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529"/>
  <workbookPr defaultThemeVersion="124226"/>
  <mc:AlternateContent xmlns:mc="http://schemas.openxmlformats.org/markup-compatibility/2006">
    <mc:Choice Requires="x15">
      <x15ac:absPath xmlns:x15ac="http://schemas.microsoft.com/office/spreadsheetml/2010/11/ac" url="C:\Users\mthomps\Desktop\"/>
    </mc:Choice>
  </mc:AlternateContent>
  <xr:revisionPtr revIDLastSave="0" documentId="8_{77A4D7CD-641B-4107-ADA9-2D78CF28DD23}" xr6:coauthVersionLast="47" xr6:coauthVersionMax="47" xr10:uidLastSave="{00000000-0000-0000-0000-000000000000}"/>
  <bookViews>
    <workbookView xWindow="28680" yWindow="-120" windowWidth="29040" windowHeight="15840" xr2:uid="{00000000-000D-0000-FFFF-FFFF00000000}"/>
  </bookViews>
  <sheets>
    <sheet name="Master"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 i="1" l="1"/>
  <c r="G28" i="1" l="1"/>
  <c r="M7" i="1" s="1"/>
  <c r="G29" i="1"/>
  <c r="G30" i="1"/>
  <c r="G31" i="1"/>
  <c r="G32" i="1"/>
  <c r="G33" i="1"/>
  <c r="G34" i="1"/>
  <c r="G35" i="1"/>
  <c r="G36" i="1"/>
  <c r="G37" i="1"/>
  <c r="G27" i="1"/>
  <c r="G42" i="1"/>
  <c r="G43" i="1"/>
  <c r="G61" i="1"/>
  <c r="G49" i="1"/>
  <c r="G50" i="1"/>
  <c r="G51" i="1"/>
  <c r="G52" i="1"/>
  <c r="A71" i="1"/>
  <c r="A73" i="1" s="1"/>
  <c r="G53" i="1" s="1"/>
  <c r="C20" i="1"/>
  <c r="D20" i="1" s="1"/>
  <c r="E20" i="1" s="1"/>
  <c r="C23" i="1"/>
  <c r="D23" i="1" s="1"/>
  <c r="E23" i="1" s="1"/>
  <c r="C22" i="1"/>
  <c r="D22" i="1" s="1"/>
  <c r="E22" i="1" s="1"/>
  <c r="B23" i="1"/>
  <c r="B22" i="1"/>
  <c r="B21" i="1"/>
  <c r="B20" i="1"/>
  <c r="B15" i="1"/>
  <c r="B6" i="1"/>
  <c r="C21" i="1"/>
  <c r="D21" i="1" s="1"/>
  <c r="E21" i="1" s="1"/>
  <c r="C15" i="1"/>
  <c r="D15" i="1" s="1"/>
  <c r="E15" i="1" s="1"/>
  <c r="C6" i="1"/>
  <c r="D6" i="1" s="1"/>
  <c r="E6" i="1" s="1"/>
  <c r="G62" i="1" l="1"/>
  <c r="G44" i="1" l="1"/>
  <c r="G45" i="1"/>
  <c r="G46" i="1"/>
  <c r="G47" i="1"/>
  <c r="G48" i="1"/>
  <c r="G54" i="1"/>
  <c r="G55" i="1"/>
  <c r="G56" i="1"/>
  <c r="G57" i="1"/>
  <c r="G58" i="1"/>
  <c r="G59" i="1"/>
  <c r="G60" i="1"/>
  <c r="G63" i="1"/>
  <c r="M8" i="1" s="1"/>
  <c r="G64" i="1"/>
  <c r="C13" i="1" l="1"/>
  <c r="M10" i="1"/>
  <c r="G38" i="1" l="1"/>
  <c r="M17" i="1" s="1"/>
  <c r="B14" i="1"/>
  <c r="B8" i="1"/>
  <c r="B17" i="1"/>
  <c r="B19" i="1"/>
  <c r="B18" i="1"/>
  <c r="B16" i="1"/>
  <c r="B11" i="1"/>
  <c r="B9" i="1"/>
  <c r="B10" i="1"/>
  <c r="B12" i="1"/>
  <c r="B13" i="1"/>
  <c r="D13" i="1"/>
  <c r="E13" i="1" s="1"/>
  <c r="C12" i="1"/>
  <c r="D12" i="1" s="1"/>
  <c r="E12" i="1" s="1"/>
  <c r="C19" i="1"/>
  <c r="D19" i="1" s="1"/>
  <c r="E19" i="1" s="1"/>
  <c r="C18" i="1"/>
  <c r="D18" i="1" s="1"/>
  <c r="E18" i="1" s="1"/>
  <c r="C17" i="1"/>
  <c r="D17" i="1" s="1"/>
  <c r="E17" i="1" s="1"/>
  <c r="C16" i="1"/>
  <c r="D16" i="1" s="1"/>
  <c r="E16" i="1" s="1"/>
  <c r="C14" i="1"/>
  <c r="D14" i="1" s="1"/>
  <c r="E14" i="1" s="1"/>
  <c r="C7" i="1"/>
  <c r="D7" i="1" s="1"/>
  <c r="E7" i="1" s="1"/>
  <c r="C10" i="1"/>
  <c r="D10" i="1" s="1"/>
  <c r="E10" i="1" s="1"/>
  <c r="C9" i="1"/>
  <c r="D9" i="1" s="1"/>
  <c r="E9" i="1" s="1"/>
  <c r="C11" i="1"/>
  <c r="D11" i="1" s="1"/>
  <c r="E11" i="1" s="1"/>
  <c r="C8" i="1"/>
  <c r="D8" i="1" s="1"/>
  <c r="E8" i="1" s="1"/>
  <c r="H37" i="1" l="1"/>
  <c r="H36" i="1"/>
  <c r="H28" i="1"/>
  <c r="H27" i="1"/>
  <c r="H32" i="1"/>
  <c r="H31" i="1"/>
  <c r="H34" i="1"/>
  <c r="H35" i="1"/>
  <c r="H30" i="1"/>
  <c r="H29" i="1"/>
  <c r="H33" i="1"/>
  <c r="H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tc={7DD65CBF-74BB-4762-BE02-DA21CA40B4D4}</author>
    <author>tc={741214CD-67E2-492C-8BCE-4CB863210319}</author>
    <author>tc={A3F630AE-B46E-4242-AB3D-2EAA19DA6FE3}</author>
    <author>tc={0C10DF47-4759-4BC8-A058-8DB619E93841}</author>
    <author>tc={0F0DAE0B-B14E-4F90-B450-6A8672C10839}</author>
    <author>tc={2EFEC42D-BFA3-4F74-9C91-3ACF75DF4ECA}</author>
    <author>tc={6BDBD5D4-8C71-4F2E-92A8-D0EFC70B49B6}</author>
    <author>tc={8A51C665-8DCB-4704-ABA6-837756DD2DF4}</author>
  </authors>
  <commentList>
    <comment ref="A22" authorId="0" shapeId="0" xr:uid="{00000000-0006-0000-0000-000001000000}">
      <text>
        <t>[Threaded comment]
Your version of Excel allows you to read this threaded comment; however, any edits to it will get removed if the file is opened in a newer version of Excel. Learn more: https://go.microsoft.com/fwlink/?linkid=870924
Comment:
    Does not take into account the much higher efficiency of electric engines, do not use as a proxy for grams per mile. Electric engines are roughly 3.4 times as efficient as light duty internal combustion engines, and up to 5 times as efficient as heavy duty diesel engines.</t>
      </text>
    </comment>
    <comment ref="A27" authorId="1" shapeId="0" xr:uid="{00000000-0006-0000-0000-000002000000}">
      <text>
        <t>[Threaded comment]
Your version of Excel allows you to read this threaded comment; however, any edits to it will get removed if the file is opened in a newer version of Excel. Learn more: https://go.microsoft.com/fwlink/?linkid=870924
Comment:
    includes 80% of B20, 95% of B5 and all of diesel</t>
      </text>
    </comment>
    <comment ref="A28" authorId="2" shapeId="0" xr:uid="{00000000-0006-0000-0000-000003000000}">
      <text>
        <t>[Threaded comment]
Your version of Excel allows you to read this threaded comment; however, any edits to it will get removed if the file is opened in a newer version of Excel. Learn more: https://go.microsoft.com/fwlink/?linkid=870924
Comment:
    includes 20% of B20, 5% of B5, and all of biodiesel</t>
      </text>
    </comment>
    <comment ref="A30" authorId="3" shapeId="0" xr:uid="{00000000-0006-0000-0000-000004000000}">
      <text>
        <t>[Threaded comment]
Your version of Excel allows you to read this threaded comment; however, any edits to it will get removed if the file is opened in a newer version of Excel. Learn more: https://go.microsoft.com/fwlink/?linkid=870924
Comment:
    includes 90% of E10 and all of gasoline</t>
      </text>
    </comment>
    <comment ref="A31" authorId="4" shapeId="0" xr:uid="{00000000-0006-0000-0000-000005000000}">
      <text>
        <t>[Threaded comment]
Your version of Excel allows you to read this threaded comment; however, any edits to it will get removed if the file is opened in a newer version of Excel. Learn more: https://go.microsoft.com/fwlink/?linkid=870924
Comment:
    includes 10% of E10 and all ethanol</t>
      </text>
    </comment>
    <comment ref="A32" authorId="5" shapeId="0" xr:uid="{00000000-0006-0000-0000-000006000000}">
      <text>
        <t>[Threaded comment]
Your version of Excel allows you to read this threaded comment; however, any edits to it will get removed if the file is opened in a newer version of Excel. Learn more: https://go.microsoft.com/fwlink/?linkid=870924
Comment:
    includes bio-CNG &amp; bio-LNG</t>
      </text>
    </comment>
    <comment ref="A33" authorId="6" shapeId="0" xr:uid="{00000000-0006-0000-0000-000007000000}">
      <text>
        <t>[Threaded comment]
Your version of Excel allows you to read this threaded comment; however, any edits to it will get removed if the file is opened in a newer version of Excel. Learn more: https://go.microsoft.com/fwlink/?linkid=870924
Comment:
    includes CNG &amp; LNG</t>
      </text>
    </comment>
    <comment ref="A36" authorId="7" shapeId="0" xr:uid="{00000000-0006-0000-0000-000008000000}">
      <text>
        <t>[Threaded comment]
Your version of Excel allows you to read this threaded comment; however, any edits to it will get removed if the file is opened in a newer version of Excel. Learn more: https://go.microsoft.com/fwlink/?linkid=870924
Comment:
    includes onroad, offroad, and residential electricity</t>
      </text>
    </comment>
  </commentList>
</comments>
</file>

<file path=xl/sharedStrings.xml><?xml version="1.0" encoding="utf-8"?>
<sst xmlns="http://schemas.openxmlformats.org/spreadsheetml/2006/main" count="200" uniqueCount="108">
  <si>
    <r>
      <t xml:space="preserve">                 </t>
    </r>
    <r>
      <rPr>
        <b/>
        <sz val="16"/>
        <rFont val="Arial"/>
        <family val="2"/>
      </rPr>
      <t>Oregon Clean Fuels Program: Estimated Lifecycle Carbon Intensities of Common Fuels and Blends</t>
    </r>
  </si>
  <si>
    <t>Carbon Intensities of Common Blends</t>
  </si>
  <si>
    <t>Carbon Intensities of Blendstocks</t>
  </si>
  <si>
    <t>gCO2e/MJ</t>
  </si>
  <si>
    <t>gCO2e/Gal, GGE, DGE</t>
  </si>
  <si>
    <t>kgCO2e/Gal,GGE,DG</t>
  </si>
  <si>
    <t>lbCO2e/Gal,GGE,DGE</t>
  </si>
  <si>
    <t>Unit</t>
  </si>
  <si>
    <t>Q1</t>
  </si>
  <si>
    <t>Q2</t>
  </si>
  <si>
    <t>Q3</t>
  </si>
  <si>
    <t>Q4</t>
  </si>
  <si>
    <t>Total</t>
  </si>
  <si>
    <t>Reference</t>
  </si>
  <si>
    <t>Pure Diesel</t>
  </si>
  <si>
    <t>Diesel</t>
  </si>
  <si>
    <t>ORULSD001*</t>
  </si>
  <si>
    <t>B5</t>
  </si>
  <si>
    <t>Biodiesel</t>
  </si>
  <si>
    <t>derived from above**</t>
  </si>
  <si>
    <t>B10</t>
  </si>
  <si>
    <t>Renewable diesel</t>
  </si>
  <si>
    <t>B15</t>
  </si>
  <si>
    <t>Gasoline</t>
  </si>
  <si>
    <t>ORGAS001*</t>
  </si>
  <si>
    <t>B20</t>
  </si>
  <si>
    <t>Ethanol</t>
  </si>
  <si>
    <t>B50</t>
  </si>
  <si>
    <t>Renewable natural gas</t>
  </si>
  <si>
    <t>Average CI***</t>
  </si>
  <si>
    <t>R5</t>
  </si>
  <si>
    <t>Fossil natural gas</t>
  </si>
  <si>
    <t>ORCNG001*</t>
  </si>
  <si>
    <t>R99</t>
  </si>
  <si>
    <t>Fossil propane</t>
  </si>
  <si>
    <t>ORLPG001*</t>
  </si>
  <si>
    <t>B20R80</t>
  </si>
  <si>
    <t>Renewable propane</t>
  </si>
  <si>
    <t>Pure Gasoline</t>
  </si>
  <si>
    <t>Electricity</t>
  </si>
  <si>
    <t>E10</t>
  </si>
  <si>
    <t>Composite Volume-Weighted Carbon Intensity of Oregon's Transportation Fuels (in gCO2e/MJ):</t>
  </si>
  <si>
    <t>E15</t>
  </si>
  <si>
    <t>E85 (51%)</t>
  </si>
  <si>
    <t>E85 (83%)</t>
  </si>
  <si>
    <t>Propane</t>
  </si>
  <si>
    <t>Renewable Propane</t>
  </si>
  <si>
    <t>Electricity (GGE)</t>
  </si>
  <si>
    <t>Electricity (DGE)</t>
  </si>
  <si>
    <t>Combined Volume by Fuel Type</t>
  </si>
  <si>
    <t/>
  </si>
  <si>
    <t>Energy Densities</t>
  </si>
  <si>
    <t>Megajoules</t>
  </si>
  <si>
    <t>Unit of Measure</t>
  </si>
  <si>
    <t>Share</t>
  </si>
  <si>
    <t>Gal</t>
  </si>
  <si>
    <t>gal</t>
  </si>
  <si>
    <t>Therm</t>
  </si>
  <si>
    <t>dge</t>
  </si>
  <si>
    <t>Fossil natural gas CNG</t>
  </si>
  <si>
    <t>Fossil natural gas LNG</t>
  </si>
  <si>
    <t>gge</t>
  </si>
  <si>
    <t>kWh</t>
  </si>
  <si>
    <t>Total volume of Oregon's Transportation Fuels (in gallons):</t>
  </si>
  <si>
    <t>Total Volume</t>
  </si>
  <si>
    <t>B20 Diesel</t>
  </si>
  <si>
    <t>B5 Diesel</t>
  </si>
  <si>
    <t>Bio-CNG</t>
  </si>
  <si>
    <t>Bio-LNG</t>
  </si>
  <si>
    <t>E10 Gasoline</t>
  </si>
  <si>
    <t>Ethanol &lt;55</t>
  </si>
  <si>
    <t>Ethanol &gt;75</t>
  </si>
  <si>
    <t>Ethanol 55-65</t>
  </si>
  <si>
    <t>Ethanol 65-75</t>
  </si>
  <si>
    <t>Fossil CNG</t>
  </si>
  <si>
    <t>Fossil LNG</t>
  </si>
  <si>
    <t>Liquefied Petroleum Gas</t>
  </si>
  <si>
    <t>Renewable Diesel</t>
  </si>
  <si>
    <r>
      <rPr>
        <u/>
        <sz val="12"/>
        <rFont val="Arial"/>
        <family val="2"/>
      </rPr>
      <t>Source</t>
    </r>
    <r>
      <rPr>
        <sz val="12"/>
        <rFont val="Arial"/>
        <family val="2"/>
      </rPr>
      <t>: The source of the residential charging numbers is the DMV registrations. # EVs x 8.5 kWh/day x the number of days in a year = kWh/yr.</t>
    </r>
  </si>
  <si>
    <t>kWh/yr</t>
  </si>
  <si>
    <t>amount of electricity from residential charging</t>
  </si>
  <si>
    <t>MJ/kWh</t>
  </si>
  <si>
    <t>energy density of electricity</t>
  </si>
  <si>
    <t>MJ/yr</t>
  </si>
  <si>
    <t>amount of energy from residential charging</t>
  </si>
  <si>
    <t>MJ/gallon of gasoline</t>
  </si>
  <si>
    <t>energy density of gasoline</t>
  </si>
  <si>
    <t>gge/yr</t>
  </si>
  <si>
    <t>amount of gasoline gallon equivalents from residential charging</t>
  </si>
  <si>
    <r>
      <rPr>
        <u/>
        <sz val="12"/>
        <rFont val="Arial"/>
        <family val="2"/>
      </rPr>
      <t>Source:</t>
    </r>
    <r>
      <rPr>
        <sz val="12"/>
        <rFont val="Arial"/>
        <family val="2"/>
      </rPr>
      <t xml:space="preserve"> The source of the carbon intensity values are listed below:</t>
    </r>
  </si>
  <si>
    <t>*These pathway codes can be found in OAR 340-253-8010, Tables 4 &amp; 9</t>
  </si>
  <si>
    <t>**These are volume-weighted averages based on the reported volumes above.</t>
  </si>
  <si>
    <t>***These are averages based on volumes reported but do not appear above.</t>
  </si>
  <si>
    <t>Date published:</t>
  </si>
  <si>
    <t>Date revised:</t>
  </si>
  <si>
    <t xml:space="preserve">This spreadsheet shows the volumes reported into the Clean Fuels Program, and uses the average reported CI to provide estimates of the lifecycle carbon intensity for fuels and blends being used in Oregon. These values do not correspond to specific delivered gallons, which may have lower or higher carbon biofuels blended into them, but provide a general reference for what the carbon intensities of those blends are. Fleets interested in the carbon intensity of the fuels they are being delivered should inquire with their fuel supplier. </t>
  </si>
  <si>
    <t>NOTE: Due to variability in RD import and exports this year, this spreadsheet provides only the annualized CI value.</t>
  </si>
  <si>
    <t>or ORRNWP401T* @ 65CI</t>
  </si>
  <si>
    <t>or ORCNG500T* @ 70CI</t>
  </si>
  <si>
    <t>Average Non-residential CI****</t>
  </si>
  <si>
    <t>Hydrogen</t>
  </si>
  <si>
    <t>Electricity - Offroad: eForklifts</t>
  </si>
  <si>
    <t>Electricity - Offroad: Fixed Guideway</t>
  </si>
  <si>
    <t>Electricity - Offroad: Other</t>
  </si>
  <si>
    <t>Electricity Onroad: Non-residential Charging</t>
  </si>
  <si>
    <t>Electricity Onroad: Residential</t>
  </si>
  <si>
    <t>****This value represents the average CI of electricity used in reporting to the Clean Fuels Program, which starting in 2021 included a large majority of charging from renewable electricity sources. The statewide grid average CI, along with all of the utility-specific CI that are appropriate for fleets to use if renewable electricity is not being procured for their charging, can be found: https://www.oregon.gov/deq/ghgp/Documents/cfpUpdated2021CIs.pdf</t>
  </si>
  <si>
    <r>
      <rPr>
        <u/>
        <sz val="12"/>
        <rFont val="Arial"/>
        <family val="2"/>
      </rPr>
      <t>Source:</t>
    </r>
    <r>
      <rPr>
        <sz val="12"/>
        <rFont val="Arial"/>
        <family val="2"/>
      </rPr>
      <t xml:space="preserve"> The source of the volumes is the quarterly CFP data summaries: https://www.oregon.gov/deq/ghgp/cfp/Pages/Quarterly-Data-Summaries.aspx. These are published on a quarterly basis, approximately 90 days after the closure of the calendar quarter. DEQ audits the data prior to publishing. The largest reporting entities became subject to mandatory third party verification of their reporting starting with the 2021 data year.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</si>
</sst>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15" x14ac:knownFonts="1">
    <font>
      <sz val="11"/>
      <color rgb="FF000000"/>
      <name val="Calibri"/>
      <family val="2"/>
      <scheme val="minor"/>
    </font>
    <font>
      <sz val="11"/>
      <color rgb="FF000000"/>
      <name val="Calibri"/>
      <family val="2"/>
      <scheme val="minor"/>
    </font>
    <font>
      <b/>
      <u/>
      <sz val="12"/>
      <color rgb="FF000000"/>
      <name val="Arial"/>
      <family val="2"/>
    </font>
    <font>
      <sz val="12"/>
      <color rgb="FF000000"/>
      <name val="Arial"/>
      <family val="2"/>
    </font>
    <font>
      <sz val="12"/>
      <name val="Arial"/>
      <family val="2"/>
    </font>
    <font>
      <u/>
      <sz val="12"/>
      <name val="Arial"/>
      <family val="2"/>
    </font>
    <font>
      <b/>
      <sz val="12"/>
      <color rgb="FF000000"/>
      <name val="Arial"/>
      <family val="2"/>
    </font>
    <font>
      <sz val="12"/>
      <color theme="1"/>
      <name val="Arial"/>
      <family val="2"/>
    </font>
    <font>
      <b/>
      <sz val="12"/>
      <color theme="1"/>
      <name val="Arial"/>
      <family val="2"/>
    </font>
    <font>
      <b/>
      <sz val="12"/>
      <name val="Arial"/>
      <family val="2"/>
    </font>
    <font>
      <b/>
      <sz val="11"/>
      <name val="Arial"/>
      <family val="2"/>
    </font>
    <font>
      <b/>
      <sz val="16"/>
      <name val="Arial"/>
      <family val="2"/>
    </font>
    <font>
      <sz val="11"/>
      <name val="Calibri"/>
      <family val="2"/>
    </font>
    <font>
      <sz val="11"/>
      <name val="Arial"/>
      <family val="2"/>
    </font>
    <font>
      <sz val="11"/>
      <color rgb="FF002060"/>
      <name val="Arial"/>
      <family val="2"/>
    </font>
  </fonts>
  <fills count="7">
    <fill>
      <patternFill patternType="none"/>
    </fill>
    <fill>
      <patternFill patternType="gray125"/>
    </fill>
    <fill>
      <patternFill patternType="solid">
        <fgColor theme="0" tint="-0.14999847407452621"/>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8" tint="0.79998168889431442"/>
        <bgColor rgb="FFA1D1CC"/>
      </patternFill>
    </fill>
    <fill>
      <patternFill patternType="solid">
        <fgColor theme="2" tint="-9.9978637043366805E-2"/>
        <bgColor rgb="FFA1D1CC"/>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69">
    <xf numFmtId="0" fontId="0" fillId="0" borderId="0" xfId="0"/>
    <xf numFmtId="0" fontId="4" fillId="0" borderId="0" xfId="0" applyFont="1" applyAlignment="1">
      <alignment horizontal="center" vertical="top"/>
    </xf>
    <xf numFmtId="10" fontId="4" fillId="0" borderId="0" xfId="2" applyNumberFormat="1" applyFont="1" applyFill="1" applyBorder="1" applyAlignment="1">
      <alignment horizontal="center" vertical="top"/>
    </xf>
    <xf numFmtId="0" fontId="4" fillId="0" borderId="0" xfId="0" applyFont="1" applyAlignment="1">
      <alignment vertical="top"/>
    </xf>
    <xf numFmtId="2" fontId="4" fillId="2" borderId="0" xfId="0" applyNumberFormat="1" applyFont="1" applyFill="1" applyAlignment="1">
      <alignment horizontal="center" vertical="top"/>
    </xf>
    <xf numFmtId="3" fontId="3" fillId="0" borderId="0" xfId="1" applyNumberFormat="1" applyFont="1" applyBorder="1" applyAlignment="1">
      <alignment horizontal="right" vertical="top"/>
    </xf>
    <xf numFmtId="3" fontId="3" fillId="0" borderId="0" xfId="1" applyNumberFormat="1" applyFont="1" applyBorder="1" applyAlignment="1">
      <alignment horizontal="left" vertical="top"/>
    </xf>
    <xf numFmtId="0" fontId="3" fillId="0" borderId="0" xfId="0" applyFont="1" applyAlignment="1">
      <alignment horizontal="right" vertical="top"/>
    </xf>
    <xf numFmtId="43" fontId="3" fillId="0" borderId="0" xfId="1" applyFont="1" applyBorder="1" applyAlignment="1">
      <alignment horizontal="right" vertical="top"/>
    </xf>
    <xf numFmtId="0" fontId="4" fillId="2" borderId="1" xfId="0" applyFont="1" applyFill="1" applyBorder="1" applyAlignment="1">
      <alignment horizontal="center" vertical="top"/>
    </xf>
    <xf numFmtId="0" fontId="4" fillId="3" borderId="1" xfId="0" applyFont="1" applyFill="1" applyBorder="1" applyAlignment="1">
      <alignment horizontal="center" vertical="top"/>
    </xf>
    <xf numFmtId="43" fontId="7" fillId="3" borderId="1" xfId="1" applyFont="1" applyFill="1" applyBorder="1" applyAlignment="1">
      <alignment horizontal="center" vertical="top"/>
    </xf>
    <xf numFmtId="2" fontId="4" fillId="3" borderId="1" xfId="0" applyNumberFormat="1" applyFont="1" applyFill="1" applyBorder="1" applyAlignment="1">
      <alignment horizontal="center" vertical="top"/>
    </xf>
    <xf numFmtId="2" fontId="4" fillId="3" borderId="1" xfId="1" applyNumberFormat="1" applyFont="1" applyFill="1" applyBorder="1" applyAlignment="1">
      <alignment horizontal="center" vertical="top"/>
    </xf>
    <xf numFmtId="0" fontId="3" fillId="2" borderId="1" xfId="0" applyFont="1" applyFill="1" applyBorder="1" applyAlignment="1">
      <alignment horizontal="center" vertical="top" wrapText="1" readingOrder="1"/>
    </xf>
    <xf numFmtId="0" fontId="2" fillId="4" borderId="1" xfId="0" applyFont="1" applyFill="1" applyBorder="1" applyAlignment="1">
      <alignment horizontal="center" vertical="top" wrapText="1" readingOrder="1"/>
    </xf>
    <xf numFmtId="0" fontId="3" fillId="4" borderId="1" xfId="0" applyFont="1" applyFill="1" applyBorder="1" applyAlignment="1">
      <alignment horizontal="center" vertical="top" wrapText="1" readingOrder="1"/>
    </xf>
    <xf numFmtId="0" fontId="4" fillId="4" borderId="1" xfId="0" applyFont="1" applyFill="1" applyBorder="1" applyAlignment="1">
      <alignment horizontal="center" vertical="top"/>
    </xf>
    <xf numFmtId="164" fontId="3" fillId="4" borderId="1" xfId="1" applyNumberFormat="1" applyFont="1" applyFill="1" applyBorder="1" applyAlignment="1">
      <alignment horizontal="center" vertical="top" wrapText="1" readingOrder="1"/>
    </xf>
    <xf numFmtId="164" fontId="4" fillId="4" borderId="1" xfId="0" applyNumberFormat="1" applyFont="1" applyFill="1" applyBorder="1" applyAlignment="1">
      <alignment horizontal="center" vertical="top"/>
    </xf>
    <xf numFmtId="0" fontId="2" fillId="3" borderId="1" xfId="0" applyFont="1" applyFill="1" applyBorder="1" applyAlignment="1">
      <alignment horizontal="center" vertical="top" wrapText="1" readingOrder="1"/>
    </xf>
    <xf numFmtId="0" fontId="3" fillId="3" borderId="1" xfId="0" applyFont="1" applyFill="1" applyBorder="1" applyAlignment="1">
      <alignment horizontal="center" vertical="top" wrapText="1" readingOrder="1"/>
    </xf>
    <xf numFmtId="0" fontId="3" fillId="3" borderId="1" xfId="1" applyNumberFormat="1" applyFont="1" applyFill="1" applyBorder="1" applyAlignment="1">
      <alignment horizontal="center" vertical="top" wrapText="1" readingOrder="1"/>
    </xf>
    <xf numFmtId="0" fontId="9" fillId="2" borderId="1" xfId="0" applyFont="1" applyFill="1" applyBorder="1" applyAlignment="1">
      <alignment horizontal="center" vertical="top"/>
    </xf>
    <xf numFmtId="0" fontId="4" fillId="0" borderId="0" xfId="0" applyFont="1" applyAlignment="1">
      <alignment horizontal="left" vertical="top"/>
    </xf>
    <xf numFmtId="0" fontId="10" fillId="0" borderId="0" xfId="0" applyFont="1" applyAlignment="1">
      <alignment vertical="center" wrapText="1"/>
    </xf>
    <xf numFmtId="0" fontId="12" fillId="0" borderId="0" xfId="0" applyFont="1"/>
    <xf numFmtId="0" fontId="4" fillId="0" borderId="0" xfId="0" applyFont="1" applyAlignment="1">
      <alignment horizontal="left" vertical="top" wrapText="1"/>
    </xf>
    <xf numFmtId="0" fontId="3" fillId="5" borderId="1" xfId="0" applyFont="1" applyFill="1" applyBorder="1" applyAlignment="1">
      <alignment horizontal="center" vertical="top" wrapText="1" readingOrder="1"/>
    </xf>
    <xf numFmtId="0" fontId="13" fillId="0" borderId="1" xfId="0" applyFont="1" applyBorder="1" applyAlignment="1">
      <alignment horizontal="left" vertical="center"/>
    </xf>
    <xf numFmtId="14" fontId="13" fillId="0" borderId="1" xfId="0" applyNumberFormat="1" applyFont="1" applyBorder="1" applyAlignment="1">
      <alignment horizontal="center"/>
    </xf>
    <xf numFmtId="0" fontId="7" fillId="3" borderId="1" xfId="0" applyFont="1" applyFill="1" applyBorder="1" applyAlignment="1">
      <alignment horizontal="center" vertical="center"/>
    </xf>
    <xf numFmtId="43" fontId="7" fillId="3" borderId="1" xfId="1" applyFont="1" applyFill="1" applyBorder="1" applyAlignment="1">
      <alignment horizontal="center" vertical="center" wrapText="1"/>
    </xf>
    <xf numFmtId="0" fontId="3" fillId="3" borderId="1" xfId="0" applyFont="1" applyFill="1" applyBorder="1" applyAlignment="1">
      <alignment horizontal="center" vertical="center" wrapText="1" readingOrder="1"/>
    </xf>
    <xf numFmtId="0" fontId="4" fillId="3" borderId="1" xfId="0" applyFont="1" applyFill="1" applyBorder="1" applyAlignment="1">
      <alignment horizontal="center" vertical="center"/>
    </xf>
    <xf numFmtId="0" fontId="5" fillId="3" borderId="1" xfId="0" applyFont="1" applyFill="1" applyBorder="1" applyAlignment="1">
      <alignment horizontal="center" vertical="center"/>
    </xf>
    <xf numFmtId="0" fontId="3" fillId="4" borderId="1" xfId="0" applyFont="1" applyFill="1" applyBorder="1" applyAlignment="1">
      <alignment horizontal="center" vertical="center" wrapText="1" readingOrder="1"/>
    </xf>
    <xf numFmtId="0" fontId="4" fillId="4" borderId="1" xfId="0" applyFont="1" applyFill="1" applyBorder="1" applyAlignment="1">
      <alignment horizontal="center" vertical="center"/>
    </xf>
    <xf numFmtId="0" fontId="5" fillId="0" borderId="0" xfId="0" applyFont="1" applyAlignment="1">
      <alignment horizontal="center" vertical="center"/>
    </xf>
    <xf numFmtId="10" fontId="4" fillId="0" borderId="0" xfId="2" applyNumberFormat="1" applyFont="1" applyFill="1" applyBorder="1" applyAlignment="1">
      <alignment horizontal="center" vertical="center"/>
    </xf>
    <xf numFmtId="10" fontId="4" fillId="0" borderId="0" xfId="0" applyNumberFormat="1" applyFont="1" applyAlignment="1">
      <alignment horizontal="center" vertical="center"/>
    </xf>
    <xf numFmtId="0" fontId="3" fillId="2" borderId="8" xfId="0" applyFont="1" applyFill="1" applyBorder="1" applyAlignment="1">
      <alignment horizontal="center" vertical="top" wrapText="1" readingOrder="1"/>
    </xf>
    <xf numFmtId="0" fontId="4" fillId="2" borderId="8" xfId="0" applyFont="1" applyFill="1" applyBorder="1" applyAlignment="1">
      <alignment horizontal="center" vertical="top"/>
    </xf>
    <xf numFmtId="0" fontId="3" fillId="2" borderId="4" xfId="0" applyFont="1" applyFill="1" applyBorder="1" applyAlignment="1">
      <alignment horizontal="center" vertical="top" wrapText="1" readingOrder="1"/>
    </xf>
    <xf numFmtId="0" fontId="4" fillId="2" borderId="4" xfId="0" applyFont="1" applyFill="1" applyBorder="1" applyAlignment="1">
      <alignment horizontal="center" vertical="top"/>
    </xf>
    <xf numFmtId="164" fontId="4" fillId="4" borderId="10" xfId="0" applyNumberFormat="1" applyFont="1" applyFill="1" applyBorder="1" applyAlignment="1">
      <alignment horizontal="center" vertical="top"/>
    </xf>
    <xf numFmtId="3" fontId="14" fillId="0" borderId="0" xfId="0" applyNumberFormat="1" applyFont="1"/>
    <xf numFmtId="0" fontId="3" fillId="4" borderId="2" xfId="0" applyFont="1" applyFill="1" applyBorder="1" applyAlignment="1">
      <alignment horizontal="center" vertical="top" wrapText="1" readingOrder="1"/>
    </xf>
    <xf numFmtId="0" fontId="3" fillId="2" borderId="0" xfId="0" applyFont="1" applyFill="1" applyAlignment="1">
      <alignment horizontal="center" vertical="top" wrapText="1" readingOrder="1"/>
    </xf>
    <xf numFmtId="0" fontId="4" fillId="2" borderId="0" xfId="0" applyFont="1" applyFill="1" applyAlignment="1">
      <alignment horizontal="center" vertical="top"/>
    </xf>
    <xf numFmtId="2" fontId="4" fillId="3" borderId="7" xfId="0" applyNumberFormat="1" applyFont="1" applyFill="1" applyBorder="1" applyAlignment="1">
      <alignment horizontal="left" vertical="top"/>
    </xf>
    <xf numFmtId="0" fontId="4" fillId="0" borderId="0" xfId="0" applyFont="1" applyAlignment="1">
      <alignment horizontal="left" vertical="top" wrapText="1"/>
    </xf>
    <xf numFmtId="0" fontId="10" fillId="0" borderId="0" xfId="0" applyFont="1" applyAlignment="1">
      <alignment horizontal="center" vertical="center" wrapText="1"/>
    </xf>
    <xf numFmtId="0" fontId="3" fillId="6" borderId="5" xfId="0" applyFont="1" applyFill="1" applyBorder="1" applyAlignment="1">
      <alignment horizontal="center" vertical="top" wrapText="1" readingOrder="1"/>
    </xf>
    <xf numFmtId="0" fontId="3" fillId="6" borderId="6" xfId="0" applyFont="1" applyFill="1" applyBorder="1" applyAlignment="1">
      <alignment horizontal="center" vertical="top" wrapText="1" readingOrder="1"/>
    </xf>
    <xf numFmtId="0" fontId="3" fillId="6" borderId="7" xfId="0" applyFont="1" applyFill="1" applyBorder="1" applyAlignment="1">
      <alignment horizontal="center" vertical="top" wrapText="1" readingOrder="1"/>
    </xf>
    <xf numFmtId="0" fontId="4" fillId="2" borderId="2" xfId="0" applyFont="1" applyFill="1" applyBorder="1" applyAlignment="1">
      <alignment horizontal="right" vertical="top"/>
    </xf>
    <xf numFmtId="0" fontId="3" fillId="4" borderId="9" xfId="0" applyFont="1" applyFill="1" applyBorder="1" applyAlignment="1">
      <alignment horizontal="right" vertical="top" wrapText="1" readingOrder="1"/>
    </xf>
    <xf numFmtId="0" fontId="3" fillId="5" borderId="1" xfId="0" applyFont="1" applyFill="1" applyBorder="1" applyAlignment="1">
      <alignment horizontal="center" vertical="top" wrapText="1" readingOrder="1"/>
    </xf>
    <xf numFmtId="0" fontId="6" fillId="4" borderId="3" xfId="0" applyFont="1" applyFill="1" applyBorder="1" applyAlignment="1">
      <alignment horizontal="center" vertical="center" wrapText="1" readingOrder="1"/>
    </xf>
    <xf numFmtId="0" fontId="6" fillId="4" borderId="4" xfId="0" applyFont="1" applyFill="1" applyBorder="1" applyAlignment="1">
      <alignment horizontal="center" vertical="center" wrapText="1" readingOrder="1"/>
    </xf>
    <xf numFmtId="0" fontId="6" fillId="3" borderId="3" xfId="0" applyFont="1" applyFill="1" applyBorder="1" applyAlignment="1">
      <alignment horizontal="center" vertical="center" wrapText="1" readingOrder="1"/>
    </xf>
    <xf numFmtId="0" fontId="6" fillId="3" borderId="4" xfId="0" applyFont="1" applyFill="1" applyBorder="1" applyAlignment="1">
      <alignment horizontal="center" vertical="center" wrapText="1" readingOrder="1"/>
    </xf>
    <xf numFmtId="0" fontId="4" fillId="3" borderId="1" xfId="1" applyNumberFormat="1" applyFont="1" applyFill="1" applyBorder="1" applyAlignment="1">
      <alignment horizontal="center" vertical="top"/>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3" fillId="5" borderId="5" xfId="0" applyFont="1" applyFill="1" applyBorder="1" applyAlignment="1">
      <alignment horizontal="center" vertical="top" wrapText="1" readingOrder="1"/>
    </xf>
    <xf numFmtId="0" fontId="3" fillId="5" borderId="6" xfId="0" applyFont="1" applyFill="1" applyBorder="1" applyAlignment="1">
      <alignment horizontal="center" vertical="top" wrapText="1" readingOrder="1"/>
    </xf>
    <xf numFmtId="0" fontId="3" fillId="5" borderId="7" xfId="0" applyFont="1" applyFill="1" applyBorder="1" applyAlignment="1">
      <alignment horizontal="center" vertical="top" wrapText="1" readingOrder="1"/>
    </xf>
  </cellXfs>
  <cellStyles count="3">
    <cellStyle name="Comma" xfId="1" builtinId="3"/>
    <cellStyle name="Normal" xfId="0" builtinId="0"/>
    <cellStyle name="Percent" xfId="2"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D3D3D3"/>
      <rgbColor rgb="00A1D1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180975</xdr:colOff>
      <xdr:row>0</xdr:row>
      <xdr:rowOff>47625</xdr:rowOff>
    </xdr:from>
    <xdr:to>
      <xdr:col>0</xdr:col>
      <xdr:colOff>666750</xdr:colOff>
      <xdr:row>0</xdr:row>
      <xdr:rowOff>1104474</xdr:rowOff>
    </xdr:to>
    <xdr:pic>
      <xdr:nvPicPr>
        <xdr:cNvPr id="2" name="Picture 1" descr="\\deq000\Templates\General\LogoColorRegular.jpg">
          <a:extLst>
            <a:ext uri="{FF2B5EF4-FFF2-40B4-BE49-F238E27FC236}">
              <a16:creationId xmlns:a16="http://schemas.microsoft.com/office/drawing/2014/main" id="{6DE77ACB-358D-4346-A46D-4EDB965C9D4F}"/>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80975" y="47625"/>
          <a:ext cx="485775" cy="105684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Bill Peters (DEQ)" id="{E61E7F0A-6DD2-4494-9E0D-EAF404FC6283}" userId="Bill Peters (DEQ)" providerId="None"/>
  <person displayName="WIND Cory Ann * DEQ" id="{AC16BE0D-C9D3-4BDE-B49C-0EEAC8D63746}" userId="S::Cory.Ann.WIND@deq.state.or.us::c5f9764a-19c4-42de-bd13-def97458c15b" providerId="AD"/>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22" dT="2021-08-31T23:32:49.63" personId="{E61E7F0A-6DD2-4494-9E0D-EAF404FC6283}" id="{7DD65CBF-74BB-4762-BE02-DA21CA40B4D4}">
    <text>Does not take into account the much higher efficiency of electric engines, do not use as a proxy for grams per mile. Electric engines are roughly 3.4 times as efficient as light duty internal combustion engines, and up to 5 times as efficient as heavy duty diesel engines.</text>
  </threadedComment>
  <threadedComment ref="A27" dT="2021-08-13T18:41:29.85" personId="{AC16BE0D-C9D3-4BDE-B49C-0EEAC8D63746}" id="{741214CD-67E2-492C-8BCE-4CB863210319}">
    <text>includes 80% of B20, 95% of B5 and all of diesel</text>
  </threadedComment>
  <threadedComment ref="A28" dT="2021-08-13T18:41:57.21" personId="{AC16BE0D-C9D3-4BDE-B49C-0EEAC8D63746}" id="{A3F630AE-B46E-4242-AB3D-2EAA19DA6FE3}">
    <text>includes 20% of B20, 5% of B5, and all of biodiesel</text>
  </threadedComment>
  <threadedComment ref="A30" dT="2021-08-13T18:42:18.87" personId="{AC16BE0D-C9D3-4BDE-B49C-0EEAC8D63746}" id="{0C10DF47-4759-4BC8-A058-8DB619E93841}">
    <text>includes 90% of E10 and all of gasoline</text>
  </threadedComment>
  <threadedComment ref="A31" dT="2021-08-13T18:42:39.40" personId="{AC16BE0D-C9D3-4BDE-B49C-0EEAC8D63746}" id="{0F0DAE0B-B14E-4F90-B450-6A8672C10839}">
    <text>includes 10% of E10 and all ethanol</text>
  </threadedComment>
  <threadedComment ref="A32" dT="2021-08-13T18:43:11.03" personId="{AC16BE0D-C9D3-4BDE-B49C-0EEAC8D63746}" id="{2EFEC42D-BFA3-4F74-9C91-3ACF75DF4ECA}">
    <text>includes bio-CNG &amp; bio-LNG</text>
  </threadedComment>
  <threadedComment ref="A33" dT="2021-08-13T18:43:25.32" personId="{AC16BE0D-C9D3-4BDE-B49C-0EEAC8D63746}" id="{6BDBD5D4-8C71-4F2E-92A8-D0EFC70B49B6}">
    <text>includes CNG &amp; LNG</text>
  </threadedComment>
  <threadedComment ref="A36" dT="2021-08-13T18:43:52.19" personId="{AC16BE0D-C9D3-4BDE-B49C-0EEAC8D63746}" id="{8A51C665-8DCB-4704-ABA6-837756DD2DF4}">
    <text>includes onroad, offroad, and residential electricity</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82"/>
  <sheetViews>
    <sheetView showGridLines="0" tabSelected="1" zoomScale="90" zoomScaleNormal="90" workbookViewId="0">
      <selection activeCell="I5" sqref="I5"/>
    </sheetView>
  </sheetViews>
  <sheetFormatPr defaultColWidth="8.7109375" defaultRowHeight="15.6" customHeight="1" x14ac:dyDescent="0.25"/>
  <cols>
    <col min="1" max="1" width="39.140625" style="1" customWidth="1"/>
    <col min="2" max="2" width="12.28515625" style="1" bestFit="1" customWidth="1"/>
    <col min="3" max="3" width="26.42578125" style="1" customWidth="1"/>
    <col min="4" max="4" width="24.7109375" style="1" customWidth="1"/>
    <col min="5" max="5" width="25.7109375" style="1" customWidth="1"/>
    <col min="6" max="6" width="15.28515625" style="1" bestFit="1" customWidth="1"/>
    <col min="7" max="7" width="27.5703125" style="1" customWidth="1"/>
    <col min="8" max="8" width="14.5703125" style="1" customWidth="1"/>
    <col min="9" max="9" width="20.140625" style="1" customWidth="1"/>
    <col min="10" max="10" width="16.42578125" style="1" customWidth="1"/>
    <col min="11" max="11" width="17.5703125" style="1" customWidth="1"/>
    <col min="12" max="12" width="16.5703125" style="1" customWidth="1"/>
    <col min="13" max="13" width="18.7109375" style="1" customWidth="1"/>
    <col min="14" max="14" width="29.42578125" style="1" customWidth="1"/>
    <col min="15" max="15" width="27.85546875" style="1" customWidth="1"/>
    <col min="16" max="16384" width="8.7109375" style="1"/>
  </cols>
  <sheetData>
    <row r="1" spans="1:23" ht="87.95" customHeight="1" x14ac:dyDescent="0.25">
      <c r="A1" s="52" t="s">
        <v>0</v>
      </c>
      <c r="B1" s="52"/>
      <c r="C1" s="52"/>
      <c r="D1" s="52"/>
      <c r="E1" s="52"/>
      <c r="F1" s="52"/>
      <c r="G1" s="52"/>
      <c r="H1" s="52"/>
      <c r="I1" s="52"/>
      <c r="J1" s="52"/>
      <c r="K1" s="52"/>
      <c r="L1" s="52"/>
      <c r="M1" s="52"/>
      <c r="N1" s="25"/>
      <c r="O1" s="25"/>
      <c r="P1" s="25"/>
      <c r="Q1" s="25"/>
      <c r="R1" s="25"/>
      <c r="S1" s="25"/>
      <c r="T1" s="25"/>
      <c r="U1" s="25"/>
      <c r="V1" s="25"/>
      <c r="W1" s="26"/>
    </row>
    <row r="2" spans="1:23" ht="39" customHeight="1" x14ac:dyDescent="0.25">
      <c r="A2" s="51" t="s">
        <v>95</v>
      </c>
      <c r="B2" s="51"/>
      <c r="C2" s="51"/>
      <c r="D2" s="51"/>
      <c r="E2" s="51"/>
      <c r="F2" s="51"/>
      <c r="G2" s="51"/>
      <c r="H2" s="51"/>
      <c r="I2" s="51"/>
      <c r="J2" s="51"/>
      <c r="K2" s="51"/>
      <c r="L2" s="51"/>
      <c r="M2" s="51"/>
      <c r="N2" s="51"/>
      <c r="O2" s="51"/>
    </row>
    <row r="4" spans="1:23" ht="15.6" customHeight="1" x14ac:dyDescent="0.25">
      <c r="A4" s="64" t="s">
        <v>1</v>
      </c>
      <c r="B4" s="63">
        <v>2022</v>
      </c>
      <c r="C4" s="63"/>
      <c r="D4" s="63"/>
      <c r="E4" s="63"/>
      <c r="G4" s="61" t="s">
        <v>2</v>
      </c>
      <c r="H4" s="20"/>
      <c r="I4" s="53">
        <v>2022</v>
      </c>
      <c r="J4" s="54"/>
      <c r="K4" s="54"/>
      <c r="L4" s="54"/>
      <c r="M4" s="54"/>
      <c r="N4" s="55"/>
    </row>
    <row r="5" spans="1:23" ht="33.6" customHeight="1" x14ac:dyDescent="0.25">
      <c r="A5" s="65"/>
      <c r="B5" s="31" t="s">
        <v>3</v>
      </c>
      <c r="C5" s="32" t="s">
        <v>4</v>
      </c>
      <c r="D5" s="32" t="s">
        <v>5</v>
      </c>
      <c r="E5" s="32" t="s">
        <v>6</v>
      </c>
      <c r="G5" s="62"/>
      <c r="H5" s="33" t="s">
        <v>7</v>
      </c>
      <c r="I5" s="33" t="s">
        <v>8</v>
      </c>
      <c r="J5" s="33" t="s">
        <v>9</v>
      </c>
      <c r="K5" s="33" t="s">
        <v>10</v>
      </c>
      <c r="L5" s="33" t="s">
        <v>11</v>
      </c>
      <c r="M5" s="34" t="s">
        <v>12</v>
      </c>
      <c r="N5" s="35" t="s">
        <v>13</v>
      </c>
    </row>
    <row r="6" spans="1:23" ht="15.6" customHeight="1" x14ac:dyDescent="0.25">
      <c r="A6" s="10" t="s">
        <v>14</v>
      </c>
      <c r="B6" s="12">
        <f>+M6</f>
        <v>100.74</v>
      </c>
      <c r="C6" s="13">
        <f>$M$6*$J$26</f>
        <v>13547.515199999998</v>
      </c>
      <c r="D6" s="13">
        <f>C6/1000</f>
        <v>13.547515199999998</v>
      </c>
      <c r="E6" s="11">
        <f>D6*2.20462</f>
        <v>29.867122960223991</v>
      </c>
      <c r="G6" s="21" t="s">
        <v>15</v>
      </c>
      <c r="H6" s="21" t="s">
        <v>3</v>
      </c>
      <c r="I6" s="10"/>
      <c r="J6" s="10"/>
      <c r="K6" s="10"/>
      <c r="L6" s="10"/>
      <c r="M6" s="12">
        <v>100.74</v>
      </c>
      <c r="N6" s="10" t="s">
        <v>16</v>
      </c>
    </row>
    <row r="7" spans="1:23" ht="15.6" customHeight="1" x14ac:dyDescent="0.25">
      <c r="A7" s="10" t="s">
        <v>17</v>
      </c>
      <c r="B7" s="12">
        <f>0.05*M7+0.95*M6</f>
        <v>97.77790510532914</v>
      </c>
      <c r="C7" s="13">
        <f>($M$6*$J$26)*0.95+($M$7*$J$27)*0.05</f>
        <v>13131.847220935164</v>
      </c>
      <c r="D7" s="13">
        <f t="shared" ref="D7:D23" si="0">C7/1000</f>
        <v>13.131847220935164</v>
      </c>
      <c r="E7" s="11">
        <f t="shared" ref="E7:E23" si="1">D7*2.20462</f>
        <v>28.950733020218077</v>
      </c>
      <c r="G7" s="21" t="s">
        <v>18</v>
      </c>
      <c r="H7" s="21" t="s">
        <v>3</v>
      </c>
      <c r="I7" s="22">
        <v>42.37</v>
      </c>
      <c r="J7" s="22">
        <v>40.43</v>
      </c>
      <c r="K7" s="22">
        <v>41.37</v>
      </c>
      <c r="L7" s="22">
        <v>42.02</v>
      </c>
      <c r="M7" s="12">
        <f>+(I7*C28+J7*D28+K7*E28+L7*F28)/G28</f>
        <v>41.498102106583147</v>
      </c>
      <c r="N7" s="10" t="s">
        <v>19</v>
      </c>
    </row>
    <row r="8" spans="1:23" ht="15.6" customHeight="1" x14ac:dyDescent="0.25">
      <c r="A8" s="10" t="s">
        <v>20</v>
      </c>
      <c r="B8" s="12">
        <f>0.1*M7+0.9*M6</f>
        <v>94.815810210658313</v>
      </c>
      <c r="C8" s="13">
        <f>($M$6*$J$26)*0.9+($M$7*$J$27)*0.1</f>
        <v>12716.179241870332</v>
      </c>
      <c r="D8" s="13">
        <f t="shared" si="0"/>
        <v>12.716179241870332</v>
      </c>
      <c r="E8" s="11">
        <f t="shared" si="1"/>
        <v>28.034343080212167</v>
      </c>
      <c r="G8" s="21" t="s">
        <v>21</v>
      </c>
      <c r="H8" s="21" t="s">
        <v>3</v>
      </c>
      <c r="I8" s="22">
        <v>44.83</v>
      </c>
      <c r="J8" s="22">
        <v>39.86</v>
      </c>
      <c r="K8" s="22">
        <v>19.690000000000001</v>
      </c>
      <c r="L8" s="22">
        <v>43.54</v>
      </c>
      <c r="M8" s="12">
        <f>+(I8*C29+J8*D29+K8*E29+L8*F29)/G29</f>
        <v>39.123383839948367</v>
      </c>
      <c r="N8" s="10" t="s">
        <v>19</v>
      </c>
      <c r="O8" s="24" t="s">
        <v>96</v>
      </c>
    </row>
    <row r="9" spans="1:23" ht="15.6" customHeight="1" x14ac:dyDescent="0.25">
      <c r="A9" s="10" t="s">
        <v>22</v>
      </c>
      <c r="B9" s="12">
        <f>0.15*M7+0.85*M6</f>
        <v>91.853715315987458</v>
      </c>
      <c r="C9" s="13">
        <f>($M$6*$J$26)*0.85+($M$7*$J$27)*0.15</f>
        <v>12300.511262805498</v>
      </c>
      <c r="D9" s="13">
        <f t="shared" si="0"/>
        <v>12.300511262805498</v>
      </c>
      <c r="E9" s="11">
        <f t="shared" si="1"/>
        <v>27.117953140206257</v>
      </c>
      <c r="G9" s="21" t="s">
        <v>23</v>
      </c>
      <c r="H9" s="21" t="s">
        <v>3</v>
      </c>
      <c r="I9" s="10"/>
      <c r="J9" s="10"/>
      <c r="K9" s="10"/>
      <c r="L9" s="10"/>
      <c r="M9" s="12">
        <v>100.14</v>
      </c>
      <c r="N9" s="10" t="s">
        <v>24</v>
      </c>
    </row>
    <row r="10" spans="1:23" ht="15.6" customHeight="1" x14ac:dyDescent="0.25">
      <c r="A10" s="10" t="s">
        <v>25</v>
      </c>
      <c r="B10" s="12">
        <f>0.2*M7+0.8*M6</f>
        <v>88.891620421316631</v>
      </c>
      <c r="C10" s="13">
        <f>($M$6*$J$26)*0.8+($M$7*$J$27)*0.2</f>
        <v>11884.843283740665</v>
      </c>
      <c r="D10" s="13">
        <f t="shared" si="0"/>
        <v>11.884843283740665</v>
      </c>
      <c r="E10" s="11">
        <f t="shared" si="1"/>
        <v>26.201563200200344</v>
      </c>
      <c r="G10" s="21" t="s">
        <v>26</v>
      </c>
      <c r="H10" s="21" t="s">
        <v>3</v>
      </c>
      <c r="I10" s="22">
        <v>53.71</v>
      </c>
      <c r="J10" s="22">
        <v>53.34</v>
      </c>
      <c r="K10" s="22">
        <v>54.01</v>
      </c>
      <c r="L10" s="22">
        <v>52.5</v>
      </c>
      <c r="M10" s="12">
        <f>+(I10*C31+J10*D31+K10*E31+L10*F31)/G31</f>
        <v>53.411922987417803</v>
      </c>
      <c r="N10" s="10" t="s">
        <v>19</v>
      </c>
    </row>
    <row r="11" spans="1:23" ht="15.6" customHeight="1" x14ac:dyDescent="0.25">
      <c r="A11" s="10" t="s">
        <v>27</v>
      </c>
      <c r="B11" s="12">
        <f>0.5*M7+0.5*M6</f>
        <v>71.119051053291571</v>
      </c>
      <c r="C11" s="13">
        <f>($M$6*$J$26)*0.5+($M$7*$J$27)*0.5</f>
        <v>9390.8354093516646</v>
      </c>
      <c r="D11" s="13">
        <f t="shared" si="0"/>
        <v>9.3908354093516646</v>
      </c>
      <c r="E11" s="11">
        <f t="shared" si="1"/>
        <v>20.703223560164865</v>
      </c>
      <c r="G11" s="21" t="s">
        <v>28</v>
      </c>
      <c r="H11" s="21" t="s">
        <v>3</v>
      </c>
      <c r="I11" s="10"/>
      <c r="J11" s="10"/>
      <c r="K11" s="10"/>
      <c r="L11" s="10"/>
      <c r="M11" s="12">
        <v>20.13</v>
      </c>
      <c r="N11" s="10" t="s">
        <v>29</v>
      </c>
      <c r="O11" s="50" t="s">
        <v>98</v>
      </c>
    </row>
    <row r="12" spans="1:23" ht="15.6" customHeight="1" x14ac:dyDescent="0.25">
      <c r="A12" s="10" t="s">
        <v>30</v>
      </c>
      <c r="B12" s="12">
        <f>0.05*M8+0.95*M6</f>
        <v>97.659169191997407</v>
      </c>
      <c r="C12" s="13">
        <f>($M$6*$J$26)*0.95+($M$8*$J$28)*0.05</f>
        <v>13123.756775742462</v>
      </c>
      <c r="D12" s="13">
        <f t="shared" si="0"/>
        <v>13.123756775742462</v>
      </c>
      <c r="E12" s="11">
        <f t="shared" si="1"/>
        <v>28.932896662937345</v>
      </c>
      <c r="G12" s="21" t="s">
        <v>31</v>
      </c>
      <c r="H12" s="21" t="s">
        <v>3</v>
      </c>
      <c r="I12" s="10"/>
      <c r="J12" s="10"/>
      <c r="K12" s="10"/>
      <c r="L12" s="10"/>
      <c r="M12" s="12">
        <v>79.98</v>
      </c>
      <c r="N12" s="10" t="s">
        <v>32</v>
      </c>
    </row>
    <row r="13" spans="1:23" ht="15.6" customHeight="1" x14ac:dyDescent="0.25">
      <c r="A13" s="10" t="s">
        <v>33</v>
      </c>
      <c r="B13" s="12">
        <f>0.99*M8+0.01*M6</f>
        <v>39.739550001548878</v>
      </c>
      <c r="C13" s="13">
        <f>($M$6*$J$26)*0.01+($M$8*$J$28)*0.99</f>
        <v>5157.0983997008134</v>
      </c>
      <c r="D13" s="13">
        <f t="shared" si="0"/>
        <v>5.1570983997008133</v>
      </c>
      <c r="E13" s="11">
        <f t="shared" si="1"/>
        <v>11.369442273948406</v>
      </c>
      <c r="G13" s="21" t="s">
        <v>34</v>
      </c>
      <c r="H13" s="21" t="s">
        <v>3</v>
      </c>
      <c r="I13" s="10"/>
      <c r="J13" s="10"/>
      <c r="K13" s="10"/>
      <c r="L13" s="10"/>
      <c r="M13" s="12">
        <v>80.88</v>
      </c>
      <c r="N13" s="10" t="s">
        <v>35</v>
      </c>
    </row>
    <row r="14" spans="1:23" ht="15.6" customHeight="1" x14ac:dyDescent="0.25">
      <c r="A14" s="10" t="s">
        <v>36</v>
      </c>
      <c r="B14" s="12">
        <f>0.2*M7+0.8*M8</f>
        <v>39.598327493275328</v>
      </c>
      <c r="C14" s="13">
        <f>($M$7*$J$27)*0.2+($M$8*$J$28)*0.8</f>
        <v>5104.7084956201124</v>
      </c>
      <c r="D14" s="13">
        <f t="shared" si="0"/>
        <v>5.1047084956201125</v>
      </c>
      <c r="E14" s="11">
        <f t="shared" si="1"/>
        <v>11.253942443614012</v>
      </c>
      <c r="G14" s="21" t="s">
        <v>37</v>
      </c>
      <c r="H14" s="21" t="s">
        <v>3</v>
      </c>
      <c r="I14" s="10"/>
      <c r="J14" s="10"/>
      <c r="K14" s="10"/>
      <c r="L14" s="10"/>
      <c r="M14" s="12">
        <v>30.16</v>
      </c>
      <c r="N14" s="10" t="s">
        <v>29</v>
      </c>
      <c r="O14" s="50" t="s">
        <v>97</v>
      </c>
    </row>
    <row r="15" spans="1:23" ht="15.6" customHeight="1" x14ac:dyDescent="0.25">
      <c r="A15" s="10" t="s">
        <v>38</v>
      </c>
      <c r="B15" s="12">
        <f>+M9</f>
        <v>100.14</v>
      </c>
      <c r="C15" s="13">
        <f>$M$9*$J$29</f>
        <v>12265.147200000001</v>
      </c>
      <c r="D15" s="13">
        <f t="shared" si="0"/>
        <v>12.265147200000001</v>
      </c>
      <c r="E15" s="11">
        <f t="shared" si="1"/>
        <v>27.039988820064</v>
      </c>
      <c r="G15" s="21" t="s">
        <v>39</v>
      </c>
      <c r="H15" s="21" t="s">
        <v>3</v>
      </c>
      <c r="I15" s="10"/>
      <c r="J15" s="10"/>
      <c r="K15" s="10"/>
      <c r="L15" s="10"/>
      <c r="M15" s="12">
        <v>0.88</v>
      </c>
      <c r="N15" s="10" t="s">
        <v>99</v>
      </c>
    </row>
    <row r="16" spans="1:23" ht="15.6" customHeight="1" x14ac:dyDescent="0.25">
      <c r="A16" s="10" t="s">
        <v>40</v>
      </c>
      <c r="B16" s="12">
        <f>0.1*M10+0.9*M9</f>
        <v>95.467192298741793</v>
      </c>
      <c r="C16" s="13">
        <f>($M$9*$J$29)*0.903+($M$10*$J$31)*0.097</f>
        <v>11622.018835491741</v>
      </c>
      <c r="D16" s="13">
        <f t="shared" si="0"/>
        <v>11.62201883549174</v>
      </c>
      <c r="E16" s="11">
        <f t="shared" si="1"/>
        <v>25.622135165101799</v>
      </c>
      <c r="G16" s="21" t="s">
        <v>100</v>
      </c>
      <c r="H16" s="21" t="s">
        <v>3</v>
      </c>
      <c r="I16" s="10"/>
      <c r="J16" s="10"/>
      <c r="K16" s="10"/>
      <c r="L16" s="10"/>
      <c r="M16" s="12">
        <v>157.62</v>
      </c>
      <c r="N16" s="10" t="s">
        <v>29</v>
      </c>
    </row>
    <row r="17" spans="1:13" ht="15.6" customHeight="1" x14ac:dyDescent="0.25">
      <c r="A17" s="10" t="s">
        <v>42</v>
      </c>
      <c r="B17" s="12">
        <f>0.15*M10+0.85*M9</f>
        <v>93.130788448112668</v>
      </c>
      <c r="C17" s="13">
        <f>($M$9*$J$29)*0.85+($M$10*$J$31)*0.15</f>
        <v>11270.618801275887</v>
      </c>
      <c r="D17" s="13">
        <f t="shared" si="0"/>
        <v>11.270618801275887</v>
      </c>
      <c r="E17" s="11">
        <f t="shared" si="1"/>
        <v>24.847431621668843</v>
      </c>
      <c r="G17" s="56" t="s">
        <v>41</v>
      </c>
      <c r="H17" s="56"/>
      <c r="I17" s="56"/>
      <c r="J17" s="56"/>
      <c r="K17" s="56"/>
      <c r="L17" s="56"/>
      <c r="M17" s="4">
        <f>(+G27*M6+G28*M7+G29*M8+G30*M9+G31*M10+G32*M11+G33*M12+G34*M13+G35*M14+G36*M15+M16*G37)/G38</f>
        <v>93.768630823223532</v>
      </c>
    </row>
    <row r="18" spans="1:13" ht="15.6" customHeight="1" x14ac:dyDescent="0.25">
      <c r="A18" s="10" t="s">
        <v>43</v>
      </c>
      <c r="B18" s="12">
        <f>0.51*M10+0.49*M9</f>
        <v>76.30868072358308</v>
      </c>
      <c r="C18" s="13">
        <f>($M$9*$J$29)*0.49+($M$10*$J$31)*0.51</f>
        <v>8883.7506443380153</v>
      </c>
      <c r="D18" s="13">
        <f t="shared" si="0"/>
        <v>8.883750644338015</v>
      </c>
      <c r="E18" s="11">
        <f t="shared" si="1"/>
        <v>19.585294345520474</v>
      </c>
    </row>
    <row r="19" spans="1:13" ht="15.6" customHeight="1" x14ac:dyDescent="0.25">
      <c r="A19" s="10" t="s">
        <v>44</v>
      </c>
      <c r="B19" s="12">
        <f>0.83*M10+0.17*M9</f>
        <v>61.355696079556779</v>
      </c>
      <c r="C19" s="13">
        <f>($M$9*$J$29)*0.17+($M$10*$J$31)*0.83</f>
        <v>6762.0900603932405</v>
      </c>
      <c r="D19" s="13">
        <f t="shared" si="0"/>
        <v>6.7620900603932403</v>
      </c>
      <c r="E19" s="11">
        <f t="shared" si="1"/>
        <v>14.907838988944144</v>
      </c>
    </row>
    <row r="20" spans="1:13" ht="15.6" customHeight="1" x14ac:dyDescent="0.25">
      <c r="A20" s="10" t="s">
        <v>45</v>
      </c>
      <c r="B20" s="12">
        <f>+M13</f>
        <v>80.88</v>
      </c>
      <c r="C20" s="13">
        <f>M13*J34</f>
        <v>7249.2743999999993</v>
      </c>
      <c r="D20" s="13">
        <f t="shared" si="0"/>
        <v>7.2492743999999991</v>
      </c>
      <c r="E20" s="11">
        <f t="shared" si="1"/>
        <v>15.981895327727997</v>
      </c>
    </row>
    <row r="21" spans="1:13" ht="15.6" customHeight="1" x14ac:dyDescent="0.25">
      <c r="A21" s="10" t="s">
        <v>46</v>
      </c>
      <c r="B21" s="12">
        <f>+M14</f>
        <v>30.16</v>
      </c>
      <c r="C21" s="13">
        <f>M14*J35</f>
        <v>2703.2408</v>
      </c>
      <c r="D21" s="13">
        <f t="shared" si="0"/>
        <v>2.7032408000000001</v>
      </c>
      <c r="E21" s="11">
        <f t="shared" si="1"/>
        <v>5.9596187324959997</v>
      </c>
    </row>
    <row r="22" spans="1:13" ht="15.6" customHeight="1" x14ac:dyDescent="0.25">
      <c r="A22" s="10" t="s">
        <v>47</v>
      </c>
      <c r="B22" s="12">
        <f>+M15</f>
        <v>0.88</v>
      </c>
      <c r="C22" s="13">
        <f>M15*J29</f>
        <v>107.78240000000001</v>
      </c>
      <c r="D22" s="13">
        <f>C22/1000</f>
        <v>0.10778240000000001</v>
      </c>
      <c r="E22" s="11">
        <f t="shared" si="1"/>
        <v>0.237619234688</v>
      </c>
    </row>
    <row r="23" spans="1:13" ht="15.6" customHeight="1" x14ac:dyDescent="0.25">
      <c r="A23" s="10" t="s">
        <v>48</v>
      </c>
      <c r="B23" s="12">
        <f>+M15</f>
        <v>0.88</v>
      </c>
      <c r="C23" s="13">
        <f>M15*J26</f>
        <v>118.3424</v>
      </c>
      <c r="D23" s="13">
        <f t="shared" si="0"/>
        <v>0.1183424</v>
      </c>
      <c r="E23" s="11">
        <f t="shared" si="1"/>
        <v>0.26090002188799999</v>
      </c>
    </row>
    <row r="25" spans="1:13" ht="15.6" customHeight="1" x14ac:dyDescent="0.25">
      <c r="A25" s="59" t="s">
        <v>49</v>
      </c>
      <c r="B25" s="15" t="s">
        <v>50</v>
      </c>
      <c r="C25" s="66">
        <v>2022</v>
      </c>
      <c r="D25" s="67"/>
      <c r="E25" s="67"/>
      <c r="F25" s="68"/>
      <c r="G25" s="28"/>
      <c r="I25" s="23" t="s">
        <v>51</v>
      </c>
      <c r="J25" s="9" t="s">
        <v>52</v>
      </c>
      <c r="K25" s="9" t="s">
        <v>53</v>
      </c>
    </row>
    <row r="26" spans="1:13" ht="15" x14ac:dyDescent="0.25">
      <c r="A26" s="60"/>
      <c r="B26" s="36" t="s">
        <v>7</v>
      </c>
      <c r="C26" s="36" t="s">
        <v>8</v>
      </c>
      <c r="D26" s="36" t="s">
        <v>9</v>
      </c>
      <c r="E26" s="36" t="s">
        <v>10</v>
      </c>
      <c r="F26" s="36" t="s">
        <v>11</v>
      </c>
      <c r="G26" s="37" t="s">
        <v>12</v>
      </c>
      <c r="H26" s="38" t="s">
        <v>54</v>
      </c>
      <c r="I26" s="14" t="s">
        <v>15</v>
      </c>
      <c r="J26" s="9">
        <v>134.47999999999999</v>
      </c>
      <c r="K26" s="9" t="s">
        <v>55</v>
      </c>
    </row>
    <row r="27" spans="1:13" ht="15.6" customHeight="1" x14ac:dyDescent="0.2">
      <c r="A27" s="16" t="s">
        <v>15</v>
      </c>
      <c r="B27" s="16" t="s">
        <v>56</v>
      </c>
      <c r="C27" s="18">
        <v>197937482.59999999</v>
      </c>
      <c r="D27" s="18">
        <v>177321593.84999999</v>
      </c>
      <c r="E27" s="18">
        <v>193936772.94999999</v>
      </c>
      <c r="F27" s="18">
        <v>186125452.94999999</v>
      </c>
      <c r="G27" s="18">
        <f>SUM(C27:F27)</f>
        <v>755321302.3499999</v>
      </c>
      <c r="H27" s="39">
        <f t="shared" ref="H27:H37" si="2">+G27/$G$38</f>
        <v>0.31410081982680205</v>
      </c>
      <c r="I27" s="41" t="s">
        <v>18</v>
      </c>
      <c r="J27" s="42">
        <v>126.13</v>
      </c>
      <c r="K27" s="42" t="s">
        <v>55</v>
      </c>
      <c r="M27" s="46"/>
    </row>
    <row r="28" spans="1:13" ht="15.6" customHeight="1" x14ac:dyDescent="0.25">
      <c r="A28" s="16" t="s">
        <v>18</v>
      </c>
      <c r="B28" s="16" t="s">
        <v>56</v>
      </c>
      <c r="C28" s="18">
        <v>17726461.399999999</v>
      </c>
      <c r="D28" s="18">
        <v>23804063.149999999</v>
      </c>
      <c r="E28" s="18">
        <v>16551435.050000001</v>
      </c>
      <c r="F28" s="18">
        <v>23165028.050000001</v>
      </c>
      <c r="G28" s="18">
        <f t="shared" ref="G28:G37" si="3">SUM(C28:F28)</f>
        <v>81246987.649999991</v>
      </c>
      <c r="H28" s="39">
        <f t="shared" si="2"/>
        <v>3.3786608890712506E-2</v>
      </c>
      <c r="I28" s="43" t="s">
        <v>21</v>
      </c>
      <c r="J28" s="44">
        <v>129.65</v>
      </c>
      <c r="K28" s="44" t="s">
        <v>55</v>
      </c>
    </row>
    <row r="29" spans="1:13" ht="15.6" customHeight="1" x14ac:dyDescent="0.25">
      <c r="A29" s="16" t="s">
        <v>21</v>
      </c>
      <c r="B29" s="16" t="s">
        <v>56</v>
      </c>
      <c r="C29" s="18">
        <v>14182521</v>
      </c>
      <c r="D29" s="18">
        <v>5088086</v>
      </c>
      <c r="E29" s="18">
        <v>8691920</v>
      </c>
      <c r="F29" s="18">
        <v>19071444</v>
      </c>
      <c r="G29" s="18">
        <f t="shared" si="3"/>
        <v>47033971</v>
      </c>
      <c r="H29" s="39">
        <f t="shared" si="2"/>
        <v>1.9559105250766973E-2</v>
      </c>
      <c r="I29" s="14" t="s">
        <v>23</v>
      </c>
      <c r="J29" s="9">
        <v>122.48</v>
      </c>
      <c r="K29" s="9" t="s">
        <v>55</v>
      </c>
    </row>
    <row r="30" spans="1:13" ht="15.6" customHeight="1" x14ac:dyDescent="0.25">
      <c r="A30" s="16" t="s">
        <v>23</v>
      </c>
      <c r="B30" s="16" t="s">
        <v>56</v>
      </c>
      <c r="C30" s="18">
        <v>314471980.5</v>
      </c>
      <c r="D30" s="18">
        <v>329440339.80000001</v>
      </c>
      <c r="E30" s="18">
        <v>352262584.30000001</v>
      </c>
      <c r="F30" s="18">
        <v>360068050.69999999</v>
      </c>
      <c r="G30" s="18">
        <f t="shared" si="3"/>
        <v>1356242955.3</v>
      </c>
      <c r="H30" s="39">
        <f t="shared" si="2"/>
        <v>0.56399445218699362</v>
      </c>
      <c r="I30" s="14" t="s">
        <v>26</v>
      </c>
      <c r="J30" s="9">
        <v>81.510000000000005</v>
      </c>
      <c r="K30" s="9" t="s">
        <v>55</v>
      </c>
    </row>
    <row r="31" spans="1:13" ht="15.6" customHeight="1" x14ac:dyDescent="0.25">
      <c r="A31" s="16" t="s">
        <v>26</v>
      </c>
      <c r="B31" s="16" t="s">
        <v>56</v>
      </c>
      <c r="C31" s="18">
        <v>34406110.5</v>
      </c>
      <c r="D31" s="18">
        <v>40835390.200000003</v>
      </c>
      <c r="E31" s="18">
        <v>40539361.700000003</v>
      </c>
      <c r="F31" s="18">
        <v>34612931.299999997</v>
      </c>
      <c r="G31" s="18">
        <f t="shared" si="3"/>
        <v>150393793.69999999</v>
      </c>
      <c r="H31" s="39">
        <f t="shared" si="2"/>
        <v>6.2541349954066919E-2</v>
      </c>
      <c r="I31" s="14" t="s">
        <v>28</v>
      </c>
      <c r="J31" s="9">
        <v>105.5</v>
      </c>
      <c r="K31" s="9" t="s">
        <v>57</v>
      </c>
    </row>
    <row r="32" spans="1:13" ht="15.6" customHeight="1" x14ac:dyDescent="0.25">
      <c r="A32" s="16" t="s">
        <v>28</v>
      </c>
      <c r="B32" s="16" t="s">
        <v>58</v>
      </c>
      <c r="C32" s="18">
        <v>920224</v>
      </c>
      <c r="D32" s="18">
        <v>906922</v>
      </c>
      <c r="E32" s="18">
        <v>957071</v>
      </c>
      <c r="F32" s="18">
        <v>935563</v>
      </c>
      <c r="G32" s="18">
        <f t="shared" si="3"/>
        <v>3719780</v>
      </c>
      <c r="H32" s="39">
        <f t="shared" si="2"/>
        <v>1.5468727598972659E-3</v>
      </c>
      <c r="I32" s="14" t="s">
        <v>59</v>
      </c>
      <c r="J32" s="9">
        <v>105.5</v>
      </c>
      <c r="K32" s="9" t="s">
        <v>57</v>
      </c>
    </row>
    <row r="33" spans="1:11" ht="15.6" customHeight="1" x14ac:dyDescent="0.25">
      <c r="A33" s="16" t="s">
        <v>31</v>
      </c>
      <c r="B33" s="16" t="s">
        <v>58</v>
      </c>
      <c r="C33" s="18">
        <v>2157</v>
      </c>
      <c r="D33" s="18">
        <v>77472</v>
      </c>
      <c r="E33" s="18">
        <v>74449</v>
      </c>
      <c r="F33" s="18">
        <v>84443</v>
      </c>
      <c r="G33" s="18">
        <f t="shared" si="3"/>
        <v>238521</v>
      </c>
      <c r="H33" s="39">
        <f t="shared" si="2"/>
        <v>9.9189101926311712E-5</v>
      </c>
      <c r="I33" s="14" t="s">
        <v>60</v>
      </c>
      <c r="J33" s="9">
        <v>78.83</v>
      </c>
      <c r="K33" s="9" t="s">
        <v>55</v>
      </c>
    </row>
    <row r="34" spans="1:11" ht="15.6" customHeight="1" x14ac:dyDescent="0.25">
      <c r="A34" s="16" t="s">
        <v>34</v>
      </c>
      <c r="B34" s="16" t="s">
        <v>56</v>
      </c>
      <c r="C34" s="18">
        <v>684672</v>
      </c>
      <c r="D34" s="18">
        <v>786185</v>
      </c>
      <c r="E34" s="18">
        <v>409142</v>
      </c>
      <c r="F34" s="18">
        <v>691712</v>
      </c>
      <c r="G34" s="18">
        <f t="shared" si="3"/>
        <v>2571711</v>
      </c>
      <c r="H34" s="39">
        <f t="shared" si="2"/>
        <v>1.0694475727672491E-3</v>
      </c>
      <c r="I34" s="14" t="s">
        <v>34</v>
      </c>
      <c r="J34" s="9">
        <v>89.63</v>
      </c>
      <c r="K34" s="9" t="s">
        <v>55</v>
      </c>
    </row>
    <row r="35" spans="1:11" ht="15.6" customHeight="1" x14ac:dyDescent="0.25">
      <c r="A35" s="16" t="s">
        <v>37</v>
      </c>
      <c r="B35" s="16" t="s">
        <v>56</v>
      </c>
      <c r="C35" s="18">
        <v>158979</v>
      </c>
      <c r="D35" s="18">
        <v>132720</v>
      </c>
      <c r="E35" s="18">
        <v>205031</v>
      </c>
      <c r="F35" s="18">
        <v>173512</v>
      </c>
      <c r="G35" s="18">
        <f t="shared" si="3"/>
        <v>670242</v>
      </c>
      <c r="H35" s="39">
        <f t="shared" si="2"/>
        <v>2.787205405532218E-4</v>
      </c>
      <c r="I35" s="14" t="s">
        <v>37</v>
      </c>
      <c r="J35" s="9">
        <v>89.63</v>
      </c>
      <c r="K35" s="9" t="s">
        <v>55</v>
      </c>
    </row>
    <row r="36" spans="1:11" ht="15.6" customHeight="1" x14ac:dyDescent="0.25">
      <c r="A36" s="16" t="s">
        <v>39</v>
      </c>
      <c r="B36" s="16" t="s">
        <v>61</v>
      </c>
      <c r="C36" s="18">
        <v>1701502</v>
      </c>
      <c r="D36" s="18">
        <v>1762947</v>
      </c>
      <c r="E36" s="18">
        <v>1788450</v>
      </c>
      <c r="F36" s="18">
        <v>1966615</v>
      </c>
      <c r="G36" s="18">
        <f t="shared" si="3"/>
        <v>7219514</v>
      </c>
      <c r="H36" s="39">
        <f t="shared" si="2"/>
        <v>3.0022392577778662E-3</v>
      </c>
      <c r="I36" s="14" t="s">
        <v>39</v>
      </c>
      <c r="J36" s="9">
        <v>3.6</v>
      </c>
      <c r="K36" s="9" t="s">
        <v>62</v>
      </c>
    </row>
    <row r="37" spans="1:11" ht="15.6" customHeight="1" x14ac:dyDescent="0.25">
      <c r="A37" s="47" t="s">
        <v>100</v>
      </c>
      <c r="B37" s="16" t="s">
        <v>56</v>
      </c>
      <c r="C37" s="18">
        <v>11975</v>
      </c>
      <c r="D37" s="18">
        <v>12756</v>
      </c>
      <c r="E37" s="18">
        <v>12472</v>
      </c>
      <c r="F37" s="18">
        <v>13764</v>
      </c>
      <c r="G37" s="18">
        <f t="shared" si="3"/>
        <v>50967</v>
      </c>
      <c r="H37" s="39">
        <f t="shared" si="2"/>
        <v>2.1194657736125243E-5</v>
      </c>
      <c r="I37" s="48"/>
      <c r="J37" s="49"/>
      <c r="K37" s="49"/>
    </row>
    <row r="38" spans="1:11" ht="15.6" customHeight="1" x14ac:dyDescent="0.25">
      <c r="A38" s="57" t="s">
        <v>63</v>
      </c>
      <c r="B38" s="57"/>
      <c r="C38" s="57"/>
      <c r="D38" s="57"/>
      <c r="E38" s="57"/>
      <c r="F38" s="57"/>
      <c r="G38" s="45">
        <f>SUM(G27:G37)</f>
        <v>2404709744.9999995</v>
      </c>
      <c r="H38" s="40">
        <f>SUM(H27:H37)</f>
        <v>1.0000000000000002</v>
      </c>
    </row>
    <row r="39" spans="1:11" ht="15.6" customHeight="1" x14ac:dyDescent="0.25">
      <c r="I39" s="2"/>
    </row>
    <row r="40" spans="1:11" ht="15.6" customHeight="1" x14ac:dyDescent="0.25">
      <c r="A40" s="59" t="s">
        <v>64</v>
      </c>
      <c r="B40" s="15" t="s">
        <v>50</v>
      </c>
      <c r="C40" s="58">
        <v>2022</v>
      </c>
      <c r="D40" s="58"/>
      <c r="E40" s="58"/>
      <c r="F40" s="58"/>
      <c r="G40" s="58"/>
    </row>
    <row r="41" spans="1:11" ht="15.6" customHeight="1" x14ac:dyDescent="0.25">
      <c r="A41" s="60"/>
      <c r="B41" s="16" t="s">
        <v>7</v>
      </c>
      <c r="C41" s="16" t="s">
        <v>8</v>
      </c>
      <c r="D41" s="16" t="s">
        <v>9</v>
      </c>
      <c r="E41" s="16" t="s">
        <v>10</v>
      </c>
      <c r="F41" s="16" t="s">
        <v>11</v>
      </c>
      <c r="G41" s="17" t="s">
        <v>12</v>
      </c>
    </row>
    <row r="42" spans="1:11" ht="15.6" customHeight="1" x14ac:dyDescent="0.25">
      <c r="A42" s="16" t="s">
        <v>65</v>
      </c>
      <c r="B42" s="16" t="s">
        <v>56</v>
      </c>
      <c r="C42" s="18">
        <v>-70738</v>
      </c>
      <c r="D42" s="18">
        <v>-264861</v>
      </c>
      <c r="E42" s="18">
        <v>-475858</v>
      </c>
      <c r="F42" s="18">
        <v>-171343</v>
      </c>
      <c r="G42" s="19">
        <f>SUM(C42:F42)</f>
        <v>-982800</v>
      </c>
    </row>
    <row r="43" spans="1:11" ht="15.6" customHeight="1" x14ac:dyDescent="0.25">
      <c r="A43" s="16" t="s">
        <v>66</v>
      </c>
      <c r="B43" s="16" t="s">
        <v>56</v>
      </c>
      <c r="C43" s="18">
        <v>-2864283</v>
      </c>
      <c r="D43" s="18">
        <v>-2260403</v>
      </c>
      <c r="E43" s="18">
        <v>-7078291</v>
      </c>
      <c r="F43" s="18">
        <v>-7105738</v>
      </c>
      <c r="G43" s="19">
        <f t="shared" ref="G43:G48" si="4">SUM(C43:F43)</f>
        <v>-19308715</v>
      </c>
    </row>
    <row r="44" spans="1:11" ht="15.6" customHeight="1" x14ac:dyDescent="0.25">
      <c r="A44" s="16" t="s">
        <v>67</v>
      </c>
      <c r="B44" s="16" t="s">
        <v>58</v>
      </c>
      <c r="C44" s="18">
        <v>920224</v>
      </c>
      <c r="D44" s="18">
        <v>906922</v>
      </c>
      <c r="E44" s="18">
        <v>957071</v>
      </c>
      <c r="F44" s="18">
        <v>935563</v>
      </c>
      <c r="G44" s="19">
        <f>SUM(C44:F44)</f>
        <v>3719780</v>
      </c>
    </row>
    <row r="45" spans="1:11" ht="15.6" customHeight="1" x14ac:dyDescent="0.25">
      <c r="A45" s="16" t="s">
        <v>18</v>
      </c>
      <c r="B45" s="16" t="s">
        <v>56</v>
      </c>
      <c r="C45" s="18">
        <v>17881781</v>
      </c>
      <c r="D45" s="18">
        <v>23968070</v>
      </c>
      <c r="E45" s="18">
        <v>16999715</v>
      </c>
      <c r="F45" s="18">
        <v>23526297</v>
      </c>
      <c r="G45" s="19">
        <f t="shared" si="4"/>
        <v>82375863</v>
      </c>
    </row>
    <row r="46" spans="1:11" ht="15.6" customHeight="1" x14ac:dyDescent="0.25">
      <c r="A46" s="16" t="s">
        <v>68</v>
      </c>
      <c r="B46" s="16" t="s">
        <v>58</v>
      </c>
      <c r="C46" s="18">
        <v>0</v>
      </c>
      <c r="D46" s="18">
        <v>0</v>
      </c>
      <c r="E46" s="18">
        <v>0</v>
      </c>
      <c r="F46" s="18">
        <v>0</v>
      </c>
      <c r="G46" s="19">
        <f t="shared" si="4"/>
        <v>0</v>
      </c>
    </row>
    <row r="47" spans="1:11" ht="15.6" customHeight="1" x14ac:dyDescent="0.25">
      <c r="A47" s="16" t="s">
        <v>15</v>
      </c>
      <c r="B47" s="16" t="s">
        <v>56</v>
      </c>
      <c r="C47" s="18">
        <v>200717184</v>
      </c>
      <c r="D47" s="18">
        <v>179682851</v>
      </c>
      <c r="E47" s="18">
        <v>201037082</v>
      </c>
      <c r="F47" s="18">
        <v>193011439</v>
      </c>
      <c r="G47" s="19">
        <f t="shared" si="4"/>
        <v>774448556</v>
      </c>
    </row>
    <row r="48" spans="1:11" ht="15.6" customHeight="1" x14ac:dyDescent="0.25">
      <c r="A48" s="16" t="s">
        <v>69</v>
      </c>
      <c r="B48" s="16" t="s">
        <v>56</v>
      </c>
      <c r="C48" s="18">
        <v>-13881035</v>
      </c>
      <c r="D48" s="18">
        <v>-15383726</v>
      </c>
      <c r="E48" s="18">
        <v>-20156700</v>
      </c>
      <c r="F48" s="18">
        <v>-19642598</v>
      </c>
      <c r="G48" s="19">
        <f t="shared" si="4"/>
        <v>-69064059</v>
      </c>
    </row>
    <row r="49" spans="1:8" ht="15.6" customHeight="1" x14ac:dyDescent="0.25">
      <c r="A49" s="16" t="s">
        <v>101</v>
      </c>
      <c r="B49" s="16" t="s">
        <v>61</v>
      </c>
      <c r="C49" s="18">
        <v>934092</v>
      </c>
      <c r="D49" s="18">
        <v>981467</v>
      </c>
      <c r="E49" s="18">
        <v>988890</v>
      </c>
      <c r="F49" s="18">
        <v>997800</v>
      </c>
      <c r="G49" s="19">
        <f>SUM(C49:F49)</f>
        <v>3902249</v>
      </c>
    </row>
    <row r="50" spans="1:8" ht="15.6" customHeight="1" x14ac:dyDescent="0.25">
      <c r="A50" s="16" t="s">
        <v>102</v>
      </c>
      <c r="B50" s="16" t="s">
        <v>61</v>
      </c>
      <c r="C50" s="18">
        <v>384134</v>
      </c>
      <c r="D50" s="18">
        <v>388993</v>
      </c>
      <c r="E50" s="18">
        <v>391137</v>
      </c>
      <c r="F50" s="18">
        <v>401883</v>
      </c>
      <c r="G50" s="19">
        <f>SUM(C50:F50)</f>
        <v>1566147</v>
      </c>
    </row>
    <row r="51" spans="1:8" ht="15.6" customHeight="1" x14ac:dyDescent="0.25">
      <c r="A51" s="16" t="s">
        <v>103</v>
      </c>
      <c r="B51" s="16" t="s">
        <v>61</v>
      </c>
      <c r="C51" s="18">
        <v>239057</v>
      </c>
      <c r="D51" s="18">
        <v>186660</v>
      </c>
      <c r="E51" s="18">
        <v>144174</v>
      </c>
      <c r="F51" s="18">
        <v>302250</v>
      </c>
      <c r="G51" s="19">
        <f>SUM(C51:F51)</f>
        <v>872141</v>
      </c>
    </row>
    <row r="52" spans="1:8" ht="15.6" customHeight="1" x14ac:dyDescent="0.25">
      <c r="A52" s="16" t="s">
        <v>104</v>
      </c>
      <c r="B52" s="16" t="s">
        <v>61</v>
      </c>
      <c r="C52" s="18">
        <v>144219</v>
      </c>
      <c r="D52" s="18">
        <v>205827</v>
      </c>
      <c r="E52" s="18">
        <v>264249</v>
      </c>
      <c r="F52" s="18">
        <v>264419</v>
      </c>
      <c r="G52" s="19">
        <f>SUM(C52:F52)</f>
        <v>878714</v>
      </c>
    </row>
    <row r="53" spans="1:8" ht="15.6" customHeight="1" x14ac:dyDescent="0.25">
      <c r="A53" s="16" t="s">
        <v>105</v>
      </c>
      <c r="B53" s="16" t="s">
        <v>61</v>
      </c>
      <c r="C53" s="18">
        <v>1489651</v>
      </c>
      <c r="D53" s="18">
        <v>1489651</v>
      </c>
      <c r="E53" s="18">
        <v>1524823</v>
      </c>
      <c r="F53" s="18">
        <v>1524823</v>
      </c>
      <c r="G53" s="19">
        <f>A73</f>
        <v>4203016.6949706078</v>
      </c>
    </row>
    <row r="54" spans="1:8" ht="15.6" customHeight="1" x14ac:dyDescent="0.25">
      <c r="A54" s="16" t="s">
        <v>70</v>
      </c>
      <c r="B54" s="16" t="s">
        <v>56</v>
      </c>
      <c r="C54" s="18">
        <v>25250064</v>
      </c>
      <c r="D54" s="18">
        <v>32001986</v>
      </c>
      <c r="E54" s="18">
        <v>28346134</v>
      </c>
      <c r="F54" s="18">
        <v>28895213</v>
      </c>
      <c r="G54" s="19">
        <f t="shared" ref="G54:G64" si="5">SUM(C54:F54)</f>
        <v>114493397</v>
      </c>
    </row>
    <row r="55" spans="1:8" ht="15.6" customHeight="1" x14ac:dyDescent="0.25">
      <c r="A55" s="16" t="s">
        <v>71</v>
      </c>
      <c r="B55" s="16" t="s">
        <v>56</v>
      </c>
      <c r="C55" s="18">
        <v>0</v>
      </c>
      <c r="D55" s="18">
        <v>0</v>
      </c>
      <c r="E55" s="18">
        <v>0</v>
      </c>
      <c r="F55" s="18">
        <v>0</v>
      </c>
      <c r="G55" s="19">
        <f t="shared" si="5"/>
        <v>0</v>
      </c>
    </row>
    <row r="56" spans="1:8" ht="15.6" customHeight="1" x14ac:dyDescent="0.25">
      <c r="A56" s="16" t="s">
        <v>72</v>
      </c>
      <c r="B56" s="16" t="s">
        <v>56</v>
      </c>
      <c r="C56" s="18">
        <v>10544150</v>
      </c>
      <c r="D56" s="18">
        <v>10371941</v>
      </c>
      <c r="E56" s="18">
        <v>14221301</v>
      </c>
      <c r="F56" s="18">
        <v>6941491</v>
      </c>
      <c r="G56" s="19">
        <f t="shared" si="5"/>
        <v>42078883</v>
      </c>
    </row>
    <row r="57" spans="1:8" ht="15.6" customHeight="1" x14ac:dyDescent="0.25">
      <c r="A57" s="16" t="s">
        <v>73</v>
      </c>
      <c r="B57" s="16" t="s">
        <v>56</v>
      </c>
      <c r="C57" s="18">
        <v>0</v>
      </c>
      <c r="D57" s="18">
        <v>0</v>
      </c>
      <c r="E57" s="18">
        <v>0</v>
      </c>
      <c r="F57" s="18">
        <v>0</v>
      </c>
      <c r="G57" s="19">
        <f t="shared" si="5"/>
        <v>0</v>
      </c>
    </row>
    <row r="58" spans="1:8" ht="15.6" customHeight="1" x14ac:dyDescent="0.25">
      <c r="A58" s="16" t="s">
        <v>74</v>
      </c>
      <c r="B58" s="16" t="s">
        <v>58</v>
      </c>
      <c r="C58" s="18">
        <v>2157</v>
      </c>
      <c r="D58" s="18">
        <v>77472</v>
      </c>
      <c r="E58" s="18">
        <v>74449</v>
      </c>
      <c r="F58" s="18">
        <v>84443</v>
      </c>
      <c r="G58" s="19">
        <f t="shared" si="5"/>
        <v>238521</v>
      </c>
      <c r="H58" s="27"/>
    </row>
    <row r="59" spans="1:8" ht="15.6" customHeight="1" x14ac:dyDescent="0.25">
      <c r="A59" s="16" t="s">
        <v>75</v>
      </c>
      <c r="B59" s="16" t="s">
        <v>58</v>
      </c>
      <c r="C59" s="18">
        <v>0</v>
      </c>
      <c r="D59" s="18">
        <v>0</v>
      </c>
      <c r="E59" s="18">
        <v>0</v>
      </c>
      <c r="F59" s="18">
        <v>0</v>
      </c>
      <c r="G59" s="19">
        <f t="shared" si="5"/>
        <v>0</v>
      </c>
    </row>
    <row r="60" spans="1:8" ht="15.6" customHeight="1" x14ac:dyDescent="0.25">
      <c r="A60" s="16" t="s">
        <v>23</v>
      </c>
      <c r="B60" s="16" t="s">
        <v>56</v>
      </c>
      <c r="C60" s="18">
        <v>326964912</v>
      </c>
      <c r="D60" s="18">
        <v>343293483</v>
      </c>
      <c r="E60" s="18">
        <v>372983416</v>
      </c>
      <c r="F60" s="18">
        <v>377834066</v>
      </c>
      <c r="G60" s="19">
        <f t="shared" si="5"/>
        <v>1421075877</v>
      </c>
    </row>
    <row r="61" spans="1:8" ht="15.6" customHeight="1" x14ac:dyDescent="0.25">
      <c r="A61" s="16" t="s">
        <v>100</v>
      </c>
      <c r="B61" s="16" t="s">
        <v>56</v>
      </c>
      <c r="C61" s="18">
        <v>11975</v>
      </c>
      <c r="D61" s="18">
        <v>12756</v>
      </c>
      <c r="E61" s="18">
        <v>12472</v>
      </c>
      <c r="F61" s="18">
        <v>13764</v>
      </c>
      <c r="G61" s="19">
        <f t="shared" si="5"/>
        <v>50967</v>
      </c>
    </row>
    <row r="62" spans="1:8" ht="15.6" customHeight="1" x14ac:dyDescent="0.25">
      <c r="A62" s="16" t="s">
        <v>76</v>
      </c>
      <c r="B62" s="16" t="s">
        <v>56</v>
      </c>
      <c r="C62" s="18">
        <v>684672</v>
      </c>
      <c r="D62" s="18">
        <v>786185</v>
      </c>
      <c r="E62" s="18">
        <v>409142</v>
      </c>
      <c r="F62" s="18">
        <v>691712</v>
      </c>
      <c r="G62" s="19">
        <f t="shared" si="5"/>
        <v>2571711</v>
      </c>
    </row>
    <row r="63" spans="1:8" ht="15.6" customHeight="1" x14ac:dyDescent="0.25">
      <c r="A63" s="16" t="s">
        <v>77</v>
      </c>
      <c r="B63" s="16" t="s">
        <v>56</v>
      </c>
      <c r="C63" s="18">
        <v>14182521</v>
      </c>
      <c r="D63" s="18">
        <v>5088086</v>
      </c>
      <c r="E63" s="18">
        <v>8691920</v>
      </c>
      <c r="F63" s="18">
        <v>19071444</v>
      </c>
      <c r="G63" s="19">
        <f t="shared" si="5"/>
        <v>47033971</v>
      </c>
    </row>
    <row r="64" spans="1:8" ht="15.6" customHeight="1" x14ac:dyDescent="0.25">
      <c r="A64" s="16" t="s">
        <v>46</v>
      </c>
      <c r="B64" s="16" t="s">
        <v>56</v>
      </c>
      <c r="C64" s="18">
        <v>158979</v>
      </c>
      <c r="D64" s="18">
        <v>132720</v>
      </c>
      <c r="E64" s="18">
        <v>205031</v>
      </c>
      <c r="F64" s="18">
        <v>173512</v>
      </c>
      <c r="G64" s="19">
        <f t="shared" si="5"/>
        <v>670242</v>
      </c>
    </row>
    <row r="66" spans="1:15" ht="36.75" customHeight="1" x14ac:dyDescent="0.25">
      <c r="A66" s="51" t="s">
        <v>107</v>
      </c>
      <c r="B66" s="51"/>
      <c r="C66" s="51"/>
      <c r="D66" s="51"/>
      <c r="E66" s="51"/>
      <c r="F66" s="51"/>
      <c r="G66" s="51"/>
      <c r="H66" s="51"/>
      <c r="I66" s="51"/>
      <c r="J66" s="51"/>
      <c r="K66" s="51"/>
      <c r="L66" s="51"/>
      <c r="M66" s="51"/>
      <c r="N66" s="51"/>
      <c r="O66" s="51"/>
    </row>
    <row r="68" spans="1:15" ht="15.6" customHeight="1" x14ac:dyDescent="0.25">
      <c r="A68" s="24" t="s">
        <v>78</v>
      </c>
    </row>
    <row r="69" spans="1:15" ht="15.6" customHeight="1" x14ac:dyDescent="0.25">
      <c r="A69" s="5">
        <v>142995968</v>
      </c>
      <c r="B69" s="6" t="s">
        <v>79</v>
      </c>
      <c r="C69" s="24" t="s">
        <v>80</v>
      </c>
    </row>
    <row r="70" spans="1:15" ht="15.6" customHeight="1" x14ac:dyDescent="0.25">
      <c r="A70" s="7">
        <v>3.6</v>
      </c>
      <c r="B70" s="6" t="s">
        <v>81</v>
      </c>
      <c r="C70" s="24" t="s">
        <v>82</v>
      </c>
    </row>
    <row r="71" spans="1:15" ht="15.6" customHeight="1" x14ac:dyDescent="0.25">
      <c r="A71" s="8">
        <f>+A69*A70</f>
        <v>514785484.80000001</v>
      </c>
      <c r="B71" s="6" t="s">
        <v>83</v>
      </c>
      <c r="C71" s="24" t="s">
        <v>84</v>
      </c>
    </row>
    <row r="72" spans="1:15" ht="15.6" customHeight="1" x14ac:dyDescent="0.25">
      <c r="A72" s="7">
        <v>122.48</v>
      </c>
      <c r="B72" s="6" t="s">
        <v>85</v>
      </c>
      <c r="C72" s="24" t="s">
        <v>86</v>
      </c>
    </row>
    <row r="73" spans="1:15" ht="15.6" customHeight="1" x14ac:dyDescent="0.25">
      <c r="A73" s="8">
        <f>+A71/A72</f>
        <v>4203016.6949706078</v>
      </c>
      <c r="B73" s="6" t="s">
        <v>87</v>
      </c>
      <c r="C73" s="24" t="s">
        <v>88</v>
      </c>
    </row>
    <row r="75" spans="1:15" ht="15.6" customHeight="1" x14ac:dyDescent="0.25">
      <c r="A75" s="24" t="s">
        <v>89</v>
      </c>
      <c r="B75" s="24"/>
      <c r="C75" s="24"/>
      <c r="D75" s="24"/>
      <c r="E75" s="24"/>
      <c r="F75" s="24"/>
      <c r="G75" s="24"/>
    </row>
    <row r="76" spans="1:15" ht="15.6" customHeight="1" x14ac:dyDescent="0.25">
      <c r="A76" s="3" t="s">
        <v>90</v>
      </c>
    </row>
    <row r="77" spans="1:15" ht="15.6" customHeight="1" x14ac:dyDescent="0.25">
      <c r="A77" s="3" t="s">
        <v>91</v>
      </c>
    </row>
    <row r="78" spans="1:15" ht="15.6" customHeight="1" x14ac:dyDescent="0.25">
      <c r="A78" s="3" t="s">
        <v>92</v>
      </c>
    </row>
    <row r="79" spans="1:15" ht="52.35" customHeight="1" x14ac:dyDescent="0.25">
      <c r="A79" s="51" t="s">
        <v>106</v>
      </c>
      <c r="B79" s="51"/>
      <c r="C79" s="51"/>
      <c r="D79" s="51"/>
      <c r="E79" s="51"/>
      <c r="F79" s="51"/>
      <c r="G79" s="51"/>
    </row>
    <row r="81" spans="1:2" ht="15.6" customHeight="1" x14ac:dyDescent="0.2">
      <c r="A81" s="29" t="s">
        <v>93</v>
      </c>
      <c r="B81" s="30">
        <v>45120</v>
      </c>
    </row>
    <row r="82" spans="1:2" ht="15.6" customHeight="1" x14ac:dyDescent="0.2">
      <c r="A82" s="29" t="s">
        <v>94</v>
      </c>
      <c r="B82" s="30"/>
    </row>
  </sheetData>
  <mergeCells count="14">
    <mergeCell ref="A79:G79"/>
    <mergeCell ref="A66:O66"/>
    <mergeCell ref="A2:O2"/>
    <mergeCell ref="A1:M1"/>
    <mergeCell ref="I4:N4"/>
    <mergeCell ref="G17:L17"/>
    <mergeCell ref="A38:F38"/>
    <mergeCell ref="C40:G40"/>
    <mergeCell ref="A40:A41"/>
    <mergeCell ref="G4:G5"/>
    <mergeCell ref="B4:E4"/>
    <mergeCell ref="A25:A26"/>
    <mergeCell ref="A4:A5"/>
    <mergeCell ref="C25:F25"/>
  </mergeCells>
  <pageMargins left="1" right="1" top="1" bottom="1" header="1" footer="1"/>
  <pageSetup orientation="portrait" horizontalDpi="300" verticalDpi="300" r:id="rId1"/>
  <headerFooter alignWithMargins="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EFF8689AC01F1469CD8E5561E2B48E2" ma:contentTypeVersion="3" ma:contentTypeDescription="Create a new document." ma:contentTypeScope="" ma:versionID="c52fdaa3256aec5ed33c9e17797f617f">
  <xsd:schema xmlns:xsd="http://www.w3.org/2001/XMLSchema" xmlns:xs="http://www.w3.org/2001/XMLSchema" xmlns:p="http://schemas.microsoft.com/office/2006/metadata/properties" xmlns:ns1="http://schemas.microsoft.com/sharepoint/v3" xmlns:ns2="af91407e-a3fe-452e-b3a1-d180214b10dc" xmlns:ns3="4d0624c3-f678-473a-aaed-aa14d03be472" targetNamespace="http://schemas.microsoft.com/office/2006/metadata/properties" ma:root="true" ma:fieldsID="30c960c132f54325ad95eeebeec35c58" ns1:_="" ns2:_="" ns3:_="">
    <xsd:import namespace="http://schemas.microsoft.com/sharepoint/v3"/>
    <xsd:import namespace="af91407e-a3fe-452e-b3a1-d180214b10dc"/>
    <xsd:import namespace="4d0624c3-f678-473a-aaed-aa14d03be472"/>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af91407e-a3fe-452e-b3a1-d180214b10dc" elementFormDefault="qualified">
    <xsd:import namespace="http://schemas.microsoft.com/office/2006/documentManagement/types"/>
    <xsd:import namespace="http://schemas.microsoft.com/office/infopath/2007/PartnerControls"/>
    <xsd:element name="Program" ma:index="10" nillable="true" ma:displayName="Program" ma:default="General" ma:format="Dropdown" ma:internalName="Program">
      <xsd:simpleType>
        <xsd:restriction base="dms:Choice">
          <xsd:enumeration value="Select..."/>
          <xsd:enumeration value="CPP"/>
          <xsd:enumeration value="Cap And Reduce"/>
          <xsd:enumeration value="CCI"/>
          <xsd:enumeration value="CFP"/>
          <xsd:enumeration value="GHG"/>
          <xsd:enumeration value="3PV"/>
          <xsd:enumeration value="General"/>
          <xsd:enumeration value="Landfill Gas"/>
        </xsd:restriction>
      </xsd:simpleType>
    </xsd:element>
  </xsd:schema>
  <xsd:schema xmlns:xsd="http://www.w3.org/2001/XMLSchema" xmlns:xs="http://www.w3.org/2001/XMLSchema" xmlns:dms="http://schemas.microsoft.com/office/2006/documentManagement/types" xmlns:pc="http://schemas.microsoft.com/office/infopath/2007/PartnerControls" targetNamespace="4d0624c3-f678-473a-aaed-aa14d03be47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rogram xmlns="af91407e-a3fe-452e-b3a1-d180214b10dc">CFP</Program>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3DED78F8-816D-4564-930D-EC135F89C89B}">
  <ds:schemaRefs>
    <ds:schemaRef ds:uri="http://schemas.microsoft.com/sharepoint/v3/contenttype/forms"/>
  </ds:schemaRefs>
</ds:datastoreItem>
</file>

<file path=customXml/itemProps2.xml><?xml version="1.0" encoding="utf-8"?>
<ds:datastoreItem xmlns:ds="http://schemas.openxmlformats.org/officeDocument/2006/customXml" ds:itemID="{E8D2FD80-D5D8-4DE4-81FB-955DF7E7D49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f91407e-a3fe-452e-b3a1-d180214b10dc"/>
    <ds:schemaRef ds:uri="4d0624c3-f678-473a-aaed-aa14d03be47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D08DFCF-D011-4A5F-A33B-F30D2D8DFA8F}">
  <ds:schemaRefs>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http://purl.org/dc/dcmitype/"/>
    <ds:schemaRef ds:uri="3727ae2c-ff6c-40e8-9b04-f56dbe4ec141"/>
    <ds:schemaRef ds:uri="72b6209a-32d8-49a5-ad0f-21a30cbcd036"/>
    <ds:schemaRef ds:uri="http://www.w3.org/XML/1998/namespace"/>
    <ds:schemaRef ds:uri="af91407e-a3fe-452e-b3a1-d180214b10dc"/>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Master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Estimated Lifecycle Carbon Intensities of Common Fuels and Blends</dc:title>
  <dc:subject/>
  <dc:creator>SUMMERS Stephanie</dc:creator>
  <cp:keywords/>
  <dc:description/>
  <cp:lastModifiedBy>THOMPSON Michele</cp:lastModifiedBy>
  <cp:revision/>
  <dcterms:created xsi:type="dcterms:W3CDTF">2021-05-10T07:54:19Z</dcterms:created>
  <dcterms:modified xsi:type="dcterms:W3CDTF">2023-08-30T15:21:21Z</dcterms:modified>
  <cp:category/>
  <cp:contentStatus/>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0x0101001EFF8689AC01F1469CD8E5561E2B48E2</vt:lpwstr>
  </property>
  <property fmtid="{D5CDD505-2E9C-101B-9397-08002B2CF9AE}" pid="3" name="MSIP_Label_09b73270-2993-4076-be47-9c78f42a1e84_Enabled">
    <vt:lpwstr>true</vt:lpwstr>
  </property>
  <property fmtid="{D5CDD505-2E9C-101B-9397-08002B2CF9AE}" pid="4" name="MSIP_Label_09b73270-2993-4076-be47-9c78f42a1e84_SetDate">
    <vt:lpwstr>2023-08-30T15:20:33Z</vt:lpwstr>
  </property>
  <property fmtid="{D5CDD505-2E9C-101B-9397-08002B2CF9AE}" pid="5" name="MSIP_Label_09b73270-2993-4076-be47-9c78f42a1e84_Method">
    <vt:lpwstr>Privileged</vt:lpwstr>
  </property>
  <property fmtid="{D5CDD505-2E9C-101B-9397-08002B2CF9AE}" pid="6" name="MSIP_Label_09b73270-2993-4076-be47-9c78f42a1e84_Name">
    <vt:lpwstr>Level 1 - Published (Items)</vt:lpwstr>
  </property>
  <property fmtid="{D5CDD505-2E9C-101B-9397-08002B2CF9AE}" pid="7" name="MSIP_Label_09b73270-2993-4076-be47-9c78f42a1e84_SiteId">
    <vt:lpwstr>aa3f6932-fa7c-47b4-a0ce-a598cad161cf</vt:lpwstr>
  </property>
  <property fmtid="{D5CDD505-2E9C-101B-9397-08002B2CF9AE}" pid="8" name="MSIP_Label_09b73270-2993-4076-be47-9c78f42a1e84_ActionId">
    <vt:lpwstr>1969ae0f-9f65-4844-9335-018dfdac2090</vt:lpwstr>
  </property>
  <property fmtid="{D5CDD505-2E9C-101B-9397-08002B2CF9AE}" pid="9" name="MSIP_Label_09b73270-2993-4076-be47-9c78f42a1e84_ContentBits">
    <vt:lpwstr>0</vt:lpwstr>
  </property>
</Properties>
</file>