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mthomps\Desktop\"/>
    </mc:Choice>
  </mc:AlternateContent>
  <xr:revisionPtr revIDLastSave="0" documentId="8_{77A4D7CD-641B-4107-ADA9-2D78CF28DD23}" xr6:coauthVersionLast="47" xr6:coauthVersionMax="47" xr10:uidLastSave="{00000000-0000-0000-0000-000000000000}"/>
  <bookViews>
    <workbookView xWindow="28680" yWindow="-120" windowWidth="29040" windowHeight="15840" xr2:uid="{00000000-000D-0000-FFFF-FFFF00000000}"/>
  </bookViews>
  <sheets>
    <sheet name="Master"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1" l="1"/>
  <c r="G28" i="1" l="1"/>
  <c r="M7" i="1" s="1"/>
  <c r="G29" i="1"/>
  <c r="G30" i="1"/>
  <c r="G31" i="1"/>
  <c r="G32" i="1"/>
  <c r="G33" i="1"/>
  <c r="G34" i="1"/>
  <c r="G35" i="1"/>
  <c r="G36" i="1"/>
  <c r="G37" i="1"/>
  <c r="G27" i="1"/>
  <c r="G42" i="1"/>
  <c r="G43" i="1"/>
  <c r="G61" i="1"/>
  <c r="G49" i="1"/>
  <c r="G50" i="1"/>
  <c r="G51" i="1"/>
  <c r="G52" i="1"/>
  <c r="A71" i="1"/>
  <c r="A73" i="1" s="1"/>
  <c r="G53" i="1" s="1"/>
  <c r="C20" i="1"/>
  <c r="D20" i="1" s="1"/>
  <c r="E20" i="1" s="1"/>
  <c r="C23" i="1"/>
  <c r="D23" i="1" s="1"/>
  <c r="E23" i="1" s="1"/>
  <c r="C22" i="1"/>
  <c r="D22" i="1" s="1"/>
  <c r="E22" i="1" s="1"/>
  <c r="B23" i="1"/>
  <c r="B22" i="1"/>
  <c r="B21" i="1"/>
  <c r="B20" i="1"/>
  <c r="B15" i="1"/>
  <c r="B6" i="1"/>
  <c r="C21" i="1"/>
  <c r="D21" i="1" s="1"/>
  <c r="E21" i="1" s="1"/>
  <c r="C15" i="1"/>
  <c r="D15" i="1" s="1"/>
  <c r="E15" i="1" s="1"/>
  <c r="C6" i="1"/>
  <c r="D6" i="1" s="1"/>
  <c r="E6" i="1" s="1"/>
  <c r="G62" i="1" l="1"/>
  <c r="G44" i="1" l="1"/>
  <c r="G45" i="1"/>
  <c r="G46" i="1"/>
  <c r="G47" i="1"/>
  <c r="G48" i="1"/>
  <c r="G54" i="1"/>
  <c r="G55" i="1"/>
  <c r="G56" i="1"/>
  <c r="G57" i="1"/>
  <c r="G58" i="1"/>
  <c r="G59" i="1"/>
  <c r="G60" i="1"/>
  <c r="G63" i="1"/>
  <c r="M8" i="1" s="1"/>
  <c r="G64" i="1"/>
  <c r="C13" i="1" l="1"/>
  <c r="M10" i="1"/>
  <c r="G38" i="1" l="1"/>
  <c r="M17" i="1" s="1"/>
  <c r="B14" i="1"/>
  <c r="B8" i="1"/>
  <c r="B17" i="1"/>
  <c r="B19" i="1"/>
  <c r="B18" i="1"/>
  <c r="B16" i="1"/>
  <c r="B11" i="1"/>
  <c r="B9" i="1"/>
  <c r="B10" i="1"/>
  <c r="B12" i="1"/>
  <c r="B13" i="1"/>
  <c r="D13" i="1"/>
  <c r="E13" i="1" s="1"/>
  <c r="C12" i="1"/>
  <c r="D12" i="1" s="1"/>
  <c r="E12" i="1" s="1"/>
  <c r="C19" i="1"/>
  <c r="D19" i="1" s="1"/>
  <c r="E19" i="1" s="1"/>
  <c r="C18" i="1"/>
  <c r="D18" i="1" s="1"/>
  <c r="E18" i="1" s="1"/>
  <c r="C17" i="1"/>
  <c r="D17" i="1" s="1"/>
  <c r="E17" i="1" s="1"/>
  <c r="C16" i="1"/>
  <c r="D16" i="1" s="1"/>
  <c r="E16" i="1" s="1"/>
  <c r="C14" i="1"/>
  <c r="D14" i="1" s="1"/>
  <c r="E14" i="1" s="1"/>
  <c r="C7" i="1"/>
  <c r="D7" i="1" s="1"/>
  <c r="E7" i="1" s="1"/>
  <c r="C10" i="1"/>
  <c r="D10" i="1" s="1"/>
  <c r="E10" i="1" s="1"/>
  <c r="C9" i="1"/>
  <c r="D9" i="1" s="1"/>
  <c r="E9" i="1" s="1"/>
  <c r="C11" i="1"/>
  <c r="D11" i="1" s="1"/>
  <c r="E11" i="1" s="1"/>
  <c r="C8" i="1"/>
  <c r="D8" i="1" s="1"/>
  <c r="E8" i="1" s="1"/>
  <c r="H37" i="1" l="1"/>
  <c r="H36" i="1"/>
  <c r="H28" i="1"/>
  <c r="H27" i="1"/>
  <c r="H32" i="1"/>
  <c r="H31" i="1"/>
  <c r="H34" i="1"/>
  <c r="H35" i="1"/>
  <c r="H30" i="1"/>
  <c r="H29" i="1"/>
  <c r="H33" i="1"/>
  <c r="H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tc={7DD65CBF-74BB-4762-BE02-DA21CA40B4D4}</author>
    <author>tc={741214CD-67E2-492C-8BCE-4CB863210319}</author>
    <author>tc={A3F630AE-B46E-4242-AB3D-2EAA19DA6FE3}</author>
    <author>tc={0C10DF47-4759-4BC8-A058-8DB619E93841}</author>
    <author>tc={0F0DAE0B-B14E-4F90-B450-6A8672C10839}</author>
    <author>tc={2EFEC42D-BFA3-4F74-9C91-3ACF75DF4ECA}</author>
    <author>tc={6BDBD5D4-8C71-4F2E-92A8-D0EFC70B49B6}</author>
    <author>tc={8A51C665-8DCB-4704-ABA6-837756DD2DF4}</author>
  </authors>
  <commentList>
    <comment ref="A22"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Does not take into account the much higher efficiency of electric engines, do not use as a proxy for grams per mile. Electric engines are roughly 3.4 times as efficient as light duty internal combustion engines, and up to 5 times as efficient as heavy duty diesel engines.</t>
      </text>
    </comment>
    <comment ref="A27"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includes 80% of B20, 95% of B5 and all of diesel</t>
      </text>
    </comment>
    <comment ref="A28" authorId="2" shapeId="0" xr:uid="{00000000-0006-0000-0000-000003000000}">
      <text>
        <t>[Threaded comment]
Your version of Excel allows you to read this threaded comment; however, any edits to it will get removed if the file is opened in a newer version of Excel. Learn more: https://go.microsoft.com/fwlink/?linkid=870924
Comment:
    includes 20% of B20, 5% of B5, and all of biodiesel</t>
      </text>
    </comment>
    <comment ref="A30" authorId="3" shapeId="0" xr:uid="{00000000-0006-0000-0000-000004000000}">
      <text>
        <t>[Threaded comment]
Your version of Excel allows you to read this threaded comment; however, any edits to it will get removed if the file is opened in a newer version of Excel. Learn more: https://go.microsoft.com/fwlink/?linkid=870924
Comment:
    includes 90% of E10 and all of gasoline</t>
      </text>
    </comment>
    <comment ref="A31" authorId="4" shapeId="0" xr:uid="{00000000-0006-0000-0000-000005000000}">
      <text>
        <t>[Threaded comment]
Your version of Excel allows you to read this threaded comment; however, any edits to it will get removed if the file is opened in a newer version of Excel. Learn more: https://go.microsoft.com/fwlink/?linkid=870924
Comment:
    includes 10% of E10 and all ethanol</t>
      </text>
    </comment>
    <comment ref="A32" authorId="5" shapeId="0" xr:uid="{00000000-0006-0000-0000-000006000000}">
      <text>
        <t>[Threaded comment]
Your version of Excel allows you to read this threaded comment; however, any edits to it will get removed if the file is opened in a newer version of Excel. Learn more: https://go.microsoft.com/fwlink/?linkid=870924
Comment:
    includes bio-CNG &amp; bio-LNG</t>
      </text>
    </comment>
    <comment ref="A33" authorId="6" shapeId="0" xr:uid="{00000000-0006-0000-0000-000007000000}">
      <text>
        <t>[Threaded comment]
Your version of Excel allows you to read this threaded comment; however, any edits to it will get removed if the file is opened in a newer version of Excel. Learn more: https://go.microsoft.com/fwlink/?linkid=870924
Comment:
    includes CNG &amp; LNG</t>
      </text>
    </comment>
    <comment ref="A36" authorId="7" shapeId="0" xr:uid="{00000000-0006-0000-0000-000008000000}">
      <text>
        <t>[Threaded comment]
Your version of Excel allows you to read this threaded comment; however, any edits to it will get removed if the file is opened in a newer version of Excel. Learn more: https://go.microsoft.com/fwlink/?linkid=870924
Comment:
    includes onroad, offroad, and residential electricity</t>
      </text>
    </comment>
  </commentList>
</comments>
</file>

<file path=xl/sharedStrings.xml><?xml version="1.0" encoding="utf-8"?>
<sst xmlns="http://schemas.openxmlformats.org/spreadsheetml/2006/main" count="200" uniqueCount="108">
  <si>
    <r>
      <t xml:space="preserve">                 </t>
    </r>
    <r>
      <rPr>
        <b/>
        <sz val="16"/>
        <rFont val="Arial"/>
        <family val="2"/>
      </rPr>
      <t>Oregon Clean Fuels Program: Estimated Lifecycle Carbon Intensities of Common Fuels and Blends</t>
    </r>
  </si>
  <si>
    <t>Carbon Intensities of Common Blends</t>
  </si>
  <si>
    <t>Carbon Intensities of Blendstocks</t>
  </si>
  <si>
    <t>gCO2e/MJ</t>
  </si>
  <si>
    <t>gCO2e/Gal, GGE, DGE</t>
  </si>
  <si>
    <t>kgCO2e/Gal,GGE,DG</t>
  </si>
  <si>
    <t>lbCO2e/Gal,GGE,DGE</t>
  </si>
  <si>
    <t>Unit</t>
  </si>
  <si>
    <t>Q1</t>
  </si>
  <si>
    <t>Q2</t>
  </si>
  <si>
    <t>Q3</t>
  </si>
  <si>
    <t>Q4</t>
  </si>
  <si>
    <t>Total</t>
  </si>
  <si>
    <t>Reference</t>
  </si>
  <si>
    <t>Pure Diesel</t>
  </si>
  <si>
    <t>Diesel</t>
  </si>
  <si>
    <t>ORULSD001*</t>
  </si>
  <si>
    <t>B5</t>
  </si>
  <si>
    <t>Biodiesel</t>
  </si>
  <si>
    <t>derived from above**</t>
  </si>
  <si>
    <t>B10</t>
  </si>
  <si>
    <t>Renewable diesel</t>
  </si>
  <si>
    <t>B15</t>
  </si>
  <si>
    <t>Gasoline</t>
  </si>
  <si>
    <t>ORGAS001*</t>
  </si>
  <si>
    <t>B20</t>
  </si>
  <si>
    <t>Ethanol</t>
  </si>
  <si>
    <t>B50</t>
  </si>
  <si>
    <t>Renewable natural gas</t>
  </si>
  <si>
    <t>Average CI***</t>
  </si>
  <si>
    <t>R5</t>
  </si>
  <si>
    <t>Fossil natural gas</t>
  </si>
  <si>
    <t>ORCNG001*</t>
  </si>
  <si>
    <t>R99</t>
  </si>
  <si>
    <t>Fossil propane</t>
  </si>
  <si>
    <t>ORLPG001*</t>
  </si>
  <si>
    <t>B20R80</t>
  </si>
  <si>
    <t>Renewable propane</t>
  </si>
  <si>
    <t>Pure Gasoline</t>
  </si>
  <si>
    <t>Electricity</t>
  </si>
  <si>
    <t>E10</t>
  </si>
  <si>
    <t>Composite Volume-Weighted Carbon Intensity of Oregon's Transportation Fuels (in gCO2e/MJ):</t>
  </si>
  <si>
    <t>E15</t>
  </si>
  <si>
    <t>E85 (51%)</t>
  </si>
  <si>
    <t>E85 (83%)</t>
  </si>
  <si>
    <t>Propane</t>
  </si>
  <si>
    <t>Renewable Propane</t>
  </si>
  <si>
    <t>Electricity (GGE)</t>
  </si>
  <si>
    <t>Electricity (DGE)</t>
  </si>
  <si>
    <t>Combined Volume by Fuel Type</t>
  </si>
  <si>
    <t/>
  </si>
  <si>
    <t>Energy Densities</t>
  </si>
  <si>
    <t>Megajoules</t>
  </si>
  <si>
    <t>Unit of Measure</t>
  </si>
  <si>
    <t>Share</t>
  </si>
  <si>
    <t>Gal</t>
  </si>
  <si>
    <t>gal</t>
  </si>
  <si>
    <t>Therm</t>
  </si>
  <si>
    <t>dge</t>
  </si>
  <si>
    <t>Fossil natural gas CNG</t>
  </si>
  <si>
    <t>Fossil natural gas LNG</t>
  </si>
  <si>
    <t>gge</t>
  </si>
  <si>
    <t>kWh</t>
  </si>
  <si>
    <t>Total volume of Oregon's Transportation Fuels (in gallons):</t>
  </si>
  <si>
    <t>Total Volume</t>
  </si>
  <si>
    <t>B20 Diesel</t>
  </si>
  <si>
    <t>B5 Diesel</t>
  </si>
  <si>
    <t>Bio-CNG</t>
  </si>
  <si>
    <t>Bio-LNG</t>
  </si>
  <si>
    <t>E10 Gasoline</t>
  </si>
  <si>
    <t>Ethanol &lt;55</t>
  </si>
  <si>
    <t>Ethanol &gt;75</t>
  </si>
  <si>
    <t>Ethanol 55-65</t>
  </si>
  <si>
    <t>Ethanol 65-75</t>
  </si>
  <si>
    <t>Fossil CNG</t>
  </si>
  <si>
    <t>Fossil LNG</t>
  </si>
  <si>
    <t>Liquefied Petroleum Gas</t>
  </si>
  <si>
    <t>Renewable Diesel</t>
  </si>
  <si>
    <r>
      <rPr>
        <u/>
        <sz val="12"/>
        <rFont val="Arial"/>
        <family val="2"/>
      </rPr>
      <t>Source</t>
    </r>
    <r>
      <rPr>
        <sz val="12"/>
        <rFont val="Arial"/>
        <family val="2"/>
      </rPr>
      <t>: The source of the residential charging numbers is the DMV registrations. # EVs x 8.5 kWh/day x the number of days in a year = kWh/yr.</t>
    </r>
  </si>
  <si>
    <t>kWh/yr</t>
  </si>
  <si>
    <t>amount of electricity from residential charging</t>
  </si>
  <si>
    <t>MJ/kWh</t>
  </si>
  <si>
    <t>energy density of electricity</t>
  </si>
  <si>
    <t>MJ/yr</t>
  </si>
  <si>
    <t>amount of energy from residential charging</t>
  </si>
  <si>
    <t>MJ/gallon of gasoline</t>
  </si>
  <si>
    <t>energy density of gasoline</t>
  </si>
  <si>
    <t>gge/yr</t>
  </si>
  <si>
    <t>amount of gasoline gallon equivalents from residential charging</t>
  </si>
  <si>
    <r>
      <rPr>
        <u/>
        <sz val="12"/>
        <rFont val="Arial"/>
        <family val="2"/>
      </rPr>
      <t>Source:</t>
    </r>
    <r>
      <rPr>
        <sz val="12"/>
        <rFont val="Arial"/>
        <family val="2"/>
      </rPr>
      <t xml:space="preserve"> The source of the carbon intensity values are listed below:</t>
    </r>
  </si>
  <si>
    <t>*These pathway codes can be found in OAR 340-253-8010, Tables 4 &amp; 9</t>
  </si>
  <si>
    <t>**These are volume-weighted averages based on the reported volumes above.</t>
  </si>
  <si>
    <t>***These are averages based on volumes reported but do not appear above.</t>
  </si>
  <si>
    <t>Date published:</t>
  </si>
  <si>
    <t>Date revised:</t>
  </si>
  <si>
    <t xml:space="preserve">This spreadsheet shows the volumes reported into the Clean Fuels Program, and uses the average reported CI to provide estimates of the lifecycle carbon intensity for fuels and blends being used in Oregon. These values do not correspond to specific delivered gallons, which may have lower or higher carbon biofuels blended into them, but provide a general reference for what the carbon intensities of those blends are. Fleets interested in the carbon intensity of the fuels they are being delivered should inquire with their fuel supplier. </t>
  </si>
  <si>
    <t>NOTE: Due to variability in RD import and exports this year, this spreadsheet provides only the annualized CI value.</t>
  </si>
  <si>
    <t>or ORRNWP401T* @ 65CI</t>
  </si>
  <si>
    <t>or ORCNG500T* @ 70CI</t>
  </si>
  <si>
    <t>Average Non-residential CI****</t>
  </si>
  <si>
    <t>Hydrogen</t>
  </si>
  <si>
    <t>Electricity - Offroad: eForklifts</t>
  </si>
  <si>
    <t>Electricity - Offroad: Fixed Guideway</t>
  </si>
  <si>
    <t>Electricity - Offroad: Other</t>
  </si>
  <si>
    <t>Electricity Onroad: Non-residential Charging</t>
  </si>
  <si>
    <t>Electricity Onroad: Residential</t>
  </si>
  <si>
    <t>****This value represents the average CI of electricity used in reporting to the Clean Fuels Program, which starting in 2021 included a large majority of charging from renewable electricity sources. The statewide grid average CI, along with all of the utility-specific CI that are appropriate for fleets to use if renewable electricity is not being procured for their charging, can be found: https://www.oregon.gov/deq/ghgp/Documents/cfpUpdated2021CIs.pdf</t>
  </si>
  <si>
    <r>
      <rPr>
        <u/>
        <sz val="12"/>
        <rFont val="Arial"/>
        <family val="2"/>
      </rPr>
      <t>Source:</t>
    </r>
    <r>
      <rPr>
        <sz val="12"/>
        <rFont val="Arial"/>
        <family val="2"/>
      </rPr>
      <t xml:space="preserve"> The source of the volumes is the quarterly CFP data summaries: https://www.oregon.gov/deq/ghgp/cfp/Pages/Quarterly-Data-Summaries.aspx. These are published on a quarterly basis, approximately 90 days after the closure of the calendar quarter. DEQ audits the data prior to publishing. The largest reporting entities became subject to mandatory third party verification of their reporting starting with the 2021 data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</si>
</sst>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rgb="FF000000"/>
      <name val="Calibri"/>
      <family val="2"/>
      <scheme val="minor"/>
    </font>
    <font>
      <sz val="11"/>
      <color rgb="FF000000"/>
      <name val="Calibri"/>
      <family val="2"/>
      <scheme val="minor"/>
    </font>
    <font>
      <b/>
      <u/>
      <sz val="12"/>
      <color rgb="FF000000"/>
      <name val="Arial"/>
      <family val="2"/>
    </font>
    <font>
      <sz val="12"/>
      <color rgb="FF000000"/>
      <name val="Arial"/>
      <family val="2"/>
    </font>
    <font>
      <sz val="12"/>
      <name val="Arial"/>
      <family val="2"/>
    </font>
    <font>
      <u/>
      <sz val="12"/>
      <name val="Arial"/>
      <family val="2"/>
    </font>
    <font>
      <b/>
      <sz val="12"/>
      <color rgb="FF000000"/>
      <name val="Arial"/>
      <family val="2"/>
    </font>
    <font>
      <sz val="12"/>
      <color theme="1"/>
      <name val="Arial"/>
      <family val="2"/>
    </font>
    <font>
      <b/>
      <sz val="12"/>
      <color theme="1"/>
      <name val="Arial"/>
      <family val="2"/>
    </font>
    <font>
      <b/>
      <sz val="12"/>
      <name val="Arial"/>
      <family val="2"/>
    </font>
    <font>
      <b/>
      <sz val="11"/>
      <name val="Arial"/>
      <family val="2"/>
    </font>
    <font>
      <b/>
      <sz val="16"/>
      <name val="Arial"/>
      <family val="2"/>
    </font>
    <font>
      <sz val="11"/>
      <name val="Calibri"/>
      <family val="2"/>
    </font>
    <font>
      <sz val="11"/>
      <name val="Arial"/>
      <family val="2"/>
    </font>
    <font>
      <sz val="11"/>
      <color rgb="FF00206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8" tint="0.79998168889431442"/>
        <bgColor rgb="FFA1D1CC"/>
      </patternFill>
    </fill>
    <fill>
      <patternFill patternType="solid">
        <fgColor theme="2" tint="-9.9978637043366805E-2"/>
        <bgColor rgb="FFA1D1CC"/>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4" fillId="0" borderId="0" xfId="0" applyFont="1" applyAlignment="1">
      <alignment horizontal="center" vertical="top"/>
    </xf>
    <xf numFmtId="10" fontId="4" fillId="0" borderId="0" xfId="2" applyNumberFormat="1" applyFont="1" applyFill="1" applyBorder="1" applyAlignment="1">
      <alignment horizontal="center" vertical="top"/>
    </xf>
    <xf numFmtId="0" fontId="4" fillId="0" borderId="0" xfId="0" applyFont="1" applyAlignment="1">
      <alignment vertical="top"/>
    </xf>
    <xf numFmtId="2" fontId="4" fillId="2" borderId="0" xfId="0" applyNumberFormat="1" applyFont="1" applyFill="1" applyAlignment="1">
      <alignment horizontal="center" vertical="top"/>
    </xf>
    <xf numFmtId="3" fontId="3" fillId="0" borderId="0" xfId="1" applyNumberFormat="1" applyFont="1" applyBorder="1" applyAlignment="1">
      <alignment horizontal="right" vertical="top"/>
    </xf>
    <xf numFmtId="3" fontId="3" fillId="0" borderId="0" xfId="1" applyNumberFormat="1" applyFont="1" applyBorder="1" applyAlignment="1">
      <alignment horizontal="left" vertical="top"/>
    </xf>
    <xf numFmtId="0" fontId="3" fillId="0" borderId="0" xfId="0" applyFont="1" applyAlignment="1">
      <alignment horizontal="right" vertical="top"/>
    </xf>
    <xf numFmtId="43" fontId="3" fillId="0" borderId="0" xfId="1" applyFont="1" applyBorder="1" applyAlignment="1">
      <alignment horizontal="right" vertical="top"/>
    </xf>
    <xf numFmtId="0" fontId="4" fillId="2" borderId="1" xfId="0" applyFont="1" applyFill="1" applyBorder="1" applyAlignment="1">
      <alignment horizontal="center" vertical="top"/>
    </xf>
    <xf numFmtId="0" fontId="4" fillId="3" borderId="1" xfId="0" applyFont="1" applyFill="1" applyBorder="1" applyAlignment="1">
      <alignment horizontal="center" vertical="top"/>
    </xf>
    <xf numFmtId="43" fontId="7" fillId="3" borderId="1" xfId="1" applyFont="1" applyFill="1" applyBorder="1" applyAlignment="1">
      <alignment horizontal="center" vertical="top"/>
    </xf>
    <xf numFmtId="2" fontId="4" fillId="3" borderId="1" xfId="0" applyNumberFormat="1" applyFont="1" applyFill="1" applyBorder="1" applyAlignment="1">
      <alignment horizontal="center" vertical="top"/>
    </xf>
    <xf numFmtId="2" fontId="4" fillId="3" borderId="1" xfId="1" applyNumberFormat="1" applyFont="1" applyFill="1" applyBorder="1" applyAlignment="1">
      <alignment horizontal="center" vertical="top"/>
    </xf>
    <xf numFmtId="0" fontId="3" fillId="2" borderId="1" xfId="0" applyFont="1" applyFill="1" applyBorder="1" applyAlignment="1">
      <alignment horizontal="center" vertical="top" wrapText="1" readingOrder="1"/>
    </xf>
    <xf numFmtId="0" fontId="2" fillId="4" borderId="1" xfId="0" applyFont="1" applyFill="1" applyBorder="1" applyAlignment="1">
      <alignment horizontal="center" vertical="top" wrapText="1" readingOrder="1"/>
    </xf>
    <xf numFmtId="0" fontId="3" fillId="4" borderId="1" xfId="0" applyFont="1" applyFill="1" applyBorder="1" applyAlignment="1">
      <alignment horizontal="center" vertical="top" wrapText="1" readingOrder="1"/>
    </xf>
    <xf numFmtId="0" fontId="4" fillId="4" borderId="1" xfId="0" applyFont="1" applyFill="1" applyBorder="1" applyAlignment="1">
      <alignment horizontal="center" vertical="top"/>
    </xf>
    <xf numFmtId="164" fontId="3" fillId="4" borderId="1" xfId="1" applyNumberFormat="1" applyFont="1" applyFill="1" applyBorder="1" applyAlignment="1">
      <alignment horizontal="center" vertical="top" wrapText="1" readingOrder="1"/>
    </xf>
    <xf numFmtId="164" fontId="4" fillId="4" borderId="1" xfId="0" applyNumberFormat="1" applyFont="1" applyFill="1" applyBorder="1" applyAlignment="1">
      <alignment horizontal="center" vertical="top"/>
    </xf>
    <xf numFmtId="0" fontId="2" fillId="3" borderId="1" xfId="0" applyFont="1" applyFill="1" applyBorder="1" applyAlignment="1">
      <alignment horizontal="center" vertical="top" wrapText="1" readingOrder="1"/>
    </xf>
    <xf numFmtId="0" fontId="3" fillId="3" borderId="1" xfId="0" applyFont="1" applyFill="1" applyBorder="1" applyAlignment="1">
      <alignment horizontal="center" vertical="top" wrapText="1" readingOrder="1"/>
    </xf>
    <xf numFmtId="0" fontId="3" fillId="3" borderId="1" xfId="1" applyNumberFormat="1" applyFont="1" applyFill="1" applyBorder="1" applyAlignment="1">
      <alignment horizontal="center" vertical="top" wrapText="1" readingOrder="1"/>
    </xf>
    <xf numFmtId="0" fontId="9" fillId="2" borderId="1" xfId="0" applyFont="1" applyFill="1" applyBorder="1" applyAlignment="1">
      <alignment horizontal="center" vertical="top"/>
    </xf>
    <xf numFmtId="0" fontId="4" fillId="0" borderId="0" xfId="0" applyFont="1" applyAlignment="1">
      <alignment horizontal="left" vertical="top"/>
    </xf>
    <xf numFmtId="0" fontId="10" fillId="0" borderId="0" xfId="0" applyFont="1" applyAlignment="1">
      <alignment vertical="center" wrapText="1"/>
    </xf>
    <xf numFmtId="0" fontId="12" fillId="0" borderId="0" xfId="0" applyFont="1"/>
    <xf numFmtId="0" fontId="4" fillId="0" borderId="0" xfId="0" applyFont="1" applyAlignment="1">
      <alignment horizontal="left" vertical="top" wrapText="1"/>
    </xf>
    <xf numFmtId="0" fontId="3" fillId="5" borderId="1" xfId="0" applyFont="1" applyFill="1" applyBorder="1" applyAlignment="1">
      <alignment horizontal="center" vertical="top" wrapText="1" readingOrder="1"/>
    </xf>
    <xf numFmtId="0" fontId="13" fillId="0" borderId="1" xfId="0" applyFont="1" applyBorder="1" applyAlignment="1">
      <alignment horizontal="left" vertical="center"/>
    </xf>
    <xf numFmtId="14" fontId="13" fillId="0" borderId="1" xfId="0" applyNumberFormat="1" applyFont="1" applyBorder="1" applyAlignment="1">
      <alignment horizontal="center"/>
    </xf>
    <xf numFmtId="0" fontId="7" fillId="3" borderId="1" xfId="0" applyFont="1" applyFill="1" applyBorder="1" applyAlignment="1">
      <alignment horizontal="center" vertical="center"/>
    </xf>
    <xf numFmtId="43" fontId="7" fillId="3" borderId="1" xfId="1" applyFont="1" applyFill="1" applyBorder="1" applyAlignment="1">
      <alignment horizontal="center" vertical="center" wrapText="1"/>
    </xf>
    <xf numFmtId="0" fontId="3" fillId="3" borderId="1" xfId="0" applyFont="1" applyFill="1" applyBorder="1" applyAlignment="1">
      <alignment horizontal="center" vertical="center" wrapText="1" readingOrder="1"/>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3" fillId="4" borderId="1" xfId="0" applyFont="1" applyFill="1" applyBorder="1" applyAlignment="1">
      <alignment horizontal="center" vertical="center" wrapText="1" readingOrder="1"/>
    </xf>
    <xf numFmtId="0" fontId="4" fillId="4" borderId="1" xfId="0" applyFont="1" applyFill="1" applyBorder="1" applyAlignment="1">
      <alignment horizontal="center" vertical="center"/>
    </xf>
    <xf numFmtId="0" fontId="5" fillId="0" borderId="0" xfId="0" applyFont="1" applyAlignment="1">
      <alignment horizontal="center" vertical="center"/>
    </xf>
    <xf numFmtId="10" fontId="4" fillId="0" borderId="0" xfId="2" applyNumberFormat="1" applyFont="1" applyFill="1" applyBorder="1" applyAlignment="1">
      <alignment horizontal="center" vertical="center"/>
    </xf>
    <xf numFmtId="10" fontId="4" fillId="0" borderId="0" xfId="0" applyNumberFormat="1" applyFont="1" applyAlignment="1">
      <alignment horizontal="center" vertical="center"/>
    </xf>
    <xf numFmtId="0" fontId="3" fillId="2" borderId="8" xfId="0" applyFont="1" applyFill="1" applyBorder="1" applyAlignment="1">
      <alignment horizontal="center" vertical="top" wrapText="1" readingOrder="1"/>
    </xf>
    <xf numFmtId="0" fontId="4" fillId="2" borderId="8" xfId="0" applyFont="1" applyFill="1" applyBorder="1" applyAlignment="1">
      <alignment horizontal="center" vertical="top"/>
    </xf>
    <xf numFmtId="0" fontId="3" fillId="2" borderId="4" xfId="0" applyFont="1" applyFill="1" applyBorder="1" applyAlignment="1">
      <alignment horizontal="center" vertical="top" wrapText="1" readingOrder="1"/>
    </xf>
    <xf numFmtId="0" fontId="4" fillId="2" borderId="4" xfId="0" applyFont="1" applyFill="1" applyBorder="1" applyAlignment="1">
      <alignment horizontal="center" vertical="top"/>
    </xf>
    <xf numFmtId="164" fontId="4" fillId="4" borderId="10" xfId="0" applyNumberFormat="1" applyFont="1" applyFill="1" applyBorder="1" applyAlignment="1">
      <alignment horizontal="center" vertical="top"/>
    </xf>
    <xf numFmtId="3" fontId="14" fillId="0" borderId="0" xfId="0" applyNumberFormat="1" applyFont="1"/>
    <xf numFmtId="0" fontId="3" fillId="4" borderId="2" xfId="0" applyFont="1" applyFill="1" applyBorder="1" applyAlignment="1">
      <alignment horizontal="center" vertical="top" wrapText="1" readingOrder="1"/>
    </xf>
    <xf numFmtId="0" fontId="3" fillId="2" borderId="0" xfId="0" applyFont="1" applyFill="1" applyAlignment="1">
      <alignment horizontal="center" vertical="top" wrapText="1" readingOrder="1"/>
    </xf>
    <xf numFmtId="0" fontId="4" fillId="2" borderId="0" xfId="0" applyFont="1" applyFill="1" applyAlignment="1">
      <alignment horizontal="center" vertical="top"/>
    </xf>
    <xf numFmtId="2" fontId="4" fillId="3" borderId="7" xfId="0" applyNumberFormat="1" applyFont="1" applyFill="1" applyBorder="1" applyAlignment="1">
      <alignment horizontal="left" vertical="top"/>
    </xf>
    <xf numFmtId="0" fontId="4" fillId="0" borderId="0" xfId="0" applyFont="1" applyAlignment="1">
      <alignment horizontal="left" vertical="top" wrapText="1"/>
    </xf>
    <xf numFmtId="0" fontId="10" fillId="0" borderId="0" xfId="0" applyFont="1" applyAlignment="1">
      <alignment horizontal="center" vertical="center" wrapText="1"/>
    </xf>
    <xf numFmtId="0" fontId="3" fillId="6" borderId="5" xfId="0" applyFont="1" applyFill="1" applyBorder="1" applyAlignment="1">
      <alignment horizontal="center" vertical="top" wrapText="1" readingOrder="1"/>
    </xf>
    <xf numFmtId="0" fontId="3" fillId="6" borderId="6" xfId="0" applyFont="1" applyFill="1" applyBorder="1" applyAlignment="1">
      <alignment horizontal="center" vertical="top" wrapText="1" readingOrder="1"/>
    </xf>
    <xf numFmtId="0" fontId="3" fillId="6" borderId="7" xfId="0" applyFont="1" applyFill="1" applyBorder="1" applyAlignment="1">
      <alignment horizontal="center" vertical="top" wrapText="1" readingOrder="1"/>
    </xf>
    <xf numFmtId="0" fontId="4" fillId="2" borderId="2" xfId="0" applyFont="1" applyFill="1" applyBorder="1" applyAlignment="1">
      <alignment horizontal="right" vertical="top"/>
    </xf>
    <xf numFmtId="0" fontId="3" fillId="4" borderId="9" xfId="0" applyFont="1" applyFill="1" applyBorder="1" applyAlignment="1">
      <alignment horizontal="right" vertical="top" wrapText="1" readingOrder="1"/>
    </xf>
    <xf numFmtId="0" fontId="3" fillId="5" borderId="1" xfId="0" applyFont="1" applyFill="1" applyBorder="1" applyAlignment="1">
      <alignment horizontal="center" vertical="top" wrapText="1" readingOrder="1"/>
    </xf>
    <xf numFmtId="0" fontId="6" fillId="4" borderId="3"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6" fillId="3" borderId="3" xfId="0" applyFont="1" applyFill="1" applyBorder="1" applyAlignment="1">
      <alignment horizontal="center" vertical="center" wrapText="1" readingOrder="1"/>
    </xf>
    <xf numFmtId="0" fontId="6" fillId="3" borderId="4" xfId="0" applyFont="1" applyFill="1" applyBorder="1" applyAlignment="1">
      <alignment horizontal="center" vertical="center" wrapText="1" readingOrder="1"/>
    </xf>
    <xf numFmtId="0" fontId="4" fillId="3" borderId="1" xfId="1" applyNumberFormat="1" applyFont="1" applyFill="1" applyBorder="1" applyAlignment="1">
      <alignment horizontal="center" vertical="top"/>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3" fillId="5" borderId="5" xfId="0" applyFont="1" applyFill="1" applyBorder="1" applyAlignment="1">
      <alignment horizontal="center" vertical="top" wrapText="1" readingOrder="1"/>
    </xf>
    <xf numFmtId="0" fontId="3" fillId="5" borderId="6" xfId="0" applyFont="1" applyFill="1" applyBorder="1" applyAlignment="1">
      <alignment horizontal="center" vertical="top" wrapText="1" readingOrder="1"/>
    </xf>
    <xf numFmtId="0" fontId="3" fillId="5" borderId="7" xfId="0" applyFont="1" applyFill="1" applyBorder="1" applyAlignment="1">
      <alignment horizontal="center" vertical="top" wrapText="1" readingOrder="1"/>
    </xf>
  </cellXfs>
  <cellStyles count="3">
    <cellStyle name="Comma" xfId="1" builtinId="3"/>
    <cellStyle name="Normal" xfId="0" builtinId="0"/>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47625</xdr:rowOff>
    </xdr:from>
    <xdr:to>
      <xdr:col>0</xdr:col>
      <xdr:colOff>666750</xdr:colOff>
      <xdr:row>0</xdr:row>
      <xdr:rowOff>1104474</xdr:rowOff>
    </xdr:to>
    <xdr:pic>
      <xdr:nvPicPr>
        <xdr:cNvPr id="2" name="Picture 1" descr="\\deq000\Templates\General\LogoColorRegular.jpg">
          <a:extLst>
            <a:ext uri="{FF2B5EF4-FFF2-40B4-BE49-F238E27FC236}">
              <a16:creationId xmlns:a16="http://schemas.microsoft.com/office/drawing/2014/main" id="{6DE77ACB-358D-4346-A46D-4EDB965C9D4F}"/>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7625"/>
          <a:ext cx="485775" cy="1056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Bill Peters (DEQ)" id="{E61E7F0A-6DD2-4494-9E0D-EAF404FC6283}" userId="Bill Peters (DEQ)" providerId="None"/>
  <person displayName="WIND Cory Ann * DEQ" id="{AC16BE0D-C9D3-4BDE-B49C-0EEAC8D63746}" userId="S::Cory.Ann.WIND@deq.state.or.us::c5f9764a-19c4-42de-bd13-def97458c15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22" dT="2021-08-31T23:32:49.63" personId="{E61E7F0A-6DD2-4494-9E0D-EAF404FC6283}" id="{7DD65CBF-74BB-4762-BE02-DA21CA40B4D4}">
    <text>Does not take into account the much higher efficiency of electric engines, do not use as a proxy for grams per mile. Electric engines are roughly 3.4 times as efficient as light duty internal combustion engines, and up to 5 times as efficient as heavy duty diesel engines.</text>
  </threadedComment>
  <threadedComment ref="A27" dT="2021-08-13T18:41:29.85" personId="{AC16BE0D-C9D3-4BDE-B49C-0EEAC8D63746}" id="{741214CD-67E2-492C-8BCE-4CB863210319}">
    <text>includes 80% of B20, 95% of B5 and all of diesel</text>
  </threadedComment>
  <threadedComment ref="A28" dT="2021-08-13T18:41:57.21" personId="{AC16BE0D-C9D3-4BDE-B49C-0EEAC8D63746}" id="{A3F630AE-B46E-4242-AB3D-2EAA19DA6FE3}">
    <text>includes 20% of B20, 5% of B5, and all of biodiesel</text>
  </threadedComment>
  <threadedComment ref="A30" dT="2021-08-13T18:42:18.87" personId="{AC16BE0D-C9D3-4BDE-B49C-0EEAC8D63746}" id="{0C10DF47-4759-4BC8-A058-8DB619E93841}">
    <text>includes 90% of E10 and all of gasoline</text>
  </threadedComment>
  <threadedComment ref="A31" dT="2021-08-13T18:42:39.40" personId="{AC16BE0D-C9D3-4BDE-B49C-0EEAC8D63746}" id="{0F0DAE0B-B14E-4F90-B450-6A8672C10839}">
    <text>includes 10% of E10 and all ethanol</text>
  </threadedComment>
  <threadedComment ref="A32" dT="2021-08-13T18:43:11.03" personId="{AC16BE0D-C9D3-4BDE-B49C-0EEAC8D63746}" id="{2EFEC42D-BFA3-4F74-9C91-3ACF75DF4ECA}">
    <text>includes bio-CNG &amp; bio-LNG</text>
  </threadedComment>
  <threadedComment ref="A33" dT="2021-08-13T18:43:25.32" personId="{AC16BE0D-C9D3-4BDE-B49C-0EEAC8D63746}" id="{6BDBD5D4-8C71-4F2E-92A8-D0EFC70B49B6}">
    <text>includes CNG &amp; LNG</text>
  </threadedComment>
  <threadedComment ref="A36" dT="2021-08-13T18:43:52.19" personId="{AC16BE0D-C9D3-4BDE-B49C-0EEAC8D63746}" id="{8A51C665-8DCB-4704-ABA6-837756DD2DF4}">
    <text>includes onroad, offroad, and residential electricity</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82"/>
  <sheetViews>
    <sheetView showGridLines="0" tabSelected="1" zoomScale="90" zoomScaleNormal="90" workbookViewId="0">
      <selection activeCell="I5" sqref="I5"/>
    </sheetView>
  </sheetViews>
  <sheetFormatPr defaultColWidth="8.7109375" defaultRowHeight="15.6" customHeight="1" x14ac:dyDescent="0.25"/>
  <cols>
    <col min="1" max="1" width="39.140625" style="1" customWidth="1"/>
    <col min="2" max="2" width="12.28515625" style="1" bestFit="1" customWidth="1"/>
    <col min="3" max="3" width="26.42578125" style="1" customWidth="1"/>
    <col min="4" max="4" width="24.7109375" style="1" customWidth="1"/>
    <col min="5" max="5" width="25.7109375" style="1" customWidth="1"/>
    <col min="6" max="6" width="15.28515625" style="1" bestFit="1" customWidth="1"/>
    <col min="7" max="7" width="27.5703125" style="1" customWidth="1"/>
    <col min="8" max="8" width="14.5703125" style="1" customWidth="1"/>
    <col min="9" max="9" width="20.140625" style="1" customWidth="1"/>
    <col min="10" max="10" width="16.42578125" style="1" customWidth="1"/>
    <col min="11" max="11" width="17.5703125" style="1" customWidth="1"/>
    <col min="12" max="12" width="16.5703125" style="1" customWidth="1"/>
    <col min="13" max="13" width="18.7109375" style="1" customWidth="1"/>
    <col min="14" max="14" width="29.42578125" style="1" customWidth="1"/>
    <col min="15" max="15" width="27.85546875" style="1" customWidth="1"/>
    <col min="16" max="16384" width="8.7109375" style="1"/>
  </cols>
  <sheetData>
    <row r="1" spans="1:23" ht="87.95" customHeight="1" x14ac:dyDescent="0.25">
      <c r="A1" s="52" t="s">
        <v>0</v>
      </c>
      <c r="B1" s="52"/>
      <c r="C1" s="52"/>
      <c r="D1" s="52"/>
      <c r="E1" s="52"/>
      <c r="F1" s="52"/>
      <c r="G1" s="52"/>
      <c r="H1" s="52"/>
      <c r="I1" s="52"/>
      <c r="J1" s="52"/>
      <c r="K1" s="52"/>
      <c r="L1" s="52"/>
      <c r="M1" s="52"/>
      <c r="N1" s="25"/>
      <c r="O1" s="25"/>
      <c r="P1" s="25"/>
      <c r="Q1" s="25"/>
      <c r="R1" s="25"/>
      <c r="S1" s="25"/>
      <c r="T1" s="25"/>
      <c r="U1" s="25"/>
      <c r="V1" s="25"/>
      <c r="W1" s="26"/>
    </row>
    <row r="2" spans="1:23" ht="39" customHeight="1" x14ac:dyDescent="0.25">
      <c r="A2" s="51" t="s">
        <v>95</v>
      </c>
      <c r="B2" s="51"/>
      <c r="C2" s="51"/>
      <c r="D2" s="51"/>
      <c r="E2" s="51"/>
      <c r="F2" s="51"/>
      <c r="G2" s="51"/>
      <c r="H2" s="51"/>
      <c r="I2" s="51"/>
      <c r="J2" s="51"/>
      <c r="K2" s="51"/>
      <c r="L2" s="51"/>
      <c r="M2" s="51"/>
      <c r="N2" s="51"/>
      <c r="O2" s="51"/>
    </row>
    <row r="4" spans="1:23" ht="15.6" customHeight="1" x14ac:dyDescent="0.25">
      <c r="A4" s="64" t="s">
        <v>1</v>
      </c>
      <c r="B4" s="63">
        <v>2022</v>
      </c>
      <c r="C4" s="63"/>
      <c r="D4" s="63"/>
      <c r="E4" s="63"/>
      <c r="G4" s="61" t="s">
        <v>2</v>
      </c>
      <c r="H4" s="20"/>
      <c r="I4" s="53">
        <v>2022</v>
      </c>
      <c r="J4" s="54"/>
      <c r="K4" s="54"/>
      <c r="L4" s="54"/>
      <c r="M4" s="54"/>
      <c r="N4" s="55"/>
    </row>
    <row r="5" spans="1:23" ht="33.6" customHeight="1" x14ac:dyDescent="0.25">
      <c r="A5" s="65"/>
      <c r="B5" s="31" t="s">
        <v>3</v>
      </c>
      <c r="C5" s="32" t="s">
        <v>4</v>
      </c>
      <c r="D5" s="32" t="s">
        <v>5</v>
      </c>
      <c r="E5" s="32" t="s">
        <v>6</v>
      </c>
      <c r="G5" s="62"/>
      <c r="H5" s="33" t="s">
        <v>7</v>
      </c>
      <c r="I5" s="33" t="s">
        <v>8</v>
      </c>
      <c r="J5" s="33" t="s">
        <v>9</v>
      </c>
      <c r="K5" s="33" t="s">
        <v>10</v>
      </c>
      <c r="L5" s="33" t="s">
        <v>11</v>
      </c>
      <c r="M5" s="34" t="s">
        <v>12</v>
      </c>
      <c r="N5" s="35" t="s">
        <v>13</v>
      </c>
    </row>
    <row r="6" spans="1:23" ht="15.6" customHeight="1" x14ac:dyDescent="0.25">
      <c r="A6" s="10" t="s">
        <v>14</v>
      </c>
      <c r="B6" s="12">
        <f>+M6</f>
        <v>100.74</v>
      </c>
      <c r="C6" s="13">
        <f>$M$6*$J$26</f>
        <v>13547.515199999998</v>
      </c>
      <c r="D6" s="13">
        <f>C6/1000</f>
        <v>13.547515199999998</v>
      </c>
      <c r="E6" s="11">
        <f>D6*2.20462</f>
        <v>29.867122960223991</v>
      </c>
      <c r="G6" s="21" t="s">
        <v>15</v>
      </c>
      <c r="H6" s="21" t="s">
        <v>3</v>
      </c>
      <c r="I6" s="10"/>
      <c r="J6" s="10"/>
      <c r="K6" s="10"/>
      <c r="L6" s="10"/>
      <c r="M6" s="12">
        <v>100.74</v>
      </c>
      <c r="N6" s="10" t="s">
        <v>16</v>
      </c>
    </row>
    <row r="7" spans="1:23" ht="15.6" customHeight="1" x14ac:dyDescent="0.25">
      <c r="A7" s="10" t="s">
        <v>17</v>
      </c>
      <c r="B7" s="12">
        <f>0.05*M7+0.95*M6</f>
        <v>97.77790510532914</v>
      </c>
      <c r="C7" s="13">
        <f>($M$6*$J$26)*0.95+($M$7*$J$27)*0.05</f>
        <v>13131.847220935164</v>
      </c>
      <c r="D7" s="13">
        <f t="shared" ref="D7:D23" si="0">C7/1000</f>
        <v>13.131847220935164</v>
      </c>
      <c r="E7" s="11">
        <f t="shared" ref="E7:E23" si="1">D7*2.20462</f>
        <v>28.950733020218077</v>
      </c>
      <c r="G7" s="21" t="s">
        <v>18</v>
      </c>
      <c r="H7" s="21" t="s">
        <v>3</v>
      </c>
      <c r="I7" s="22">
        <v>42.37</v>
      </c>
      <c r="J7" s="22">
        <v>40.43</v>
      </c>
      <c r="K7" s="22">
        <v>41.37</v>
      </c>
      <c r="L7" s="22">
        <v>42.02</v>
      </c>
      <c r="M7" s="12">
        <f>+(I7*C28+J7*D28+K7*E28+L7*F28)/G28</f>
        <v>41.498102106583147</v>
      </c>
      <c r="N7" s="10" t="s">
        <v>19</v>
      </c>
    </row>
    <row r="8" spans="1:23" ht="15.6" customHeight="1" x14ac:dyDescent="0.25">
      <c r="A8" s="10" t="s">
        <v>20</v>
      </c>
      <c r="B8" s="12">
        <f>0.1*M7+0.9*M6</f>
        <v>94.815810210658313</v>
      </c>
      <c r="C8" s="13">
        <f>($M$6*$J$26)*0.9+($M$7*$J$27)*0.1</f>
        <v>12716.179241870332</v>
      </c>
      <c r="D8" s="13">
        <f t="shared" si="0"/>
        <v>12.716179241870332</v>
      </c>
      <c r="E8" s="11">
        <f t="shared" si="1"/>
        <v>28.034343080212167</v>
      </c>
      <c r="G8" s="21" t="s">
        <v>21</v>
      </c>
      <c r="H8" s="21" t="s">
        <v>3</v>
      </c>
      <c r="I8" s="22">
        <v>44.83</v>
      </c>
      <c r="J8" s="22">
        <v>39.86</v>
      </c>
      <c r="K8" s="22">
        <v>19.690000000000001</v>
      </c>
      <c r="L8" s="22">
        <v>43.54</v>
      </c>
      <c r="M8" s="12">
        <f>+(I8*C29+J8*D29+K8*E29+L8*F29)/G29</f>
        <v>39.123383839948367</v>
      </c>
      <c r="N8" s="10" t="s">
        <v>19</v>
      </c>
      <c r="O8" s="24" t="s">
        <v>96</v>
      </c>
    </row>
    <row r="9" spans="1:23" ht="15.6" customHeight="1" x14ac:dyDescent="0.25">
      <c r="A9" s="10" t="s">
        <v>22</v>
      </c>
      <c r="B9" s="12">
        <f>0.15*M7+0.85*M6</f>
        <v>91.853715315987458</v>
      </c>
      <c r="C9" s="13">
        <f>($M$6*$J$26)*0.85+($M$7*$J$27)*0.15</f>
        <v>12300.511262805498</v>
      </c>
      <c r="D9" s="13">
        <f t="shared" si="0"/>
        <v>12.300511262805498</v>
      </c>
      <c r="E9" s="11">
        <f t="shared" si="1"/>
        <v>27.117953140206257</v>
      </c>
      <c r="G9" s="21" t="s">
        <v>23</v>
      </c>
      <c r="H9" s="21" t="s">
        <v>3</v>
      </c>
      <c r="I9" s="10"/>
      <c r="J9" s="10"/>
      <c r="K9" s="10"/>
      <c r="L9" s="10"/>
      <c r="M9" s="12">
        <v>100.14</v>
      </c>
      <c r="N9" s="10" t="s">
        <v>24</v>
      </c>
    </row>
    <row r="10" spans="1:23" ht="15.6" customHeight="1" x14ac:dyDescent="0.25">
      <c r="A10" s="10" t="s">
        <v>25</v>
      </c>
      <c r="B10" s="12">
        <f>0.2*M7+0.8*M6</f>
        <v>88.891620421316631</v>
      </c>
      <c r="C10" s="13">
        <f>($M$6*$J$26)*0.8+($M$7*$J$27)*0.2</f>
        <v>11884.843283740665</v>
      </c>
      <c r="D10" s="13">
        <f t="shared" si="0"/>
        <v>11.884843283740665</v>
      </c>
      <c r="E10" s="11">
        <f t="shared" si="1"/>
        <v>26.201563200200344</v>
      </c>
      <c r="G10" s="21" t="s">
        <v>26</v>
      </c>
      <c r="H10" s="21" t="s">
        <v>3</v>
      </c>
      <c r="I10" s="22">
        <v>53.71</v>
      </c>
      <c r="J10" s="22">
        <v>53.34</v>
      </c>
      <c r="K10" s="22">
        <v>54.01</v>
      </c>
      <c r="L10" s="22">
        <v>52.5</v>
      </c>
      <c r="M10" s="12">
        <f>+(I10*C31+J10*D31+K10*E31+L10*F31)/G31</f>
        <v>53.411922987417803</v>
      </c>
      <c r="N10" s="10" t="s">
        <v>19</v>
      </c>
    </row>
    <row r="11" spans="1:23" ht="15.6" customHeight="1" x14ac:dyDescent="0.25">
      <c r="A11" s="10" t="s">
        <v>27</v>
      </c>
      <c r="B11" s="12">
        <f>0.5*M7+0.5*M6</f>
        <v>71.119051053291571</v>
      </c>
      <c r="C11" s="13">
        <f>($M$6*$J$26)*0.5+($M$7*$J$27)*0.5</f>
        <v>9390.8354093516646</v>
      </c>
      <c r="D11" s="13">
        <f t="shared" si="0"/>
        <v>9.3908354093516646</v>
      </c>
      <c r="E11" s="11">
        <f t="shared" si="1"/>
        <v>20.703223560164865</v>
      </c>
      <c r="G11" s="21" t="s">
        <v>28</v>
      </c>
      <c r="H11" s="21" t="s">
        <v>3</v>
      </c>
      <c r="I11" s="10"/>
      <c r="J11" s="10"/>
      <c r="K11" s="10"/>
      <c r="L11" s="10"/>
      <c r="M11" s="12">
        <v>20.13</v>
      </c>
      <c r="N11" s="10" t="s">
        <v>29</v>
      </c>
      <c r="O11" s="50" t="s">
        <v>98</v>
      </c>
    </row>
    <row r="12" spans="1:23" ht="15.6" customHeight="1" x14ac:dyDescent="0.25">
      <c r="A12" s="10" t="s">
        <v>30</v>
      </c>
      <c r="B12" s="12">
        <f>0.05*M8+0.95*M6</f>
        <v>97.659169191997407</v>
      </c>
      <c r="C12" s="13">
        <f>($M$6*$J$26)*0.95+($M$8*$J$28)*0.05</f>
        <v>13123.756775742462</v>
      </c>
      <c r="D12" s="13">
        <f t="shared" si="0"/>
        <v>13.123756775742462</v>
      </c>
      <c r="E12" s="11">
        <f t="shared" si="1"/>
        <v>28.932896662937345</v>
      </c>
      <c r="G12" s="21" t="s">
        <v>31</v>
      </c>
      <c r="H12" s="21" t="s">
        <v>3</v>
      </c>
      <c r="I12" s="10"/>
      <c r="J12" s="10"/>
      <c r="K12" s="10"/>
      <c r="L12" s="10"/>
      <c r="M12" s="12">
        <v>79.98</v>
      </c>
      <c r="N12" s="10" t="s">
        <v>32</v>
      </c>
    </row>
    <row r="13" spans="1:23" ht="15.6" customHeight="1" x14ac:dyDescent="0.25">
      <c r="A13" s="10" t="s">
        <v>33</v>
      </c>
      <c r="B13" s="12">
        <f>0.99*M8+0.01*M6</f>
        <v>39.739550001548878</v>
      </c>
      <c r="C13" s="13">
        <f>($M$6*$J$26)*0.01+($M$8*$J$28)*0.99</f>
        <v>5157.0983997008134</v>
      </c>
      <c r="D13" s="13">
        <f t="shared" si="0"/>
        <v>5.1570983997008133</v>
      </c>
      <c r="E13" s="11">
        <f t="shared" si="1"/>
        <v>11.369442273948406</v>
      </c>
      <c r="G13" s="21" t="s">
        <v>34</v>
      </c>
      <c r="H13" s="21" t="s">
        <v>3</v>
      </c>
      <c r="I13" s="10"/>
      <c r="J13" s="10"/>
      <c r="K13" s="10"/>
      <c r="L13" s="10"/>
      <c r="M13" s="12">
        <v>80.88</v>
      </c>
      <c r="N13" s="10" t="s">
        <v>35</v>
      </c>
    </row>
    <row r="14" spans="1:23" ht="15.6" customHeight="1" x14ac:dyDescent="0.25">
      <c r="A14" s="10" t="s">
        <v>36</v>
      </c>
      <c r="B14" s="12">
        <f>0.2*M7+0.8*M8</f>
        <v>39.598327493275328</v>
      </c>
      <c r="C14" s="13">
        <f>($M$7*$J$27)*0.2+($M$8*$J$28)*0.8</f>
        <v>5104.7084956201124</v>
      </c>
      <c r="D14" s="13">
        <f t="shared" si="0"/>
        <v>5.1047084956201125</v>
      </c>
      <c r="E14" s="11">
        <f t="shared" si="1"/>
        <v>11.253942443614012</v>
      </c>
      <c r="G14" s="21" t="s">
        <v>37</v>
      </c>
      <c r="H14" s="21" t="s">
        <v>3</v>
      </c>
      <c r="I14" s="10"/>
      <c r="J14" s="10"/>
      <c r="K14" s="10"/>
      <c r="L14" s="10"/>
      <c r="M14" s="12">
        <v>30.16</v>
      </c>
      <c r="N14" s="10" t="s">
        <v>29</v>
      </c>
      <c r="O14" s="50" t="s">
        <v>97</v>
      </c>
    </row>
    <row r="15" spans="1:23" ht="15.6" customHeight="1" x14ac:dyDescent="0.25">
      <c r="A15" s="10" t="s">
        <v>38</v>
      </c>
      <c r="B15" s="12">
        <f>+M9</f>
        <v>100.14</v>
      </c>
      <c r="C15" s="13">
        <f>$M$9*$J$29</f>
        <v>12265.147200000001</v>
      </c>
      <c r="D15" s="13">
        <f t="shared" si="0"/>
        <v>12.265147200000001</v>
      </c>
      <c r="E15" s="11">
        <f t="shared" si="1"/>
        <v>27.039988820064</v>
      </c>
      <c r="G15" s="21" t="s">
        <v>39</v>
      </c>
      <c r="H15" s="21" t="s">
        <v>3</v>
      </c>
      <c r="I15" s="10"/>
      <c r="J15" s="10"/>
      <c r="K15" s="10"/>
      <c r="L15" s="10"/>
      <c r="M15" s="12">
        <v>0.88</v>
      </c>
      <c r="N15" s="10" t="s">
        <v>99</v>
      </c>
    </row>
    <row r="16" spans="1:23" ht="15.6" customHeight="1" x14ac:dyDescent="0.25">
      <c r="A16" s="10" t="s">
        <v>40</v>
      </c>
      <c r="B16" s="12">
        <f>0.1*M10+0.9*M9</f>
        <v>95.467192298741793</v>
      </c>
      <c r="C16" s="13">
        <f>($M$9*$J$29)*0.903+($M$10*$J$31)*0.097</f>
        <v>11622.018835491741</v>
      </c>
      <c r="D16" s="13">
        <f t="shared" si="0"/>
        <v>11.62201883549174</v>
      </c>
      <c r="E16" s="11">
        <f t="shared" si="1"/>
        <v>25.622135165101799</v>
      </c>
      <c r="G16" s="21" t="s">
        <v>100</v>
      </c>
      <c r="H16" s="21" t="s">
        <v>3</v>
      </c>
      <c r="I16" s="10"/>
      <c r="J16" s="10"/>
      <c r="K16" s="10"/>
      <c r="L16" s="10"/>
      <c r="M16" s="12">
        <v>157.62</v>
      </c>
      <c r="N16" s="10" t="s">
        <v>29</v>
      </c>
    </row>
    <row r="17" spans="1:13" ht="15.6" customHeight="1" x14ac:dyDescent="0.25">
      <c r="A17" s="10" t="s">
        <v>42</v>
      </c>
      <c r="B17" s="12">
        <f>0.15*M10+0.85*M9</f>
        <v>93.130788448112668</v>
      </c>
      <c r="C17" s="13">
        <f>($M$9*$J$29)*0.85+($M$10*$J$31)*0.15</f>
        <v>11270.618801275887</v>
      </c>
      <c r="D17" s="13">
        <f t="shared" si="0"/>
        <v>11.270618801275887</v>
      </c>
      <c r="E17" s="11">
        <f t="shared" si="1"/>
        <v>24.847431621668843</v>
      </c>
      <c r="G17" s="56" t="s">
        <v>41</v>
      </c>
      <c r="H17" s="56"/>
      <c r="I17" s="56"/>
      <c r="J17" s="56"/>
      <c r="K17" s="56"/>
      <c r="L17" s="56"/>
      <c r="M17" s="4">
        <f>(+G27*M6+G28*M7+G29*M8+G30*M9+G31*M10+G32*M11+G33*M12+G34*M13+G35*M14+G36*M15+M16*G37)/G38</f>
        <v>93.768630823223532</v>
      </c>
    </row>
    <row r="18" spans="1:13" ht="15.6" customHeight="1" x14ac:dyDescent="0.25">
      <c r="A18" s="10" t="s">
        <v>43</v>
      </c>
      <c r="B18" s="12">
        <f>0.51*M10+0.49*M9</f>
        <v>76.30868072358308</v>
      </c>
      <c r="C18" s="13">
        <f>($M$9*$J$29)*0.49+($M$10*$J$31)*0.51</f>
        <v>8883.7506443380153</v>
      </c>
      <c r="D18" s="13">
        <f t="shared" si="0"/>
        <v>8.883750644338015</v>
      </c>
      <c r="E18" s="11">
        <f t="shared" si="1"/>
        <v>19.585294345520474</v>
      </c>
    </row>
    <row r="19" spans="1:13" ht="15.6" customHeight="1" x14ac:dyDescent="0.25">
      <c r="A19" s="10" t="s">
        <v>44</v>
      </c>
      <c r="B19" s="12">
        <f>0.83*M10+0.17*M9</f>
        <v>61.355696079556779</v>
      </c>
      <c r="C19" s="13">
        <f>($M$9*$J$29)*0.17+($M$10*$J$31)*0.83</f>
        <v>6762.0900603932405</v>
      </c>
      <c r="D19" s="13">
        <f t="shared" si="0"/>
        <v>6.7620900603932403</v>
      </c>
      <c r="E19" s="11">
        <f t="shared" si="1"/>
        <v>14.907838988944144</v>
      </c>
    </row>
    <row r="20" spans="1:13" ht="15.6" customHeight="1" x14ac:dyDescent="0.25">
      <c r="A20" s="10" t="s">
        <v>45</v>
      </c>
      <c r="B20" s="12">
        <f>+M13</f>
        <v>80.88</v>
      </c>
      <c r="C20" s="13">
        <f>M13*J34</f>
        <v>7249.2743999999993</v>
      </c>
      <c r="D20" s="13">
        <f t="shared" si="0"/>
        <v>7.2492743999999991</v>
      </c>
      <c r="E20" s="11">
        <f t="shared" si="1"/>
        <v>15.981895327727997</v>
      </c>
    </row>
    <row r="21" spans="1:13" ht="15.6" customHeight="1" x14ac:dyDescent="0.25">
      <c r="A21" s="10" t="s">
        <v>46</v>
      </c>
      <c r="B21" s="12">
        <f>+M14</f>
        <v>30.16</v>
      </c>
      <c r="C21" s="13">
        <f>M14*J35</f>
        <v>2703.2408</v>
      </c>
      <c r="D21" s="13">
        <f t="shared" si="0"/>
        <v>2.7032408000000001</v>
      </c>
      <c r="E21" s="11">
        <f t="shared" si="1"/>
        <v>5.9596187324959997</v>
      </c>
    </row>
    <row r="22" spans="1:13" ht="15.6" customHeight="1" x14ac:dyDescent="0.25">
      <c r="A22" s="10" t="s">
        <v>47</v>
      </c>
      <c r="B22" s="12">
        <f>+M15</f>
        <v>0.88</v>
      </c>
      <c r="C22" s="13">
        <f>M15*J29</f>
        <v>107.78240000000001</v>
      </c>
      <c r="D22" s="13">
        <f>C22/1000</f>
        <v>0.10778240000000001</v>
      </c>
      <c r="E22" s="11">
        <f t="shared" si="1"/>
        <v>0.237619234688</v>
      </c>
    </row>
    <row r="23" spans="1:13" ht="15.6" customHeight="1" x14ac:dyDescent="0.25">
      <c r="A23" s="10" t="s">
        <v>48</v>
      </c>
      <c r="B23" s="12">
        <f>+M15</f>
        <v>0.88</v>
      </c>
      <c r="C23" s="13">
        <f>M15*J26</f>
        <v>118.3424</v>
      </c>
      <c r="D23" s="13">
        <f t="shared" si="0"/>
        <v>0.1183424</v>
      </c>
      <c r="E23" s="11">
        <f t="shared" si="1"/>
        <v>0.26090002188799999</v>
      </c>
    </row>
    <row r="25" spans="1:13" ht="15.6" customHeight="1" x14ac:dyDescent="0.25">
      <c r="A25" s="59" t="s">
        <v>49</v>
      </c>
      <c r="B25" s="15" t="s">
        <v>50</v>
      </c>
      <c r="C25" s="66">
        <v>2022</v>
      </c>
      <c r="D25" s="67"/>
      <c r="E25" s="67"/>
      <c r="F25" s="68"/>
      <c r="G25" s="28"/>
      <c r="I25" s="23" t="s">
        <v>51</v>
      </c>
      <c r="J25" s="9" t="s">
        <v>52</v>
      </c>
      <c r="K25" s="9" t="s">
        <v>53</v>
      </c>
    </row>
    <row r="26" spans="1:13" ht="15" x14ac:dyDescent="0.25">
      <c r="A26" s="60"/>
      <c r="B26" s="36" t="s">
        <v>7</v>
      </c>
      <c r="C26" s="36" t="s">
        <v>8</v>
      </c>
      <c r="D26" s="36" t="s">
        <v>9</v>
      </c>
      <c r="E26" s="36" t="s">
        <v>10</v>
      </c>
      <c r="F26" s="36" t="s">
        <v>11</v>
      </c>
      <c r="G26" s="37" t="s">
        <v>12</v>
      </c>
      <c r="H26" s="38" t="s">
        <v>54</v>
      </c>
      <c r="I26" s="14" t="s">
        <v>15</v>
      </c>
      <c r="J26" s="9">
        <v>134.47999999999999</v>
      </c>
      <c r="K26" s="9" t="s">
        <v>55</v>
      </c>
    </row>
    <row r="27" spans="1:13" ht="15.6" customHeight="1" x14ac:dyDescent="0.2">
      <c r="A27" s="16" t="s">
        <v>15</v>
      </c>
      <c r="B27" s="16" t="s">
        <v>56</v>
      </c>
      <c r="C27" s="18">
        <v>197937482.59999999</v>
      </c>
      <c r="D27" s="18">
        <v>177321593.84999999</v>
      </c>
      <c r="E27" s="18">
        <v>193936772.94999999</v>
      </c>
      <c r="F27" s="18">
        <v>186125452.94999999</v>
      </c>
      <c r="G27" s="18">
        <f>SUM(C27:F27)</f>
        <v>755321302.3499999</v>
      </c>
      <c r="H27" s="39">
        <f t="shared" ref="H27:H37" si="2">+G27/$G$38</f>
        <v>0.31410081982680205</v>
      </c>
      <c r="I27" s="41" t="s">
        <v>18</v>
      </c>
      <c r="J27" s="42">
        <v>126.13</v>
      </c>
      <c r="K27" s="42" t="s">
        <v>55</v>
      </c>
      <c r="M27" s="46"/>
    </row>
    <row r="28" spans="1:13" ht="15.6" customHeight="1" x14ac:dyDescent="0.25">
      <c r="A28" s="16" t="s">
        <v>18</v>
      </c>
      <c r="B28" s="16" t="s">
        <v>56</v>
      </c>
      <c r="C28" s="18">
        <v>17726461.399999999</v>
      </c>
      <c r="D28" s="18">
        <v>23804063.149999999</v>
      </c>
      <c r="E28" s="18">
        <v>16551435.050000001</v>
      </c>
      <c r="F28" s="18">
        <v>23165028.050000001</v>
      </c>
      <c r="G28" s="18">
        <f t="shared" ref="G28:G37" si="3">SUM(C28:F28)</f>
        <v>81246987.649999991</v>
      </c>
      <c r="H28" s="39">
        <f t="shared" si="2"/>
        <v>3.3786608890712506E-2</v>
      </c>
      <c r="I28" s="43" t="s">
        <v>21</v>
      </c>
      <c r="J28" s="44">
        <v>129.65</v>
      </c>
      <c r="K28" s="44" t="s">
        <v>55</v>
      </c>
    </row>
    <row r="29" spans="1:13" ht="15.6" customHeight="1" x14ac:dyDescent="0.25">
      <c r="A29" s="16" t="s">
        <v>21</v>
      </c>
      <c r="B29" s="16" t="s">
        <v>56</v>
      </c>
      <c r="C29" s="18">
        <v>14182521</v>
      </c>
      <c r="D29" s="18">
        <v>5088086</v>
      </c>
      <c r="E29" s="18">
        <v>8691920</v>
      </c>
      <c r="F29" s="18">
        <v>19071444</v>
      </c>
      <c r="G29" s="18">
        <f t="shared" si="3"/>
        <v>47033971</v>
      </c>
      <c r="H29" s="39">
        <f t="shared" si="2"/>
        <v>1.9559105250766973E-2</v>
      </c>
      <c r="I29" s="14" t="s">
        <v>23</v>
      </c>
      <c r="J29" s="9">
        <v>122.48</v>
      </c>
      <c r="K29" s="9" t="s">
        <v>55</v>
      </c>
    </row>
    <row r="30" spans="1:13" ht="15.6" customHeight="1" x14ac:dyDescent="0.25">
      <c r="A30" s="16" t="s">
        <v>23</v>
      </c>
      <c r="B30" s="16" t="s">
        <v>56</v>
      </c>
      <c r="C30" s="18">
        <v>314471980.5</v>
      </c>
      <c r="D30" s="18">
        <v>329440339.80000001</v>
      </c>
      <c r="E30" s="18">
        <v>352262584.30000001</v>
      </c>
      <c r="F30" s="18">
        <v>360068050.69999999</v>
      </c>
      <c r="G30" s="18">
        <f t="shared" si="3"/>
        <v>1356242955.3</v>
      </c>
      <c r="H30" s="39">
        <f t="shared" si="2"/>
        <v>0.56399445218699362</v>
      </c>
      <c r="I30" s="14" t="s">
        <v>26</v>
      </c>
      <c r="J30" s="9">
        <v>81.510000000000005</v>
      </c>
      <c r="K30" s="9" t="s">
        <v>55</v>
      </c>
    </row>
    <row r="31" spans="1:13" ht="15.6" customHeight="1" x14ac:dyDescent="0.25">
      <c r="A31" s="16" t="s">
        <v>26</v>
      </c>
      <c r="B31" s="16" t="s">
        <v>56</v>
      </c>
      <c r="C31" s="18">
        <v>34406110.5</v>
      </c>
      <c r="D31" s="18">
        <v>40835390.200000003</v>
      </c>
      <c r="E31" s="18">
        <v>40539361.700000003</v>
      </c>
      <c r="F31" s="18">
        <v>34612931.299999997</v>
      </c>
      <c r="G31" s="18">
        <f t="shared" si="3"/>
        <v>150393793.69999999</v>
      </c>
      <c r="H31" s="39">
        <f t="shared" si="2"/>
        <v>6.2541349954066919E-2</v>
      </c>
      <c r="I31" s="14" t="s">
        <v>28</v>
      </c>
      <c r="J31" s="9">
        <v>105.5</v>
      </c>
      <c r="K31" s="9" t="s">
        <v>57</v>
      </c>
    </row>
    <row r="32" spans="1:13" ht="15.6" customHeight="1" x14ac:dyDescent="0.25">
      <c r="A32" s="16" t="s">
        <v>28</v>
      </c>
      <c r="B32" s="16" t="s">
        <v>58</v>
      </c>
      <c r="C32" s="18">
        <v>920224</v>
      </c>
      <c r="D32" s="18">
        <v>906922</v>
      </c>
      <c r="E32" s="18">
        <v>957071</v>
      </c>
      <c r="F32" s="18">
        <v>935563</v>
      </c>
      <c r="G32" s="18">
        <f t="shared" si="3"/>
        <v>3719780</v>
      </c>
      <c r="H32" s="39">
        <f t="shared" si="2"/>
        <v>1.5468727598972659E-3</v>
      </c>
      <c r="I32" s="14" t="s">
        <v>59</v>
      </c>
      <c r="J32" s="9">
        <v>105.5</v>
      </c>
      <c r="K32" s="9" t="s">
        <v>57</v>
      </c>
    </row>
    <row r="33" spans="1:11" ht="15.6" customHeight="1" x14ac:dyDescent="0.25">
      <c r="A33" s="16" t="s">
        <v>31</v>
      </c>
      <c r="B33" s="16" t="s">
        <v>58</v>
      </c>
      <c r="C33" s="18">
        <v>2157</v>
      </c>
      <c r="D33" s="18">
        <v>77472</v>
      </c>
      <c r="E33" s="18">
        <v>74449</v>
      </c>
      <c r="F33" s="18">
        <v>84443</v>
      </c>
      <c r="G33" s="18">
        <f t="shared" si="3"/>
        <v>238521</v>
      </c>
      <c r="H33" s="39">
        <f t="shared" si="2"/>
        <v>9.9189101926311712E-5</v>
      </c>
      <c r="I33" s="14" t="s">
        <v>60</v>
      </c>
      <c r="J33" s="9">
        <v>78.83</v>
      </c>
      <c r="K33" s="9" t="s">
        <v>55</v>
      </c>
    </row>
    <row r="34" spans="1:11" ht="15.6" customHeight="1" x14ac:dyDescent="0.25">
      <c r="A34" s="16" t="s">
        <v>34</v>
      </c>
      <c r="B34" s="16" t="s">
        <v>56</v>
      </c>
      <c r="C34" s="18">
        <v>684672</v>
      </c>
      <c r="D34" s="18">
        <v>786185</v>
      </c>
      <c r="E34" s="18">
        <v>409142</v>
      </c>
      <c r="F34" s="18">
        <v>691712</v>
      </c>
      <c r="G34" s="18">
        <f t="shared" si="3"/>
        <v>2571711</v>
      </c>
      <c r="H34" s="39">
        <f t="shared" si="2"/>
        <v>1.0694475727672491E-3</v>
      </c>
      <c r="I34" s="14" t="s">
        <v>34</v>
      </c>
      <c r="J34" s="9">
        <v>89.63</v>
      </c>
      <c r="K34" s="9" t="s">
        <v>55</v>
      </c>
    </row>
    <row r="35" spans="1:11" ht="15.6" customHeight="1" x14ac:dyDescent="0.25">
      <c r="A35" s="16" t="s">
        <v>37</v>
      </c>
      <c r="B35" s="16" t="s">
        <v>56</v>
      </c>
      <c r="C35" s="18">
        <v>158979</v>
      </c>
      <c r="D35" s="18">
        <v>132720</v>
      </c>
      <c r="E35" s="18">
        <v>205031</v>
      </c>
      <c r="F35" s="18">
        <v>173512</v>
      </c>
      <c r="G35" s="18">
        <f t="shared" si="3"/>
        <v>670242</v>
      </c>
      <c r="H35" s="39">
        <f t="shared" si="2"/>
        <v>2.787205405532218E-4</v>
      </c>
      <c r="I35" s="14" t="s">
        <v>37</v>
      </c>
      <c r="J35" s="9">
        <v>89.63</v>
      </c>
      <c r="K35" s="9" t="s">
        <v>55</v>
      </c>
    </row>
    <row r="36" spans="1:11" ht="15.6" customHeight="1" x14ac:dyDescent="0.25">
      <c r="A36" s="16" t="s">
        <v>39</v>
      </c>
      <c r="B36" s="16" t="s">
        <v>61</v>
      </c>
      <c r="C36" s="18">
        <v>1701502</v>
      </c>
      <c r="D36" s="18">
        <v>1762947</v>
      </c>
      <c r="E36" s="18">
        <v>1788450</v>
      </c>
      <c r="F36" s="18">
        <v>1966615</v>
      </c>
      <c r="G36" s="18">
        <f t="shared" si="3"/>
        <v>7219514</v>
      </c>
      <c r="H36" s="39">
        <f t="shared" si="2"/>
        <v>3.0022392577778662E-3</v>
      </c>
      <c r="I36" s="14" t="s">
        <v>39</v>
      </c>
      <c r="J36" s="9">
        <v>3.6</v>
      </c>
      <c r="K36" s="9" t="s">
        <v>62</v>
      </c>
    </row>
    <row r="37" spans="1:11" ht="15.6" customHeight="1" x14ac:dyDescent="0.25">
      <c r="A37" s="47" t="s">
        <v>100</v>
      </c>
      <c r="B37" s="16" t="s">
        <v>56</v>
      </c>
      <c r="C37" s="18">
        <v>11975</v>
      </c>
      <c r="D37" s="18">
        <v>12756</v>
      </c>
      <c r="E37" s="18">
        <v>12472</v>
      </c>
      <c r="F37" s="18">
        <v>13764</v>
      </c>
      <c r="G37" s="18">
        <f t="shared" si="3"/>
        <v>50967</v>
      </c>
      <c r="H37" s="39">
        <f t="shared" si="2"/>
        <v>2.1194657736125243E-5</v>
      </c>
      <c r="I37" s="48"/>
      <c r="J37" s="49"/>
      <c r="K37" s="49"/>
    </row>
    <row r="38" spans="1:11" ht="15.6" customHeight="1" x14ac:dyDescent="0.25">
      <c r="A38" s="57" t="s">
        <v>63</v>
      </c>
      <c r="B38" s="57"/>
      <c r="C38" s="57"/>
      <c r="D38" s="57"/>
      <c r="E38" s="57"/>
      <c r="F38" s="57"/>
      <c r="G38" s="45">
        <f>SUM(G27:G37)</f>
        <v>2404709744.9999995</v>
      </c>
      <c r="H38" s="40">
        <f>SUM(H27:H37)</f>
        <v>1.0000000000000002</v>
      </c>
    </row>
    <row r="39" spans="1:11" ht="15.6" customHeight="1" x14ac:dyDescent="0.25">
      <c r="I39" s="2"/>
    </row>
    <row r="40" spans="1:11" ht="15.6" customHeight="1" x14ac:dyDescent="0.25">
      <c r="A40" s="59" t="s">
        <v>64</v>
      </c>
      <c r="B40" s="15" t="s">
        <v>50</v>
      </c>
      <c r="C40" s="58">
        <v>2022</v>
      </c>
      <c r="D40" s="58"/>
      <c r="E40" s="58"/>
      <c r="F40" s="58"/>
      <c r="G40" s="58"/>
    </row>
    <row r="41" spans="1:11" ht="15.6" customHeight="1" x14ac:dyDescent="0.25">
      <c r="A41" s="60"/>
      <c r="B41" s="16" t="s">
        <v>7</v>
      </c>
      <c r="C41" s="16" t="s">
        <v>8</v>
      </c>
      <c r="D41" s="16" t="s">
        <v>9</v>
      </c>
      <c r="E41" s="16" t="s">
        <v>10</v>
      </c>
      <c r="F41" s="16" t="s">
        <v>11</v>
      </c>
      <c r="G41" s="17" t="s">
        <v>12</v>
      </c>
    </row>
    <row r="42" spans="1:11" ht="15.6" customHeight="1" x14ac:dyDescent="0.25">
      <c r="A42" s="16" t="s">
        <v>65</v>
      </c>
      <c r="B42" s="16" t="s">
        <v>56</v>
      </c>
      <c r="C42" s="18">
        <v>-70738</v>
      </c>
      <c r="D42" s="18">
        <v>-264861</v>
      </c>
      <c r="E42" s="18">
        <v>-475858</v>
      </c>
      <c r="F42" s="18">
        <v>-171343</v>
      </c>
      <c r="G42" s="19">
        <f>SUM(C42:F42)</f>
        <v>-982800</v>
      </c>
    </row>
    <row r="43" spans="1:11" ht="15.6" customHeight="1" x14ac:dyDescent="0.25">
      <c r="A43" s="16" t="s">
        <v>66</v>
      </c>
      <c r="B43" s="16" t="s">
        <v>56</v>
      </c>
      <c r="C43" s="18">
        <v>-2864283</v>
      </c>
      <c r="D43" s="18">
        <v>-2260403</v>
      </c>
      <c r="E43" s="18">
        <v>-7078291</v>
      </c>
      <c r="F43" s="18">
        <v>-7105738</v>
      </c>
      <c r="G43" s="19">
        <f t="shared" ref="G43:G48" si="4">SUM(C43:F43)</f>
        <v>-19308715</v>
      </c>
    </row>
    <row r="44" spans="1:11" ht="15.6" customHeight="1" x14ac:dyDescent="0.25">
      <c r="A44" s="16" t="s">
        <v>67</v>
      </c>
      <c r="B44" s="16" t="s">
        <v>58</v>
      </c>
      <c r="C44" s="18">
        <v>920224</v>
      </c>
      <c r="D44" s="18">
        <v>906922</v>
      </c>
      <c r="E44" s="18">
        <v>957071</v>
      </c>
      <c r="F44" s="18">
        <v>935563</v>
      </c>
      <c r="G44" s="19">
        <f>SUM(C44:F44)</f>
        <v>3719780</v>
      </c>
    </row>
    <row r="45" spans="1:11" ht="15.6" customHeight="1" x14ac:dyDescent="0.25">
      <c r="A45" s="16" t="s">
        <v>18</v>
      </c>
      <c r="B45" s="16" t="s">
        <v>56</v>
      </c>
      <c r="C45" s="18">
        <v>17881781</v>
      </c>
      <c r="D45" s="18">
        <v>23968070</v>
      </c>
      <c r="E45" s="18">
        <v>16999715</v>
      </c>
      <c r="F45" s="18">
        <v>23526297</v>
      </c>
      <c r="G45" s="19">
        <f t="shared" si="4"/>
        <v>82375863</v>
      </c>
    </row>
    <row r="46" spans="1:11" ht="15.6" customHeight="1" x14ac:dyDescent="0.25">
      <c r="A46" s="16" t="s">
        <v>68</v>
      </c>
      <c r="B46" s="16" t="s">
        <v>58</v>
      </c>
      <c r="C46" s="18">
        <v>0</v>
      </c>
      <c r="D46" s="18">
        <v>0</v>
      </c>
      <c r="E46" s="18">
        <v>0</v>
      </c>
      <c r="F46" s="18">
        <v>0</v>
      </c>
      <c r="G46" s="19">
        <f t="shared" si="4"/>
        <v>0</v>
      </c>
    </row>
    <row r="47" spans="1:11" ht="15.6" customHeight="1" x14ac:dyDescent="0.25">
      <c r="A47" s="16" t="s">
        <v>15</v>
      </c>
      <c r="B47" s="16" t="s">
        <v>56</v>
      </c>
      <c r="C47" s="18">
        <v>200717184</v>
      </c>
      <c r="D47" s="18">
        <v>179682851</v>
      </c>
      <c r="E47" s="18">
        <v>201037082</v>
      </c>
      <c r="F47" s="18">
        <v>193011439</v>
      </c>
      <c r="G47" s="19">
        <f t="shared" si="4"/>
        <v>774448556</v>
      </c>
    </row>
    <row r="48" spans="1:11" ht="15.6" customHeight="1" x14ac:dyDescent="0.25">
      <c r="A48" s="16" t="s">
        <v>69</v>
      </c>
      <c r="B48" s="16" t="s">
        <v>56</v>
      </c>
      <c r="C48" s="18">
        <v>-13881035</v>
      </c>
      <c r="D48" s="18">
        <v>-15383726</v>
      </c>
      <c r="E48" s="18">
        <v>-20156700</v>
      </c>
      <c r="F48" s="18">
        <v>-19642598</v>
      </c>
      <c r="G48" s="19">
        <f t="shared" si="4"/>
        <v>-69064059</v>
      </c>
    </row>
    <row r="49" spans="1:8" ht="15.6" customHeight="1" x14ac:dyDescent="0.25">
      <c r="A49" s="16" t="s">
        <v>101</v>
      </c>
      <c r="B49" s="16" t="s">
        <v>61</v>
      </c>
      <c r="C49" s="18">
        <v>934092</v>
      </c>
      <c r="D49" s="18">
        <v>981467</v>
      </c>
      <c r="E49" s="18">
        <v>988890</v>
      </c>
      <c r="F49" s="18">
        <v>997800</v>
      </c>
      <c r="G49" s="19">
        <f>SUM(C49:F49)</f>
        <v>3902249</v>
      </c>
    </row>
    <row r="50" spans="1:8" ht="15.6" customHeight="1" x14ac:dyDescent="0.25">
      <c r="A50" s="16" t="s">
        <v>102</v>
      </c>
      <c r="B50" s="16" t="s">
        <v>61</v>
      </c>
      <c r="C50" s="18">
        <v>384134</v>
      </c>
      <c r="D50" s="18">
        <v>388993</v>
      </c>
      <c r="E50" s="18">
        <v>391137</v>
      </c>
      <c r="F50" s="18">
        <v>401883</v>
      </c>
      <c r="G50" s="19">
        <f>SUM(C50:F50)</f>
        <v>1566147</v>
      </c>
    </row>
    <row r="51" spans="1:8" ht="15.6" customHeight="1" x14ac:dyDescent="0.25">
      <c r="A51" s="16" t="s">
        <v>103</v>
      </c>
      <c r="B51" s="16" t="s">
        <v>61</v>
      </c>
      <c r="C51" s="18">
        <v>239057</v>
      </c>
      <c r="D51" s="18">
        <v>186660</v>
      </c>
      <c r="E51" s="18">
        <v>144174</v>
      </c>
      <c r="F51" s="18">
        <v>302250</v>
      </c>
      <c r="G51" s="19">
        <f>SUM(C51:F51)</f>
        <v>872141</v>
      </c>
    </row>
    <row r="52" spans="1:8" ht="15.6" customHeight="1" x14ac:dyDescent="0.25">
      <c r="A52" s="16" t="s">
        <v>104</v>
      </c>
      <c r="B52" s="16" t="s">
        <v>61</v>
      </c>
      <c r="C52" s="18">
        <v>144219</v>
      </c>
      <c r="D52" s="18">
        <v>205827</v>
      </c>
      <c r="E52" s="18">
        <v>264249</v>
      </c>
      <c r="F52" s="18">
        <v>264419</v>
      </c>
      <c r="G52" s="19">
        <f>SUM(C52:F52)</f>
        <v>878714</v>
      </c>
    </row>
    <row r="53" spans="1:8" ht="15.6" customHeight="1" x14ac:dyDescent="0.25">
      <c r="A53" s="16" t="s">
        <v>105</v>
      </c>
      <c r="B53" s="16" t="s">
        <v>61</v>
      </c>
      <c r="C53" s="18">
        <v>1489651</v>
      </c>
      <c r="D53" s="18">
        <v>1489651</v>
      </c>
      <c r="E53" s="18">
        <v>1524823</v>
      </c>
      <c r="F53" s="18">
        <v>1524823</v>
      </c>
      <c r="G53" s="19">
        <f>A73</f>
        <v>4203016.6949706078</v>
      </c>
    </row>
    <row r="54" spans="1:8" ht="15.6" customHeight="1" x14ac:dyDescent="0.25">
      <c r="A54" s="16" t="s">
        <v>70</v>
      </c>
      <c r="B54" s="16" t="s">
        <v>56</v>
      </c>
      <c r="C54" s="18">
        <v>25250064</v>
      </c>
      <c r="D54" s="18">
        <v>32001986</v>
      </c>
      <c r="E54" s="18">
        <v>28346134</v>
      </c>
      <c r="F54" s="18">
        <v>28895213</v>
      </c>
      <c r="G54" s="19">
        <f t="shared" ref="G54:G64" si="5">SUM(C54:F54)</f>
        <v>114493397</v>
      </c>
    </row>
    <row r="55" spans="1:8" ht="15.6" customHeight="1" x14ac:dyDescent="0.25">
      <c r="A55" s="16" t="s">
        <v>71</v>
      </c>
      <c r="B55" s="16" t="s">
        <v>56</v>
      </c>
      <c r="C55" s="18">
        <v>0</v>
      </c>
      <c r="D55" s="18">
        <v>0</v>
      </c>
      <c r="E55" s="18">
        <v>0</v>
      </c>
      <c r="F55" s="18">
        <v>0</v>
      </c>
      <c r="G55" s="19">
        <f t="shared" si="5"/>
        <v>0</v>
      </c>
    </row>
    <row r="56" spans="1:8" ht="15.6" customHeight="1" x14ac:dyDescent="0.25">
      <c r="A56" s="16" t="s">
        <v>72</v>
      </c>
      <c r="B56" s="16" t="s">
        <v>56</v>
      </c>
      <c r="C56" s="18">
        <v>10544150</v>
      </c>
      <c r="D56" s="18">
        <v>10371941</v>
      </c>
      <c r="E56" s="18">
        <v>14221301</v>
      </c>
      <c r="F56" s="18">
        <v>6941491</v>
      </c>
      <c r="G56" s="19">
        <f t="shared" si="5"/>
        <v>42078883</v>
      </c>
    </row>
    <row r="57" spans="1:8" ht="15.6" customHeight="1" x14ac:dyDescent="0.25">
      <c r="A57" s="16" t="s">
        <v>73</v>
      </c>
      <c r="B57" s="16" t="s">
        <v>56</v>
      </c>
      <c r="C57" s="18">
        <v>0</v>
      </c>
      <c r="D57" s="18">
        <v>0</v>
      </c>
      <c r="E57" s="18">
        <v>0</v>
      </c>
      <c r="F57" s="18">
        <v>0</v>
      </c>
      <c r="G57" s="19">
        <f t="shared" si="5"/>
        <v>0</v>
      </c>
    </row>
    <row r="58" spans="1:8" ht="15.6" customHeight="1" x14ac:dyDescent="0.25">
      <c r="A58" s="16" t="s">
        <v>74</v>
      </c>
      <c r="B58" s="16" t="s">
        <v>58</v>
      </c>
      <c r="C58" s="18">
        <v>2157</v>
      </c>
      <c r="D58" s="18">
        <v>77472</v>
      </c>
      <c r="E58" s="18">
        <v>74449</v>
      </c>
      <c r="F58" s="18">
        <v>84443</v>
      </c>
      <c r="G58" s="19">
        <f t="shared" si="5"/>
        <v>238521</v>
      </c>
      <c r="H58" s="27"/>
    </row>
    <row r="59" spans="1:8" ht="15.6" customHeight="1" x14ac:dyDescent="0.25">
      <c r="A59" s="16" t="s">
        <v>75</v>
      </c>
      <c r="B59" s="16" t="s">
        <v>58</v>
      </c>
      <c r="C59" s="18">
        <v>0</v>
      </c>
      <c r="D59" s="18">
        <v>0</v>
      </c>
      <c r="E59" s="18">
        <v>0</v>
      </c>
      <c r="F59" s="18">
        <v>0</v>
      </c>
      <c r="G59" s="19">
        <f t="shared" si="5"/>
        <v>0</v>
      </c>
    </row>
    <row r="60" spans="1:8" ht="15.6" customHeight="1" x14ac:dyDescent="0.25">
      <c r="A60" s="16" t="s">
        <v>23</v>
      </c>
      <c r="B60" s="16" t="s">
        <v>56</v>
      </c>
      <c r="C60" s="18">
        <v>326964912</v>
      </c>
      <c r="D60" s="18">
        <v>343293483</v>
      </c>
      <c r="E60" s="18">
        <v>372983416</v>
      </c>
      <c r="F60" s="18">
        <v>377834066</v>
      </c>
      <c r="G60" s="19">
        <f t="shared" si="5"/>
        <v>1421075877</v>
      </c>
    </row>
    <row r="61" spans="1:8" ht="15.6" customHeight="1" x14ac:dyDescent="0.25">
      <c r="A61" s="16" t="s">
        <v>100</v>
      </c>
      <c r="B61" s="16" t="s">
        <v>56</v>
      </c>
      <c r="C61" s="18">
        <v>11975</v>
      </c>
      <c r="D61" s="18">
        <v>12756</v>
      </c>
      <c r="E61" s="18">
        <v>12472</v>
      </c>
      <c r="F61" s="18">
        <v>13764</v>
      </c>
      <c r="G61" s="19">
        <f t="shared" si="5"/>
        <v>50967</v>
      </c>
    </row>
    <row r="62" spans="1:8" ht="15.6" customHeight="1" x14ac:dyDescent="0.25">
      <c r="A62" s="16" t="s">
        <v>76</v>
      </c>
      <c r="B62" s="16" t="s">
        <v>56</v>
      </c>
      <c r="C62" s="18">
        <v>684672</v>
      </c>
      <c r="D62" s="18">
        <v>786185</v>
      </c>
      <c r="E62" s="18">
        <v>409142</v>
      </c>
      <c r="F62" s="18">
        <v>691712</v>
      </c>
      <c r="G62" s="19">
        <f t="shared" si="5"/>
        <v>2571711</v>
      </c>
    </row>
    <row r="63" spans="1:8" ht="15.6" customHeight="1" x14ac:dyDescent="0.25">
      <c r="A63" s="16" t="s">
        <v>77</v>
      </c>
      <c r="B63" s="16" t="s">
        <v>56</v>
      </c>
      <c r="C63" s="18">
        <v>14182521</v>
      </c>
      <c r="D63" s="18">
        <v>5088086</v>
      </c>
      <c r="E63" s="18">
        <v>8691920</v>
      </c>
      <c r="F63" s="18">
        <v>19071444</v>
      </c>
      <c r="G63" s="19">
        <f t="shared" si="5"/>
        <v>47033971</v>
      </c>
    </row>
    <row r="64" spans="1:8" ht="15.6" customHeight="1" x14ac:dyDescent="0.25">
      <c r="A64" s="16" t="s">
        <v>46</v>
      </c>
      <c r="B64" s="16" t="s">
        <v>56</v>
      </c>
      <c r="C64" s="18">
        <v>158979</v>
      </c>
      <c r="D64" s="18">
        <v>132720</v>
      </c>
      <c r="E64" s="18">
        <v>205031</v>
      </c>
      <c r="F64" s="18">
        <v>173512</v>
      </c>
      <c r="G64" s="19">
        <f t="shared" si="5"/>
        <v>670242</v>
      </c>
    </row>
    <row r="66" spans="1:15" ht="36.75" customHeight="1" x14ac:dyDescent="0.25">
      <c r="A66" s="51" t="s">
        <v>107</v>
      </c>
      <c r="B66" s="51"/>
      <c r="C66" s="51"/>
      <c r="D66" s="51"/>
      <c r="E66" s="51"/>
      <c r="F66" s="51"/>
      <c r="G66" s="51"/>
      <c r="H66" s="51"/>
      <c r="I66" s="51"/>
      <c r="J66" s="51"/>
      <c r="K66" s="51"/>
      <c r="L66" s="51"/>
      <c r="M66" s="51"/>
      <c r="N66" s="51"/>
      <c r="O66" s="51"/>
    </row>
    <row r="68" spans="1:15" ht="15.6" customHeight="1" x14ac:dyDescent="0.25">
      <c r="A68" s="24" t="s">
        <v>78</v>
      </c>
    </row>
    <row r="69" spans="1:15" ht="15.6" customHeight="1" x14ac:dyDescent="0.25">
      <c r="A69" s="5">
        <v>142995968</v>
      </c>
      <c r="B69" s="6" t="s">
        <v>79</v>
      </c>
      <c r="C69" s="24" t="s">
        <v>80</v>
      </c>
    </row>
    <row r="70" spans="1:15" ht="15.6" customHeight="1" x14ac:dyDescent="0.25">
      <c r="A70" s="7">
        <v>3.6</v>
      </c>
      <c r="B70" s="6" t="s">
        <v>81</v>
      </c>
      <c r="C70" s="24" t="s">
        <v>82</v>
      </c>
    </row>
    <row r="71" spans="1:15" ht="15.6" customHeight="1" x14ac:dyDescent="0.25">
      <c r="A71" s="8">
        <f>+A69*A70</f>
        <v>514785484.80000001</v>
      </c>
      <c r="B71" s="6" t="s">
        <v>83</v>
      </c>
      <c r="C71" s="24" t="s">
        <v>84</v>
      </c>
    </row>
    <row r="72" spans="1:15" ht="15.6" customHeight="1" x14ac:dyDescent="0.25">
      <c r="A72" s="7">
        <v>122.48</v>
      </c>
      <c r="B72" s="6" t="s">
        <v>85</v>
      </c>
      <c r="C72" s="24" t="s">
        <v>86</v>
      </c>
    </row>
    <row r="73" spans="1:15" ht="15.6" customHeight="1" x14ac:dyDescent="0.25">
      <c r="A73" s="8">
        <f>+A71/A72</f>
        <v>4203016.6949706078</v>
      </c>
      <c r="B73" s="6" t="s">
        <v>87</v>
      </c>
      <c r="C73" s="24" t="s">
        <v>88</v>
      </c>
    </row>
    <row r="75" spans="1:15" ht="15.6" customHeight="1" x14ac:dyDescent="0.25">
      <c r="A75" s="24" t="s">
        <v>89</v>
      </c>
      <c r="B75" s="24"/>
      <c r="C75" s="24"/>
      <c r="D75" s="24"/>
      <c r="E75" s="24"/>
      <c r="F75" s="24"/>
      <c r="G75" s="24"/>
    </row>
    <row r="76" spans="1:15" ht="15.6" customHeight="1" x14ac:dyDescent="0.25">
      <c r="A76" s="3" t="s">
        <v>90</v>
      </c>
    </row>
    <row r="77" spans="1:15" ht="15.6" customHeight="1" x14ac:dyDescent="0.25">
      <c r="A77" s="3" t="s">
        <v>91</v>
      </c>
    </row>
    <row r="78" spans="1:15" ht="15.6" customHeight="1" x14ac:dyDescent="0.25">
      <c r="A78" s="3" t="s">
        <v>92</v>
      </c>
    </row>
    <row r="79" spans="1:15" ht="52.35" customHeight="1" x14ac:dyDescent="0.25">
      <c r="A79" s="51" t="s">
        <v>106</v>
      </c>
      <c r="B79" s="51"/>
      <c r="C79" s="51"/>
      <c r="D79" s="51"/>
      <c r="E79" s="51"/>
      <c r="F79" s="51"/>
      <c r="G79" s="51"/>
    </row>
    <row r="81" spans="1:2" ht="15.6" customHeight="1" x14ac:dyDescent="0.2">
      <c r="A81" s="29" t="s">
        <v>93</v>
      </c>
      <c r="B81" s="30">
        <v>45120</v>
      </c>
    </row>
    <row r="82" spans="1:2" ht="15.6" customHeight="1" x14ac:dyDescent="0.2">
      <c r="A82" s="29" t="s">
        <v>94</v>
      </c>
      <c r="B82" s="30"/>
    </row>
  </sheetData>
  <mergeCells count="14">
    <mergeCell ref="A79:G79"/>
    <mergeCell ref="A66:O66"/>
    <mergeCell ref="A2:O2"/>
    <mergeCell ref="A1:M1"/>
    <mergeCell ref="I4:N4"/>
    <mergeCell ref="G17:L17"/>
    <mergeCell ref="A38:F38"/>
    <mergeCell ref="C40:G40"/>
    <mergeCell ref="A40:A41"/>
    <mergeCell ref="G4:G5"/>
    <mergeCell ref="B4:E4"/>
    <mergeCell ref="A25:A26"/>
    <mergeCell ref="A4:A5"/>
    <mergeCell ref="C25:F25"/>
  </mergeCells>
  <pageMargins left="1" right="1" top="1" bottom="1" header="1" footer="1"/>
  <pageSetup orientation="portrait" horizontalDpi="300"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gram xmlns="af91407e-a3fe-452e-b3a1-d180214b10dc">CFP</Program>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DED78F8-816D-4564-930D-EC135F89C89B}">
  <ds:schemaRefs>
    <ds:schemaRef ds:uri="http://schemas.microsoft.com/sharepoint/v3/contenttype/forms"/>
  </ds:schemaRefs>
</ds:datastoreItem>
</file>

<file path=customXml/itemProps2.xml><?xml version="1.0" encoding="utf-8"?>
<ds:datastoreItem xmlns:ds="http://schemas.openxmlformats.org/officeDocument/2006/customXml" ds:itemID="{E8D2FD80-D5D8-4DE4-81FB-955DF7E7D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91407e-a3fe-452e-b3a1-d180214b10dc"/>
    <ds:schemaRef ds:uri="4d0624c3-f678-473a-aaed-aa14d03be4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D08DFCF-D011-4A5F-A33B-F30D2D8DFA8F}">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purl.org/dc/dcmitype/"/>
    <ds:schemaRef ds:uri="3727ae2c-ff6c-40e8-9b04-f56dbe4ec141"/>
    <ds:schemaRef ds:uri="72b6209a-32d8-49a5-ad0f-21a30cbcd036"/>
    <ds:schemaRef ds:uri="http://www.w3.org/XML/1998/namespace"/>
    <ds:schemaRef ds:uri="af91407e-a3fe-452e-b3a1-d180214b10d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Master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Estimated Lifecycle Carbon Intensities of Common Fuels and Blends</dc:title>
  <dc:subject/>
  <dc:creator>SUMMERS Stephanie</dc:creator>
  <cp:keywords/>
  <dc:description/>
  <cp:lastModifiedBy>THOMPSON Michele</cp:lastModifiedBy>
  <cp:revision/>
  <dcterms:created xsi:type="dcterms:W3CDTF">2021-05-10T07:54:19Z</dcterms:created>
  <dcterms:modified xsi:type="dcterms:W3CDTF">2023-08-30T15:21:21Z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0x0101001EFF8689AC01F1469CD8E5561E2B48E2</vt:lpwstr>
  </property>
  <property fmtid="{D5CDD505-2E9C-101B-9397-08002B2CF9AE}" pid="3" name="MSIP_Label_09b73270-2993-4076-be47-9c78f42a1e84_Enabled">
    <vt:lpwstr>true</vt:lpwstr>
  </property>
  <property fmtid="{D5CDD505-2E9C-101B-9397-08002B2CF9AE}" pid="4" name="MSIP_Label_09b73270-2993-4076-be47-9c78f42a1e84_SetDate">
    <vt:lpwstr>2023-08-30T15:20:33Z</vt:lpwstr>
  </property>
  <property fmtid="{D5CDD505-2E9C-101B-9397-08002B2CF9AE}" pid="5" name="MSIP_Label_09b73270-2993-4076-be47-9c78f42a1e84_Method">
    <vt:lpwstr>Privileged</vt:lpwstr>
  </property>
  <property fmtid="{D5CDD505-2E9C-101B-9397-08002B2CF9AE}" pid="6" name="MSIP_Label_09b73270-2993-4076-be47-9c78f42a1e84_Name">
    <vt:lpwstr>Level 1 - Published (Items)</vt:lpwstr>
  </property>
  <property fmtid="{D5CDD505-2E9C-101B-9397-08002B2CF9AE}" pid="7" name="MSIP_Label_09b73270-2993-4076-be47-9c78f42a1e84_SiteId">
    <vt:lpwstr>aa3f6932-fa7c-47b4-a0ce-a598cad161cf</vt:lpwstr>
  </property>
  <property fmtid="{D5CDD505-2E9C-101B-9397-08002B2CF9AE}" pid="8" name="MSIP_Label_09b73270-2993-4076-be47-9c78f42a1e84_ActionId">
    <vt:lpwstr>1969ae0f-9f65-4844-9335-018dfdac2090</vt:lpwstr>
  </property>
  <property fmtid="{D5CDD505-2E9C-101B-9397-08002B2CF9AE}" pid="9" name="MSIP_Label_09b73270-2993-4076-be47-9c78f42a1e84_ContentBits">
    <vt:lpwstr>0</vt:lpwstr>
  </property>
</Properties>
</file>