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1"/>
  </bookViews>
  <sheets>
    <sheet name="Instructions" sheetId="1" r:id="rId1"/>
    <sheet name="Segment 1" sheetId="2" r:id="rId2"/>
    <sheet name="Segment 2" sheetId="3" r:id="rId3"/>
    <sheet name="Segment Tables" sheetId="4" r:id="rId4"/>
    <sheet name="Intersection 1" sheetId="5" r:id="rId5"/>
    <sheet name="Intersection 2" sheetId="6" r:id="rId6"/>
    <sheet name="Intersection Tables" sheetId="7" r:id="rId7"/>
    <sheet name="Rural 2-Lane Site Total" sheetId="8" r:id="rId8"/>
    <sheet name="Rural 2-Lane Project Total" sheetId="9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>'Construction - Do Not Delete'!$B$4:$B$10</definedName>
    <definedName name="MWidth">'Construction - Do Not Delete'!$D$37:$D$46</definedName>
    <definedName name="Not_Present">'Segment 2'!$I$21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WLTL">'Construction - Do Not Delete'!$F$23:$F$24</definedName>
  </definedNames>
  <calcPr fullCalcOnLoad="1"/>
</workbook>
</file>

<file path=xl/sharedStrings.xml><?xml version="1.0" encoding="utf-8"?>
<sst xmlns="http://schemas.openxmlformats.org/spreadsheetml/2006/main" count="1326" uniqueCount="511">
  <si>
    <t>Worksheet 1A -- General Information and Input Data for Rural Two-Lane Two-Way Roadway Segments</t>
  </si>
  <si>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</si>
  <si>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</si>
  <si>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</si>
  <si>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</si>
  <si>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</si>
  <si>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</si>
  <si>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</si>
  <si>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</si>
  <si>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</si>
  <si>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Shoulder type</t>
  </si>
  <si>
    <t>Length of horizontal curve (mi)</t>
  </si>
  <si>
    <t>Radius of curvature (ft)</t>
  </si>
  <si>
    <t>Spiral transition curve (present/not present)</t>
  </si>
  <si>
    <t>Superelevation variance (ft/ft)</t>
  </si>
  <si>
    <t>Grade (%)</t>
  </si>
  <si>
    <t>Driveway density (driveways/mile)</t>
  </si>
  <si>
    <t>Centerline rumble strips (present/not present)</t>
  </si>
  <si>
    <t>Two-way left-turn lane (present/not present)</t>
  </si>
  <si>
    <t>Roadside hazard rating (1-7 scale)</t>
  </si>
  <si>
    <t>Segment lighting (present/not present)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</si>
  <si>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</si>
  <si>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</si>
  <si>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</si>
  <si>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</si>
  <si>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</si>
  <si>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</si>
  <si>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</si>
  <si>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</si>
  <si>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</si>
  <si>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</si>
  <si>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Worksheet 1B -- Crash Modification Factors for Rural Two-Lane Two-Way Roadway Segments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</si>
  <si>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</si>
  <si>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</si>
  <si>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</si>
  <si>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</si>
  <si>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</si>
  <si>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</si>
  <si>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</si>
  <si>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</si>
  <si>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</si>
  <si>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</si>
  <si>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</si>
  <si>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</si>
  <si>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</si>
  <si>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</si>
  <si>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Shoulder Width and Type</t>
  </si>
  <si>
    <t>CMF for Horizontal Curves</t>
  </si>
  <si>
    <t>CMF for Grades</t>
  </si>
  <si>
    <t>CMF for Driveway Density</t>
  </si>
  <si>
    <t>CMF for Centerline Rumble Strips</t>
  </si>
  <si>
    <t>CMF for Passing Lanes</t>
  </si>
  <si>
    <t>CMF for Two-Way Left-Turn Lane</t>
  </si>
  <si>
    <t>CMF for Roadside Design</t>
  </si>
  <si>
    <t>CMF for Lighting</t>
  </si>
  <si>
    <t>CMF for Automated Speed Enforcement</t>
  </si>
  <si>
    <t>CMF 1r</t>
  </si>
  <si>
    <t>CMF 2r</t>
  </si>
  <si>
    <t>CMF 3r</t>
  </si>
  <si>
    <t>CMF 4r</t>
  </si>
  <si>
    <t>CMR 5r</t>
  </si>
  <si>
    <t>CMF 6r</t>
  </si>
  <si>
    <t>CMF 7r</t>
  </si>
  <si>
    <t>CMF 9r</t>
  </si>
  <si>
    <t>CMF 8r</t>
  </si>
  <si>
    <t>CMF 10r</t>
  </si>
  <si>
    <t>CMF 11r</t>
  </si>
  <si>
    <t>CMF 12r</t>
  </si>
  <si>
    <t>CMF comb</t>
  </si>
  <si>
    <t>from Equation 10-11</t>
  </si>
  <si>
    <t>from Equation 10-12</t>
  </si>
  <si>
    <t>from Equation 10-13</t>
  </si>
  <si>
    <t>from Equations 10-14, 10-15, or 10-16</t>
  </si>
  <si>
    <t>from Equation 10-17</t>
  </si>
  <si>
    <t>from Section 10.7.1</t>
  </si>
  <si>
    <t>from Equation 10-20</t>
  </si>
  <si>
    <t>from Equation 10-21</t>
  </si>
  <si>
    <t>(1)x(2)x … x(11)x(12)</t>
  </si>
  <si>
    <t>Worksheet 1C -- Roadway Segment Crashes for Rural Two-Lane Two-Way Roadway Segments</t>
  </si>
  <si>
    <t>Crash Severity Level</t>
  </si>
  <si>
    <t>N spf rs</t>
  </si>
  <si>
    <t>Overdispersion Parameter, k</t>
  </si>
  <si>
    <t>Crash Severity Distribution</t>
  </si>
  <si>
    <t>N spf rs by Severity Distribution</t>
  </si>
  <si>
    <t>Combined CMFs</t>
  </si>
  <si>
    <t xml:space="preserve">  from Equation 10-7</t>
  </si>
  <si>
    <r>
      <t>(2)</t>
    </r>
    <r>
      <rPr>
        <sz val="8"/>
        <rFont val="Arial"/>
        <family val="2"/>
      </rPr>
      <t>TOTAL</t>
    </r>
    <r>
      <rPr>
        <sz val="10"/>
        <rFont val="Arial"/>
        <family val="2"/>
      </rPr>
      <t xml:space="preserve"> x (4)</t>
    </r>
  </si>
  <si>
    <t>(13) from Worksheet 1B</t>
  </si>
  <si>
    <t>(5)x(6)x(7)</t>
  </si>
  <si>
    <t>Total</t>
  </si>
  <si>
    <t>Fatal and Injury (FI)</t>
  </si>
  <si>
    <t>Property Damage Only (PDO)</t>
  </si>
  <si>
    <t>Worksheet 1D -- Crashes by Severity Level and Collision Type for Rural Two-Lane Two-Way Roadway Segments</t>
  </si>
  <si>
    <t>Collision Type</t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</si>
  <si>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</si>
  <si>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(FI)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</si>
  <si>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</si>
  <si>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(TOTAL)</t>
    </r>
  </si>
  <si>
    <r>
      <t>Proportion of Collision Type</t>
    </r>
    <r>
      <rPr>
        <b/>
        <sz val="6"/>
        <rFont val="Arial"/>
        <family val="2"/>
      </rPr>
      <t>(PDO)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</si>
  <si>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</si>
  <si>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</si>
  <si>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</si>
  <si>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</si>
  <si>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(2)x(3)</t>
    </r>
    <r>
      <rPr>
        <sz val="6"/>
        <rFont val="Arial"/>
        <family val="2"/>
      </rPr>
      <t>TOTAL</t>
    </r>
  </si>
  <si>
    <r>
      <t>(4)x(5)</t>
    </r>
    <r>
      <rPr>
        <sz val="6"/>
        <rFont val="Arial"/>
        <family val="2"/>
      </rPr>
      <t>FI</t>
    </r>
  </si>
  <si>
    <r>
      <t>(6)x(7)</t>
    </r>
    <r>
      <rPr>
        <sz val="6"/>
        <rFont val="Arial"/>
        <family val="2"/>
      </rPr>
      <t>PDO</t>
    </r>
  </si>
  <si>
    <t>SINGLE-VEHICLE</t>
  </si>
  <si>
    <t>Collision with animal</t>
  </si>
  <si>
    <t>Collision with bicycle</t>
  </si>
  <si>
    <t>Collision with pedestrian</t>
  </si>
  <si>
    <t>Overturned</t>
  </si>
  <si>
    <t>Ran off road</t>
  </si>
  <si>
    <t>Other single-vehicle collision</t>
  </si>
  <si>
    <t>Total single-vehicle crashes</t>
  </si>
  <si>
    <t>MULTIPLE-VEHICLE</t>
  </si>
  <si>
    <t>Angle collision</t>
  </si>
  <si>
    <t>Head-on collision</t>
  </si>
  <si>
    <t>Rear-end collision</t>
  </si>
  <si>
    <t>Sideswipe collision</t>
  </si>
  <si>
    <t>Other multiple-vehicle collision</t>
  </si>
  <si>
    <t>Worksheet 1E -- Summary Results for Rural Two-Lane Two-Way Roadway Segments</t>
  </si>
  <si>
    <t>Crash severity level</t>
  </si>
  <si>
    <t>Predicted average crash frequency (crashes/year)</t>
  </si>
  <si>
    <t>Roadway segment length (mi)</t>
  </si>
  <si>
    <t>Crash rate (crashes/mi/year)</t>
  </si>
  <si>
    <t>(4) from Worksheet 1C</t>
  </si>
  <si>
    <t>(8) from Worksheet 1C</t>
  </si>
  <si>
    <t>(3)/(4)</t>
  </si>
  <si>
    <t>&lt; 0.01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</si>
  <si>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</si>
  <si>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</si>
  <si>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</si>
  <si>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</si>
  <si>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</si>
  <si>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</si>
  <si>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</si>
  <si>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</si>
  <si>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</si>
  <si>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</si>
  <si>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</si>
  <si>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</si>
  <si>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</si>
  <si>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</si>
  <si>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</si>
  <si>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</si>
  <si>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</si>
  <si>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</si>
  <si>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OSU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</si>
  <si>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</si>
  <si>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</si>
  <si>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</si>
  <si>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</si>
  <si>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</si>
  <si>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</si>
  <si>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</si>
  <si>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</si>
  <si>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</si>
  <si>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</si>
  <si>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</si>
  <si>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</si>
  <si>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</si>
  <si>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</si>
  <si>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</si>
  <si>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</si>
  <si>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</si>
  <si>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</si>
  <si>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</si>
  <si>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</si>
  <si>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</si>
  <si>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</si>
  <si>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</si>
  <si>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</si>
  <si>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Percentage of total crashes</t>
  </si>
  <si>
    <t>Three-leg stop-controlled intersections</t>
  </si>
  <si>
    <t>Four-leg stop-controlled intersections</t>
  </si>
  <si>
    <t>Four-leg signalized intersections</t>
  </si>
  <si>
    <t>Nonincapacitating injury</t>
  </si>
  <si>
    <t>Incapacitating injury</t>
  </si>
  <si>
    <t>Possible injury</t>
  </si>
  <si>
    <t>Total fatal plus injury</t>
  </si>
  <si>
    <t>Fatal and Injury</t>
  </si>
  <si>
    <t>Fatal and injury</t>
  </si>
  <si>
    <t>Percentage of total crashes by collision type ( HSM Default Values)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</si>
  <si>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</si>
  <si>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</si>
  <si>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CMF for Super-elevation</t>
  </si>
  <si>
    <t>Passing lanes [present (1 lane) /present (2 lane) / not present)]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</si>
  <si>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</si>
  <si>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</si>
  <si>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</si>
  <si>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</si>
  <si>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</si>
  <si>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</si>
  <si>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</si>
  <si>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</si>
  <si>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</si>
  <si>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</si>
  <si>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</si>
  <si>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</si>
  <si>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</si>
  <si>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</si>
  <si>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</si>
  <si>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Worksheet 2A -- General Information and Input Data for Rural Two-Lane Two-Way Roadway Intersections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</si>
  <si>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</si>
  <si>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</si>
  <si>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</si>
  <si>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</si>
  <si>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</si>
  <si>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Number of signalized or uncontrolled approaches with a left-turn lane (0, 1, 2, 3, 4)</t>
  </si>
  <si>
    <t>Number of signalized or uncontrolled approaches with a right-turn lane (0, 1, 2, 3, 4)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</si>
  <si>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</si>
  <si>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</si>
  <si>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</si>
  <si>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</si>
  <si>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</si>
  <si>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</si>
  <si>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</si>
  <si>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</si>
  <si>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</si>
  <si>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Worksheet 2B -- Crash Modification Factors for Rural Two-Lane Two-Way Roadway Intersections</t>
  </si>
  <si>
    <t>CMF for Intersection Skew Angle</t>
  </si>
  <si>
    <t>from Equations 10-22 or 10-23</t>
  </si>
  <si>
    <t>CMF for Left-Turn Lanes</t>
  </si>
  <si>
    <t>CMF for Right-Turn Lanes</t>
  </si>
  <si>
    <t>Combined CMF</t>
  </si>
  <si>
    <t>(1)*(2)*(3)*(4)</t>
  </si>
  <si>
    <t>Worksheet 2C -- Intersection Crashes for Rural Two-Lane Two-Way Roadway Intersections</t>
  </si>
  <si>
    <r>
      <t xml:space="preserve">N </t>
    </r>
    <r>
      <rPr>
        <vertAlign val="subscript"/>
        <sz val="10"/>
        <rFont val="Arial"/>
        <family val="2"/>
      </rPr>
      <t>spf 3ST, 4ST or 4SG</t>
    </r>
  </si>
  <si>
    <r>
      <t>N</t>
    </r>
    <r>
      <rPr>
        <vertAlign val="subscript"/>
        <sz val="10"/>
        <rFont val="Arial"/>
        <family val="2"/>
      </rPr>
      <t xml:space="preserve"> spf 3ST, 4ST or 4SG</t>
    </r>
    <r>
      <rPr>
        <sz val="10"/>
        <rFont val="Arial"/>
        <family val="2"/>
      </rPr>
      <t xml:space="preserve"> by Severity Distribution</t>
    </r>
  </si>
  <si>
    <t>from Equations 10-8, 10-9, or 10-10</t>
  </si>
  <si>
    <t>from Section 10.6.2</t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</si>
  <si>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(4)</t>
    </r>
  </si>
  <si>
    <t>(5)*(6)*(7)</t>
  </si>
  <si>
    <t>Worksheet 2D -- Crashes by Severity Level and Collision Type for Rural Two-Lane Two-Way Road Intersections</t>
  </si>
  <si>
    <t>Worksheet 2E -- Summary Results for Rural Two-Lane Two-Way Road Intersections</t>
  </si>
  <si>
    <t>(4) from Worksheet 2C</t>
  </si>
  <si>
    <t>[If 4ST, does skew differ for minor legs?]</t>
  </si>
  <si>
    <t>Differ</t>
  </si>
  <si>
    <t>Skew for Leg 1 (All):</t>
  </si>
  <si>
    <t>Skew for Leg 2 (4ST only):</t>
  </si>
  <si>
    <r>
      <t>Number of approaches with left-turn lanes</t>
    </r>
    <r>
      <rPr>
        <b/>
        <vertAlign val="superscript"/>
        <sz val="10"/>
        <rFont val="Arial"/>
        <family val="2"/>
      </rPr>
      <t xml:space="preserve"> a</t>
    </r>
  </si>
  <si>
    <t>Intersection type</t>
  </si>
  <si>
    <t>Intersection traffic control</t>
  </si>
  <si>
    <t>Three-leg intersection</t>
  </si>
  <si>
    <t>Traffic signal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</si>
  <si>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left-turn lanes</t>
    </r>
  </si>
  <si>
    <t>Note: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</si>
  <si>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Stop signs present on minor road approaches only.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</si>
  <si>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right-turn lanes</t>
    </r>
  </si>
  <si>
    <t>Intersection Type</t>
  </si>
  <si>
    <t>HSM Provided Values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</si>
  <si>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</si>
  <si>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r>
      <t xml:space="preserve">Predicted average crash frequency,   N </t>
    </r>
    <r>
      <rPr>
        <vertAlign val="subscript"/>
        <sz val="10"/>
        <rFont val="Arial"/>
        <family val="2"/>
      </rPr>
      <t>predicted int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</si>
  <si>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</si>
  <si>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</si>
  <si>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</si>
  <si>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</si>
  <si>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</si>
  <si>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</si>
  <si>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</si>
  <si>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(8) from Worksheet 2C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</si>
  <si>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</si>
  <si>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</si>
  <si>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</si>
  <si>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</si>
  <si>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</si>
  <si>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</si>
  <si>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</si>
  <si>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</si>
  <si>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</si>
  <si>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</si>
  <si>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</si>
  <si>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</si>
  <si>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Overview</t>
  </si>
  <si>
    <t>Color Coding in the Worksheets</t>
  </si>
  <si>
    <t>This spreadsheet has been developed to demonstrate the predictive models</t>
  </si>
  <si>
    <t>identify locations where input data is required.  In some cases,</t>
  </si>
  <si>
    <t>The content was developed for training purposes and all users should</t>
  </si>
  <si>
    <t>the shaded cells require the user to input specific numbers. In</t>
  </si>
  <si>
    <t>verify that the answers they obtain with these worksheets correctly</t>
  </si>
  <si>
    <t>other cases the input is restricted to a select set of options</t>
  </si>
  <si>
    <t>represent their target analysis.</t>
  </si>
  <si>
    <t>included in pull-down lists. The respective color coding is as</t>
  </si>
  <si>
    <t>follows:</t>
  </si>
  <si>
    <t>Color Used</t>
  </si>
  <si>
    <t>Type of Information Required from User</t>
  </si>
  <si>
    <t>that can be performed using this spreadsheet tool and the HSM predictive</t>
  </si>
  <si>
    <t>methods. A user can evaluate an individual road segment or intersection as</t>
  </si>
  <si>
    <t>Required input information as identified</t>
  </si>
  <si>
    <t>well as analyze multiple road segments and intersections. If more than one</t>
  </si>
  <si>
    <t>in the HSM.</t>
  </si>
  <si>
    <t xml:space="preserve">Input data required from the user but </t>
  </si>
  <si>
    <t>restricted to options provided in pull-down</t>
  </si>
  <si>
    <t>boxes.</t>
  </si>
  <si>
    <t>The current contents of this spreadsheet include the following:</t>
  </si>
  <si>
    <t>Optional input information that can be used</t>
  </si>
  <si>
    <t>to supplement the analysis if this information</t>
  </si>
  <si>
    <t>Worksheet Name</t>
  </si>
  <si>
    <t>Contents</t>
  </si>
  <si>
    <t>is available.  This optional input information</t>
  </si>
  <si>
    <t>is reserved for locally-derived crash information.</t>
  </si>
  <si>
    <t>Instructions</t>
  </si>
  <si>
    <t>Current worksheet displaying overview, summary</t>
  </si>
  <si>
    <t>If the analyst elects to use this option so as</t>
  </si>
  <si>
    <t>of spreadsheet worksheets, and description of</t>
  </si>
  <si>
    <t>to improve analysis for local crash distribution</t>
  </si>
  <si>
    <t>color coding included in the worksheets.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</si>
  <si>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</si>
  <si>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</si>
  <si>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</si>
  <si>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</si>
  <si>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</si>
  <si>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</si>
  <si>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Analysis for site-specific EB analysis using</t>
  </si>
  <si>
    <t xml:space="preserve">Analysis for project-specific EB analysis using 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</si>
  <si>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</si>
  <si>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</si>
  <si>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</si>
  <si>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</si>
  <si>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</si>
  <si>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</si>
  <si>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</si>
  <si>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for rural two-lane highways as contained in the new Highway Safety Manual.</t>
  </si>
  <si>
    <t>segment type requires analysis, the user should create a blank worksheet</t>
  </si>
  <si>
    <t>and then copy the contents of the segment worksheet into the blank</t>
  </si>
  <si>
    <t>sheet and name the worksheet accordingly.</t>
  </si>
  <si>
    <t>The worksheets include three specific color options to help users</t>
  </si>
  <si>
    <t>KKD</t>
  </si>
  <si>
    <t>SH 321</t>
  </si>
  <si>
    <t>Anywhere, USA</t>
  </si>
  <si>
    <t>Worksheet 3A -- Predicted and Observed Crashes by Severity and Site Type Using the Site-Specific EB Method</t>
  </si>
  <si>
    <t>Site type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</si>
  <si>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</si>
  <si>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</si>
  <si>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</si>
  <si>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</si>
  <si>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</si>
  <si>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</si>
  <si>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Equation A-5 from Part C Appendix</t>
  </si>
  <si>
    <t>Equation   A-4 from Part C Appendix</t>
  </si>
  <si>
    <t>ROADWAY SEGMENTS</t>
  </si>
  <si>
    <t>Segment 3</t>
  </si>
  <si>
    <t>Segment 4</t>
  </si>
  <si>
    <t>Segment 5</t>
  </si>
  <si>
    <t>Segment 6</t>
  </si>
  <si>
    <t>Segment 7</t>
  </si>
  <si>
    <t>Segment 8</t>
  </si>
  <si>
    <t>INTERSECTIONS</t>
  </si>
  <si>
    <t>Intersection 1</t>
  </si>
  <si>
    <t>Intersection 2</t>
  </si>
  <si>
    <t>Intersection 3</t>
  </si>
  <si>
    <t>Intersection 4</t>
  </si>
  <si>
    <t>Intersection 5</t>
  </si>
  <si>
    <t>Intersection 6</t>
  </si>
  <si>
    <t>Intersection 7</t>
  </si>
  <si>
    <t>Intersection 8</t>
  </si>
  <si>
    <t>COMBINED (sum of column)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</si>
  <si>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</si>
  <si>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</si>
  <si>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</si>
  <si>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</si>
  <si>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</si>
  <si>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</si>
  <si>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</si>
  <si>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</si>
  <si>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Property damage only (PDO)</t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</si>
  <si>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</si>
  <si>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</si>
  <si>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Worksheet 4A -- Predicted and Observed Crashes by Severity and Site Type Using the Project-Level EB Method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</si>
  <si>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</si>
  <si>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</si>
  <si>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</si>
  <si>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</si>
  <si>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</si>
  <si>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</si>
  <si>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p/comb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</si>
  <si>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(FI)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</si>
  <si>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</si>
  <si>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</si>
  <si>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t>Equation   A-10</t>
  </si>
  <si>
    <t>Equation   A-11</t>
  </si>
  <si>
    <t>Equation   A-12</t>
  </si>
  <si>
    <t>Equation   A-13</t>
  </si>
  <si>
    <t>Equation   A-14</t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</si>
  <si>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</si>
  <si>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</si>
  <si>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</si>
  <si>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</si>
  <si>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</si>
  <si>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Segment 1</t>
  </si>
  <si>
    <t>Segment 2</t>
  </si>
  <si>
    <t>Rural 2-lane Site Total</t>
  </si>
  <si>
    <t>results from the rural 2-lane segment as well as</t>
  </si>
  <si>
    <t>rural 2-lane intersection worksheets. This</t>
  </si>
  <si>
    <t>knows the exact location of historic crashes</t>
  </si>
  <si>
    <t>within the study limits. The associated</t>
  </si>
  <si>
    <t>HSM worksheets are 3A and 3B.</t>
  </si>
  <si>
    <t>Rural 2-lane Project Total</t>
  </si>
  <si>
    <t>analysis can be performed if the analyst has</t>
  </si>
  <si>
    <t>historic crash data, but does not know the</t>
  </si>
  <si>
    <t>exact location within the project limits at</t>
  </si>
  <si>
    <t>which the crashes occurred. The associated</t>
  </si>
  <si>
    <t>HSM worksheets are Worksheets 4A and 4B.</t>
  </si>
  <si>
    <t>Duplicate segment worksheet for additional</t>
  </si>
  <si>
    <t>highway segments.</t>
  </si>
  <si>
    <t>Duplicate intersection worksheet for</t>
  </si>
  <si>
    <t>additional highway segments.</t>
  </si>
  <si>
    <t>Tables Affiliated with Crash Statistics:</t>
  </si>
  <si>
    <t>Tables Affiliated with Crash Modification Factors:</t>
  </si>
  <si>
    <t>Supplemental CMF Calculations for Shoulders:</t>
  </si>
  <si>
    <t>Segment Tables</t>
  </si>
  <si>
    <t xml:space="preserve">provided crash trends as well as locally-derived crash </t>
  </si>
  <si>
    <t>Includes segment tables used for analysis of HSM-</t>
  </si>
  <si>
    <t>Analysis for the rural 2-lane segments that</t>
  </si>
  <si>
    <t>uses lookup tables from exhibits included</t>
  </si>
  <si>
    <t>Analysis for the rural 2-lane intersections that</t>
  </si>
  <si>
    <t>Intersection Tables</t>
  </si>
  <si>
    <t>Includes intersection tables used for analysis of HSM-</t>
  </si>
  <si>
    <t>provided crash trends as well as locally-derived crash</t>
  </si>
  <si>
    <t>analysis can be performed if the analyst</t>
  </si>
  <si>
    <t>in the worksheet "Segment Tables." The</t>
  </si>
  <si>
    <t>associated HSM worksheets are 1A, 1B, 1C,</t>
  </si>
  <si>
    <t>1D, and 1E.</t>
  </si>
  <si>
    <t>in the worksheet "Intersection Tables." The</t>
  </si>
  <si>
    <t>associated HSM worksheets are 2A, 2B, 2C,</t>
  </si>
  <si>
    <t>2D, and 2E.</t>
  </si>
  <si>
    <t>Construction -- Do Not Delete</t>
  </si>
  <si>
    <t>The page tabs shown at the bottom of this file represent the various analyses</t>
  </si>
  <si>
    <t>Supplemental CMF Calculations for Horizontal Curves:</t>
  </si>
  <si>
    <t>Adjusted Curve Length (if less than 100 ft):</t>
  </si>
  <si>
    <t>Adjusted Curve Radius (if less than 100 ft):</t>
  </si>
  <si>
    <t>One End Only</t>
  </si>
  <si>
    <t>Numeric Value for S:</t>
  </si>
  <si>
    <t>Calculated Horizonatal Curve CMF:</t>
  </si>
  <si>
    <t>Adjusted Horizontal Curve CMF:</t>
  </si>
  <si>
    <t>Predicted average crash frequency,      N predicted rs (crashes/year)</t>
  </si>
  <si>
    <r>
      <t>CMF</t>
    </r>
    <r>
      <rPr>
        <vertAlign val="subscript"/>
        <sz val="10"/>
        <rFont val="Arial"/>
        <family val="2"/>
      </rPr>
      <t xml:space="preserve"> 1i</t>
    </r>
  </si>
  <si>
    <r>
      <t>CMF</t>
    </r>
    <r>
      <rPr>
        <vertAlign val="subscript"/>
        <sz val="10"/>
        <rFont val="Arial"/>
        <family val="2"/>
      </rPr>
      <t xml:space="preserve"> 2i</t>
    </r>
  </si>
  <si>
    <r>
      <t>CMF</t>
    </r>
    <r>
      <rPr>
        <vertAlign val="subscript"/>
        <sz val="10"/>
        <rFont val="Arial"/>
        <family val="2"/>
      </rPr>
      <t xml:space="preserve"> 3i</t>
    </r>
  </si>
  <si>
    <r>
      <t>CMF</t>
    </r>
    <r>
      <rPr>
        <vertAlign val="subscript"/>
        <sz val="10"/>
        <rFont val="Arial"/>
        <family val="2"/>
      </rPr>
      <t xml:space="preserve"> 4i</t>
    </r>
  </si>
  <si>
    <r>
      <t>CMF</t>
    </r>
    <r>
      <rPr>
        <vertAlign val="subscript"/>
        <sz val="10"/>
        <rFont val="Arial"/>
        <family val="2"/>
      </rPr>
      <t xml:space="preserve"> COMB</t>
    </r>
  </si>
  <si>
    <t>from (5) of Worksheet 2B</t>
  </si>
  <si>
    <t>COMBINED</t>
  </si>
  <si>
    <t>MP 3.5 to MP 3.6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</si>
  <si>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</si>
  <si>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</si>
  <si>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</si>
  <si>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</si>
  <si>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t>Table 10-5: Default Distribution for Crash Severity Level at Rural Two-Lane Two-Way Intersections plus Locally-Derived Values</t>
  </si>
  <si>
    <t>Table 10-6: Default Distribution for Collision Type and Manner of Collision at Rural Two-Way Intersections plus Locally-Derived Values</t>
  </si>
  <si>
    <t>Note:  HSM-Provided values based on HSIS data for California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</si>
  <si>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</si>
  <si>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</si>
  <si>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</si>
  <si>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from Table 10-11</t>
  </si>
  <si>
    <t>from Equation 10-18 &amp; 10-19</t>
  </si>
  <si>
    <t>Note:  HSM-provided values based on HSIS data for Washington (2002-2006)</t>
  </si>
  <si>
    <t>Table 10-12: Nighttime Crash Proportions for Unlighted Roadway Segments plus Locally-Derived Values</t>
  </si>
  <si>
    <t>from  Equation 10-6</t>
  </si>
  <si>
    <t>from Table 10-3 (proportion)</t>
  </si>
  <si>
    <t>from Table 10-4</t>
  </si>
  <si>
    <t xml:space="preserve">  from Table   10-4</t>
  </si>
  <si>
    <t>Crash Severity Distribution (proportion)</t>
  </si>
  <si>
    <t xml:space="preserve">  from Table  10-5</t>
  </si>
  <si>
    <t xml:space="preserve">    from Table  10-6</t>
  </si>
  <si>
    <t>from Table 10-6</t>
  </si>
  <si>
    <r>
      <t xml:space="preserve">Crash Severity Distribution </t>
    </r>
    <r>
      <rPr>
        <sz val="10"/>
        <rFont val="Arial"/>
        <family val="2"/>
      </rPr>
      <t>(proportion)</t>
    </r>
  </si>
  <si>
    <r>
      <t>Table 10-13: CMF for Installation of Left-Turn Lanes on Intersection Approaches (CMF</t>
    </r>
    <r>
      <rPr>
        <b/>
        <vertAlign val="subscript"/>
        <sz val="10"/>
        <rFont val="Arial"/>
        <family val="2"/>
      </rPr>
      <t>2i</t>
    </r>
    <r>
      <rPr>
        <b/>
        <sz val="10"/>
        <rFont val="Arial"/>
        <family val="2"/>
      </rPr>
      <t>)</t>
    </r>
  </si>
  <si>
    <r>
      <t xml:space="preserve">Minor road stop control </t>
    </r>
    <r>
      <rPr>
        <vertAlign val="superscript"/>
        <sz val="10"/>
        <rFont val="Arial"/>
        <family val="2"/>
      </rPr>
      <t>b</t>
    </r>
  </si>
  <si>
    <t>Four-leg intersection</t>
  </si>
  <si>
    <r>
      <t>Table 10-14: CMF for Installation of Right-Turn Lanes on Intersection Approaches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</t>
    </r>
  </si>
  <si>
    <t>Table 10-15: Nighttime Crash Proportions for Unlighted Intersections</t>
  </si>
  <si>
    <t>Main Street at 2nd Street</t>
  </si>
  <si>
    <t>Main Street at 1st Street</t>
  </si>
  <si>
    <t>from Table 10-13</t>
  </si>
  <si>
    <t>from Table 10-14</t>
  </si>
  <si>
    <t>from Equation 10-24</t>
  </si>
  <si>
    <t>information.  These are HSM Tables 10-3, 10-4,</t>
  </si>
  <si>
    <t>and 10-12. This worksheet also includes tables</t>
  </si>
  <si>
    <t>used for CMF calculations.  These tables</t>
  </si>
  <si>
    <t>include Table 10-8, 10-9, and 10-10.</t>
  </si>
  <si>
    <t>information. These are HSM Tables 10-5, 10-6,</t>
  </si>
  <si>
    <t>and 10-15. This worksheet also includes tables</t>
  </si>
  <si>
    <t>used for CMF calculations. These tables</t>
  </si>
  <si>
    <t>include Tables 10-13 and 10-14.</t>
  </si>
  <si>
    <t>Highway Safety Manual 1st Edition, Volume 2, Chapter 10 -- Predictive Method for Rural Two-Lane, Two-Way Roads -- Analysis Spreadsheet Summary</t>
  </si>
  <si>
    <t>Locally-Derived Values (Oregon)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</si>
  <si>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</si>
  <si>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(veh/day)</t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</si>
  <si>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</si>
  <si>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</si>
  <si>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</si>
  <si>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</si>
  <si>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</si>
  <si>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</si>
  <si>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</si>
  <si>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</si>
  <si>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MP 0.0 to MP 1.5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</si>
  <si>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</si>
  <si>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</si>
  <si>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</si>
  <si>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</si>
  <si>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</si>
  <si>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</si>
  <si>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</si>
  <si>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</si>
  <si>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</si>
  <si>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Percentage of total crashes by collision type (Locally-Derived Values for Oregon)</t>
  </si>
  <si>
    <t>Oregon Calibration Factor: 0.74</t>
  </si>
  <si>
    <t>Cr</t>
  </si>
  <si>
    <t>Oregon Calibration Factor- auto filled based on intersection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</si>
</sst>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double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ck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ck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Border="1" applyAlignment="1" quotePrefix="1">
      <alignment horizontal="center"/>
    </xf>
    <xf numFmtId="0" fontId="0" fillId="0" borderId="32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6" xfId="0" applyFont="1" applyFill="1" applyBorder="1" applyAlignment="1" quotePrefix="1">
      <alignment horizontal="center" vertical="top"/>
    </xf>
    <xf numFmtId="0" fontId="0" fillId="0" borderId="11" xfId="0" applyFont="1" applyFill="1" applyBorder="1" applyAlignment="1" quotePrefix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28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64" fontId="0" fillId="0" borderId="16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2" fontId="0" fillId="0" borderId="16" xfId="0" applyNumberForma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3" xfId="0" applyFont="1" applyBorder="1" applyAlignment="1">
      <alignment/>
    </xf>
    <xf numFmtId="2" fontId="0" fillId="0" borderId="3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4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ont="1" applyFill="1" applyBorder="1" applyAlignment="1" quotePrefix="1">
      <alignment horizontal="center" vertical="top"/>
    </xf>
    <xf numFmtId="168" fontId="0" fillId="0" borderId="16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164" fontId="0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168" fontId="0" fillId="0" borderId="16" xfId="0" applyNumberFormat="1" applyFon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 vertical="top"/>
    </xf>
    <xf numFmtId="168" fontId="0" fillId="0" borderId="16" xfId="0" applyNumberForma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68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8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8" fontId="0" fillId="0" borderId="29" xfId="0" applyNumberFormat="1" applyFont="1" applyFill="1" applyBorder="1" applyAlignment="1" quotePrefix="1">
      <alignment horizontal="center" vertical="center"/>
    </xf>
    <xf numFmtId="166" fontId="0" fillId="0" borderId="29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64" fontId="0" fillId="0" borderId="29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0" fontId="0" fillId="33" borderId="15" xfId="0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6" xfId="0" applyFill="1" applyBorder="1" applyAlignment="1" quotePrefix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1" xfId="0" applyFill="1" applyBorder="1" applyAlignment="1" quotePrefix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23" xfId="0" applyNumberFormat="1" applyFill="1" applyBorder="1" applyAlignment="1">
      <alignment horizontal="center"/>
    </xf>
    <xf numFmtId="166" fontId="0" fillId="35" borderId="24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166" fontId="0" fillId="35" borderId="21" xfId="0" applyNumberFormat="1" applyFill="1" applyBorder="1" applyAlignment="1">
      <alignment horizontal="center"/>
    </xf>
    <xf numFmtId="166" fontId="0" fillId="35" borderId="24" xfId="0" applyNumberFormat="1" applyFont="1" applyFill="1" applyBorder="1" applyAlignment="1">
      <alignment horizontal="center"/>
    </xf>
    <xf numFmtId="166" fontId="0" fillId="35" borderId="22" xfId="0" applyNumberFormat="1" applyFill="1" applyBorder="1" applyAlignment="1">
      <alignment horizontal="center"/>
    </xf>
    <xf numFmtId="166" fontId="0" fillId="35" borderId="35" xfId="0" applyNumberFormat="1" applyFill="1" applyBorder="1" applyAlignment="1">
      <alignment horizontal="center"/>
    </xf>
    <xf numFmtId="166" fontId="0" fillId="35" borderId="3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164" fontId="0" fillId="0" borderId="28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0" xfId="0" applyNumberFormat="1" applyFont="1" applyBorder="1" applyAlignment="1">
      <alignment/>
    </xf>
    <xf numFmtId="164" fontId="0" fillId="35" borderId="11" xfId="0" applyNumberFormat="1" applyFill="1" applyBorder="1" applyAlignment="1">
      <alignment horizontal="center"/>
    </xf>
    <xf numFmtId="0" fontId="0" fillId="36" borderId="37" xfId="0" applyFont="1" applyFill="1" applyBorder="1" applyAlignment="1">
      <alignment horizontal="right"/>
    </xf>
    <xf numFmtId="3" fontId="0" fillId="36" borderId="38" xfId="0" applyNumberFormat="1" applyFill="1" applyBorder="1" applyAlignment="1">
      <alignment horizontal="center"/>
    </xf>
    <xf numFmtId="0" fontId="0" fillId="36" borderId="39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33" borderId="3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42" xfId="0" applyFill="1" applyBorder="1" applyAlignment="1">
      <alignment/>
    </xf>
    <xf numFmtId="0" fontId="0" fillId="0" borderId="22" xfId="0" applyBorder="1" applyAlignment="1">
      <alignment/>
    </xf>
    <xf numFmtId="0" fontId="0" fillId="34" borderId="22" xfId="0" applyFon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quotePrefix="1">
      <alignment horizontal="center"/>
    </xf>
    <xf numFmtId="0" fontId="0" fillId="34" borderId="21" xfId="0" applyFill="1" applyBorder="1" applyAlignment="1">
      <alignment horizontal="center"/>
    </xf>
    <xf numFmtId="0" fontId="0" fillId="0" borderId="17" xfId="0" applyBorder="1" applyAlignment="1" quotePrefix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ont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30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4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Border="1" applyAlignment="1" quotePrefix="1">
      <alignment horizontal="center" vertical="top" wrapText="1"/>
    </xf>
    <xf numFmtId="0" fontId="0" fillId="0" borderId="33" xfId="0" applyBorder="1" applyAlignment="1" quotePrefix="1">
      <alignment horizontal="center"/>
    </xf>
    <xf numFmtId="0" fontId="0" fillId="0" borderId="49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33" xfId="0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0" fillId="0" borderId="2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50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3" xfId="0" applyFill="1" applyBorder="1" applyAlignment="1" quotePrefix="1">
      <alignment horizontal="center"/>
    </xf>
    <xf numFmtId="0" fontId="0" fillId="0" borderId="31" xfId="0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0" borderId="31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30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51" xfId="0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52" xfId="0" applyBorder="1" applyAlignment="1" quotePrefix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3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0" xfId="0" applyBorder="1" applyAlignment="1" quotePrefix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/>
    </xf>
    <xf numFmtId="164" fontId="0" fillId="35" borderId="23" xfId="0" applyNumberFormat="1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7" xfId="0" applyBorder="1" applyAlignment="1">
      <alignment/>
    </xf>
    <xf numFmtId="166" fontId="0" fillId="35" borderId="0" xfId="0" applyNumberFormat="1" applyFill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166" fontId="0" fillId="0" borderId="5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49" fontId="0" fillId="0" borderId="4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166" fontId="0" fillId="0" borderId="30" xfId="0" applyNumberFormat="1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9" fontId="0" fillId="0" borderId="55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4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35" borderId="16" xfId="0" applyNumberFormat="1" applyFill="1" applyBorder="1" applyAlignment="1">
      <alignment horizontal="center"/>
    </xf>
    <xf numFmtId="166" fontId="0" fillId="35" borderId="17" xfId="0" applyNumberForma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56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166" fontId="0" fillId="35" borderId="21" xfId="0" applyNumberFormat="1" applyFill="1" applyBorder="1" applyAlignment="1">
      <alignment horizontal="center"/>
    </xf>
    <xf numFmtId="0" fontId="0" fillId="0" borderId="52" xfId="0" applyFont="1" applyFill="1" applyBorder="1" applyAlignment="1" quotePrefix="1">
      <alignment horizontal="center"/>
    </xf>
    <xf numFmtId="0" fontId="0" fillId="0" borderId="57" xfId="0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2" fontId="0" fillId="0" borderId="5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 wrapText="1"/>
    </xf>
    <xf numFmtId="164" fontId="0" fillId="0" borderId="23" xfId="0" applyNumberFormat="1" applyFill="1" applyBorder="1" applyAlignment="1">
      <alignment horizontal="center" vertical="top"/>
    </xf>
    <xf numFmtId="164" fontId="0" fillId="0" borderId="31" xfId="0" applyNumberFormat="1" applyFill="1" applyBorder="1" applyAlignment="1">
      <alignment horizontal="center" vertical="top"/>
    </xf>
    <xf numFmtId="2" fontId="0" fillId="0" borderId="23" xfId="0" applyNumberForma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16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164" fontId="0" fillId="0" borderId="16" xfId="0" applyNumberForma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top"/>
    </xf>
    <xf numFmtId="164" fontId="0" fillId="0" borderId="15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3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6" fontId="0" fillId="0" borderId="1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19" xfId="0" applyNumberForma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2" fontId="0" fillId="0" borderId="38" xfId="0" applyNumberFormat="1" applyFill="1" applyBorder="1" applyAlignment="1">
      <alignment/>
    </xf>
    <xf numFmtId="2" fontId="0" fillId="0" borderId="58" xfId="0" applyNumberForma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12" xfId="0" applyFont="1" applyBorder="1" applyAlignment="1" quotePrefix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7" xfId="0" applyFont="1" applyFill="1" applyBorder="1" applyAlignment="1" quotePrefix="1">
      <alignment horizontal="center"/>
    </xf>
    <xf numFmtId="0" fontId="0" fillId="0" borderId="50" xfId="0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2" fontId="0" fillId="0" borderId="48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0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21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20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5" borderId="22" xfId="0" applyNumberFormat="1" applyFill="1" applyBorder="1" applyAlignment="1">
      <alignment horizontal="center"/>
    </xf>
    <xf numFmtId="166" fontId="0" fillId="35" borderId="42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166" fontId="0" fillId="0" borderId="42" xfId="0" applyNumberFormat="1" applyBorder="1" applyAlignment="1">
      <alignment horizontal="center"/>
    </xf>
    <xf numFmtId="166" fontId="0" fillId="35" borderId="24" xfId="0" applyNumberFormat="1" applyFill="1" applyBorder="1" applyAlignment="1">
      <alignment horizontal="center"/>
    </xf>
    <xf numFmtId="166" fontId="0" fillId="35" borderId="35" xfId="0" applyNumberFormat="1" applyFill="1" applyBorder="1" applyAlignment="1">
      <alignment horizontal="center"/>
    </xf>
    <xf numFmtId="166" fontId="0" fillId="35" borderId="36" xfId="0" applyNumberFormat="1" applyFill="1" applyBorder="1" applyAlignment="1">
      <alignment horizontal="center"/>
    </xf>
    <xf numFmtId="166" fontId="0" fillId="35" borderId="60" xfId="0" applyNumberFormat="1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6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166" fontId="0" fillId="0" borderId="61" xfId="0" applyNumberFormat="1" applyFill="1" applyBorder="1" applyAlignment="1">
      <alignment horizontal="center"/>
    </xf>
    <xf numFmtId="166" fontId="0" fillId="0" borderId="62" xfId="0" applyNumberFormat="1" applyFill="1" applyBorder="1" applyAlignment="1">
      <alignment horizontal="center"/>
    </xf>
    <xf numFmtId="49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166" fontId="0" fillId="0" borderId="61" xfId="0" applyNumberFormat="1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49" fontId="0" fillId="0" borderId="64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166" fontId="0" fillId="0" borderId="56" xfId="0" applyNumberFormat="1" applyFill="1" applyBorder="1" applyAlignment="1">
      <alignment horizontal="center"/>
    </xf>
    <xf numFmtId="166" fontId="0" fillId="0" borderId="65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63" xfId="0" applyNumberFormat="1" applyFill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166" fontId="0" fillId="0" borderId="64" xfId="0" applyNumberFormat="1" applyBorder="1" applyAlignment="1">
      <alignment horizontal="center"/>
    </xf>
    <xf numFmtId="166" fontId="0" fillId="0" borderId="63" xfId="0" applyNumberFormat="1" applyBorder="1" applyAlignment="1">
      <alignment horizontal="center"/>
    </xf>
    <xf numFmtId="166" fontId="0" fillId="0" borderId="60" xfId="0" applyNumberForma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66" fontId="0" fillId="0" borderId="43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4" xfId="0" applyNumberFormat="1" applyFill="1" applyBorder="1" applyAlignment="1">
      <alignment horizontal="center"/>
    </xf>
    <xf numFmtId="49" fontId="0" fillId="0" borderId="65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54" xfId="0" applyBorder="1" applyAlignment="1">
      <alignment/>
    </xf>
    <xf numFmtId="0" fontId="3" fillId="0" borderId="0" xfId="0" applyFont="1" applyBorder="1" applyAlignment="1">
      <alignment/>
    </xf>
    <xf numFmtId="49" fontId="3" fillId="0" borderId="32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66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55" xfId="0" applyBorder="1" applyAlignment="1">
      <alignment/>
    </xf>
    <xf numFmtId="49" fontId="0" fillId="0" borderId="63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49" fontId="3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wrapText="1"/>
    </xf>
    <xf numFmtId="164" fontId="0" fillId="0" borderId="11" xfId="0" applyNumberForma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164" fontId="0" fillId="35" borderId="30" xfId="0" applyNumberFormat="1" applyFont="1" applyFill="1" applyBorder="1" applyAlignment="1">
      <alignment horizont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5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" fontId="0" fillId="0" borderId="17" xfId="0" applyNumberFormat="1" applyFont="1" applyBorder="1" applyAlignment="1" quotePrefix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2" fontId="0" fillId="0" borderId="16" xfId="0" applyNumberFormat="1" applyFont="1" applyBorder="1" applyAlignment="1" quotePrefix="1">
      <alignment horizontal="center" vertical="top"/>
    </xf>
    <xf numFmtId="2" fontId="0" fillId="0" borderId="16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2" fontId="0" fillId="0" borderId="43" xfId="0" applyNumberFormat="1" applyBorder="1" applyAlignment="1">
      <alignment horizontal="center" vertical="top"/>
    </xf>
    <xf numFmtId="0" fontId="2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55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3" fillId="0" borderId="15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6" fontId="0" fillId="0" borderId="19" xfId="0" applyNumberFormat="1" applyBorder="1" applyAlignment="1">
      <alignment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30" xfId="0" applyNumberFormat="1" applyBorder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8" fontId="0" fillId="0" borderId="2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12</xdr:row>
      <xdr:rowOff>152400</xdr:rowOff>
    </xdr:from>
    <xdr:to>
      <xdr:col>24</xdr:col>
      <xdr:colOff>257175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0175" y="2238375"/>
          <a:ext cx="39528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12</xdr:row>
      <xdr:rowOff>152400</xdr:rowOff>
    </xdr:from>
    <xdr:to>
      <xdr:col>20</xdr:col>
      <xdr:colOff>419100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2238375"/>
          <a:ext cx="39624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zoomScalePageLayoutView="0" workbookViewId="0" topLeftCell="A34">
      <selection activeCell="A1" sqref="A1"/>
    </sheetView>
  </sheetViews>
  <sheetFormatPr defaultColWidth="9.140625" defaultRowHeight="12.75"/>
  <sheetData>
    <row r="2" spans="2:16" ht="12.75">
      <c r="B2" s="241" t="s">
        <v>485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4" spans="2:11" ht="12.75">
      <c r="B4" s="118" t="s">
        <v>273</v>
      </c>
      <c r="K4" s="118" t="s">
        <v>274</v>
      </c>
    </row>
    <row r="6" spans="2:11" ht="12.75">
      <c r="B6" s="64" t="s">
        <v>275</v>
      </c>
      <c r="K6" s="64" t="s">
        <v>326</v>
      </c>
    </row>
    <row r="7" spans="2:11" ht="12.75">
      <c r="B7" s="64" t="s">
        <v>322</v>
      </c>
      <c r="K7" s="64" t="s">
        <v>276</v>
      </c>
    </row>
    <row r="8" spans="2:11" ht="12.75">
      <c r="B8" s="64" t="s">
        <v>277</v>
      </c>
      <c r="K8" s="64" t="s">
        <v>278</v>
      </c>
    </row>
    <row r="9" spans="2:11" ht="12.75">
      <c r="B9" s="64" t="s">
        <v>279</v>
      </c>
      <c r="K9" s="64" t="s">
        <v>280</v>
      </c>
    </row>
    <row r="10" spans="2:11" ht="12.75">
      <c r="B10" s="64" t="s">
        <v>281</v>
      </c>
      <c r="K10" s="64" t="s">
        <v>282</v>
      </c>
    </row>
    <row r="11" ht="12.75">
      <c r="K11" s="64" t="s">
        <v>283</v>
      </c>
    </row>
    <row r="13" spans="2:13" ht="12.75">
      <c r="B13" s="64" t="s">
        <v>427</v>
      </c>
      <c r="K13" s="118" t="s">
        <v>284</v>
      </c>
      <c r="M13" s="118" t="s">
        <v>285</v>
      </c>
    </row>
    <row r="14" ht="12.75">
      <c r="B14" s="64" t="s">
        <v>286</v>
      </c>
    </row>
    <row r="15" spans="2:13" ht="12.75">
      <c r="B15" s="64" t="s">
        <v>287</v>
      </c>
      <c r="K15" s="186"/>
      <c r="M15" s="64" t="s">
        <v>288</v>
      </c>
    </row>
    <row r="16" spans="2:13" ht="12.75">
      <c r="B16" s="64" t="s">
        <v>289</v>
      </c>
      <c r="K16" s="187"/>
      <c r="M16" s="64" t="s">
        <v>290</v>
      </c>
    </row>
    <row r="17" ht="12.75">
      <c r="B17" s="64" t="s">
        <v>323</v>
      </c>
    </row>
    <row r="18" spans="2:13" ht="12.75">
      <c r="B18" s="64" t="s">
        <v>324</v>
      </c>
      <c r="K18" s="188"/>
      <c r="M18" s="64" t="s">
        <v>291</v>
      </c>
    </row>
    <row r="19" spans="2:13" ht="12.75">
      <c r="B19" s="64" t="s">
        <v>325</v>
      </c>
      <c r="K19" s="189"/>
      <c r="M19" s="64" t="s">
        <v>292</v>
      </c>
    </row>
    <row r="20" spans="2:13" ht="12.75">
      <c r="B20" s="64"/>
      <c r="M20" s="64" t="s">
        <v>293</v>
      </c>
    </row>
    <row r="22" spans="2:13" ht="12.75">
      <c r="B22" s="64" t="s">
        <v>294</v>
      </c>
      <c r="K22" s="190"/>
      <c r="M22" s="64" t="s">
        <v>295</v>
      </c>
    </row>
    <row r="23" spans="11:13" ht="12.75">
      <c r="K23" s="191"/>
      <c r="M23" s="64" t="s">
        <v>296</v>
      </c>
    </row>
    <row r="24" spans="2:13" ht="12.75">
      <c r="B24" s="118" t="s">
        <v>297</v>
      </c>
      <c r="E24" s="119" t="s">
        <v>298</v>
      </c>
      <c r="M24" s="64" t="s">
        <v>299</v>
      </c>
    </row>
    <row r="25" ht="12.75">
      <c r="M25" s="64" t="s">
        <v>300</v>
      </c>
    </row>
    <row r="26" spans="2:13" ht="12.75">
      <c r="B26" s="64" t="s">
        <v>301</v>
      </c>
      <c r="E26" s="64" t="s">
        <v>302</v>
      </c>
      <c r="M26" s="64" t="s">
        <v>303</v>
      </c>
    </row>
    <row r="27" spans="5:13" ht="12.75">
      <c r="E27" s="64" t="s">
        <v>304</v>
      </c>
      <c r="M27" s="64" t="s">
        <v>305</v>
      </c>
    </row>
    <row r="28" spans="5:13" ht="12.75">
      <c r="E28" s="64" t="s">
        <v>306</v>
      </c>
      <c r="M28" s="64" t="s">
        <v>307</v>
      </c>
    </row>
    <row r="29" ht="12.75">
      <c r="M29" s="64" t="s">
        <v>308</v>
      </c>
    </row>
    <row r="30" spans="2:13" ht="12.75">
      <c r="B30" s="64" t="s">
        <v>389</v>
      </c>
      <c r="E30" s="125" t="s">
        <v>413</v>
      </c>
      <c r="F30" s="126"/>
      <c r="G30" s="126"/>
      <c r="H30" s="126"/>
      <c r="I30" s="126"/>
      <c r="M30" s="64" t="s">
        <v>309</v>
      </c>
    </row>
    <row r="31" spans="5:13" ht="12.75">
      <c r="E31" s="125" t="s">
        <v>414</v>
      </c>
      <c r="F31" s="126"/>
      <c r="G31" s="126"/>
      <c r="H31" s="126"/>
      <c r="I31" s="126"/>
      <c r="M31" s="64" t="s">
        <v>310</v>
      </c>
    </row>
    <row r="32" spans="5:13" ht="12.75">
      <c r="E32" s="125" t="s">
        <v>420</v>
      </c>
      <c r="F32" s="126"/>
      <c r="G32" s="126"/>
      <c r="H32" s="126"/>
      <c r="I32" s="126"/>
      <c r="M32" s="64" t="s">
        <v>311</v>
      </c>
    </row>
    <row r="33" spans="5:13" ht="12.75">
      <c r="E33" s="125" t="s">
        <v>421</v>
      </c>
      <c r="F33" s="126"/>
      <c r="G33" s="126"/>
      <c r="H33" s="126"/>
      <c r="I33" s="126"/>
      <c r="M33" s="64" t="s">
        <v>312</v>
      </c>
    </row>
    <row r="34" spans="5:13" ht="12.75">
      <c r="E34" s="125" t="s">
        <v>422</v>
      </c>
      <c r="F34" s="126"/>
      <c r="G34" s="126"/>
      <c r="H34" s="126"/>
      <c r="I34" s="126"/>
      <c r="M34" s="64"/>
    </row>
    <row r="35" spans="5:13" ht="12.75">
      <c r="E35" s="125"/>
      <c r="F35" s="126"/>
      <c r="G35" s="126"/>
      <c r="H35" s="126"/>
      <c r="I35" s="126"/>
      <c r="M35" s="64"/>
    </row>
    <row r="36" spans="2:5" ht="12.75">
      <c r="B36" s="64" t="s">
        <v>390</v>
      </c>
      <c r="C36" s="126"/>
      <c r="D36" s="126"/>
      <c r="E36" s="125" t="s">
        <v>403</v>
      </c>
    </row>
    <row r="37" spans="2:5" ht="12.75">
      <c r="B37" s="64"/>
      <c r="C37" s="126"/>
      <c r="D37" s="126"/>
      <c r="E37" s="125" t="s">
        <v>404</v>
      </c>
    </row>
    <row r="38" spans="11:13" ht="12.75">
      <c r="K38" s="235" t="s">
        <v>498</v>
      </c>
      <c r="L38" s="235"/>
      <c r="M38" s="235"/>
    </row>
    <row r="39" spans="2:12" ht="12.75">
      <c r="B39" s="64" t="s">
        <v>410</v>
      </c>
      <c r="E39" s="64" t="s">
        <v>412</v>
      </c>
      <c r="L39" t="s">
        <v>499</v>
      </c>
    </row>
    <row r="40" spans="5:12" ht="12.75">
      <c r="E40" s="64" t="s">
        <v>411</v>
      </c>
      <c r="L40" t="s">
        <v>500</v>
      </c>
    </row>
    <row r="41" spans="5:12" ht="12.75">
      <c r="E41" s="64" t="s">
        <v>477</v>
      </c>
      <c r="L41" t="s">
        <v>501</v>
      </c>
    </row>
    <row r="42" spans="5:12" ht="12.75">
      <c r="E42" s="64" t="s">
        <v>478</v>
      </c>
      <c r="F42" s="126"/>
      <c r="G42" s="126"/>
      <c r="H42" s="126"/>
      <c r="L42" t="s">
        <v>502</v>
      </c>
    </row>
    <row r="43" spans="5:12" ht="12.75">
      <c r="E43" s="125" t="s">
        <v>479</v>
      </c>
      <c r="F43" s="126"/>
      <c r="G43" s="126"/>
      <c r="H43" s="126"/>
      <c r="L43" t="s">
        <v>503</v>
      </c>
    </row>
    <row r="44" spans="5:8" ht="12.75">
      <c r="E44" s="125" t="s">
        <v>480</v>
      </c>
      <c r="F44" s="126"/>
      <c r="G44" s="126"/>
      <c r="H44" s="126"/>
    </row>
    <row r="45" spans="6:12" ht="12.75">
      <c r="F45" s="126"/>
      <c r="G45" s="126"/>
      <c r="H45" s="126"/>
      <c r="L45" t="s">
        <v>504</v>
      </c>
    </row>
    <row r="46" spans="2:12" ht="12.75">
      <c r="B46" s="64" t="s">
        <v>348</v>
      </c>
      <c r="E46" s="125" t="s">
        <v>415</v>
      </c>
      <c r="F46" s="126"/>
      <c r="G46" s="126"/>
      <c r="H46" s="126"/>
      <c r="L46" t="s">
        <v>505</v>
      </c>
    </row>
    <row r="47" spans="5:8" ht="12.75">
      <c r="E47" s="125" t="s">
        <v>414</v>
      </c>
      <c r="F47" s="126"/>
      <c r="G47" s="126"/>
      <c r="H47" s="126"/>
    </row>
    <row r="48" spans="5:8" ht="12.75">
      <c r="E48" s="125" t="s">
        <v>423</v>
      </c>
      <c r="F48" s="126"/>
      <c r="G48" s="126"/>
      <c r="H48" s="126"/>
    </row>
    <row r="49" spans="5:8" ht="12.75">
      <c r="E49" s="125" t="s">
        <v>424</v>
      </c>
      <c r="F49" s="126"/>
      <c r="G49" s="126"/>
      <c r="H49" s="126"/>
    </row>
    <row r="50" spans="5:8" ht="12.75">
      <c r="E50" s="125" t="s">
        <v>425</v>
      </c>
      <c r="F50" s="126"/>
      <c r="G50" s="126"/>
      <c r="H50" s="126"/>
    </row>
    <row r="51" spans="5:8" ht="12.75">
      <c r="E51" s="125"/>
      <c r="F51" s="126"/>
      <c r="G51" s="126"/>
      <c r="H51" s="126"/>
    </row>
    <row r="52" spans="2:8" ht="12.75">
      <c r="B52" s="64" t="s">
        <v>349</v>
      </c>
      <c r="C52" s="126"/>
      <c r="D52" s="126"/>
      <c r="E52" s="125" t="s">
        <v>405</v>
      </c>
      <c r="F52" s="126"/>
      <c r="G52" s="126"/>
      <c r="H52" s="126"/>
    </row>
    <row r="53" spans="2:8" ht="12.75">
      <c r="B53" s="64"/>
      <c r="C53" s="126"/>
      <c r="D53" s="126"/>
      <c r="E53" s="125" t="s">
        <v>406</v>
      </c>
      <c r="F53" s="126"/>
      <c r="G53" s="126"/>
      <c r="H53" s="126"/>
    </row>
    <row r="54" spans="2:8" ht="12.75">
      <c r="B54" s="64"/>
      <c r="C54" s="126"/>
      <c r="D54" s="126"/>
      <c r="E54" s="125"/>
      <c r="F54" s="126"/>
      <c r="G54" s="126"/>
      <c r="H54" s="126"/>
    </row>
    <row r="55" spans="2:8" ht="12.75">
      <c r="B55" s="64" t="s">
        <v>416</v>
      </c>
      <c r="C55" s="126"/>
      <c r="D55" s="126"/>
      <c r="E55" s="125" t="s">
        <v>417</v>
      </c>
      <c r="F55" s="126"/>
      <c r="G55" s="126"/>
      <c r="H55" s="126"/>
    </row>
    <row r="56" spans="2:8" ht="12.75">
      <c r="B56" s="64"/>
      <c r="C56" s="126"/>
      <c r="D56" s="126"/>
      <c r="E56" s="125" t="s">
        <v>418</v>
      </c>
      <c r="F56" s="126"/>
      <c r="G56" s="126"/>
      <c r="H56" s="126"/>
    </row>
    <row r="57" spans="2:8" ht="12.75">
      <c r="B57" s="64"/>
      <c r="C57" s="126"/>
      <c r="D57" s="126"/>
      <c r="E57" s="125" t="s">
        <v>481</v>
      </c>
      <c r="F57" s="126"/>
      <c r="G57" s="126"/>
      <c r="H57" s="126"/>
    </row>
    <row r="58" spans="2:8" ht="12.75">
      <c r="B58" s="64"/>
      <c r="C58" s="126"/>
      <c r="D58" s="126"/>
      <c r="E58" s="125" t="s">
        <v>482</v>
      </c>
      <c r="F58" s="126"/>
      <c r="G58" s="126"/>
      <c r="H58" s="126"/>
    </row>
    <row r="59" spans="2:8" ht="12.75">
      <c r="B59" s="64"/>
      <c r="C59" s="126"/>
      <c r="D59" s="126"/>
      <c r="E59" s="125" t="s">
        <v>483</v>
      </c>
      <c r="F59" s="126"/>
      <c r="G59" s="126"/>
      <c r="H59" s="126"/>
    </row>
    <row r="60" spans="2:8" ht="12.75">
      <c r="B60" s="64"/>
      <c r="C60" s="126"/>
      <c r="D60" s="126"/>
      <c r="E60" s="125" t="s">
        <v>484</v>
      </c>
      <c r="F60" s="126"/>
      <c r="G60" s="126"/>
      <c r="H60" s="126"/>
    </row>
    <row r="61" spans="6:8" ht="12.75">
      <c r="F61" s="126"/>
      <c r="G61" s="126"/>
      <c r="H61" s="126"/>
    </row>
    <row r="62" spans="2:9" ht="12.75">
      <c r="B62" s="125" t="s">
        <v>391</v>
      </c>
      <c r="C62" s="126"/>
      <c r="D62" s="126"/>
      <c r="E62" s="125" t="s">
        <v>313</v>
      </c>
      <c r="F62" s="126"/>
      <c r="G62" s="126"/>
      <c r="H62" s="126"/>
      <c r="I62" s="126"/>
    </row>
    <row r="63" spans="2:9" ht="12.75">
      <c r="B63" s="126"/>
      <c r="C63" s="126"/>
      <c r="D63" s="126"/>
      <c r="E63" s="125" t="s">
        <v>392</v>
      </c>
      <c r="F63" s="126"/>
      <c r="G63" s="126"/>
      <c r="H63" s="126"/>
      <c r="I63" s="126"/>
    </row>
    <row r="64" spans="2:9" ht="12.75">
      <c r="B64" s="126"/>
      <c r="C64" s="126"/>
      <c r="D64" s="126"/>
      <c r="E64" s="125" t="s">
        <v>393</v>
      </c>
      <c r="F64" s="126"/>
      <c r="G64" s="126"/>
      <c r="H64" s="126"/>
      <c r="I64" s="126"/>
    </row>
    <row r="65" spans="2:9" ht="12.75">
      <c r="B65" s="126"/>
      <c r="C65" s="126"/>
      <c r="D65" s="126"/>
      <c r="E65" s="125" t="s">
        <v>419</v>
      </c>
      <c r="F65" s="126"/>
      <c r="G65" s="126"/>
      <c r="H65" s="126"/>
      <c r="I65" s="126"/>
    </row>
    <row r="66" spans="2:9" ht="12.75">
      <c r="B66" s="126"/>
      <c r="C66" s="126"/>
      <c r="D66" s="126"/>
      <c r="E66" s="125" t="s">
        <v>394</v>
      </c>
      <c r="F66" s="126"/>
      <c r="G66" s="126"/>
      <c r="H66" s="126"/>
      <c r="I66" s="126"/>
    </row>
    <row r="67" spans="2:9" ht="12.75">
      <c r="B67" s="126"/>
      <c r="C67" s="126"/>
      <c r="D67" s="126"/>
      <c r="E67" s="125" t="s">
        <v>395</v>
      </c>
      <c r="F67" s="126"/>
      <c r="G67" s="126"/>
      <c r="H67" s="126"/>
      <c r="I67" s="126"/>
    </row>
    <row r="68" spans="2:9" ht="12.75">
      <c r="B68" s="126"/>
      <c r="C68" s="126"/>
      <c r="D68" s="126"/>
      <c r="E68" s="125" t="s">
        <v>396</v>
      </c>
      <c r="F68" s="126"/>
      <c r="G68" s="126"/>
      <c r="H68" s="126"/>
      <c r="I68" s="126"/>
    </row>
    <row r="69" spans="2:9" ht="12.75">
      <c r="B69" s="126"/>
      <c r="C69" s="126"/>
      <c r="D69" s="126"/>
      <c r="E69" s="125"/>
      <c r="F69" s="126"/>
      <c r="G69" s="126"/>
      <c r="H69" s="126"/>
      <c r="I69" s="126"/>
    </row>
    <row r="70" spans="2:9" ht="12.75">
      <c r="B70" s="125" t="s">
        <v>397</v>
      </c>
      <c r="C70" s="126"/>
      <c r="D70" s="126"/>
      <c r="E70" s="125" t="s">
        <v>314</v>
      </c>
      <c r="F70" s="126"/>
      <c r="G70" s="126"/>
      <c r="H70" s="126"/>
      <c r="I70" s="126"/>
    </row>
    <row r="71" spans="3:9" ht="12.75">
      <c r="C71" s="126"/>
      <c r="D71" s="126"/>
      <c r="E71" s="125" t="s">
        <v>392</v>
      </c>
      <c r="F71" s="126"/>
      <c r="G71" s="126"/>
      <c r="H71" s="126"/>
      <c r="I71" s="126"/>
    </row>
    <row r="72" spans="2:9" ht="12.75">
      <c r="B72" s="126"/>
      <c r="C72" s="126"/>
      <c r="D72" s="126"/>
      <c r="E72" s="125" t="s">
        <v>393</v>
      </c>
      <c r="F72" s="126"/>
      <c r="G72" s="126"/>
      <c r="H72" s="126"/>
      <c r="I72" s="126"/>
    </row>
    <row r="73" spans="2:9" ht="12.75">
      <c r="B73" s="126"/>
      <c r="C73" s="126"/>
      <c r="D73" s="126"/>
      <c r="E73" s="125" t="s">
        <v>398</v>
      </c>
      <c r="F73" s="126"/>
      <c r="G73" s="126"/>
      <c r="H73" s="126"/>
      <c r="I73" s="126"/>
    </row>
    <row r="74" spans="2:9" ht="12.75">
      <c r="B74" s="126"/>
      <c r="C74" s="126"/>
      <c r="D74" s="126"/>
      <c r="E74" s="125" t="s">
        <v>399</v>
      </c>
      <c r="F74" s="126"/>
      <c r="G74" s="126"/>
      <c r="H74" s="126"/>
      <c r="I74" s="126"/>
    </row>
    <row r="75" spans="2:9" ht="12.75">
      <c r="B75" s="126"/>
      <c r="C75" s="126"/>
      <c r="D75" s="126"/>
      <c r="E75" s="125" t="s">
        <v>400</v>
      </c>
      <c r="F75" s="126"/>
      <c r="G75" s="126"/>
      <c r="H75" s="126"/>
      <c r="I75" s="126"/>
    </row>
    <row r="76" spans="2:9" ht="12.75">
      <c r="B76" s="126"/>
      <c r="C76" s="126"/>
      <c r="D76" s="126"/>
      <c r="E76" s="125" t="s">
        <v>401</v>
      </c>
      <c r="F76" s="126"/>
      <c r="G76" s="126"/>
      <c r="H76" s="126"/>
      <c r="I76" s="126"/>
    </row>
    <row r="77" spans="2:9" ht="12.75">
      <c r="B77" s="126"/>
      <c r="C77" s="126"/>
      <c r="D77" s="126"/>
      <c r="E77" s="125" t="s">
        <v>402</v>
      </c>
      <c r="F77" s="126"/>
      <c r="G77" s="126"/>
      <c r="H77" s="126"/>
      <c r="I77" s="126"/>
    </row>
    <row r="79" spans="2:5" ht="12.75">
      <c r="B79" s="64" t="s">
        <v>426</v>
      </c>
      <c r="E79" s="64" t="s">
        <v>315</v>
      </c>
    </row>
    <row r="80" ht="12.75">
      <c r="E80" s="64" t="s">
        <v>316</v>
      </c>
    </row>
    <row r="81" ht="12.75">
      <c r="E81" s="64" t="s">
        <v>317</v>
      </c>
    </row>
    <row r="82" ht="12.75">
      <c r="E82" s="64" t="s">
        <v>318</v>
      </c>
    </row>
    <row r="83" ht="12.75">
      <c r="E83" s="64" t="s">
        <v>319</v>
      </c>
    </row>
    <row r="84" ht="12.75">
      <c r="E84" s="64" t="s">
        <v>320</v>
      </c>
    </row>
    <row r="85" ht="12.75">
      <c r="E85" s="64" t="s">
        <v>321</v>
      </c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56"/>
  <sheetViews>
    <sheetView zoomScalePageLayoutView="0" workbookViewId="0" topLeftCell="A13">
      <selection activeCell="H61" sqref="H61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2.7109375" style="0" bestFit="1" customWidth="1"/>
    <col min="8" max="8" width="12.7109375" style="0" bestFit="1" customWidth="1"/>
    <col min="10" max="10" width="15.00390625" style="0" customWidth="1"/>
    <col min="12" max="12" width="10.7109375" style="0" customWidth="1"/>
  </cols>
  <sheetData>
    <row r="3" spans="2:6" ht="12.75">
      <c r="B3" s="24" t="s">
        <v>132</v>
      </c>
      <c r="D3" s="24" t="s">
        <v>158</v>
      </c>
      <c r="F3" s="16" t="s">
        <v>159</v>
      </c>
    </row>
    <row r="4" spans="2:6" ht="12.75">
      <c r="B4" s="38">
        <v>9</v>
      </c>
      <c r="D4" s="38">
        <v>0</v>
      </c>
      <c r="F4" s="1">
        <v>1</v>
      </c>
    </row>
    <row r="5" spans="2:6" ht="12.75">
      <c r="B5" s="38">
        <v>9.5</v>
      </c>
      <c r="D5" s="38">
        <v>1</v>
      </c>
      <c r="F5" s="1">
        <v>2</v>
      </c>
    </row>
    <row r="6" spans="2:6" ht="12.75">
      <c r="B6" s="38">
        <v>10</v>
      </c>
      <c r="D6" s="38">
        <v>2</v>
      </c>
      <c r="F6" s="1">
        <v>3</v>
      </c>
    </row>
    <row r="7" spans="2:6" ht="12.75">
      <c r="B7" s="38">
        <v>10.5</v>
      </c>
      <c r="D7" s="38">
        <v>3</v>
      </c>
      <c r="F7" s="1">
        <v>4</v>
      </c>
    </row>
    <row r="8" spans="2:6" ht="12.75">
      <c r="B8" s="38">
        <v>11</v>
      </c>
      <c r="D8" s="38">
        <v>4</v>
      </c>
      <c r="F8" s="1">
        <v>5</v>
      </c>
    </row>
    <row r="9" spans="2:6" ht="12.75">
      <c r="B9" s="38">
        <v>11.5</v>
      </c>
      <c r="D9" s="38">
        <v>5</v>
      </c>
      <c r="F9" s="1">
        <v>6</v>
      </c>
    </row>
    <row r="10" spans="2:6" ht="12.75">
      <c r="B10" s="38">
        <v>12</v>
      </c>
      <c r="D10" s="38">
        <v>6</v>
      </c>
      <c r="F10" s="1">
        <v>7</v>
      </c>
    </row>
    <row r="11" ht="12.75">
      <c r="D11" s="38">
        <v>7</v>
      </c>
    </row>
    <row r="12" ht="12.75">
      <c r="D12" s="38">
        <v>8</v>
      </c>
    </row>
    <row r="15" spans="8:12" ht="12.75">
      <c r="H15" s="16" t="s">
        <v>167</v>
      </c>
      <c r="J15" s="16" t="s">
        <v>169</v>
      </c>
      <c r="L15" s="16" t="s">
        <v>198</v>
      </c>
    </row>
    <row r="16" spans="4:12" ht="12.75">
      <c r="D16" s="16" t="s">
        <v>131</v>
      </c>
      <c r="F16" s="16" t="s">
        <v>164</v>
      </c>
      <c r="H16" s="16" t="s">
        <v>168</v>
      </c>
      <c r="J16" s="16" t="s">
        <v>170</v>
      </c>
      <c r="L16" s="67" t="s">
        <v>199</v>
      </c>
    </row>
    <row r="17" spans="4:12" ht="12.75">
      <c r="D17" s="38" t="s">
        <v>160</v>
      </c>
      <c r="F17" s="38" t="s">
        <v>165</v>
      </c>
      <c r="H17" s="38" t="s">
        <v>165</v>
      </c>
      <c r="J17" s="38" t="s">
        <v>165</v>
      </c>
      <c r="L17" s="67" t="s">
        <v>200</v>
      </c>
    </row>
    <row r="18" spans="4:10" ht="12.75">
      <c r="D18" s="38" t="s">
        <v>161</v>
      </c>
      <c r="F18" s="38" t="s">
        <v>166</v>
      </c>
      <c r="H18" s="38" t="s">
        <v>166</v>
      </c>
      <c r="J18" s="38" t="s">
        <v>187</v>
      </c>
    </row>
    <row r="19" spans="4:10" ht="12.75">
      <c r="D19" s="67" t="s">
        <v>162</v>
      </c>
      <c r="F19" s="64" t="s">
        <v>431</v>
      </c>
      <c r="J19" s="38" t="s">
        <v>188</v>
      </c>
    </row>
    <row r="20" ht="12.75">
      <c r="D20" s="38" t="s">
        <v>163</v>
      </c>
    </row>
    <row r="22" spans="6:10" ht="12.75">
      <c r="F22" s="16" t="s">
        <v>133</v>
      </c>
      <c r="H22" s="16" t="s">
        <v>134</v>
      </c>
      <c r="J22" s="16" t="s">
        <v>171</v>
      </c>
    </row>
    <row r="23" spans="6:10" ht="12.75">
      <c r="F23" s="38" t="s">
        <v>165</v>
      </c>
      <c r="H23" s="38" t="s">
        <v>165</v>
      </c>
      <c r="J23" s="38" t="s">
        <v>165</v>
      </c>
    </row>
    <row r="24" spans="6:10" ht="12.75">
      <c r="F24" s="38" t="s">
        <v>166</v>
      </c>
      <c r="H24" s="38" t="s">
        <v>166</v>
      </c>
      <c r="J24" s="38" t="s">
        <v>166</v>
      </c>
    </row>
    <row r="28" spans="4:12" ht="12.75">
      <c r="D28" s="67" t="s">
        <v>212</v>
      </c>
      <c r="F28" s="67" t="s">
        <v>216</v>
      </c>
      <c r="H28" s="67" t="s">
        <v>217</v>
      </c>
      <c r="J28" s="67" t="s">
        <v>218</v>
      </c>
      <c r="L28" s="16" t="s">
        <v>237</v>
      </c>
    </row>
    <row r="29" spans="4:12" ht="12.75">
      <c r="D29" s="67" t="s">
        <v>213</v>
      </c>
      <c r="F29" s="1">
        <v>0</v>
      </c>
      <c r="H29" s="1">
        <v>0</v>
      </c>
      <c r="J29" s="67" t="s">
        <v>165</v>
      </c>
      <c r="L29" s="67" t="s">
        <v>199</v>
      </c>
    </row>
    <row r="30" spans="4:12" ht="12.75">
      <c r="D30" s="67" t="s">
        <v>214</v>
      </c>
      <c r="F30" s="1">
        <v>1</v>
      </c>
      <c r="H30" s="1">
        <v>1</v>
      </c>
      <c r="J30" s="67" t="s">
        <v>166</v>
      </c>
      <c r="L30" s="67" t="s">
        <v>200</v>
      </c>
    </row>
    <row r="31" spans="4:8" ht="12.75">
      <c r="D31" s="67" t="s">
        <v>215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2" ht="12.75">
      <c r="D36" s="16" t="s">
        <v>261</v>
      </c>
      <c r="F36" s="16" t="s">
        <v>264</v>
      </c>
      <c r="H36" s="16" t="s">
        <v>265</v>
      </c>
      <c r="J36" s="16" t="s">
        <v>271</v>
      </c>
      <c r="L36" s="16" t="s">
        <v>272</v>
      </c>
    </row>
    <row r="37" spans="4:12" ht="12.75">
      <c r="D37" s="1">
        <v>10</v>
      </c>
      <c r="F37" s="67" t="s">
        <v>262</v>
      </c>
      <c r="H37" s="67" t="s">
        <v>266</v>
      </c>
      <c r="J37" s="38">
        <v>0</v>
      </c>
      <c r="L37" s="1">
        <v>0</v>
      </c>
    </row>
    <row r="38" spans="4:12" ht="12.75">
      <c r="D38" s="1">
        <v>20</v>
      </c>
      <c r="F38" s="67" t="s">
        <v>263</v>
      </c>
      <c r="H38" s="111" t="s">
        <v>267</v>
      </c>
      <c r="J38" s="38">
        <v>1</v>
      </c>
      <c r="L38" s="1">
        <v>1</v>
      </c>
    </row>
    <row r="39" spans="4:12" ht="12.75">
      <c r="D39" s="1">
        <v>30</v>
      </c>
      <c r="F39" s="1"/>
      <c r="H39" s="112" t="s">
        <v>268</v>
      </c>
      <c r="J39" s="38">
        <v>2</v>
      </c>
      <c r="L39" s="1">
        <v>2</v>
      </c>
    </row>
    <row r="40" spans="4:10" ht="12.75">
      <c r="D40" s="1">
        <v>40</v>
      </c>
      <c r="F40" s="1"/>
      <c r="H40" s="112" t="s">
        <v>269</v>
      </c>
      <c r="J40" s="38">
        <v>3</v>
      </c>
    </row>
    <row r="41" spans="4:10" ht="12.75">
      <c r="D41" s="1">
        <v>50</v>
      </c>
      <c r="F41" s="1"/>
      <c r="H41" s="112" t="s">
        <v>270</v>
      </c>
      <c r="J41" s="38">
        <v>4</v>
      </c>
    </row>
    <row r="42" spans="4:10" ht="12.75">
      <c r="D42" s="1">
        <v>60</v>
      </c>
      <c r="F42" s="1"/>
      <c r="J42" s="38">
        <v>5</v>
      </c>
    </row>
    <row r="43" spans="4:10" ht="12.75">
      <c r="D43" s="1">
        <v>70</v>
      </c>
      <c r="F43" s="1"/>
      <c r="J43" s="38">
        <v>6</v>
      </c>
    </row>
    <row r="44" spans="4:10" ht="12.75">
      <c r="D44" s="1">
        <v>80</v>
      </c>
      <c r="F44" s="1"/>
      <c r="J44" s="38">
        <v>7</v>
      </c>
    </row>
    <row r="45" spans="4:10" ht="12.75">
      <c r="D45" s="1">
        <v>90</v>
      </c>
      <c r="F45" s="1"/>
      <c r="J45" s="38">
        <v>8</v>
      </c>
    </row>
    <row r="46" spans="4:10" ht="12.75">
      <c r="D46" s="1">
        <v>100</v>
      </c>
      <c r="J46" s="67">
        <v>9</v>
      </c>
    </row>
    <row r="47" ht="12.75">
      <c r="J47" s="67">
        <v>10</v>
      </c>
    </row>
    <row r="53" spans="4:5" ht="12.75">
      <c r="D53" s="24" t="s">
        <v>249</v>
      </c>
      <c r="E53" s="24" t="s">
        <v>509</v>
      </c>
    </row>
    <row r="54" spans="4:5" ht="12.75">
      <c r="D54" t="s">
        <v>213</v>
      </c>
      <c r="E54">
        <v>0.31</v>
      </c>
    </row>
    <row r="55" spans="4:5" ht="12.75">
      <c r="D55" t="s">
        <v>214</v>
      </c>
      <c r="E55">
        <v>0.31</v>
      </c>
    </row>
    <row r="56" spans="4:5" ht="12.75">
      <c r="D56" t="s">
        <v>215</v>
      </c>
      <c r="E56">
        <v>0.45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85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3" width="12.28125" style="0" customWidth="1"/>
    <col min="4" max="4" width="13.28125" style="0" customWidth="1"/>
    <col min="5" max="5" width="11.00390625" style="0" customWidth="1"/>
    <col min="6" max="6" width="12.140625" style="0" customWidth="1"/>
    <col min="9" max="9" width="10.140625" style="0" customWidth="1"/>
    <col min="10" max="10" width="12.140625" style="0" customWidth="1"/>
    <col min="11" max="11" width="12.28125" style="0" customWidth="1"/>
    <col min="12" max="12" width="11.140625" style="0" customWidth="1"/>
    <col min="14" max="14" width="16.57421875" style="0" customWidth="1"/>
    <col min="17" max="17" width="10.140625" style="0" customWidth="1"/>
    <col min="32" max="32" width="13.00390625" style="0" customWidth="1"/>
    <col min="33" max="33" width="13.140625" style="0" customWidth="1"/>
    <col min="34" max="34" width="16.57421875" style="0" customWidth="1"/>
  </cols>
  <sheetData>
    <row r="1" ht="13.5" thickBot="1"/>
    <row r="2" spans="1:30" ht="14.25" thickBot="1" thickTop="1">
      <c r="A2" s="261" t="s">
        <v>0</v>
      </c>
      <c r="B2" s="262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AD2" s="118" t="s">
        <v>408</v>
      </c>
    </row>
    <row r="3" spans="1:17" ht="13.5" customHeight="1">
      <c r="A3" s="264" t="s">
        <v>1</v>
      </c>
      <c r="B3" s="265"/>
      <c r="C3" s="265"/>
      <c r="D3" s="265"/>
      <c r="E3" s="265"/>
      <c r="F3" s="266"/>
      <c r="G3" s="267" t="s">
        <v>23</v>
      </c>
      <c r="H3" s="268"/>
      <c r="I3" s="268"/>
      <c r="J3" s="268"/>
      <c r="K3" s="268"/>
      <c r="L3" s="268"/>
      <c r="M3" s="268"/>
      <c r="Q3" s="118" t="s">
        <v>409</v>
      </c>
    </row>
    <row r="4" spans="1:13" ht="13.5" thickBot="1">
      <c r="A4" s="269" t="s">
        <v>2</v>
      </c>
      <c r="B4" s="269"/>
      <c r="C4" s="270"/>
      <c r="D4" s="271" t="s">
        <v>327</v>
      </c>
      <c r="E4" s="272"/>
      <c r="F4" s="273"/>
      <c r="G4" s="274" t="s">
        <v>24</v>
      </c>
      <c r="H4" s="269"/>
      <c r="I4" s="270"/>
      <c r="J4" s="271" t="s">
        <v>328</v>
      </c>
      <c r="K4" s="272"/>
      <c r="L4" s="272"/>
      <c r="M4" s="272"/>
    </row>
    <row r="5" spans="1:34" ht="12.75">
      <c r="A5" s="275" t="s">
        <v>3</v>
      </c>
      <c r="B5" s="276"/>
      <c r="C5" s="277"/>
      <c r="D5" s="278" t="s">
        <v>147</v>
      </c>
      <c r="E5" s="279"/>
      <c r="F5" s="280"/>
      <c r="G5" s="281" t="s">
        <v>25</v>
      </c>
      <c r="H5" s="276"/>
      <c r="I5" s="277"/>
      <c r="J5" s="282" t="s">
        <v>497</v>
      </c>
      <c r="K5" s="279"/>
      <c r="L5" s="279"/>
      <c r="M5" s="279"/>
      <c r="AD5" s="259" t="s">
        <v>451</v>
      </c>
      <c r="AE5" s="259"/>
      <c r="AF5" s="259"/>
      <c r="AG5" s="259"/>
      <c r="AH5" s="259"/>
    </row>
    <row r="6" spans="1:34" ht="18.75" customHeight="1" thickBot="1">
      <c r="A6" s="275" t="s">
        <v>4</v>
      </c>
      <c r="B6" s="276"/>
      <c r="C6" s="277"/>
      <c r="D6" s="283">
        <v>40268</v>
      </c>
      <c r="E6" s="279"/>
      <c r="F6" s="280"/>
      <c r="G6" s="281" t="s">
        <v>26</v>
      </c>
      <c r="H6" s="276"/>
      <c r="I6" s="277"/>
      <c r="J6" s="282" t="s">
        <v>329</v>
      </c>
      <c r="K6" s="279"/>
      <c r="L6" s="279"/>
      <c r="M6" s="279"/>
      <c r="Q6" s="64" t="s">
        <v>490</v>
      </c>
      <c r="U6" s="114">
        <f>IF($I$10&gt;2000,(VLOOKUP($J$12,$AD$25:$AH$33,5,FALSE)),IF($I$10&lt;400,(VLOOKUP($J$12,$AD$25:$AH$33,3,FALSE)),(VLOOKUP($J$12,$AD$25:$AH$33,4))))</f>
        <v>1.15</v>
      </c>
      <c r="W6" s="64" t="s">
        <v>491</v>
      </c>
      <c r="AA6" s="114">
        <f>IF($I$10&gt;2000,(VLOOKUP($M$12,$AD$25:$AH$33,5,FALSE)),IF($I$10&lt;400,(VLOOKUP($M$12,$AD$25:$AH$33,3,FALSE)),(VLOOKUP($M$12,$AD$25:$AH$33,4))))</f>
        <v>1.15</v>
      </c>
      <c r="AD6" s="260"/>
      <c r="AE6" s="260"/>
      <c r="AF6" s="260"/>
      <c r="AG6" s="260"/>
      <c r="AH6" s="260"/>
    </row>
    <row r="7" spans="1:34" ht="12.75">
      <c r="A7" s="275"/>
      <c r="B7" s="275"/>
      <c r="C7" s="277"/>
      <c r="D7" s="281"/>
      <c r="E7" s="276"/>
      <c r="F7" s="277"/>
      <c r="G7" s="281" t="s">
        <v>27</v>
      </c>
      <c r="H7" s="276"/>
      <c r="I7" s="277"/>
      <c r="J7" s="284">
        <v>2010</v>
      </c>
      <c r="K7" s="285"/>
      <c r="L7" s="285"/>
      <c r="M7" s="285"/>
      <c r="AD7" s="250" t="s">
        <v>129</v>
      </c>
      <c r="AE7" s="251"/>
      <c r="AF7" s="254" t="s">
        <v>7</v>
      </c>
      <c r="AG7" s="254"/>
      <c r="AH7" s="255"/>
    </row>
    <row r="8" spans="1:34" ht="15.75">
      <c r="A8" s="286" t="s">
        <v>5</v>
      </c>
      <c r="B8" s="287"/>
      <c r="C8" s="287"/>
      <c r="D8" s="287"/>
      <c r="E8" s="287"/>
      <c r="F8" s="288"/>
      <c r="G8" s="289" t="s">
        <v>28</v>
      </c>
      <c r="H8" s="288"/>
      <c r="I8" s="289" t="s">
        <v>30</v>
      </c>
      <c r="J8" s="287"/>
      <c r="K8" s="287"/>
      <c r="L8" s="287"/>
      <c r="M8" s="287"/>
      <c r="Q8" s="64" t="s">
        <v>492</v>
      </c>
      <c r="U8" s="114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4" t="s">
        <v>493</v>
      </c>
      <c r="AA8" s="114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52"/>
      <c r="AE8" s="253"/>
      <c r="AF8" s="26" t="s">
        <v>135</v>
      </c>
      <c r="AG8" s="26" t="s">
        <v>136</v>
      </c>
      <c r="AH8" s="49" t="s">
        <v>137</v>
      </c>
    </row>
    <row r="9" spans="1:34" ht="13.5" thickBot="1">
      <c r="A9" s="290" t="s">
        <v>6</v>
      </c>
      <c r="B9" s="290"/>
      <c r="C9" s="290"/>
      <c r="D9" s="290"/>
      <c r="E9" s="290"/>
      <c r="F9" s="291"/>
      <c r="G9" s="292" t="s">
        <v>29</v>
      </c>
      <c r="H9" s="270"/>
      <c r="I9" s="293">
        <v>1.5</v>
      </c>
      <c r="J9" s="272"/>
      <c r="K9" s="272"/>
      <c r="L9" s="272"/>
      <c r="M9" s="272"/>
      <c r="AD9" s="256">
        <v>9</v>
      </c>
      <c r="AE9" s="244"/>
      <c r="AF9" s="50">
        <v>1.05</v>
      </c>
      <c r="AG9" s="50">
        <f>+($I$10-400)*0.000281+1.05</f>
        <v>3.7476000000000003</v>
      </c>
      <c r="AH9" s="51">
        <v>1.5</v>
      </c>
    </row>
    <row r="10" spans="1:34" ht="16.5" thickBot="1">
      <c r="A10" s="290" t="s">
        <v>7</v>
      </c>
      <c r="B10" s="290"/>
      <c r="C10" s="297"/>
      <c r="D10" s="228" t="s">
        <v>487</v>
      </c>
      <c r="E10" s="229">
        <v>17800</v>
      </c>
      <c r="F10" s="230" t="s">
        <v>488</v>
      </c>
      <c r="G10" s="294" t="s">
        <v>29</v>
      </c>
      <c r="H10" s="291"/>
      <c r="I10" s="295">
        <v>10000</v>
      </c>
      <c r="J10" s="296"/>
      <c r="K10" s="296"/>
      <c r="L10" s="296"/>
      <c r="M10" s="296"/>
      <c r="N10" s="231" t="str">
        <f>IF(I10&gt;E10,"AADT out of range","AADT OK")</f>
        <v>AADT OK</v>
      </c>
      <c r="Q10" s="64" t="s">
        <v>494</v>
      </c>
      <c r="U10" s="114">
        <f>(+$U$6*$U$8-1)*(IF('Segment Tables'!$D$23="No",(('Segment Tables'!$G$29+'Segment Tables'!$G$34+'Segment Tables'!$G$36)/100),(('Segment Tables'!$K$29+'Segment Tables'!$K$34+'Segment Tables'!$K$36)/100)))+1</f>
        <v>1.0851105</v>
      </c>
      <c r="W10" s="64" t="s">
        <v>495</v>
      </c>
      <c r="AA10" s="114">
        <f>(+$AA$6*$AA$8-1)*(IF('Segment Tables'!$D$23="No",(('Segment Tables'!$G$29+'Segment Tables'!$G$34+'Segment Tables'!$G$36)/100),(('Segment Tables'!$K$29+'Segment Tables'!$K$34+'Segment Tables'!$K$36)/100)))+1</f>
        <v>1.0851105</v>
      </c>
      <c r="AD10" s="244">
        <v>9.5</v>
      </c>
      <c r="AE10" s="243"/>
      <c r="AF10" s="50">
        <f>+(AF9+AF11)/2</f>
        <v>1.0350000000000001</v>
      </c>
      <c r="AG10" s="50">
        <f>+(AG9+AG11)/2</f>
        <v>3.2238</v>
      </c>
      <c r="AH10" s="51">
        <f>+(AH9+AH11)/2</f>
        <v>1.4</v>
      </c>
    </row>
    <row r="11" spans="1:34" ht="12.75">
      <c r="A11" s="290" t="s">
        <v>8</v>
      </c>
      <c r="B11" s="290"/>
      <c r="C11" s="290"/>
      <c r="D11" s="290"/>
      <c r="E11" s="290"/>
      <c r="F11" s="291"/>
      <c r="G11" s="298">
        <v>12</v>
      </c>
      <c r="H11" s="291"/>
      <c r="I11" s="299">
        <v>10</v>
      </c>
      <c r="J11" s="300"/>
      <c r="K11" s="300"/>
      <c r="L11" s="300"/>
      <c r="M11" s="300"/>
      <c r="AD11" s="256">
        <v>10</v>
      </c>
      <c r="AE11" s="244"/>
      <c r="AF11" s="50">
        <v>1.02</v>
      </c>
      <c r="AG11" s="50">
        <f>+($I$10-400)*0.000175+1.02</f>
        <v>2.7</v>
      </c>
      <c r="AH11" s="51">
        <v>1.3</v>
      </c>
    </row>
    <row r="12" spans="1:34" ht="12.75">
      <c r="A12" s="290" t="s">
        <v>9</v>
      </c>
      <c r="B12" s="290"/>
      <c r="C12" s="290"/>
      <c r="D12" s="290"/>
      <c r="E12" s="290"/>
      <c r="F12" s="291"/>
      <c r="G12" s="298">
        <v>6</v>
      </c>
      <c r="H12" s="291"/>
      <c r="I12" s="232" t="s">
        <v>489</v>
      </c>
      <c r="J12" s="234">
        <v>4</v>
      </c>
      <c r="K12" s="301" t="s">
        <v>496</v>
      </c>
      <c r="L12" s="302"/>
      <c r="M12" s="233">
        <v>4</v>
      </c>
      <c r="Q12" s="118" t="s">
        <v>428</v>
      </c>
      <c r="AD12" s="257">
        <v>10.5</v>
      </c>
      <c r="AE12" s="257"/>
      <c r="AF12" s="50">
        <f>+(AF11+AF13)/2</f>
        <v>1.0150000000000001</v>
      </c>
      <c r="AG12" s="50">
        <f>+(AG11+AG13)/2</f>
        <v>1.975</v>
      </c>
      <c r="AH12" s="51">
        <f>+(AH11+AH13)/2</f>
        <v>1.175</v>
      </c>
    </row>
    <row r="13" spans="1:34" ht="12.75">
      <c r="A13" s="290" t="s">
        <v>10</v>
      </c>
      <c r="B13" s="290"/>
      <c r="C13" s="290"/>
      <c r="D13" s="290"/>
      <c r="E13" s="290"/>
      <c r="F13" s="291"/>
      <c r="G13" s="303" t="s">
        <v>160</v>
      </c>
      <c r="H13" s="291"/>
      <c r="I13" s="232" t="s">
        <v>489</v>
      </c>
      <c r="J13" s="234" t="s">
        <v>161</v>
      </c>
      <c r="K13" s="301" t="s">
        <v>496</v>
      </c>
      <c r="L13" s="302"/>
      <c r="M13" s="233" t="s">
        <v>161</v>
      </c>
      <c r="AD13" s="256">
        <v>11</v>
      </c>
      <c r="AE13" s="244"/>
      <c r="AF13" s="50">
        <v>1.01</v>
      </c>
      <c r="AG13" s="50">
        <f>+($I$10-400)*0.000025+1.01</f>
        <v>1.25</v>
      </c>
      <c r="AH13" s="51">
        <v>1.05</v>
      </c>
    </row>
    <row r="14" spans="1:34" ht="12.75">
      <c r="A14" s="290" t="s">
        <v>11</v>
      </c>
      <c r="B14" s="290"/>
      <c r="C14" s="290"/>
      <c r="D14" s="290"/>
      <c r="E14" s="290"/>
      <c r="F14" s="291"/>
      <c r="G14" s="298">
        <v>0</v>
      </c>
      <c r="H14" s="291"/>
      <c r="I14" s="304">
        <v>0</v>
      </c>
      <c r="J14" s="305"/>
      <c r="K14" s="305"/>
      <c r="L14" s="305"/>
      <c r="M14" s="305"/>
      <c r="Q14" t="s">
        <v>430</v>
      </c>
      <c r="U14" s="213">
        <f>IF($I$15&gt;0,IF($I$15&lt;=100,100,$I$15),0)</f>
        <v>0</v>
      </c>
      <c r="AD14" s="258">
        <v>11.5</v>
      </c>
      <c r="AE14" s="258"/>
      <c r="AF14" s="50">
        <f>+(AF13+AF15)/2</f>
        <v>1.005</v>
      </c>
      <c r="AG14" s="50">
        <f>+(AG13+AG15)/2</f>
        <v>1.125</v>
      </c>
      <c r="AH14" s="51">
        <f>+(AH13+AH15)/2</f>
        <v>1.025</v>
      </c>
    </row>
    <row r="15" spans="1:34" ht="13.5" thickBot="1">
      <c r="A15" s="290" t="s">
        <v>12</v>
      </c>
      <c r="B15" s="290"/>
      <c r="C15" s="290"/>
      <c r="D15" s="290"/>
      <c r="E15" s="290"/>
      <c r="F15" s="291"/>
      <c r="G15" s="298">
        <v>0</v>
      </c>
      <c r="H15" s="291"/>
      <c r="I15" s="306">
        <v>0</v>
      </c>
      <c r="J15" s="307"/>
      <c r="K15" s="307"/>
      <c r="L15" s="307"/>
      <c r="M15" s="307"/>
      <c r="N15" s="24" t="str">
        <f>IF(I14&gt;0,IF(I15=0,"Value of radius must be &gt; 0","Radius Value OK"),"Radius Value OK")</f>
        <v>Radius Value OK</v>
      </c>
      <c r="AD15" s="245">
        <v>12</v>
      </c>
      <c r="AE15" s="246"/>
      <c r="AF15" s="52">
        <v>1</v>
      </c>
      <c r="AG15" s="52">
        <v>1</v>
      </c>
      <c r="AH15" s="53">
        <v>1</v>
      </c>
    </row>
    <row r="16" spans="1:34" ht="12.75">
      <c r="A16" s="290" t="s">
        <v>13</v>
      </c>
      <c r="B16" s="290"/>
      <c r="C16" s="290"/>
      <c r="D16" s="290"/>
      <c r="E16" s="290"/>
      <c r="F16" s="291"/>
      <c r="G16" s="303" t="s">
        <v>165</v>
      </c>
      <c r="H16" s="291"/>
      <c r="I16" s="299" t="s">
        <v>165</v>
      </c>
      <c r="J16" s="300"/>
      <c r="K16" s="300"/>
      <c r="L16" s="300"/>
      <c r="M16" s="300"/>
      <c r="Q16" t="s">
        <v>429</v>
      </c>
      <c r="U16" s="213">
        <f>IF($I$14&gt;0,IF($I$14&lt;=100/5280,100/5280,$I$14),0)</f>
        <v>0</v>
      </c>
      <c r="AD16" s="247" t="s">
        <v>183</v>
      </c>
      <c r="AE16" s="248"/>
      <c r="AF16" s="248"/>
      <c r="AG16" s="248"/>
      <c r="AH16" s="248"/>
    </row>
    <row r="17" spans="1:34" ht="12.75">
      <c r="A17" s="290" t="s">
        <v>14</v>
      </c>
      <c r="B17" s="290"/>
      <c r="C17" s="290"/>
      <c r="D17" s="290"/>
      <c r="E17" s="290"/>
      <c r="F17" s="291"/>
      <c r="G17" s="294" t="s">
        <v>128</v>
      </c>
      <c r="H17" s="291"/>
      <c r="I17" s="306">
        <v>0</v>
      </c>
      <c r="J17" s="307"/>
      <c r="K17" s="307"/>
      <c r="L17" s="307"/>
      <c r="M17" s="307"/>
      <c r="AD17" s="248"/>
      <c r="AE17" s="248"/>
      <c r="AF17" s="248"/>
      <c r="AG17" s="248"/>
      <c r="AH17" s="248"/>
    </row>
    <row r="18" spans="1:34" ht="12.75">
      <c r="A18" s="290" t="s">
        <v>15</v>
      </c>
      <c r="B18" s="290"/>
      <c r="C18" s="290"/>
      <c r="D18" s="290"/>
      <c r="E18" s="290"/>
      <c r="F18" s="291"/>
      <c r="G18" s="298">
        <v>0</v>
      </c>
      <c r="H18" s="291"/>
      <c r="I18" s="306">
        <v>2</v>
      </c>
      <c r="J18" s="307"/>
      <c r="K18" s="307"/>
      <c r="L18" s="307"/>
      <c r="M18" s="307"/>
      <c r="Q18" s="64" t="s">
        <v>432</v>
      </c>
      <c r="U18" s="213">
        <f>IF(I16="Present",1,IF(I16="Not Present",0,0.5))</f>
        <v>0</v>
      </c>
      <c r="AD18" s="248"/>
      <c r="AE18" s="248"/>
      <c r="AF18" s="248"/>
      <c r="AG18" s="248"/>
      <c r="AH18" s="248"/>
    </row>
    <row r="19" spans="1:34" ht="12.75">
      <c r="A19" s="290" t="s">
        <v>16</v>
      </c>
      <c r="B19" s="290"/>
      <c r="C19" s="290"/>
      <c r="D19" s="290"/>
      <c r="E19" s="290"/>
      <c r="F19" s="291"/>
      <c r="G19" s="298">
        <v>5</v>
      </c>
      <c r="H19" s="291"/>
      <c r="I19" s="306">
        <v>6</v>
      </c>
      <c r="J19" s="307"/>
      <c r="K19" s="307"/>
      <c r="L19" s="307"/>
      <c r="M19" s="307"/>
      <c r="AD19" s="249"/>
      <c r="AE19" s="249"/>
      <c r="AF19" s="249"/>
      <c r="AG19" s="249"/>
      <c r="AH19" s="249"/>
    </row>
    <row r="20" spans="1:21" ht="13.5" thickBot="1">
      <c r="A20" s="290" t="s">
        <v>17</v>
      </c>
      <c r="B20" s="290"/>
      <c r="C20" s="290"/>
      <c r="D20" s="290"/>
      <c r="E20" s="290"/>
      <c r="F20" s="291"/>
      <c r="G20" s="303" t="s">
        <v>165</v>
      </c>
      <c r="H20" s="291"/>
      <c r="I20" s="299" t="s">
        <v>165</v>
      </c>
      <c r="J20" s="300"/>
      <c r="K20" s="300"/>
      <c r="L20" s="300"/>
      <c r="M20" s="300"/>
      <c r="Q20" s="64" t="s">
        <v>433</v>
      </c>
      <c r="U20" s="115">
        <f>IF($U$16&gt;0,((1.55*$U$16)+(80.2/$U$14)-(0.012*(IF($U$18="Present",TRUE,FALSE))))/(1.55*$U$16),1)</f>
        <v>1</v>
      </c>
    </row>
    <row r="21" spans="1:34" ht="12.75">
      <c r="A21" s="308" t="s">
        <v>186</v>
      </c>
      <c r="B21" s="290"/>
      <c r="C21" s="290"/>
      <c r="D21" s="290"/>
      <c r="E21" s="290"/>
      <c r="F21" s="291"/>
      <c r="G21" s="303" t="s">
        <v>165</v>
      </c>
      <c r="H21" s="291"/>
      <c r="I21" s="299" t="s">
        <v>165</v>
      </c>
      <c r="J21" s="300"/>
      <c r="K21" s="300"/>
      <c r="L21" s="300"/>
      <c r="M21" s="300"/>
      <c r="AD21" s="259" t="s">
        <v>452</v>
      </c>
      <c r="AE21" s="259"/>
      <c r="AF21" s="259"/>
      <c r="AG21" s="259"/>
      <c r="AH21" s="259"/>
    </row>
    <row r="22" spans="1:34" ht="13.5" thickBot="1">
      <c r="A22" s="290" t="s">
        <v>18</v>
      </c>
      <c r="B22" s="290"/>
      <c r="C22" s="290"/>
      <c r="D22" s="290"/>
      <c r="E22" s="290"/>
      <c r="F22" s="291"/>
      <c r="G22" s="303" t="s">
        <v>165</v>
      </c>
      <c r="H22" s="291"/>
      <c r="I22" s="299" t="s">
        <v>165</v>
      </c>
      <c r="J22" s="300"/>
      <c r="K22" s="300"/>
      <c r="L22" s="300"/>
      <c r="M22" s="300"/>
      <c r="Q22" s="64" t="s">
        <v>434</v>
      </c>
      <c r="U22" s="13">
        <f>IF($U$20&lt;1,1,$U$20)</f>
        <v>1</v>
      </c>
      <c r="AD22" s="260"/>
      <c r="AE22" s="260"/>
      <c r="AF22" s="260"/>
      <c r="AG22" s="260"/>
      <c r="AH22" s="260"/>
    </row>
    <row r="23" spans="1:34" ht="12.75">
      <c r="A23" s="290" t="s">
        <v>19</v>
      </c>
      <c r="B23" s="290"/>
      <c r="C23" s="290"/>
      <c r="D23" s="290"/>
      <c r="E23" s="290"/>
      <c r="F23" s="291"/>
      <c r="G23" s="298">
        <v>3</v>
      </c>
      <c r="H23" s="291"/>
      <c r="I23" s="299">
        <v>4</v>
      </c>
      <c r="J23" s="300"/>
      <c r="K23" s="300"/>
      <c r="L23" s="300"/>
      <c r="M23" s="300"/>
      <c r="AD23" s="250" t="s">
        <v>130</v>
      </c>
      <c r="AE23" s="251"/>
      <c r="AF23" s="254" t="s">
        <v>7</v>
      </c>
      <c r="AG23" s="254"/>
      <c r="AH23" s="255"/>
    </row>
    <row r="24" spans="1:34" ht="12.75">
      <c r="A24" s="290" t="s">
        <v>20</v>
      </c>
      <c r="B24" s="290"/>
      <c r="C24" s="290"/>
      <c r="D24" s="290"/>
      <c r="E24" s="290"/>
      <c r="F24" s="291"/>
      <c r="G24" s="303" t="s">
        <v>165</v>
      </c>
      <c r="H24" s="291"/>
      <c r="I24" s="299" t="s">
        <v>165</v>
      </c>
      <c r="J24" s="300"/>
      <c r="K24" s="300"/>
      <c r="L24" s="300"/>
      <c r="M24" s="300"/>
      <c r="AD24" s="252"/>
      <c r="AE24" s="253"/>
      <c r="AF24" s="26" t="s">
        <v>135</v>
      </c>
      <c r="AG24" s="26" t="s">
        <v>136</v>
      </c>
      <c r="AH24" s="49" t="s">
        <v>137</v>
      </c>
    </row>
    <row r="25" spans="1:34" ht="12.75">
      <c r="A25" s="290" t="s">
        <v>21</v>
      </c>
      <c r="B25" s="290"/>
      <c r="C25" s="290"/>
      <c r="D25" s="290"/>
      <c r="E25" s="290"/>
      <c r="F25" s="291"/>
      <c r="G25" s="303" t="s">
        <v>165</v>
      </c>
      <c r="H25" s="291"/>
      <c r="I25" s="299" t="s">
        <v>165</v>
      </c>
      <c r="J25" s="300"/>
      <c r="K25" s="300"/>
      <c r="L25" s="300"/>
      <c r="M25" s="300"/>
      <c r="AD25" s="256">
        <v>0</v>
      </c>
      <c r="AE25" s="244"/>
      <c r="AF25" s="50">
        <v>1.1</v>
      </c>
      <c r="AG25" s="50">
        <f>+($I$10-400)*0.00025+1.1</f>
        <v>3.5</v>
      </c>
      <c r="AH25" s="51">
        <v>1.5</v>
      </c>
    </row>
    <row r="26" spans="1:34" ht="13.5" thickBot="1">
      <c r="A26" s="309" t="s">
        <v>22</v>
      </c>
      <c r="B26" s="309"/>
      <c r="C26" s="309"/>
      <c r="D26" s="309"/>
      <c r="E26" s="309"/>
      <c r="F26" s="310"/>
      <c r="G26" s="311">
        <v>1</v>
      </c>
      <c r="H26" s="310"/>
      <c r="I26" s="312">
        <v>0.74</v>
      </c>
      <c r="J26" s="313"/>
      <c r="K26" s="313"/>
      <c r="L26" s="313"/>
      <c r="M26" s="313"/>
      <c r="N26" t="s">
        <v>508</v>
      </c>
      <c r="AD26" s="244">
        <v>1</v>
      </c>
      <c r="AE26" s="243"/>
      <c r="AF26" s="50">
        <f>+(AF25+AF27)/2</f>
        <v>1.085</v>
      </c>
      <c r="AG26" s="50">
        <f>+(AG25+AG27)/2</f>
        <v>2.9714</v>
      </c>
      <c r="AH26" s="51">
        <f>+(AH25+AH27)/2</f>
        <v>1.4</v>
      </c>
    </row>
    <row r="27" spans="30:34" ht="13.5" customHeight="1" thickTop="1">
      <c r="AD27" s="242">
        <v>2</v>
      </c>
      <c r="AE27" s="243"/>
      <c r="AF27" s="50">
        <v>1.07</v>
      </c>
      <c r="AG27" s="50">
        <f>+($I$10-400)*0.000143+1.07</f>
        <v>2.4428</v>
      </c>
      <c r="AH27" s="51">
        <v>1.3</v>
      </c>
    </row>
    <row r="28" spans="30:34" ht="12.75">
      <c r="AD28" s="244">
        <v>3</v>
      </c>
      <c r="AE28" s="243"/>
      <c r="AF28" s="50">
        <f>+(AF27+AF29)/2</f>
        <v>1.045</v>
      </c>
      <c r="AG28" s="50">
        <f>+(AG27+AG29)/2</f>
        <v>2.1214</v>
      </c>
      <c r="AH28" s="51">
        <f>+(AH27+AH29)/2</f>
        <v>1.225</v>
      </c>
    </row>
    <row r="29" spans="1:34" ht="13.5" customHeight="1" thickBot="1">
      <c r="A29" s="14"/>
      <c r="AD29" s="242">
        <v>4</v>
      </c>
      <c r="AE29" s="243"/>
      <c r="AF29" s="50">
        <v>1.02</v>
      </c>
      <c r="AG29" s="50">
        <f>+($I$10-400)*0.00008125+1.02</f>
        <v>1.7999999999999998</v>
      </c>
      <c r="AH29" s="51">
        <v>1.15</v>
      </c>
    </row>
    <row r="30" spans="1:34" ht="14.25" thickBot="1" thickTop="1">
      <c r="A30" s="261" t="s">
        <v>31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AD30" s="244">
        <v>5</v>
      </c>
      <c r="AE30" s="243"/>
      <c r="AF30" s="50">
        <f>+(AF29+AF31)/2</f>
        <v>1.01</v>
      </c>
      <c r="AG30" s="50">
        <f>+(AG29+AG31)/2</f>
        <v>1.4</v>
      </c>
      <c r="AH30" s="51">
        <f>+(AH29+AH31)/2</f>
        <v>1.075</v>
      </c>
    </row>
    <row r="31" spans="1:34" ht="12.75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42">
        <v>6</v>
      </c>
      <c r="AE31" s="243"/>
      <c r="AF31" s="50">
        <v>1</v>
      </c>
      <c r="AG31" s="50">
        <v>1</v>
      </c>
      <c r="AH31" s="51">
        <v>1</v>
      </c>
    </row>
    <row r="32" spans="1:34" ht="15.75" customHeight="1">
      <c r="A32" s="314" t="s">
        <v>45</v>
      </c>
      <c r="B32" s="317" t="s">
        <v>46</v>
      </c>
      <c r="C32" s="317" t="s">
        <v>47</v>
      </c>
      <c r="D32" s="320" t="s">
        <v>185</v>
      </c>
      <c r="E32" s="317" t="s">
        <v>48</v>
      </c>
      <c r="F32" s="317" t="s">
        <v>49</v>
      </c>
      <c r="G32" s="317" t="s">
        <v>50</v>
      </c>
      <c r="H32" s="317" t="s">
        <v>51</v>
      </c>
      <c r="I32" s="317" t="s">
        <v>52</v>
      </c>
      <c r="J32" s="317" t="s">
        <v>53</v>
      </c>
      <c r="K32" s="317" t="s">
        <v>54</v>
      </c>
      <c r="L32" s="317" t="s">
        <v>55</v>
      </c>
      <c r="M32" s="321" t="s">
        <v>224</v>
      </c>
      <c r="AD32" s="244">
        <v>7</v>
      </c>
      <c r="AE32" s="243"/>
      <c r="AF32" s="50">
        <f>+(AF31+AF33)/2</f>
        <v>0.99</v>
      </c>
      <c r="AG32" s="50">
        <f>+(AG31+AG33)/2</f>
        <v>0.6599999999999999</v>
      </c>
      <c r="AH32" s="51">
        <f>+(AH31+AH33)/2</f>
        <v>0.935</v>
      </c>
    </row>
    <row r="33" spans="1:34" ht="15" customHeight="1" thickBot="1">
      <c r="A33" s="315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22"/>
      <c r="AD33" s="245">
        <v>8</v>
      </c>
      <c r="AE33" s="246"/>
      <c r="AF33" s="52">
        <v>0.98</v>
      </c>
      <c r="AG33" s="54">
        <f>+(($I$10-400)*-0.00006875)+0.98</f>
        <v>0.31999999999999995</v>
      </c>
      <c r="AH33" s="53">
        <v>0.87</v>
      </c>
    </row>
    <row r="34" spans="1:34" ht="12.75">
      <c r="A34" s="315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22"/>
      <c r="AD34" s="247" t="s">
        <v>184</v>
      </c>
      <c r="AE34" s="248"/>
      <c r="AF34" s="248"/>
      <c r="AG34" s="248"/>
      <c r="AH34" s="248"/>
    </row>
    <row r="35" spans="1:34" ht="12.75">
      <c r="A35" s="316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3"/>
      <c r="AD35" s="248"/>
      <c r="AE35" s="248"/>
      <c r="AF35" s="248"/>
      <c r="AG35" s="248"/>
      <c r="AH35" s="248"/>
    </row>
    <row r="36" spans="1:34" ht="12.75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48"/>
      <c r="AE36" s="248"/>
      <c r="AF36" s="248"/>
      <c r="AG36" s="248"/>
      <c r="AH36" s="248"/>
    </row>
    <row r="37" spans="1:34" ht="12.75">
      <c r="A37" s="324" t="s">
        <v>69</v>
      </c>
      <c r="B37" s="317" t="s">
        <v>70</v>
      </c>
      <c r="C37" s="328" t="s">
        <v>71</v>
      </c>
      <c r="D37" s="317" t="s">
        <v>72</v>
      </c>
      <c r="E37" s="328" t="s">
        <v>454</v>
      </c>
      <c r="F37" s="317" t="s">
        <v>73</v>
      </c>
      <c r="G37" s="317" t="s">
        <v>74</v>
      </c>
      <c r="H37" s="317" t="s">
        <v>74</v>
      </c>
      <c r="I37" s="328" t="s">
        <v>455</v>
      </c>
      <c r="J37" s="317" t="s">
        <v>75</v>
      </c>
      <c r="K37" s="317" t="s">
        <v>76</v>
      </c>
      <c r="L37" s="317" t="s">
        <v>74</v>
      </c>
      <c r="M37" s="329" t="s">
        <v>77</v>
      </c>
      <c r="AD37" s="249"/>
      <c r="AE37" s="249"/>
      <c r="AF37" s="249"/>
      <c r="AG37" s="249"/>
      <c r="AH37" s="249"/>
    </row>
    <row r="38" spans="1:13" ht="13.5" customHeight="1">
      <c r="A38" s="325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25"/>
    </row>
    <row r="39" spans="1:13" ht="12.75">
      <c r="A39" s="325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25"/>
    </row>
    <row r="40" spans="1:13" ht="13.5" thickBot="1">
      <c r="A40" s="32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6"/>
    </row>
    <row r="41" spans="1:13" ht="13.5" thickBot="1">
      <c r="A41" s="120">
        <f>((IF($I$10&gt;2000,(VLOOKUP($I$11,$AD$9:$AH$15,5,FALSE)),IF($I$10&lt;400,(VLOOKUP($I$11,$AD$9:$AH$15,3,FALSE)),(VLOOKUP($I$11,$AD$9:$AH$15,4)))))-1)*(IF('Segment Tables'!D23="No",(('Segment Tables'!$G$29+'Segment Tables'!$G$34+'Segment Tables'!$G$36)/100),(('Segment Tables'!$K$29+'Segment Tables'!$K$34+'Segment Tables'!$K$36)/100)))+1</f>
        <v>1.1581000000000001</v>
      </c>
      <c r="B41" s="120">
        <f>($U$10+$AA$10)/2</f>
        <v>1.0851105</v>
      </c>
      <c r="C41" s="121">
        <f>+U22</f>
        <v>1</v>
      </c>
      <c r="D41" s="121">
        <f>IF($I$17&gt;=0.02,(1.06+3*($I$17-0.02)),IF($I$17&lt;0.01,1,(1+6*($I$17-0.01))))</f>
        <v>1</v>
      </c>
      <c r="E41" s="121">
        <f>IF($I$18&gt;6,1.16,(IF($I$18&lt;=3,1,1.1)))</f>
        <v>1</v>
      </c>
      <c r="F41" s="121">
        <f>IF($I$19&gt;5,(0.322+$I$19*(0.05-0.005*LN($I$10)))/(0.322+5*(0.05-0.005*LN($I$10))),1)</f>
        <v>1.0115534643804145</v>
      </c>
      <c r="G41" s="121">
        <f>IF(I22="Present",1,IF($I$20="Present",0.94,1))</f>
        <v>1</v>
      </c>
      <c r="H41" s="121">
        <f>IF($I$21="Present (1 lane)",0.75,IF($I$21="Present (2 lanes)",0.65,1))</f>
        <v>1</v>
      </c>
      <c r="I41" s="121">
        <f>IF($I$22="Not Present",1,IF($I$19&lt;=5,1,(1-(0.7*0.5*((0.0047*$I$19)+($I$19*$I$19*0.0024))/(1.199+(0.0047*$I$19)+(0.0024*$I$19*$I$19))))))</f>
        <v>1</v>
      </c>
      <c r="J41" s="121">
        <f>EXP($I$23*0.0668-0.6869)/EXP(-0.4865)</f>
        <v>1.0690816404634493</v>
      </c>
      <c r="K41" s="121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1">
        <f>IF($I$25="Present",0.93,1)</f>
        <v>1</v>
      </c>
      <c r="M41" s="122">
        <f>+A41*B41*C41*D41*E41*F41*G41*H41*I41*J41*K41*L41</f>
        <v>1.3590008886816842</v>
      </c>
    </row>
    <row r="42" ht="12.75">
      <c r="B42" s="69"/>
    </row>
    <row r="43" ht="12.75">
      <c r="B43" s="70"/>
    </row>
    <row r="44" ht="13.5" thickBot="1"/>
    <row r="45" spans="1:13" ht="14.25" thickBot="1" thickTop="1">
      <c r="A45" s="261" t="s">
        <v>78</v>
      </c>
      <c r="B45" s="262"/>
      <c r="C45" s="262"/>
      <c r="D45" s="262"/>
      <c r="E45" s="262"/>
      <c r="F45" s="262"/>
      <c r="G45" s="262"/>
      <c r="H45" s="262"/>
      <c r="I45" s="263"/>
      <c r="J45" s="263"/>
      <c r="K45" s="263"/>
      <c r="L45" s="263"/>
      <c r="M45" s="263"/>
    </row>
    <row r="46" spans="1:13" ht="12.75">
      <c r="A46" s="330" t="s">
        <v>32</v>
      </c>
      <c r="B46" s="331"/>
      <c r="C46" s="18" t="s">
        <v>33</v>
      </c>
      <c r="D46" s="332" t="s">
        <v>34</v>
      </c>
      <c r="E46" s="331"/>
      <c r="F46" s="332" t="s">
        <v>35</v>
      </c>
      <c r="G46" s="331"/>
      <c r="H46" s="332" t="s">
        <v>36</v>
      </c>
      <c r="I46" s="331"/>
      <c r="J46" s="18" t="s">
        <v>37</v>
      </c>
      <c r="K46" s="18" t="s">
        <v>38</v>
      </c>
      <c r="L46" s="332" t="s">
        <v>39</v>
      </c>
      <c r="M46" s="333"/>
    </row>
    <row r="47" spans="1:13" ht="25.5">
      <c r="A47" s="340" t="s">
        <v>79</v>
      </c>
      <c r="B47" s="270"/>
      <c r="C47" s="10" t="s">
        <v>80</v>
      </c>
      <c r="D47" s="341" t="s">
        <v>81</v>
      </c>
      <c r="E47" s="277"/>
      <c r="F47" s="344" t="s">
        <v>82</v>
      </c>
      <c r="G47" s="270"/>
      <c r="H47" s="344" t="s">
        <v>83</v>
      </c>
      <c r="I47" s="270"/>
      <c r="J47" s="10" t="s">
        <v>84</v>
      </c>
      <c r="K47" s="10" t="s">
        <v>22</v>
      </c>
      <c r="L47" s="344" t="s">
        <v>435</v>
      </c>
      <c r="M47" s="269"/>
    </row>
    <row r="48" spans="1:13" ht="38.25">
      <c r="A48" s="333"/>
      <c r="B48" s="331"/>
      <c r="C48" s="68" t="s">
        <v>458</v>
      </c>
      <c r="D48" s="345" t="s">
        <v>85</v>
      </c>
      <c r="E48" s="291"/>
      <c r="F48" s="346" t="s">
        <v>459</v>
      </c>
      <c r="G48" s="291"/>
      <c r="H48" s="347" t="s">
        <v>86</v>
      </c>
      <c r="I48" s="291"/>
      <c r="J48" s="11" t="s">
        <v>87</v>
      </c>
      <c r="K48" s="12"/>
      <c r="L48" s="347" t="s">
        <v>88</v>
      </c>
      <c r="M48" s="290"/>
    </row>
    <row r="49" spans="1:13" ht="12.75">
      <c r="A49" s="290" t="s">
        <v>89</v>
      </c>
      <c r="B49" s="291"/>
      <c r="C49" s="115">
        <f>+I10*I9*365*0.000001*EXP(-0.312)</f>
        <v>4.007598867050011</v>
      </c>
      <c r="D49" s="334">
        <f>0.236/I9</f>
        <v>0.15733333333333333</v>
      </c>
      <c r="E49" s="335"/>
      <c r="F49" s="336">
        <f>+'Segment Tables'!E15/100</f>
        <v>1</v>
      </c>
      <c r="G49" s="337"/>
      <c r="H49" s="336">
        <f>+C49*F49</f>
        <v>4.007598867050011</v>
      </c>
      <c r="I49" s="338"/>
      <c r="J49" s="114">
        <f>+M41</f>
        <v>1.3590008886816842</v>
      </c>
      <c r="K49" s="114">
        <f>+$I$26</f>
        <v>0.74</v>
      </c>
      <c r="L49" s="336">
        <f>+H49*J49*K49</f>
        <v>4.0302845121325</v>
      </c>
      <c r="M49" s="339"/>
    </row>
    <row r="50" spans="1:13" ht="12.75">
      <c r="A50" s="290" t="s">
        <v>90</v>
      </c>
      <c r="B50" s="291"/>
      <c r="C50" s="123" t="s">
        <v>29</v>
      </c>
      <c r="D50" s="350" t="s">
        <v>29</v>
      </c>
      <c r="E50" s="288"/>
      <c r="F50" s="336">
        <f>+IF('Segment Tables'!$D$8="No",('Segment Tables'!$E$13/100),('Segment Tables'!$H$13/100))</f>
        <v>0.54</v>
      </c>
      <c r="G50" s="337"/>
      <c r="H50" s="336">
        <f>+C49*F50</f>
        <v>2.164103388207006</v>
      </c>
      <c r="I50" s="338"/>
      <c r="J50" s="114">
        <f>+M41</f>
        <v>1.3590008886816842</v>
      </c>
      <c r="K50" s="114">
        <f>+$I$26</f>
        <v>0.74</v>
      </c>
      <c r="L50" s="336">
        <f>+H50*J50*K50</f>
        <v>2.1763536365515503</v>
      </c>
      <c r="M50" s="339"/>
    </row>
    <row r="51" spans="1:13" ht="15.75" customHeight="1" thickBot="1">
      <c r="A51" s="351" t="s">
        <v>91</v>
      </c>
      <c r="B51" s="352"/>
      <c r="C51" s="124" t="s">
        <v>29</v>
      </c>
      <c r="D51" s="353" t="s">
        <v>29</v>
      </c>
      <c r="E51" s="354"/>
      <c r="F51" s="342">
        <f>+IF('Segment Tables'!$D$8="No",('Segment Tables'!$E$14/100),('Segment Tables'!$H$14/100))</f>
        <v>0.46</v>
      </c>
      <c r="G51" s="355"/>
      <c r="H51" s="342">
        <f>+C49*F51</f>
        <v>1.8434954788430051</v>
      </c>
      <c r="I51" s="356"/>
      <c r="J51" s="54">
        <f>+M41</f>
        <v>1.3590008886816842</v>
      </c>
      <c r="K51" s="54">
        <f>+$I$26</f>
        <v>0.74</v>
      </c>
      <c r="L51" s="342">
        <f>+H51*J51*K51</f>
        <v>1.8539308755809503</v>
      </c>
      <c r="M51" s="343"/>
    </row>
    <row r="54" ht="13.5" thickBot="1"/>
    <row r="55" spans="1:13" ht="14.25" thickBot="1" thickTop="1">
      <c r="A55" s="261" t="s">
        <v>92</v>
      </c>
      <c r="B55" s="262"/>
      <c r="C55" s="262"/>
      <c r="D55" s="262"/>
      <c r="E55" s="262"/>
      <c r="F55" s="262"/>
      <c r="G55" s="262"/>
      <c r="H55" s="360"/>
      <c r="I55" s="360"/>
      <c r="J55" s="360"/>
      <c r="K55" s="360"/>
      <c r="L55" s="360"/>
      <c r="M55" s="360"/>
    </row>
    <row r="56" spans="1:13" ht="12.75">
      <c r="A56" s="361" t="s">
        <v>32</v>
      </c>
      <c r="B56" s="362"/>
      <c r="C56" s="18" t="s">
        <v>33</v>
      </c>
      <c r="D56" s="363" t="s">
        <v>34</v>
      </c>
      <c r="E56" s="364"/>
      <c r="F56" s="363" t="s">
        <v>35</v>
      </c>
      <c r="G56" s="364"/>
      <c r="H56" s="348" t="s">
        <v>36</v>
      </c>
      <c r="I56" s="365"/>
      <c r="J56" s="363" t="s">
        <v>37</v>
      </c>
      <c r="K56" s="364"/>
      <c r="L56" s="348" t="s">
        <v>38</v>
      </c>
      <c r="M56" s="349"/>
    </row>
    <row r="57" spans="1:13" ht="59.25" customHeight="1">
      <c r="A57" s="370" t="s">
        <v>93</v>
      </c>
      <c r="B57" s="369"/>
      <c r="C57" s="10" t="s">
        <v>97</v>
      </c>
      <c r="D57" s="368" t="s">
        <v>94</v>
      </c>
      <c r="E57" s="291"/>
      <c r="F57" s="368" t="s">
        <v>95</v>
      </c>
      <c r="G57" s="369"/>
      <c r="H57" s="368" t="s">
        <v>96</v>
      </c>
      <c r="I57" s="369"/>
      <c r="J57" s="368" t="s">
        <v>98</v>
      </c>
      <c r="K57" s="369"/>
      <c r="L57" s="368" t="s">
        <v>99</v>
      </c>
      <c r="M57" s="370"/>
    </row>
    <row r="58" spans="1:13" ht="51" customHeight="1">
      <c r="A58" s="370"/>
      <c r="B58" s="369"/>
      <c r="C58" s="68" t="s">
        <v>461</v>
      </c>
      <c r="D58" s="347" t="s">
        <v>100</v>
      </c>
      <c r="E58" s="358"/>
      <c r="F58" s="346" t="s">
        <v>460</v>
      </c>
      <c r="G58" s="357"/>
      <c r="H58" s="347" t="s">
        <v>101</v>
      </c>
      <c r="I58" s="358"/>
      <c r="J58" s="346" t="s">
        <v>460</v>
      </c>
      <c r="K58" s="357"/>
      <c r="L58" s="347" t="s">
        <v>102</v>
      </c>
      <c r="M58" s="359"/>
    </row>
    <row r="59" spans="1:13" ht="12.75">
      <c r="A59" s="377" t="s">
        <v>89</v>
      </c>
      <c r="B59" s="378"/>
      <c r="C59" s="13">
        <f>+C68+C75</f>
        <v>1</v>
      </c>
      <c r="D59" s="366">
        <f>+$L$49</f>
        <v>4.0302845121325</v>
      </c>
      <c r="E59" s="244"/>
      <c r="F59" s="366">
        <f>+F68+F75</f>
        <v>1</v>
      </c>
      <c r="G59" s="367"/>
      <c r="H59" s="366">
        <f>+$L$50</f>
        <v>2.1763536365515503</v>
      </c>
      <c r="I59" s="244"/>
      <c r="J59" s="366">
        <v>1</v>
      </c>
      <c r="K59" s="367"/>
      <c r="L59" s="366">
        <f>+$L$51</f>
        <v>1.8539308755809503</v>
      </c>
      <c r="M59" s="258"/>
    </row>
    <row r="60" spans="1:13" ht="13.5" thickBot="1">
      <c r="A60" s="371"/>
      <c r="B60" s="372"/>
      <c r="C60" s="4"/>
      <c r="D60" s="373" t="s">
        <v>103</v>
      </c>
      <c r="E60" s="374"/>
      <c r="F60" s="375"/>
      <c r="G60" s="376"/>
      <c r="H60" s="379" t="s">
        <v>104</v>
      </c>
      <c r="I60" s="380"/>
      <c r="J60" s="381"/>
      <c r="K60" s="246"/>
      <c r="L60" s="379" t="s">
        <v>105</v>
      </c>
      <c r="M60" s="382"/>
    </row>
    <row r="61" spans="1:13" ht="13.5" thickBot="1">
      <c r="A61" s="383" t="s">
        <v>106</v>
      </c>
      <c r="B61" s="384"/>
      <c r="C61" s="384"/>
      <c r="D61" s="384"/>
      <c r="E61" s="384"/>
      <c r="F61" s="384"/>
      <c r="G61" s="384"/>
      <c r="H61" s="385"/>
      <c r="I61" s="385"/>
      <c r="J61" s="385"/>
      <c r="K61" s="385"/>
      <c r="L61" s="385"/>
      <c r="M61" s="385"/>
    </row>
    <row r="62" spans="1:13" ht="12.75">
      <c r="A62" s="386" t="s">
        <v>107</v>
      </c>
      <c r="B62" s="387"/>
      <c r="C62" s="217">
        <f>IF('Segment Tables'!$D$23="No",('Segment Tables'!$G25/100),('Segment Tables'!$K25/100))</f>
        <v>0.07200000000000001</v>
      </c>
      <c r="D62" s="388">
        <f>+$L$49*C62</f>
        <v>0.29018048487354003</v>
      </c>
      <c r="E62" s="389"/>
      <c r="F62" s="390">
        <f>IF('Segment Tables'!$D$23="No",'Segment Tables'!$E25/100,'Segment Tables'!$I25/100)</f>
        <v>0.031</v>
      </c>
      <c r="G62" s="391"/>
      <c r="H62" s="388">
        <f>+$L$50*F62</f>
        <v>0.06746696273309806</v>
      </c>
      <c r="I62" s="389"/>
      <c r="J62" s="390">
        <f>IF('Segment Tables'!$D$23="No",'Segment Tables'!$F25/100,'Segment Tables'!$J25/100)</f>
        <v>0.12</v>
      </c>
      <c r="K62" s="391"/>
      <c r="L62" s="388">
        <f>+$L$51*J62</f>
        <v>0.22247170506971403</v>
      </c>
      <c r="M62" s="392"/>
    </row>
    <row r="63" spans="1:13" ht="12.75">
      <c r="A63" s="377" t="s">
        <v>108</v>
      </c>
      <c r="B63" s="378"/>
      <c r="C63" s="217">
        <f>IF('Segment Tables'!$D$23="No",('Segment Tables'!$G26/100),('Segment Tables'!$K26/100))</f>
        <v>0.003</v>
      </c>
      <c r="D63" s="366">
        <f aca="true" t="shared" si="0" ref="D63:D68">+$L$49*C63</f>
        <v>0.0120908535363975</v>
      </c>
      <c r="E63" s="367"/>
      <c r="F63" s="298">
        <f>IF('Segment Tables'!$D$23="No",'Segment Tables'!$E26/100,'Segment Tables'!$I26/100)</f>
        <v>0.006</v>
      </c>
      <c r="G63" s="244"/>
      <c r="H63" s="366">
        <f aca="true" t="shared" si="1" ref="H63:H68">+$L$50*F63</f>
        <v>0.013058121819309302</v>
      </c>
      <c r="I63" s="367"/>
      <c r="J63" s="298">
        <f>IF('Segment Tables'!$D$23="No",'Segment Tables'!$F26/100,'Segment Tables'!$J26/100)</f>
        <v>0</v>
      </c>
      <c r="K63" s="244"/>
      <c r="L63" s="366">
        <f aca="true" t="shared" si="2" ref="L63:L68">+$L$51*J63</f>
        <v>0</v>
      </c>
      <c r="M63" s="393"/>
    </row>
    <row r="64" spans="1:13" ht="12.75">
      <c r="A64" s="377" t="s">
        <v>109</v>
      </c>
      <c r="B64" s="378"/>
      <c r="C64" s="217">
        <f>IF('Segment Tables'!$D$23="No",('Segment Tables'!$G27/100),('Segment Tables'!$K27/100))</f>
        <v>0.004</v>
      </c>
      <c r="D64" s="366">
        <f t="shared" si="0"/>
        <v>0.01612113804853</v>
      </c>
      <c r="E64" s="367"/>
      <c r="F64" s="298">
        <f>IF('Segment Tables'!$D$23="No",'Segment Tables'!$E27/100,'Segment Tables'!$I27/100)</f>
        <v>0.008</v>
      </c>
      <c r="G64" s="244"/>
      <c r="H64" s="366">
        <f t="shared" si="1"/>
        <v>0.017410829092412403</v>
      </c>
      <c r="I64" s="367"/>
      <c r="J64" s="298">
        <f>IF('Segment Tables'!$D$23="No",'Segment Tables'!$F27/100,'Segment Tables'!$J27/100)</f>
        <v>0</v>
      </c>
      <c r="K64" s="244"/>
      <c r="L64" s="366">
        <f t="shared" si="2"/>
        <v>0</v>
      </c>
      <c r="M64" s="393"/>
    </row>
    <row r="65" spans="1:13" ht="12.75">
      <c r="A65" s="290" t="s">
        <v>110</v>
      </c>
      <c r="B65" s="291"/>
      <c r="C65" s="217">
        <f>IF('Segment Tables'!$D$23="No",('Segment Tables'!$G28/100),('Segment Tables'!$K28/100))</f>
        <v>0.064</v>
      </c>
      <c r="D65" s="366">
        <f t="shared" si="0"/>
        <v>0.25793820877648</v>
      </c>
      <c r="E65" s="367"/>
      <c r="F65" s="298">
        <f>IF('Segment Tables'!$D$23="No",'Segment Tables'!$E28/100,'Segment Tables'!$I28/100)</f>
        <v>0.086</v>
      </c>
      <c r="G65" s="244"/>
      <c r="H65" s="366">
        <f t="shared" si="1"/>
        <v>0.18716641274343332</v>
      </c>
      <c r="I65" s="367"/>
      <c r="J65" s="298">
        <f>IF('Segment Tables'!$D$23="No",'Segment Tables'!$F28/100,'Segment Tables'!$J28/100)</f>
        <v>0.038</v>
      </c>
      <c r="K65" s="244"/>
      <c r="L65" s="366">
        <f t="shared" si="2"/>
        <v>0.07044937327207611</v>
      </c>
      <c r="M65" s="393"/>
    </row>
    <row r="66" spans="1:13" ht="12.75">
      <c r="A66" s="290" t="s">
        <v>111</v>
      </c>
      <c r="B66" s="291"/>
      <c r="C66" s="217">
        <f>IF('Segment Tables'!$D$23="No",('Segment Tables'!$G29/100),('Segment Tables'!$K29/100))</f>
        <v>0.435</v>
      </c>
      <c r="D66" s="366">
        <f t="shared" si="0"/>
        <v>1.7531737627776374</v>
      </c>
      <c r="E66" s="367"/>
      <c r="F66" s="298">
        <f>IF('Segment Tables'!$D$23="No",'Segment Tables'!$E29/100,'Segment Tables'!$I29/100)</f>
        <v>0.47200000000000003</v>
      </c>
      <c r="G66" s="244"/>
      <c r="H66" s="366">
        <f t="shared" si="1"/>
        <v>1.027238916452332</v>
      </c>
      <c r="I66" s="367"/>
      <c r="J66" s="298">
        <f>IF('Segment Tables'!$D$23="No",'Segment Tables'!$F29/100,'Segment Tables'!$J29/100)</f>
        <v>0.391</v>
      </c>
      <c r="K66" s="244"/>
      <c r="L66" s="366">
        <f t="shared" si="2"/>
        <v>0.7248869723521516</v>
      </c>
      <c r="M66" s="393"/>
    </row>
    <row r="67" spans="1:13" ht="12.75">
      <c r="A67" s="377" t="s">
        <v>112</v>
      </c>
      <c r="B67" s="378"/>
      <c r="C67" s="217">
        <f>IF('Segment Tables'!$D$23="No",('Segment Tables'!$G30/100),('Segment Tables'!$K30/100))</f>
        <v>0.015</v>
      </c>
      <c r="D67" s="366">
        <f t="shared" si="0"/>
        <v>0.0604542676819875</v>
      </c>
      <c r="E67" s="367"/>
      <c r="F67" s="298">
        <f>IF('Segment Tables'!$D$23="No",'Segment Tables'!$E30/100,'Segment Tables'!$I30/100)</f>
        <v>0.017</v>
      </c>
      <c r="G67" s="244"/>
      <c r="H67" s="366">
        <f t="shared" si="1"/>
        <v>0.03699801182137636</v>
      </c>
      <c r="I67" s="367"/>
      <c r="J67" s="298">
        <f>IF('Segment Tables'!$D$23="No",'Segment Tables'!$F30/100,'Segment Tables'!$J30/100)</f>
        <v>0.013000000000000001</v>
      </c>
      <c r="K67" s="244"/>
      <c r="L67" s="366">
        <f t="shared" si="2"/>
        <v>0.024101101382552354</v>
      </c>
      <c r="M67" s="393"/>
    </row>
    <row r="68" spans="1:13" ht="13.5" thickBot="1">
      <c r="A68" s="394" t="s">
        <v>113</v>
      </c>
      <c r="B68" s="395"/>
      <c r="C68" s="19">
        <f>+SUM(C62:C67)</f>
        <v>0.5930000000000001</v>
      </c>
      <c r="D68" s="396">
        <f t="shared" si="0"/>
        <v>2.389958715694573</v>
      </c>
      <c r="E68" s="397"/>
      <c r="F68" s="298">
        <f>SUM(F62:G67)</f>
        <v>0.62</v>
      </c>
      <c r="G68" s="244"/>
      <c r="H68" s="396">
        <f t="shared" si="1"/>
        <v>1.3493392546619611</v>
      </c>
      <c r="I68" s="397"/>
      <c r="J68" s="298">
        <f>SUM(J62:K67)</f>
        <v>0.562</v>
      </c>
      <c r="K68" s="244"/>
      <c r="L68" s="396">
        <f t="shared" si="2"/>
        <v>1.0419091520764943</v>
      </c>
      <c r="M68" s="398"/>
    </row>
    <row r="69" spans="1:13" ht="13.5" thickBot="1">
      <c r="A69" s="383" t="s">
        <v>114</v>
      </c>
      <c r="B69" s="384"/>
      <c r="C69" s="384"/>
      <c r="D69" s="384"/>
      <c r="E69" s="384"/>
      <c r="F69" s="384"/>
      <c r="G69" s="384"/>
      <c r="H69" s="385"/>
      <c r="I69" s="385"/>
      <c r="J69" s="385"/>
      <c r="K69" s="385"/>
      <c r="L69" s="385"/>
      <c r="M69" s="385"/>
    </row>
    <row r="70" spans="1:13" ht="12.75">
      <c r="A70" s="399" t="s">
        <v>115</v>
      </c>
      <c r="B70" s="400"/>
      <c r="C70" s="217">
        <f>IF('Segment Tables'!$D$23="No",('Segment Tables'!$G33/100),('Segment Tables'!$K33/100))</f>
        <v>0.008</v>
      </c>
      <c r="D70" s="366">
        <f aca="true" t="shared" si="3" ref="D70:D75">+$L$49*C70</f>
        <v>0.03224227609706</v>
      </c>
      <c r="E70" s="367"/>
      <c r="F70" s="388">
        <f>IF('Segment Tables'!$D$23="No",'Segment Tables'!$E33/100,'Segment Tables'!$I33/100)</f>
        <v>0.008</v>
      </c>
      <c r="G70" s="389"/>
      <c r="H70" s="388">
        <f aca="true" t="shared" si="4" ref="H70:H75">+$L$50*F70</f>
        <v>0.017410829092412403</v>
      </c>
      <c r="I70" s="389"/>
      <c r="J70" s="388">
        <f>IF('Segment Tables'!$D$23="No",'Segment Tables'!$F33/100,'Segment Tables'!$J33/100)</f>
        <v>0.006999999999999999</v>
      </c>
      <c r="K70" s="389"/>
      <c r="L70" s="388">
        <f>+$L$51*J70</f>
        <v>0.012977516129066651</v>
      </c>
      <c r="M70" s="392"/>
    </row>
    <row r="71" spans="1:13" ht="12.75">
      <c r="A71" s="377" t="s">
        <v>116</v>
      </c>
      <c r="B71" s="378"/>
      <c r="C71" s="217">
        <f>IF('Segment Tables'!$D$23="No",('Segment Tables'!$G34/100),('Segment Tables'!$K34/100))</f>
        <v>0.036000000000000004</v>
      </c>
      <c r="D71" s="366">
        <f t="shared" si="3"/>
        <v>0.14509024243677002</v>
      </c>
      <c r="E71" s="367"/>
      <c r="F71" s="366">
        <f>IF('Segment Tables'!$D$23="No",'Segment Tables'!$E34/100,'Segment Tables'!$I34/100)</f>
        <v>0.057999999999999996</v>
      </c>
      <c r="G71" s="367"/>
      <c r="H71" s="366">
        <f t="shared" si="4"/>
        <v>0.1262285109199899</v>
      </c>
      <c r="I71" s="367"/>
      <c r="J71" s="366">
        <f>IF('Segment Tables'!$D$23="No",'Segment Tables'!$F34/100,'Segment Tables'!$J34/100)</f>
        <v>0.01</v>
      </c>
      <c r="K71" s="367"/>
      <c r="L71" s="366">
        <f>+$L$51*J71</f>
        <v>0.018539308755809503</v>
      </c>
      <c r="M71" s="393"/>
    </row>
    <row r="72" spans="1:13" ht="12.75">
      <c r="A72" s="377" t="s">
        <v>117</v>
      </c>
      <c r="B72" s="378"/>
      <c r="C72" s="217">
        <f>IF('Segment Tables'!$D$23="No",('Segment Tables'!$G35/100),('Segment Tables'!$K35/100))</f>
        <v>0.201</v>
      </c>
      <c r="D72" s="366">
        <f t="shared" si="3"/>
        <v>0.8100871869386326</v>
      </c>
      <c r="E72" s="367"/>
      <c r="F72" s="366">
        <f>IF('Segment Tables'!$D$23="No",'Segment Tables'!$E35/100,'Segment Tables'!$I35/100)</f>
        <v>0.188</v>
      </c>
      <c r="G72" s="367"/>
      <c r="H72" s="366">
        <f t="shared" si="4"/>
        <v>0.40915448367169144</v>
      </c>
      <c r="I72" s="367"/>
      <c r="J72" s="366">
        <f>IF('Segment Tables'!$D$23="No",'Segment Tables'!$F35/100,'Segment Tables'!$J35/100)</f>
        <v>0.215</v>
      </c>
      <c r="K72" s="367"/>
      <c r="L72" s="366">
        <f>+$L$51*J72</f>
        <v>0.3985951382499043</v>
      </c>
      <c r="M72" s="393"/>
    </row>
    <row r="73" spans="1:13" ht="12.75">
      <c r="A73" s="377" t="s">
        <v>118</v>
      </c>
      <c r="B73" s="378"/>
      <c r="C73" s="217">
        <f>IF('Segment Tables'!$D$23="No",('Segment Tables'!$G36/100),('Segment Tables'!$K36/100))</f>
        <v>0.055999999999999994</v>
      </c>
      <c r="D73" s="366">
        <f t="shared" si="3"/>
        <v>0.22569593267941998</v>
      </c>
      <c r="E73" s="367"/>
      <c r="F73" s="366">
        <f>IF('Segment Tables'!$D$23="No",'Segment Tables'!$E36/100,'Segment Tables'!$I36/100)</f>
        <v>0.044000000000000004</v>
      </c>
      <c r="G73" s="367"/>
      <c r="H73" s="366">
        <f t="shared" si="4"/>
        <v>0.09575956000826823</v>
      </c>
      <c r="I73" s="367"/>
      <c r="J73" s="366">
        <f>IF('Segment Tables'!$D$23="No",'Segment Tables'!$F36/100,'Segment Tables'!$J36/100)</f>
        <v>0.071</v>
      </c>
      <c r="K73" s="367"/>
      <c r="L73" s="366">
        <f>+$L$51*J73</f>
        <v>0.13162909216624746</v>
      </c>
      <c r="M73" s="393"/>
    </row>
    <row r="74" spans="1:13" ht="12.75">
      <c r="A74" s="377" t="s">
        <v>119</v>
      </c>
      <c r="B74" s="378"/>
      <c r="C74" s="217">
        <f>IF('Segment Tables'!$D$23="No",('Segment Tables'!$G37/100),('Segment Tables'!$K37/100))</f>
        <v>0.106</v>
      </c>
      <c r="D74" s="366">
        <f t="shared" si="3"/>
        <v>0.42721015828604497</v>
      </c>
      <c r="E74" s="367"/>
      <c r="F74" s="366">
        <f>IF('Segment Tables'!$D$23="No",'Segment Tables'!$E37/100,'Segment Tables'!$I37/100)</f>
        <v>0.08199999999999999</v>
      </c>
      <c r="G74" s="367"/>
      <c r="H74" s="366">
        <f t="shared" si="4"/>
        <v>0.1784609981972271</v>
      </c>
      <c r="I74" s="367"/>
      <c r="J74" s="366">
        <f>IF('Segment Tables'!$D$23="No",'Segment Tables'!$F37/100,'Segment Tables'!$J37/100)</f>
        <v>0.135</v>
      </c>
      <c r="K74" s="367"/>
      <c r="L74" s="366">
        <f>+$L$51*J74</f>
        <v>0.2502806682034283</v>
      </c>
      <c r="M74" s="393"/>
    </row>
    <row r="75" spans="1:13" ht="13.5" thickBot="1">
      <c r="A75" s="401" t="s">
        <v>152</v>
      </c>
      <c r="B75" s="395"/>
      <c r="C75" s="3">
        <f>SUM(C70:C74)</f>
        <v>0.40700000000000003</v>
      </c>
      <c r="D75" s="396">
        <f t="shared" si="3"/>
        <v>1.6403257964379276</v>
      </c>
      <c r="E75" s="397"/>
      <c r="F75" s="396">
        <f>SUM(F70:F74)</f>
        <v>0.38</v>
      </c>
      <c r="G75" s="397"/>
      <c r="H75" s="396">
        <f t="shared" si="4"/>
        <v>0.8270143818895891</v>
      </c>
      <c r="I75" s="397"/>
      <c r="J75" s="396">
        <f>SUM(J70:J74)</f>
        <v>0.438</v>
      </c>
      <c r="K75" s="397"/>
      <c r="L75" s="396">
        <f>SUM(L70:L74)</f>
        <v>0.8120217235044562</v>
      </c>
      <c r="M75" s="398"/>
    </row>
    <row r="78" ht="13.5" thickBot="1"/>
    <row r="79" spans="1:13" ht="14.25" thickBot="1" thickTop="1">
      <c r="A79" s="261" t="s">
        <v>120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</row>
    <row r="80" spans="1:13" ht="12.75">
      <c r="A80" s="404" t="s">
        <v>32</v>
      </c>
      <c r="B80" s="404"/>
      <c r="C80" s="405"/>
      <c r="D80" s="406" t="s">
        <v>33</v>
      </c>
      <c r="E80" s="404"/>
      <c r="F80" s="405"/>
      <c r="G80" s="406" t="s">
        <v>34</v>
      </c>
      <c r="H80" s="404"/>
      <c r="I80" s="405"/>
      <c r="J80" s="406" t="s">
        <v>35</v>
      </c>
      <c r="K80" s="405"/>
      <c r="L80" s="406" t="s">
        <v>36</v>
      </c>
      <c r="M80" s="404"/>
    </row>
    <row r="81" spans="1:13" ht="36" customHeight="1">
      <c r="A81" s="415" t="s">
        <v>121</v>
      </c>
      <c r="B81" s="415"/>
      <c r="C81" s="416"/>
      <c r="D81" s="368" t="s">
        <v>462</v>
      </c>
      <c r="E81" s="370"/>
      <c r="F81" s="369"/>
      <c r="G81" s="368" t="s">
        <v>122</v>
      </c>
      <c r="H81" s="370"/>
      <c r="I81" s="369"/>
      <c r="J81" s="368" t="s">
        <v>123</v>
      </c>
      <c r="K81" s="369"/>
      <c r="L81" s="368" t="s">
        <v>124</v>
      </c>
      <c r="M81" s="370"/>
    </row>
    <row r="82" spans="1:13" ht="12.75">
      <c r="A82" s="415"/>
      <c r="B82" s="415"/>
      <c r="C82" s="416"/>
      <c r="D82" s="294" t="s">
        <v>125</v>
      </c>
      <c r="E82" s="290"/>
      <c r="F82" s="291"/>
      <c r="G82" s="294" t="s">
        <v>126</v>
      </c>
      <c r="H82" s="402"/>
      <c r="I82" s="403"/>
      <c r="J82" s="368"/>
      <c r="K82" s="369"/>
      <c r="L82" s="294" t="s">
        <v>127</v>
      </c>
      <c r="M82" s="402"/>
    </row>
    <row r="83" spans="1:13" ht="12.75">
      <c r="A83" s="407" t="s">
        <v>89</v>
      </c>
      <c r="B83" s="407"/>
      <c r="C83" s="408"/>
      <c r="D83" s="336">
        <f>+F49</f>
        <v>1</v>
      </c>
      <c r="E83" s="409"/>
      <c r="F83" s="410"/>
      <c r="G83" s="411">
        <f>+L49</f>
        <v>4.0302845121325</v>
      </c>
      <c r="H83" s="412"/>
      <c r="I83" s="413"/>
      <c r="J83" s="414">
        <f>+$I$9</f>
        <v>1.5</v>
      </c>
      <c r="K83" s="410"/>
      <c r="L83" s="411">
        <f>+G83/J83</f>
        <v>2.6868563414216666</v>
      </c>
      <c r="M83" s="412"/>
    </row>
    <row r="84" spans="1:13" ht="12.75">
      <c r="A84" s="407" t="s">
        <v>90</v>
      </c>
      <c r="B84" s="407"/>
      <c r="C84" s="408"/>
      <c r="D84" s="336">
        <f>+F50</f>
        <v>0.54</v>
      </c>
      <c r="E84" s="409"/>
      <c r="F84" s="410"/>
      <c r="G84" s="411">
        <f>+L50</f>
        <v>2.1763536365515503</v>
      </c>
      <c r="H84" s="412"/>
      <c r="I84" s="413"/>
      <c r="J84" s="414">
        <f>+$I$9</f>
        <v>1.5</v>
      </c>
      <c r="K84" s="410"/>
      <c r="L84" s="411">
        <f>+G84/J84</f>
        <v>1.4509024243677002</v>
      </c>
      <c r="M84" s="412"/>
    </row>
    <row r="85" spans="1:13" ht="13.5" thickBot="1">
      <c r="A85" s="417" t="s">
        <v>91</v>
      </c>
      <c r="B85" s="417"/>
      <c r="C85" s="418"/>
      <c r="D85" s="342">
        <f>+F51</f>
        <v>0.46</v>
      </c>
      <c r="E85" s="419"/>
      <c r="F85" s="420"/>
      <c r="G85" s="421">
        <f>+L51</f>
        <v>1.8539308755809503</v>
      </c>
      <c r="H85" s="422"/>
      <c r="I85" s="423"/>
      <c r="J85" s="424">
        <f>+$I$9</f>
        <v>1.5</v>
      </c>
      <c r="K85" s="420"/>
      <c r="L85" s="421">
        <f>+G85/J85</f>
        <v>1.2359539170539668</v>
      </c>
      <c r="M85" s="422"/>
    </row>
  </sheetData>
  <sheetProtection/>
  <mergeCells count="296">
    <mergeCell ref="A85:C85"/>
    <mergeCell ref="D85:F85"/>
    <mergeCell ref="G85:I85"/>
    <mergeCell ref="J85:K85"/>
    <mergeCell ref="L85:M85"/>
    <mergeCell ref="A83:C83"/>
    <mergeCell ref="D83:F83"/>
    <mergeCell ref="G83:I83"/>
    <mergeCell ref="J83:K83"/>
    <mergeCell ref="L83:M83"/>
    <mergeCell ref="A84:C84"/>
    <mergeCell ref="D84:F84"/>
    <mergeCell ref="G84:I84"/>
    <mergeCell ref="J84:K84"/>
    <mergeCell ref="L84:M84"/>
    <mergeCell ref="A81:C82"/>
    <mergeCell ref="D81:F81"/>
    <mergeCell ref="G81:I81"/>
    <mergeCell ref="J81:K82"/>
    <mergeCell ref="L81:M81"/>
    <mergeCell ref="D82:F82"/>
    <mergeCell ref="G82:I82"/>
    <mergeCell ref="L82:M82"/>
    <mergeCell ref="A79:M79"/>
    <mergeCell ref="A80:C80"/>
    <mergeCell ref="D80:F80"/>
    <mergeCell ref="G80:I80"/>
    <mergeCell ref="J80:K80"/>
    <mergeCell ref="L80:M80"/>
    <mergeCell ref="A75:B75"/>
    <mergeCell ref="D75:E75"/>
    <mergeCell ref="F75:G75"/>
    <mergeCell ref="H75:I75"/>
    <mergeCell ref="J75:K75"/>
    <mergeCell ref="L75:M75"/>
    <mergeCell ref="A74:B74"/>
    <mergeCell ref="D74:E74"/>
    <mergeCell ref="F74:G74"/>
    <mergeCell ref="H74:I74"/>
    <mergeCell ref="J74:K74"/>
    <mergeCell ref="L74:M74"/>
    <mergeCell ref="A73:B73"/>
    <mergeCell ref="D73:E73"/>
    <mergeCell ref="F73:G73"/>
    <mergeCell ref="H73:I73"/>
    <mergeCell ref="J73:K73"/>
    <mergeCell ref="L73:M73"/>
    <mergeCell ref="A72:B72"/>
    <mergeCell ref="D72:E72"/>
    <mergeCell ref="F72:G72"/>
    <mergeCell ref="H72:I72"/>
    <mergeCell ref="J72:K72"/>
    <mergeCell ref="L72:M72"/>
    <mergeCell ref="A71:B71"/>
    <mergeCell ref="D71:E71"/>
    <mergeCell ref="F71:G71"/>
    <mergeCell ref="H71:I71"/>
    <mergeCell ref="J71:K71"/>
    <mergeCell ref="L71:M71"/>
    <mergeCell ref="A69:M69"/>
    <mergeCell ref="A70:B70"/>
    <mergeCell ref="D70:E70"/>
    <mergeCell ref="F70:G70"/>
    <mergeCell ref="H70:I70"/>
    <mergeCell ref="J70:K70"/>
    <mergeCell ref="L70:M70"/>
    <mergeCell ref="A68:B68"/>
    <mergeCell ref="D68:E68"/>
    <mergeCell ref="F68:G68"/>
    <mergeCell ref="H68:I68"/>
    <mergeCell ref="J68:K68"/>
    <mergeCell ref="L68:M68"/>
    <mergeCell ref="A67:B67"/>
    <mergeCell ref="D67:E67"/>
    <mergeCell ref="F67:G67"/>
    <mergeCell ref="H67:I67"/>
    <mergeCell ref="J67:K67"/>
    <mergeCell ref="L67:M67"/>
    <mergeCell ref="A66:B66"/>
    <mergeCell ref="D66:E66"/>
    <mergeCell ref="F66:G66"/>
    <mergeCell ref="H66:I66"/>
    <mergeCell ref="J66:K66"/>
    <mergeCell ref="L66:M66"/>
    <mergeCell ref="A65:B65"/>
    <mergeCell ref="D65:E65"/>
    <mergeCell ref="F65:G65"/>
    <mergeCell ref="H65:I65"/>
    <mergeCell ref="J65:K65"/>
    <mergeCell ref="L65:M65"/>
    <mergeCell ref="A64:B64"/>
    <mergeCell ref="D64:E64"/>
    <mergeCell ref="F64:G64"/>
    <mergeCell ref="H64:I64"/>
    <mergeCell ref="J64:K64"/>
    <mergeCell ref="L64:M64"/>
    <mergeCell ref="A63:B63"/>
    <mergeCell ref="D63:E63"/>
    <mergeCell ref="F63:G63"/>
    <mergeCell ref="H63:I63"/>
    <mergeCell ref="J63:K63"/>
    <mergeCell ref="L63:M63"/>
    <mergeCell ref="H60:I60"/>
    <mergeCell ref="J60:K60"/>
    <mergeCell ref="L60:M60"/>
    <mergeCell ref="A61:M61"/>
    <mergeCell ref="A62:B62"/>
    <mergeCell ref="D62:E62"/>
    <mergeCell ref="F62:G62"/>
    <mergeCell ref="H62:I62"/>
    <mergeCell ref="J62:K62"/>
    <mergeCell ref="L62:M62"/>
    <mergeCell ref="A57:B58"/>
    <mergeCell ref="D57:E57"/>
    <mergeCell ref="F57:G57"/>
    <mergeCell ref="A60:B60"/>
    <mergeCell ref="D60:E60"/>
    <mergeCell ref="F60:G60"/>
    <mergeCell ref="A59:B59"/>
    <mergeCell ref="D59:E59"/>
    <mergeCell ref="F59:G59"/>
    <mergeCell ref="D58:E58"/>
    <mergeCell ref="H59:I59"/>
    <mergeCell ref="J59:K59"/>
    <mergeCell ref="L59:M59"/>
    <mergeCell ref="H57:I57"/>
    <mergeCell ref="J57:K57"/>
    <mergeCell ref="L57:M57"/>
    <mergeCell ref="F58:G58"/>
    <mergeCell ref="H58:I58"/>
    <mergeCell ref="J58:K58"/>
    <mergeCell ref="L58:M58"/>
    <mergeCell ref="A55:M55"/>
    <mergeCell ref="A56:B56"/>
    <mergeCell ref="D56:E56"/>
    <mergeCell ref="F56:G56"/>
    <mergeCell ref="H56:I56"/>
    <mergeCell ref="J56:K56"/>
    <mergeCell ref="L56:M56"/>
    <mergeCell ref="A50:B50"/>
    <mergeCell ref="D50:E50"/>
    <mergeCell ref="F50:G50"/>
    <mergeCell ref="H50:I50"/>
    <mergeCell ref="L50:M50"/>
    <mergeCell ref="A51:B51"/>
    <mergeCell ref="D51:E51"/>
    <mergeCell ref="F51:G51"/>
    <mergeCell ref="H51:I51"/>
    <mergeCell ref="L51:M51"/>
    <mergeCell ref="L47:M47"/>
    <mergeCell ref="D48:E48"/>
    <mergeCell ref="F48:G48"/>
    <mergeCell ref="H48:I48"/>
    <mergeCell ref="L48:M48"/>
    <mergeCell ref="F47:G47"/>
    <mergeCell ref="H47:I47"/>
    <mergeCell ref="A49:B49"/>
    <mergeCell ref="D49:E49"/>
    <mergeCell ref="F49:G49"/>
    <mergeCell ref="H49:I49"/>
    <mergeCell ref="L49:M49"/>
    <mergeCell ref="G37:G40"/>
    <mergeCell ref="H37:H40"/>
    <mergeCell ref="I37:I40"/>
    <mergeCell ref="A47:B48"/>
    <mergeCell ref="D47:E47"/>
    <mergeCell ref="J32:J35"/>
    <mergeCell ref="K32:K35"/>
    <mergeCell ref="L32:L35"/>
    <mergeCell ref="M37:M40"/>
    <mergeCell ref="A45:M45"/>
    <mergeCell ref="A46:B46"/>
    <mergeCell ref="D46:E46"/>
    <mergeCell ref="F46:G46"/>
    <mergeCell ref="H46:I46"/>
    <mergeCell ref="L46:M46"/>
    <mergeCell ref="M32:M35"/>
    <mergeCell ref="A37:A40"/>
    <mergeCell ref="B37:B40"/>
    <mergeCell ref="C37:C40"/>
    <mergeCell ref="D37:D40"/>
    <mergeCell ref="E37:E40"/>
    <mergeCell ref="F37:F40"/>
    <mergeCell ref="J37:J40"/>
    <mergeCell ref="K37:K40"/>
    <mergeCell ref="L37:L40"/>
    <mergeCell ref="A30:M30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A25:F25"/>
    <mergeCell ref="G25:H25"/>
    <mergeCell ref="I25:M25"/>
    <mergeCell ref="A26:F26"/>
    <mergeCell ref="G26:H26"/>
    <mergeCell ref="I26:M26"/>
    <mergeCell ref="A23:F23"/>
    <mergeCell ref="G23:H23"/>
    <mergeCell ref="I23:M23"/>
    <mergeCell ref="A24:F24"/>
    <mergeCell ref="G24:H24"/>
    <mergeCell ref="I24:M24"/>
    <mergeCell ref="A21:F21"/>
    <mergeCell ref="G21:H21"/>
    <mergeCell ref="I21:M21"/>
    <mergeCell ref="A22:F22"/>
    <mergeCell ref="G22:H22"/>
    <mergeCell ref="I22:M22"/>
    <mergeCell ref="A19:F19"/>
    <mergeCell ref="G19:H19"/>
    <mergeCell ref="I19:M19"/>
    <mergeCell ref="A20:F20"/>
    <mergeCell ref="G20:H20"/>
    <mergeCell ref="I20:M20"/>
    <mergeCell ref="A17:F17"/>
    <mergeCell ref="G17:H17"/>
    <mergeCell ref="I17:M17"/>
    <mergeCell ref="A18:F18"/>
    <mergeCell ref="G18:H18"/>
    <mergeCell ref="I18:M18"/>
    <mergeCell ref="A15:F15"/>
    <mergeCell ref="G15:H15"/>
    <mergeCell ref="I15:M15"/>
    <mergeCell ref="A16:F16"/>
    <mergeCell ref="G16:H16"/>
    <mergeCell ref="I16:M16"/>
    <mergeCell ref="G13:H13"/>
    <mergeCell ref="A14:F14"/>
    <mergeCell ref="G14:H14"/>
    <mergeCell ref="I14:M14"/>
    <mergeCell ref="K13:L13"/>
    <mergeCell ref="A13:F13"/>
    <mergeCell ref="A11:F11"/>
    <mergeCell ref="G11:H11"/>
    <mergeCell ref="I11:M11"/>
    <mergeCell ref="G12:H12"/>
    <mergeCell ref="K12:L12"/>
    <mergeCell ref="A12:F12"/>
    <mergeCell ref="A9:F9"/>
    <mergeCell ref="G9:H9"/>
    <mergeCell ref="I9:M9"/>
    <mergeCell ref="G10:H10"/>
    <mergeCell ref="I10:M10"/>
    <mergeCell ref="A10:C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  <mergeCell ref="AD5:AH6"/>
    <mergeCell ref="AD7:AE8"/>
    <mergeCell ref="AF7:AH7"/>
    <mergeCell ref="AD9:AE9"/>
    <mergeCell ref="AD10:AE10"/>
    <mergeCell ref="AD11:AE11"/>
    <mergeCell ref="AD12:AE12"/>
    <mergeCell ref="AD13:AE13"/>
    <mergeCell ref="AD14:AE14"/>
    <mergeCell ref="AD15:AE15"/>
    <mergeCell ref="AD16:AH19"/>
    <mergeCell ref="AD21:AH22"/>
    <mergeCell ref="AD23:AE24"/>
    <mergeCell ref="AF23:AH23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H37"/>
  </mergeCells>
  <conditionalFormatting sqref="I10:M10">
    <cfRule type="cellIs" priority="2" dxfId="0" operator="greaterThan" stopIfTrue="1">
      <formula>$E$10</formula>
    </cfRule>
  </conditionalFormatting>
  <conditionalFormatting sqref="I10:M10">
    <cfRule type="cellIs" priority="1" dxfId="0" operator="greaterThan" stopIfTrue="1">
      <formula>$E$10</formula>
    </cfRule>
  </conditionalFormatting>
  <dataValidations count="16">
    <dataValidation type="list" allowBlank="1" showInputMessage="1" showErrorMessage="1" sqref="M13 J13">
      <formula1>SType</formula1>
    </dataValidation>
    <dataValidation type="list" allowBlank="1" showInputMessage="1" showErrorMessage="1" sqref="M12 J12">
      <formula1>SWidth</formula1>
    </dataValidation>
    <dataValidation type="decimal" allowBlank="1" showInputMessage="1" showErrorMessage="1" sqref="I26:M26">
      <formula1>0</formula1>
      <formula2>10</formula2>
    </dataValidation>
    <dataValidation type="decimal" operator="greaterThanOrEqual" allowBlank="1" showInputMessage="1" showErrorMessage="1" sqref="I14:M14 I18:M19">
      <formula1>0</formula1>
    </dataValidation>
    <dataValidation type="whole" operator="greaterThanOrEqual" allowBlank="1" showInputMessage="1" showErrorMessage="1" sqref="I15:M15">
      <formula1>0</formula1>
    </dataValidation>
    <dataValidation type="whole" operator="greaterThan" allowBlank="1" showInputMessage="1" showErrorMessage="1" sqref="J7:M7">
      <formula1>1990</formula1>
    </dataValidation>
    <dataValidation type="decimal" operator="greaterThan" allowBlank="1" showInputMessage="1" showErrorMessage="1" sqref="I9:M9">
      <formula1>0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list" allowBlank="1" showInputMessage="1" showErrorMessage="1" errorTitle="Invalid" sqref="I25:M25">
      <formula1>SpEnforce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I11:M11">
      <formula1>LWidth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85"/>
  <sheetViews>
    <sheetView zoomScalePageLayoutView="0" workbookViewId="0" topLeftCell="A1">
      <selection activeCell="I26" sqref="I26:M26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3" width="12.28125" style="0" customWidth="1"/>
    <col min="4" max="4" width="13.28125" style="0" customWidth="1"/>
    <col min="5" max="5" width="11.00390625" style="0" customWidth="1"/>
    <col min="6" max="6" width="12.140625" style="0" customWidth="1"/>
    <col min="9" max="9" width="10.140625" style="0" customWidth="1"/>
    <col min="10" max="10" width="12.140625" style="0" customWidth="1"/>
    <col min="11" max="11" width="12.28125" style="0" customWidth="1"/>
    <col min="12" max="12" width="11.140625" style="0" customWidth="1"/>
    <col min="17" max="17" width="10.140625" style="0" customWidth="1"/>
    <col min="32" max="32" width="13.00390625" style="0" customWidth="1"/>
    <col min="33" max="33" width="13.140625" style="0" customWidth="1"/>
    <col min="34" max="34" width="16.57421875" style="0" customWidth="1"/>
  </cols>
  <sheetData>
    <row r="1" ht="13.5" thickBot="1"/>
    <row r="2" spans="1:30" ht="14.25" thickBot="1" thickTop="1">
      <c r="A2" s="261" t="s">
        <v>0</v>
      </c>
      <c r="B2" s="262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AD2" s="118" t="s">
        <v>408</v>
      </c>
    </row>
    <row r="3" spans="1:17" ht="13.5" customHeight="1">
      <c r="A3" s="264" t="s">
        <v>1</v>
      </c>
      <c r="B3" s="265"/>
      <c r="C3" s="265"/>
      <c r="D3" s="265"/>
      <c r="E3" s="265"/>
      <c r="F3" s="266"/>
      <c r="G3" s="267" t="s">
        <v>23</v>
      </c>
      <c r="H3" s="268"/>
      <c r="I3" s="268"/>
      <c r="J3" s="268"/>
      <c r="K3" s="268"/>
      <c r="L3" s="268"/>
      <c r="M3" s="268"/>
      <c r="Q3" s="118" t="s">
        <v>409</v>
      </c>
    </row>
    <row r="4" spans="1:13" ht="13.5" thickBot="1">
      <c r="A4" s="269" t="s">
        <v>2</v>
      </c>
      <c r="B4" s="269"/>
      <c r="C4" s="270"/>
      <c r="D4" s="271" t="s">
        <v>327</v>
      </c>
      <c r="E4" s="272"/>
      <c r="F4" s="273"/>
      <c r="G4" s="274" t="s">
        <v>24</v>
      </c>
      <c r="H4" s="269"/>
      <c r="I4" s="270"/>
      <c r="J4" s="271" t="s">
        <v>328</v>
      </c>
      <c r="K4" s="272"/>
      <c r="L4" s="272"/>
      <c r="M4" s="272"/>
    </row>
    <row r="5" spans="1:34" ht="12.75">
      <c r="A5" s="275" t="s">
        <v>3</v>
      </c>
      <c r="B5" s="276"/>
      <c r="C5" s="277"/>
      <c r="D5" s="278" t="s">
        <v>147</v>
      </c>
      <c r="E5" s="279"/>
      <c r="F5" s="280"/>
      <c r="G5" s="281" t="s">
        <v>25</v>
      </c>
      <c r="H5" s="276"/>
      <c r="I5" s="277"/>
      <c r="J5" s="282" t="s">
        <v>443</v>
      </c>
      <c r="K5" s="279"/>
      <c r="L5" s="279"/>
      <c r="M5" s="279"/>
      <c r="AD5" s="259" t="s">
        <v>451</v>
      </c>
      <c r="AE5" s="259"/>
      <c r="AF5" s="259"/>
      <c r="AG5" s="259"/>
      <c r="AH5" s="259"/>
    </row>
    <row r="6" spans="1:34" ht="18.75" customHeight="1" thickBot="1">
      <c r="A6" s="275" t="s">
        <v>4</v>
      </c>
      <c r="B6" s="276"/>
      <c r="C6" s="277"/>
      <c r="D6" s="283">
        <v>40268</v>
      </c>
      <c r="E6" s="279"/>
      <c r="F6" s="280"/>
      <c r="G6" s="281" t="s">
        <v>26</v>
      </c>
      <c r="H6" s="276"/>
      <c r="I6" s="277"/>
      <c r="J6" s="282" t="s">
        <v>329</v>
      </c>
      <c r="K6" s="279"/>
      <c r="L6" s="279"/>
      <c r="M6" s="279"/>
      <c r="Q6" s="64" t="s">
        <v>490</v>
      </c>
      <c r="U6" s="114">
        <f>IF($I$10&gt;2000,(VLOOKUP($J$12,$AD$25:$AH$33,5,FALSE)),IF($I$10&lt;400,(VLOOKUP($J$12,$AD$25:$AH$33,3,FALSE)),(VLOOKUP($J$12,$AD$25:$AH$33,4))))</f>
        <v>1.3</v>
      </c>
      <c r="W6" s="64" t="s">
        <v>491</v>
      </c>
      <c r="AA6" s="114">
        <f>IF($I$10&gt;2000,(VLOOKUP($M$12,$AD$25:$AH$33,5,FALSE)),IF($I$10&lt;400,(VLOOKUP($M$12,$AD$25:$AH$33,3,FALSE)),(VLOOKUP($M$12,$AD$25:$AH$33,4))))</f>
        <v>1.3</v>
      </c>
      <c r="AD6" s="260"/>
      <c r="AE6" s="260"/>
      <c r="AF6" s="260"/>
      <c r="AG6" s="260"/>
      <c r="AH6" s="260"/>
    </row>
    <row r="7" spans="1:34" ht="12.75">
      <c r="A7" s="275"/>
      <c r="B7" s="275"/>
      <c r="C7" s="277"/>
      <c r="D7" s="281"/>
      <c r="E7" s="276"/>
      <c r="F7" s="277"/>
      <c r="G7" s="281" t="s">
        <v>27</v>
      </c>
      <c r="H7" s="276"/>
      <c r="I7" s="277"/>
      <c r="J7" s="284">
        <v>2010</v>
      </c>
      <c r="K7" s="285"/>
      <c r="L7" s="285"/>
      <c r="M7" s="285"/>
      <c r="AD7" s="250" t="s">
        <v>129</v>
      </c>
      <c r="AE7" s="251"/>
      <c r="AF7" s="254" t="s">
        <v>7</v>
      </c>
      <c r="AG7" s="254"/>
      <c r="AH7" s="255"/>
    </row>
    <row r="8" spans="1:34" ht="15.75">
      <c r="A8" s="286" t="s">
        <v>5</v>
      </c>
      <c r="B8" s="287"/>
      <c r="C8" s="287"/>
      <c r="D8" s="287"/>
      <c r="E8" s="287"/>
      <c r="F8" s="288"/>
      <c r="G8" s="289" t="s">
        <v>28</v>
      </c>
      <c r="H8" s="288"/>
      <c r="I8" s="289" t="s">
        <v>30</v>
      </c>
      <c r="J8" s="287"/>
      <c r="K8" s="287"/>
      <c r="L8" s="287"/>
      <c r="M8" s="287"/>
      <c r="Q8" s="64" t="s">
        <v>492</v>
      </c>
      <c r="U8" s="114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4" t="s">
        <v>493</v>
      </c>
      <c r="AA8" s="114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52"/>
      <c r="AE8" s="253"/>
      <c r="AF8" s="26" t="s">
        <v>135</v>
      </c>
      <c r="AG8" s="26" t="s">
        <v>136</v>
      </c>
      <c r="AH8" s="49" t="s">
        <v>137</v>
      </c>
    </row>
    <row r="9" spans="1:34" ht="13.5" thickBot="1">
      <c r="A9" s="290" t="s">
        <v>6</v>
      </c>
      <c r="B9" s="290"/>
      <c r="C9" s="290"/>
      <c r="D9" s="290"/>
      <c r="E9" s="290"/>
      <c r="F9" s="291"/>
      <c r="G9" s="292" t="s">
        <v>29</v>
      </c>
      <c r="H9" s="270"/>
      <c r="I9" s="293">
        <v>0.1</v>
      </c>
      <c r="J9" s="272"/>
      <c r="K9" s="272"/>
      <c r="L9" s="272"/>
      <c r="M9" s="272"/>
      <c r="AD9" s="256">
        <v>9</v>
      </c>
      <c r="AE9" s="244"/>
      <c r="AF9" s="50">
        <v>1.05</v>
      </c>
      <c r="AG9" s="50">
        <f>+($I$10-400)*0.000281+1.05</f>
        <v>3.1856</v>
      </c>
      <c r="AH9" s="51">
        <v>1.5</v>
      </c>
    </row>
    <row r="10" spans="1:34" ht="16.5" thickBot="1">
      <c r="A10" s="290" t="s">
        <v>7</v>
      </c>
      <c r="B10" s="290"/>
      <c r="C10" s="297"/>
      <c r="D10" s="228" t="s">
        <v>487</v>
      </c>
      <c r="E10" s="229">
        <v>17800</v>
      </c>
      <c r="F10" s="230" t="s">
        <v>488</v>
      </c>
      <c r="G10" s="294" t="s">
        <v>29</v>
      </c>
      <c r="H10" s="291"/>
      <c r="I10" s="295">
        <v>8000</v>
      </c>
      <c r="J10" s="296"/>
      <c r="K10" s="296"/>
      <c r="L10" s="296"/>
      <c r="M10" s="296"/>
      <c r="N10" s="231" t="str">
        <f>IF(I10&gt;E10,"AADT out of range","AADT OK")</f>
        <v>AADT OK</v>
      </c>
      <c r="Q10" s="64" t="s">
        <v>494</v>
      </c>
      <c r="U10" s="114">
        <f>(+$U$6*$U$8-1)*(IF('Segment Tables'!$D$23="No",(('Segment Tables'!$G$29+'Segment Tables'!$G$34+'Segment Tables'!$G$36)/100),(('Segment Tables'!$K$29+'Segment Tables'!$K$34+'Segment Tables'!$K$36)/100)))+1</f>
        <v>1.164951</v>
      </c>
      <c r="W10" s="64" t="s">
        <v>495</v>
      </c>
      <c r="AA10" s="114">
        <f>(+$AA$6*$AA$8-1)*(IF('Segment Tables'!$D$23="No",(('Segment Tables'!$G$29+'Segment Tables'!$G$34+'Segment Tables'!$G$36)/100),(('Segment Tables'!$K$29+'Segment Tables'!$K$34+'Segment Tables'!$K$36)/100)))+1</f>
        <v>1.164951</v>
      </c>
      <c r="AD10" s="244">
        <v>9.5</v>
      </c>
      <c r="AE10" s="243"/>
      <c r="AF10" s="50">
        <f>+(AF9+AF11)/2</f>
        <v>1.0350000000000001</v>
      </c>
      <c r="AG10" s="50">
        <f>+(AG9+AG11)/2</f>
        <v>2.7678000000000003</v>
      </c>
      <c r="AH10" s="51">
        <f>+(AH9+AH11)/2</f>
        <v>1.4</v>
      </c>
    </row>
    <row r="11" spans="1:34" ht="12.75">
      <c r="A11" s="290" t="s">
        <v>8</v>
      </c>
      <c r="B11" s="290"/>
      <c r="C11" s="290"/>
      <c r="D11" s="290"/>
      <c r="E11" s="290"/>
      <c r="F11" s="291"/>
      <c r="G11" s="298">
        <v>12</v>
      </c>
      <c r="H11" s="291"/>
      <c r="I11" s="299">
        <v>11</v>
      </c>
      <c r="J11" s="300"/>
      <c r="K11" s="300"/>
      <c r="L11" s="300"/>
      <c r="M11" s="300"/>
      <c r="AD11" s="256">
        <v>10</v>
      </c>
      <c r="AE11" s="244"/>
      <c r="AF11" s="50">
        <v>1.02</v>
      </c>
      <c r="AG11" s="50">
        <f>+($I$10-400)*0.000175+1.02</f>
        <v>2.35</v>
      </c>
      <c r="AH11" s="51">
        <v>1.3</v>
      </c>
    </row>
    <row r="12" spans="1:34" ht="12.75">
      <c r="A12" s="290" t="s">
        <v>9</v>
      </c>
      <c r="B12" s="290"/>
      <c r="C12" s="290"/>
      <c r="D12" s="290"/>
      <c r="E12" s="290"/>
      <c r="F12" s="291"/>
      <c r="G12" s="298">
        <v>6</v>
      </c>
      <c r="H12" s="291"/>
      <c r="I12" s="232" t="s">
        <v>489</v>
      </c>
      <c r="J12" s="223">
        <v>2</v>
      </c>
      <c r="K12" s="301" t="s">
        <v>496</v>
      </c>
      <c r="L12" s="302"/>
      <c r="M12" s="233">
        <v>2</v>
      </c>
      <c r="Q12" s="118" t="s">
        <v>428</v>
      </c>
      <c r="AD12" s="257">
        <v>10.5</v>
      </c>
      <c r="AE12" s="257"/>
      <c r="AF12" s="50">
        <f>+(AF11+AF13)/2</f>
        <v>1.0150000000000001</v>
      </c>
      <c r="AG12" s="50">
        <f>+(AG11+AG13)/2</f>
        <v>1.775</v>
      </c>
      <c r="AH12" s="51">
        <f>+(AH11+AH13)/2</f>
        <v>1.175</v>
      </c>
    </row>
    <row r="13" spans="1:34" ht="12.75">
      <c r="A13" s="290" t="s">
        <v>10</v>
      </c>
      <c r="B13" s="290"/>
      <c r="C13" s="290"/>
      <c r="D13" s="290"/>
      <c r="E13" s="290"/>
      <c r="F13" s="291"/>
      <c r="G13" s="303" t="s">
        <v>160</v>
      </c>
      <c r="H13" s="291"/>
      <c r="I13" s="232" t="s">
        <v>489</v>
      </c>
      <c r="J13" s="223" t="s">
        <v>161</v>
      </c>
      <c r="K13" s="301" t="s">
        <v>496</v>
      </c>
      <c r="L13" s="302"/>
      <c r="M13" s="233" t="s">
        <v>161</v>
      </c>
      <c r="AD13" s="256">
        <v>11</v>
      </c>
      <c r="AE13" s="244"/>
      <c r="AF13" s="50">
        <v>1.01</v>
      </c>
      <c r="AG13" s="50">
        <f>+($I$10-400)*0.000025+1.01</f>
        <v>1.2</v>
      </c>
      <c r="AH13" s="51">
        <v>1.05</v>
      </c>
    </row>
    <row r="14" spans="1:34" ht="12.75">
      <c r="A14" s="290" t="s">
        <v>11</v>
      </c>
      <c r="B14" s="290"/>
      <c r="C14" s="290"/>
      <c r="D14" s="290"/>
      <c r="E14" s="290"/>
      <c r="F14" s="291"/>
      <c r="G14" s="298">
        <v>0</v>
      </c>
      <c r="H14" s="291"/>
      <c r="I14" s="304">
        <v>0.1</v>
      </c>
      <c r="J14" s="305"/>
      <c r="K14" s="305"/>
      <c r="L14" s="305"/>
      <c r="M14" s="305"/>
      <c r="Q14" t="s">
        <v>430</v>
      </c>
      <c r="U14" s="213">
        <f>IF($I$15&gt;0,IF($I$15&lt;=100,100,$I$15),0)</f>
        <v>1200</v>
      </c>
      <c r="AD14" s="258">
        <v>11.5</v>
      </c>
      <c r="AE14" s="258"/>
      <c r="AF14" s="50">
        <f>+(AF13+AF15)/2</f>
        <v>1.005</v>
      </c>
      <c r="AG14" s="50">
        <f>+(AG13+AG15)/2</f>
        <v>1.1</v>
      </c>
      <c r="AH14" s="51">
        <f>+(AH13+AH15)/2</f>
        <v>1.025</v>
      </c>
    </row>
    <row r="15" spans="1:34" ht="13.5" thickBot="1">
      <c r="A15" s="290" t="s">
        <v>12</v>
      </c>
      <c r="B15" s="290"/>
      <c r="C15" s="290"/>
      <c r="D15" s="290"/>
      <c r="E15" s="290"/>
      <c r="F15" s="291"/>
      <c r="G15" s="298">
        <v>0</v>
      </c>
      <c r="H15" s="291"/>
      <c r="I15" s="306">
        <v>1200</v>
      </c>
      <c r="J15" s="307"/>
      <c r="K15" s="307"/>
      <c r="L15" s="307"/>
      <c r="M15" s="307"/>
      <c r="N15" s="24" t="str">
        <f>IF(I14&gt;0,IF(I15=0,"Value of radius must be &gt; 0","Radius Value OK"),"Radius Value OK")</f>
        <v>Radius Value OK</v>
      </c>
      <c r="AD15" s="245">
        <v>12</v>
      </c>
      <c r="AE15" s="246"/>
      <c r="AF15" s="52">
        <v>1</v>
      </c>
      <c r="AG15" s="52">
        <v>1</v>
      </c>
      <c r="AH15" s="53">
        <v>1</v>
      </c>
    </row>
    <row r="16" spans="1:34" ht="12.75">
      <c r="A16" s="290" t="s">
        <v>13</v>
      </c>
      <c r="B16" s="290"/>
      <c r="C16" s="290"/>
      <c r="D16" s="290"/>
      <c r="E16" s="290"/>
      <c r="F16" s="291"/>
      <c r="G16" s="303" t="s">
        <v>165</v>
      </c>
      <c r="H16" s="291"/>
      <c r="I16" s="299" t="s">
        <v>165</v>
      </c>
      <c r="J16" s="300"/>
      <c r="K16" s="300"/>
      <c r="L16" s="300"/>
      <c r="M16" s="300"/>
      <c r="Q16" t="s">
        <v>429</v>
      </c>
      <c r="U16" s="213">
        <f>IF($I$14&gt;0,IF($I$14&lt;=100/5280,100/5280,$I$14),0)</f>
        <v>0.1</v>
      </c>
      <c r="AD16" s="247" t="s">
        <v>183</v>
      </c>
      <c r="AE16" s="248"/>
      <c r="AF16" s="248"/>
      <c r="AG16" s="248"/>
      <c r="AH16" s="248"/>
    </row>
    <row r="17" spans="1:34" ht="12.75">
      <c r="A17" s="290" t="s">
        <v>14</v>
      </c>
      <c r="B17" s="290"/>
      <c r="C17" s="290"/>
      <c r="D17" s="290"/>
      <c r="E17" s="290"/>
      <c r="F17" s="291"/>
      <c r="G17" s="294" t="s">
        <v>128</v>
      </c>
      <c r="H17" s="291"/>
      <c r="I17" s="306">
        <v>0.02</v>
      </c>
      <c r="J17" s="307"/>
      <c r="K17" s="307"/>
      <c r="L17" s="307"/>
      <c r="M17" s="307"/>
      <c r="AD17" s="248"/>
      <c r="AE17" s="248"/>
      <c r="AF17" s="248"/>
      <c r="AG17" s="248"/>
      <c r="AH17" s="248"/>
    </row>
    <row r="18" spans="1:34" ht="12.75">
      <c r="A18" s="290" t="s">
        <v>15</v>
      </c>
      <c r="B18" s="290"/>
      <c r="C18" s="290"/>
      <c r="D18" s="290"/>
      <c r="E18" s="290"/>
      <c r="F18" s="291"/>
      <c r="G18" s="298">
        <v>0</v>
      </c>
      <c r="H18" s="291"/>
      <c r="I18" s="306">
        <v>1</v>
      </c>
      <c r="J18" s="307"/>
      <c r="K18" s="307"/>
      <c r="L18" s="307"/>
      <c r="M18" s="307"/>
      <c r="Q18" s="64" t="s">
        <v>432</v>
      </c>
      <c r="U18" s="213">
        <f>IF(I16="Present",1,IF(I16="Not Present",0,0.5))</f>
        <v>0</v>
      </c>
      <c r="AD18" s="248"/>
      <c r="AE18" s="248"/>
      <c r="AF18" s="248"/>
      <c r="AG18" s="248"/>
      <c r="AH18" s="248"/>
    </row>
    <row r="19" spans="1:34" ht="12.75">
      <c r="A19" s="290" t="s">
        <v>16</v>
      </c>
      <c r="B19" s="290"/>
      <c r="C19" s="290"/>
      <c r="D19" s="290"/>
      <c r="E19" s="290"/>
      <c r="F19" s="291"/>
      <c r="G19" s="298">
        <v>5</v>
      </c>
      <c r="H19" s="291"/>
      <c r="I19" s="306">
        <v>0</v>
      </c>
      <c r="J19" s="307"/>
      <c r="K19" s="307"/>
      <c r="L19" s="307"/>
      <c r="M19" s="307"/>
      <c r="AD19" s="249"/>
      <c r="AE19" s="249"/>
      <c r="AF19" s="249"/>
      <c r="AG19" s="249"/>
      <c r="AH19" s="249"/>
    </row>
    <row r="20" spans="1:21" ht="13.5" thickBot="1">
      <c r="A20" s="290" t="s">
        <v>17</v>
      </c>
      <c r="B20" s="290"/>
      <c r="C20" s="290"/>
      <c r="D20" s="290"/>
      <c r="E20" s="290"/>
      <c r="F20" s="291"/>
      <c r="G20" s="303" t="s">
        <v>165</v>
      </c>
      <c r="H20" s="291"/>
      <c r="I20" s="299" t="s">
        <v>165</v>
      </c>
      <c r="J20" s="300"/>
      <c r="K20" s="300"/>
      <c r="L20" s="300"/>
      <c r="M20" s="300"/>
      <c r="Q20" s="64" t="s">
        <v>433</v>
      </c>
      <c r="U20" s="115">
        <f>IF($U$16&gt;0,((1.55*$U$16)+(80.2/$U$14)-(0.012*(IF($U$18="Present",TRUE,FALSE))))/(1.55*$U$16),1)</f>
        <v>1.4311827956989247</v>
      </c>
    </row>
    <row r="21" spans="1:34" ht="12.75">
      <c r="A21" s="308" t="s">
        <v>186</v>
      </c>
      <c r="B21" s="290"/>
      <c r="C21" s="290"/>
      <c r="D21" s="290"/>
      <c r="E21" s="290"/>
      <c r="F21" s="291"/>
      <c r="G21" s="303" t="s">
        <v>165</v>
      </c>
      <c r="H21" s="291"/>
      <c r="I21" s="299" t="s">
        <v>165</v>
      </c>
      <c r="J21" s="300"/>
      <c r="K21" s="300"/>
      <c r="L21" s="300"/>
      <c r="M21" s="300"/>
      <c r="AD21" s="259" t="s">
        <v>452</v>
      </c>
      <c r="AE21" s="259"/>
      <c r="AF21" s="259"/>
      <c r="AG21" s="259"/>
      <c r="AH21" s="259"/>
    </row>
    <row r="22" spans="1:34" ht="13.5" thickBot="1">
      <c r="A22" s="290" t="s">
        <v>18</v>
      </c>
      <c r="B22" s="290"/>
      <c r="C22" s="290"/>
      <c r="D22" s="290"/>
      <c r="E22" s="290"/>
      <c r="F22" s="291"/>
      <c r="G22" s="303" t="s">
        <v>165</v>
      </c>
      <c r="H22" s="291"/>
      <c r="I22" s="299" t="s">
        <v>165</v>
      </c>
      <c r="J22" s="300"/>
      <c r="K22" s="300"/>
      <c r="L22" s="300"/>
      <c r="M22" s="300"/>
      <c r="Q22" s="64" t="s">
        <v>434</v>
      </c>
      <c r="U22" s="13">
        <f>IF($U$20&lt;1,1,$U$20)</f>
        <v>1.4311827956989247</v>
      </c>
      <c r="AD22" s="260"/>
      <c r="AE22" s="260"/>
      <c r="AF22" s="260"/>
      <c r="AG22" s="260"/>
      <c r="AH22" s="260"/>
    </row>
    <row r="23" spans="1:34" ht="12.75">
      <c r="A23" s="290" t="s">
        <v>19</v>
      </c>
      <c r="B23" s="290"/>
      <c r="C23" s="290"/>
      <c r="D23" s="290"/>
      <c r="E23" s="290"/>
      <c r="F23" s="291"/>
      <c r="G23" s="298">
        <v>3</v>
      </c>
      <c r="H23" s="291"/>
      <c r="I23" s="299">
        <v>5</v>
      </c>
      <c r="J23" s="300"/>
      <c r="K23" s="300"/>
      <c r="L23" s="300"/>
      <c r="M23" s="300"/>
      <c r="AD23" s="250" t="s">
        <v>130</v>
      </c>
      <c r="AE23" s="251"/>
      <c r="AF23" s="254" t="s">
        <v>7</v>
      </c>
      <c r="AG23" s="254"/>
      <c r="AH23" s="255"/>
    </row>
    <row r="24" spans="1:34" ht="12.75">
      <c r="A24" s="290" t="s">
        <v>20</v>
      </c>
      <c r="B24" s="290"/>
      <c r="C24" s="290"/>
      <c r="D24" s="290"/>
      <c r="E24" s="290"/>
      <c r="F24" s="291"/>
      <c r="G24" s="303" t="s">
        <v>165</v>
      </c>
      <c r="H24" s="291"/>
      <c r="I24" s="299" t="s">
        <v>165</v>
      </c>
      <c r="J24" s="300"/>
      <c r="K24" s="300"/>
      <c r="L24" s="300"/>
      <c r="M24" s="300"/>
      <c r="AD24" s="252"/>
      <c r="AE24" s="253"/>
      <c r="AF24" s="26" t="s">
        <v>135</v>
      </c>
      <c r="AG24" s="26" t="s">
        <v>136</v>
      </c>
      <c r="AH24" s="49" t="s">
        <v>137</v>
      </c>
    </row>
    <row r="25" spans="1:34" ht="12.75">
      <c r="A25" s="290" t="s">
        <v>21</v>
      </c>
      <c r="B25" s="290"/>
      <c r="C25" s="290"/>
      <c r="D25" s="290"/>
      <c r="E25" s="290"/>
      <c r="F25" s="291"/>
      <c r="G25" s="303" t="s">
        <v>165</v>
      </c>
      <c r="H25" s="291"/>
      <c r="I25" s="299" t="s">
        <v>165</v>
      </c>
      <c r="J25" s="300"/>
      <c r="K25" s="300"/>
      <c r="L25" s="300"/>
      <c r="M25" s="300"/>
      <c r="AD25" s="256">
        <v>0</v>
      </c>
      <c r="AE25" s="244"/>
      <c r="AF25" s="50">
        <v>1.1</v>
      </c>
      <c r="AG25" s="50">
        <f>+($I$10-400)*0.00025+1.1</f>
        <v>3</v>
      </c>
      <c r="AH25" s="51">
        <v>1.5</v>
      </c>
    </row>
    <row r="26" spans="1:34" ht="13.5" thickBot="1">
      <c r="A26" s="309" t="s">
        <v>22</v>
      </c>
      <c r="B26" s="309"/>
      <c r="C26" s="309"/>
      <c r="D26" s="309"/>
      <c r="E26" s="309"/>
      <c r="F26" s="310"/>
      <c r="G26" s="311">
        <v>1</v>
      </c>
      <c r="H26" s="310"/>
      <c r="I26" s="312">
        <v>0.74</v>
      </c>
      <c r="J26" s="313"/>
      <c r="K26" s="313"/>
      <c r="L26" s="313"/>
      <c r="M26" s="313"/>
      <c r="N26" t="s">
        <v>508</v>
      </c>
      <c r="AD26" s="244">
        <v>1</v>
      </c>
      <c r="AE26" s="243"/>
      <c r="AF26" s="50">
        <f>+(AF25+AF27)/2</f>
        <v>1.085</v>
      </c>
      <c r="AG26" s="50">
        <f>+(AG25+AG27)/2</f>
        <v>2.5784000000000002</v>
      </c>
      <c r="AH26" s="51">
        <f>+(AH25+AH27)/2</f>
        <v>1.4</v>
      </c>
    </row>
    <row r="27" spans="30:34" ht="13.5" customHeight="1" thickTop="1">
      <c r="AD27" s="242">
        <v>2</v>
      </c>
      <c r="AE27" s="243"/>
      <c r="AF27" s="50">
        <v>1.07</v>
      </c>
      <c r="AG27" s="50">
        <f>+($I$10-400)*0.000143+1.07</f>
        <v>2.1568</v>
      </c>
      <c r="AH27" s="51">
        <v>1.3</v>
      </c>
    </row>
    <row r="28" spans="30:34" ht="12.75">
      <c r="AD28" s="244">
        <v>3</v>
      </c>
      <c r="AE28" s="243"/>
      <c r="AF28" s="50">
        <f>+(AF27+AF29)/2</f>
        <v>1.045</v>
      </c>
      <c r="AG28" s="50">
        <f>+(AG27+AG29)/2</f>
        <v>1.89715</v>
      </c>
      <c r="AH28" s="51">
        <f>+(AH27+AH29)/2</f>
        <v>1.225</v>
      </c>
    </row>
    <row r="29" spans="1:34" ht="13.5" customHeight="1" thickBot="1">
      <c r="A29" s="14"/>
      <c r="AD29" s="242">
        <v>4</v>
      </c>
      <c r="AE29" s="243"/>
      <c r="AF29" s="50">
        <v>1.02</v>
      </c>
      <c r="AG29" s="50">
        <f>+($I$10-400)*0.00008125+1.02</f>
        <v>1.6375</v>
      </c>
      <c r="AH29" s="51">
        <v>1.15</v>
      </c>
    </row>
    <row r="30" spans="1:34" ht="14.25" thickBot="1" thickTop="1">
      <c r="A30" s="261" t="s">
        <v>31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AD30" s="244">
        <v>5</v>
      </c>
      <c r="AE30" s="243"/>
      <c r="AF30" s="50">
        <f>+(AF29+AF31)/2</f>
        <v>1.01</v>
      </c>
      <c r="AG30" s="50">
        <f>+(AG29+AG31)/2</f>
        <v>1.31875</v>
      </c>
      <c r="AH30" s="51">
        <f>+(AH29+AH31)/2</f>
        <v>1.075</v>
      </c>
    </row>
    <row r="31" spans="1:34" ht="12.75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42">
        <v>6</v>
      </c>
      <c r="AE31" s="243"/>
      <c r="AF31" s="50">
        <v>1</v>
      </c>
      <c r="AG31" s="50">
        <v>1</v>
      </c>
      <c r="AH31" s="51">
        <v>1</v>
      </c>
    </row>
    <row r="32" spans="1:34" ht="15.75" customHeight="1">
      <c r="A32" s="314" t="s">
        <v>45</v>
      </c>
      <c r="B32" s="317" t="s">
        <v>46</v>
      </c>
      <c r="C32" s="317" t="s">
        <v>47</v>
      </c>
      <c r="D32" s="320" t="s">
        <v>185</v>
      </c>
      <c r="E32" s="317" t="s">
        <v>48</v>
      </c>
      <c r="F32" s="317" t="s">
        <v>49</v>
      </c>
      <c r="G32" s="317" t="s">
        <v>50</v>
      </c>
      <c r="H32" s="317" t="s">
        <v>51</v>
      </c>
      <c r="I32" s="317" t="s">
        <v>52</v>
      </c>
      <c r="J32" s="317" t="s">
        <v>53</v>
      </c>
      <c r="K32" s="317" t="s">
        <v>54</v>
      </c>
      <c r="L32" s="317" t="s">
        <v>55</v>
      </c>
      <c r="M32" s="321" t="s">
        <v>224</v>
      </c>
      <c r="AD32" s="244">
        <v>7</v>
      </c>
      <c r="AE32" s="243"/>
      <c r="AF32" s="50">
        <f>+(AF31+AF33)/2</f>
        <v>0.99</v>
      </c>
      <c r="AG32" s="50">
        <f>+(AG31+AG33)/2</f>
        <v>0.72875</v>
      </c>
      <c r="AH32" s="51">
        <f>+(AH31+AH33)/2</f>
        <v>0.935</v>
      </c>
    </row>
    <row r="33" spans="1:34" ht="15" customHeight="1" thickBot="1">
      <c r="A33" s="315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22"/>
      <c r="AD33" s="245">
        <v>8</v>
      </c>
      <c r="AE33" s="246"/>
      <c r="AF33" s="52">
        <v>0.98</v>
      </c>
      <c r="AG33" s="54">
        <f>+(($I$10-400)*-0.00006875)+0.98</f>
        <v>0.4574999999999999</v>
      </c>
      <c r="AH33" s="53">
        <v>0.87</v>
      </c>
    </row>
    <row r="34" spans="1:34" ht="12.75">
      <c r="A34" s="315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22"/>
      <c r="AD34" s="247" t="s">
        <v>184</v>
      </c>
      <c r="AE34" s="248"/>
      <c r="AF34" s="248"/>
      <c r="AG34" s="248"/>
      <c r="AH34" s="248"/>
    </row>
    <row r="35" spans="1:34" ht="12.75">
      <c r="A35" s="316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3"/>
      <c r="AD35" s="248"/>
      <c r="AE35" s="248"/>
      <c r="AF35" s="248"/>
      <c r="AG35" s="248"/>
      <c r="AH35" s="248"/>
    </row>
    <row r="36" spans="1:34" ht="12.75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48"/>
      <c r="AE36" s="248"/>
      <c r="AF36" s="248"/>
      <c r="AG36" s="248"/>
      <c r="AH36" s="248"/>
    </row>
    <row r="37" spans="1:34" ht="12.75">
      <c r="A37" s="324" t="s">
        <v>69</v>
      </c>
      <c r="B37" s="317" t="s">
        <v>70</v>
      </c>
      <c r="C37" s="328" t="s">
        <v>71</v>
      </c>
      <c r="D37" s="317" t="s">
        <v>72</v>
      </c>
      <c r="E37" s="328" t="s">
        <v>454</v>
      </c>
      <c r="F37" s="317" t="s">
        <v>73</v>
      </c>
      <c r="G37" s="317" t="s">
        <v>74</v>
      </c>
      <c r="H37" s="317" t="s">
        <v>74</v>
      </c>
      <c r="I37" s="328" t="s">
        <v>455</v>
      </c>
      <c r="J37" s="317" t="s">
        <v>75</v>
      </c>
      <c r="K37" s="317" t="s">
        <v>76</v>
      </c>
      <c r="L37" s="317" t="s">
        <v>74</v>
      </c>
      <c r="M37" s="329" t="s">
        <v>77</v>
      </c>
      <c r="AD37" s="249"/>
      <c r="AE37" s="249"/>
      <c r="AF37" s="249"/>
      <c r="AG37" s="249"/>
      <c r="AH37" s="249"/>
    </row>
    <row r="38" spans="1:13" ht="13.5" customHeight="1">
      <c r="A38" s="325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25"/>
    </row>
    <row r="39" spans="1:13" ht="12.75">
      <c r="A39" s="325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25"/>
    </row>
    <row r="40" spans="1:13" ht="13.5" thickBot="1">
      <c r="A40" s="32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6"/>
    </row>
    <row r="41" spans="1:13" ht="13.5" thickBot="1">
      <c r="A41" s="120">
        <f>((IF($I$10&gt;2000,(VLOOKUP($I$11,$AD$9:$AH$15,5,FALSE)),IF($I$10&lt;400,(VLOOKUP($I$11,$AD$9:$AH$15,3,FALSE)),(VLOOKUP($I$11,$AD$9:$AH$15,4)))))-1)*(IF('Segment Tables'!D23="No",(('Segment Tables'!$G$29+'Segment Tables'!$G$34+'Segment Tables'!$G$36)/100),(('Segment Tables'!$K$29+'Segment Tables'!$K$34+'Segment Tables'!$K$36)/100)))+1</f>
        <v>1.02635</v>
      </c>
      <c r="B41" s="120">
        <f>($U$10+$AA$10)/2</f>
        <v>1.164951</v>
      </c>
      <c r="C41" s="121">
        <f>+U22</f>
        <v>1.4311827956989247</v>
      </c>
      <c r="D41" s="121">
        <f>IF($I$17&gt;=0.02,(1.06+3*($I$17-0.02)),IF($I$17&lt;0.01,1,(1+6*($I$17-0.01))))</f>
        <v>1.06</v>
      </c>
      <c r="E41" s="121">
        <f>IF($I$18&gt;6,1.16,(IF($I$18&lt;=3,1,1.1)))</f>
        <v>1</v>
      </c>
      <c r="F41" s="121">
        <f>IF($I$19&gt;5,(0.322+$I$19*(0.05-0.005*LN($I$10)))/(0.322+5*(0.05-0.005*LN($I$10))),1)</f>
        <v>1</v>
      </c>
      <c r="G41" s="121">
        <f>IF(I22="Present",1,IF($I$20="Present",0.94,1))</f>
        <v>1</v>
      </c>
      <c r="H41" s="121">
        <f>IF($I$21="Present (1 lane)",0.75,IF($I$21="Present (2 lanes)",0.65,1))</f>
        <v>1</v>
      </c>
      <c r="I41" s="121">
        <f>IF($I$22="Not Present",1,IF($I$19&lt;=5,1,(1-(0.7*0.5*((0.0047*$I$19)+($I$19*$I$19*0.0024))/(1.199+(0.0047*$I$19)+(0.0024*$I$19*$I$19))))))</f>
        <v>1</v>
      </c>
      <c r="J41" s="121">
        <f>EXP($I$23*0.0668-0.6869)/EXP(-0.4865)</f>
        <v>1.1429355539760198</v>
      </c>
      <c r="K41" s="121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1">
        <f>IF($I$25="Present",0.93,1)</f>
        <v>1</v>
      </c>
      <c r="M41" s="122">
        <f>+A41*B41*C41*D41*E41*F41*G41*H41*I41*J41*K41*L41</f>
        <v>2.0731267722757933</v>
      </c>
    </row>
    <row r="42" ht="12.75">
      <c r="B42" s="69"/>
    </row>
    <row r="43" ht="12.75">
      <c r="B43" s="70"/>
    </row>
    <row r="44" ht="13.5" thickBot="1"/>
    <row r="45" spans="1:13" ht="14.25" thickBot="1" thickTop="1">
      <c r="A45" s="261" t="s">
        <v>78</v>
      </c>
      <c r="B45" s="262"/>
      <c r="C45" s="262"/>
      <c r="D45" s="262"/>
      <c r="E45" s="262"/>
      <c r="F45" s="262"/>
      <c r="G45" s="262"/>
      <c r="H45" s="262"/>
      <c r="I45" s="263"/>
      <c r="J45" s="263"/>
      <c r="K45" s="263"/>
      <c r="L45" s="263"/>
      <c r="M45" s="263"/>
    </row>
    <row r="46" spans="1:13" ht="12.75">
      <c r="A46" s="330" t="s">
        <v>32</v>
      </c>
      <c r="B46" s="331"/>
      <c r="C46" s="18" t="s">
        <v>33</v>
      </c>
      <c r="D46" s="332" t="s">
        <v>34</v>
      </c>
      <c r="E46" s="331"/>
      <c r="F46" s="332" t="s">
        <v>35</v>
      </c>
      <c r="G46" s="331"/>
      <c r="H46" s="332" t="s">
        <v>36</v>
      </c>
      <c r="I46" s="331"/>
      <c r="J46" s="18" t="s">
        <v>37</v>
      </c>
      <c r="K46" s="18" t="s">
        <v>38</v>
      </c>
      <c r="L46" s="332" t="s">
        <v>39</v>
      </c>
      <c r="M46" s="333"/>
    </row>
    <row r="47" spans="1:13" ht="25.5">
      <c r="A47" s="340" t="s">
        <v>79</v>
      </c>
      <c r="B47" s="270"/>
      <c r="C47" s="10" t="s">
        <v>80</v>
      </c>
      <c r="D47" s="341" t="s">
        <v>81</v>
      </c>
      <c r="E47" s="277"/>
      <c r="F47" s="344" t="s">
        <v>82</v>
      </c>
      <c r="G47" s="270"/>
      <c r="H47" s="344" t="s">
        <v>83</v>
      </c>
      <c r="I47" s="270"/>
      <c r="J47" s="10" t="s">
        <v>84</v>
      </c>
      <c r="K47" s="10" t="s">
        <v>22</v>
      </c>
      <c r="L47" s="344" t="s">
        <v>435</v>
      </c>
      <c r="M47" s="269"/>
    </row>
    <row r="48" spans="1:13" ht="38.25">
      <c r="A48" s="333"/>
      <c r="B48" s="331"/>
      <c r="C48" s="68" t="s">
        <v>458</v>
      </c>
      <c r="D48" s="345" t="s">
        <v>85</v>
      </c>
      <c r="E48" s="291"/>
      <c r="F48" s="346" t="s">
        <v>459</v>
      </c>
      <c r="G48" s="291"/>
      <c r="H48" s="347" t="s">
        <v>86</v>
      </c>
      <c r="I48" s="291"/>
      <c r="J48" s="11" t="s">
        <v>87</v>
      </c>
      <c r="K48" s="12"/>
      <c r="L48" s="347" t="s">
        <v>88</v>
      </c>
      <c r="M48" s="290"/>
    </row>
    <row r="49" spans="1:13" ht="12.75">
      <c r="A49" s="290" t="s">
        <v>89</v>
      </c>
      <c r="B49" s="291"/>
      <c r="C49" s="115">
        <f>+I10*I9*365*0.000001*EXP(-0.312)</f>
        <v>0.21373860624266727</v>
      </c>
      <c r="D49" s="334">
        <f>0.236/I9</f>
        <v>2.36</v>
      </c>
      <c r="E49" s="335"/>
      <c r="F49" s="336">
        <f>+'Segment Tables'!E15/100</f>
        <v>1</v>
      </c>
      <c r="G49" s="337"/>
      <c r="H49" s="336">
        <f>+C49*F49</f>
        <v>0.21373860624266727</v>
      </c>
      <c r="I49" s="338"/>
      <c r="J49" s="114">
        <f>+M41</f>
        <v>2.0731267722757933</v>
      </c>
      <c r="K49" s="114">
        <f>+$I$26</f>
        <v>0.74</v>
      </c>
      <c r="L49" s="336">
        <f>+H49*J49*K49</f>
        <v>0.32789934788423475</v>
      </c>
      <c r="M49" s="339"/>
    </row>
    <row r="50" spans="1:13" ht="12.75">
      <c r="A50" s="290" t="s">
        <v>90</v>
      </c>
      <c r="B50" s="291"/>
      <c r="C50" s="123" t="s">
        <v>29</v>
      </c>
      <c r="D50" s="350" t="s">
        <v>29</v>
      </c>
      <c r="E50" s="288"/>
      <c r="F50" s="336">
        <f>+IF('Segment Tables'!$D$8="No",('Segment Tables'!$E$13/100),('Segment Tables'!$H$13/100))</f>
        <v>0.54</v>
      </c>
      <c r="G50" s="337"/>
      <c r="H50" s="336">
        <f>+C49*F50</f>
        <v>0.11541884737104033</v>
      </c>
      <c r="I50" s="338"/>
      <c r="J50" s="114">
        <f>+M41</f>
        <v>2.0731267722757933</v>
      </c>
      <c r="K50" s="114">
        <f>+$I$26</f>
        <v>0.74</v>
      </c>
      <c r="L50" s="336">
        <f>+H50*J50*K50</f>
        <v>0.17706564785748677</v>
      </c>
      <c r="M50" s="339"/>
    </row>
    <row r="51" spans="1:13" ht="15.75" customHeight="1" thickBot="1">
      <c r="A51" s="351" t="s">
        <v>91</v>
      </c>
      <c r="B51" s="352"/>
      <c r="C51" s="124" t="s">
        <v>29</v>
      </c>
      <c r="D51" s="353" t="s">
        <v>29</v>
      </c>
      <c r="E51" s="354"/>
      <c r="F51" s="342">
        <f>+IF('Segment Tables'!$D$8="No",('Segment Tables'!$E$14/100),('Segment Tables'!$H$14/100))</f>
        <v>0.46</v>
      </c>
      <c r="G51" s="355"/>
      <c r="H51" s="342">
        <f>+C49*F51</f>
        <v>0.09831975887162694</v>
      </c>
      <c r="I51" s="356"/>
      <c r="J51" s="54">
        <f>+M41</f>
        <v>2.0731267722757933</v>
      </c>
      <c r="K51" s="54">
        <f>+$I$26</f>
        <v>0.74</v>
      </c>
      <c r="L51" s="342">
        <f>+H51*J51*K51</f>
        <v>0.150833700026748</v>
      </c>
      <c r="M51" s="343"/>
    </row>
    <row r="54" ht="13.5" thickBot="1"/>
    <row r="55" spans="1:13" ht="14.25" thickBot="1" thickTop="1">
      <c r="A55" s="261" t="s">
        <v>92</v>
      </c>
      <c r="B55" s="262"/>
      <c r="C55" s="262"/>
      <c r="D55" s="262"/>
      <c r="E55" s="262"/>
      <c r="F55" s="262"/>
      <c r="G55" s="262"/>
      <c r="H55" s="360"/>
      <c r="I55" s="360"/>
      <c r="J55" s="360"/>
      <c r="K55" s="360"/>
      <c r="L55" s="360"/>
      <c r="M55" s="360"/>
    </row>
    <row r="56" spans="1:13" ht="12.75">
      <c r="A56" s="361" t="s">
        <v>32</v>
      </c>
      <c r="B56" s="362"/>
      <c r="C56" s="18" t="s">
        <v>33</v>
      </c>
      <c r="D56" s="363" t="s">
        <v>34</v>
      </c>
      <c r="E56" s="364"/>
      <c r="F56" s="363" t="s">
        <v>35</v>
      </c>
      <c r="G56" s="364"/>
      <c r="H56" s="348" t="s">
        <v>36</v>
      </c>
      <c r="I56" s="365"/>
      <c r="J56" s="363" t="s">
        <v>37</v>
      </c>
      <c r="K56" s="364"/>
      <c r="L56" s="348" t="s">
        <v>38</v>
      </c>
      <c r="M56" s="349"/>
    </row>
    <row r="57" spans="1:13" ht="59.25" customHeight="1">
      <c r="A57" s="370" t="s">
        <v>93</v>
      </c>
      <c r="B57" s="369"/>
      <c r="C57" s="10" t="s">
        <v>97</v>
      </c>
      <c r="D57" s="368" t="s">
        <v>94</v>
      </c>
      <c r="E57" s="291"/>
      <c r="F57" s="368" t="s">
        <v>95</v>
      </c>
      <c r="G57" s="369"/>
      <c r="H57" s="368" t="s">
        <v>96</v>
      </c>
      <c r="I57" s="369"/>
      <c r="J57" s="368" t="s">
        <v>98</v>
      </c>
      <c r="K57" s="369"/>
      <c r="L57" s="368" t="s">
        <v>99</v>
      </c>
      <c r="M57" s="370"/>
    </row>
    <row r="58" spans="1:13" ht="51" customHeight="1">
      <c r="A58" s="370"/>
      <c r="B58" s="369"/>
      <c r="C58" s="68" t="s">
        <v>461</v>
      </c>
      <c r="D58" s="347" t="s">
        <v>100</v>
      </c>
      <c r="E58" s="358"/>
      <c r="F58" s="346" t="s">
        <v>460</v>
      </c>
      <c r="G58" s="357"/>
      <c r="H58" s="347" t="s">
        <v>101</v>
      </c>
      <c r="I58" s="358"/>
      <c r="J58" s="346" t="s">
        <v>460</v>
      </c>
      <c r="K58" s="357"/>
      <c r="L58" s="347" t="s">
        <v>102</v>
      </c>
      <c r="M58" s="359"/>
    </row>
    <row r="59" spans="1:13" ht="12.75">
      <c r="A59" s="377" t="s">
        <v>89</v>
      </c>
      <c r="B59" s="378"/>
      <c r="C59" s="13">
        <f>+C68+C75</f>
        <v>1</v>
      </c>
      <c r="D59" s="366">
        <f>+$L$49</f>
        <v>0.32789934788423475</v>
      </c>
      <c r="E59" s="244"/>
      <c r="F59" s="366">
        <f>+F68+F75</f>
        <v>1</v>
      </c>
      <c r="G59" s="367"/>
      <c r="H59" s="366">
        <f>+$L$50</f>
        <v>0.17706564785748677</v>
      </c>
      <c r="I59" s="244"/>
      <c r="J59" s="366">
        <v>1</v>
      </c>
      <c r="K59" s="367"/>
      <c r="L59" s="366">
        <f>+$L$51</f>
        <v>0.150833700026748</v>
      </c>
      <c r="M59" s="258"/>
    </row>
    <row r="60" spans="1:13" ht="13.5" thickBot="1">
      <c r="A60" s="371"/>
      <c r="B60" s="372"/>
      <c r="C60" s="4"/>
      <c r="D60" s="373" t="s">
        <v>103</v>
      </c>
      <c r="E60" s="374"/>
      <c r="F60" s="375"/>
      <c r="G60" s="376"/>
      <c r="H60" s="379" t="s">
        <v>104</v>
      </c>
      <c r="I60" s="380"/>
      <c r="J60" s="381"/>
      <c r="K60" s="246"/>
      <c r="L60" s="379" t="s">
        <v>105</v>
      </c>
      <c r="M60" s="382"/>
    </row>
    <row r="61" spans="1:13" ht="13.5" thickBot="1">
      <c r="A61" s="383" t="s">
        <v>106</v>
      </c>
      <c r="B61" s="384"/>
      <c r="C61" s="384"/>
      <c r="D61" s="384"/>
      <c r="E61" s="384"/>
      <c r="F61" s="384"/>
      <c r="G61" s="384"/>
      <c r="H61" s="385"/>
      <c r="I61" s="385"/>
      <c r="J61" s="385"/>
      <c r="K61" s="385"/>
      <c r="L61" s="385"/>
      <c r="M61" s="385"/>
    </row>
    <row r="62" spans="1:13" ht="12.75">
      <c r="A62" s="386" t="s">
        <v>107</v>
      </c>
      <c r="B62" s="387"/>
      <c r="C62" s="217">
        <f>IF('Segment Tables'!$D$23="No",('Segment Tables'!$G25/100),('Segment Tables'!$K25/100))</f>
        <v>0.07200000000000001</v>
      </c>
      <c r="D62" s="388">
        <f>+$L$49*C62</f>
        <v>0.023608753047664903</v>
      </c>
      <c r="E62" s="389"/>
      <c r="F62" s="390">
        <f>IF('Segment Tables'!$D$23="No",'Segment Tables'!$E25/100,'Segment Tables'!$I25/100)</f>
        <v>0.031</v>
      </c>
      <c r="G62" s="391"/>
      <c r="H62" s="388">
        <f>+$L$50*F62</f>
        <v>0.00548903508358209</v>
      </c>
      <c r="I62" s="389"/>
      <c r="J62" s="390">
        <f>IF('Segment Tables'!$D$23="No",'Segment Tables'!$F25/100,'Segment Tables'!$J25/100)</f>
        <v>0.12</v>
      </c>
      <c r="K62" s="391"/>
      <c r="L62" s="388">
        <f>+$L$51*J62</f>
        <v>0.01810004400320976</v>
      </c>
      <c r="M62" s="392"/>
    </row>
    <row r="63" spans="1:13" ht="12.75">
      <c r="A63" s="377" t="s">
        <v>108</v>
      </c>
      <c r="B63" s="378"/>
      <c r="C63" s="217">
        <f>IF('Segment Tables'!$D$23="No",('Segment Tables'!$G26/100),('Segment Tables'!$K26/100))</f>
        <v>0.003</v>
      </c>
      <c r="D63" s="366">
        <f aca="true" t="shared" si="0" ref="D63:D68">+$L$49*C63</f>
        <v>0.0009836980436527044</v>
      </c>
      <c r="E63" s="367"/>
      <c r="F63" s="298">
        <f>IF('Segment Tables'!$D$23="No",'Segment Tables'!$E26/100,'Segment Tables'!$I26/100)</f>
        <v>0.006</v>
      </c>
      <c r="G63" s="244"/>
      <c r="H63" s="366">
        <f aca="true" t="shared" si="1" ref="H63:H68">+$L$50*F63</f>
        <v>0.0010623938871449207</v>
      </c>
      <c r="I63" s="367"/>
      <c r="J63" s="298">
        <f>IF('Segment Tables'!$D$23="No",'Segment Tables'!$F26/100,'Segment Tables'!$J26/100)</f>
        <v>0</v>
      </c>
      <c r="K63" s="244"/>
      <c r="L63" s="366">
        <f aca="true" t="shared" si="2" ref="L63:L68">+$L$51*J63</f>
        <v>0</v>
      </c>
      <c r="M63" s="393"/>
    </row>
    <row r="64" spans="1:13" ht="12.75">
      <c r="A64" s="377" t="s">
        <v>109</v>
      </c>
      <c r="B64" s="378"/>
      <c r="C64" s="217">
        <f>IF('Segment Tables'!$D$23="No",('Segment Tables'!$G27/100),('Segment Tables'!$K27/100))</f>
        <v>0.004</v>
      </c>
      <c r="D64" s="366">
        <f t="shared" si="0"/>
        <v>0.001311597391536939</v>
      </c>
      <c r="E64" s="367"/>
      <c r="F64" s="298">
        <f>IF('Segment Tables'!$D$23="No",'Segment Tables'!$E27/100,'Segment Tables'!$I27/100)</f>
        <v>0.008</v>
      </c>
      <c r="G64" s="244"/>
      <c r="H64" s="366">
        <f t="shared" si="1"/>
        <v>0.0014165251828598942</v>
      </c>
      <c r="I64" s="367"/>
      <c r="J64" s="298">
        <f>IF('Segment Tables'!$D$23="No",'Segment Tables'!$F27/100,'Segment Tables'!$J27/100)</f>
        <v>0</v>
      </c>
      <c r="K64" s="244"/>
      <c r="L64" s="366">
        <f t="shared" si="2"/>
        <v>0</v>
      </c>
      <c r="M64" s="393"/>
    </row>
    <row r="65" spans="1:13" ht="12.75">
      <c r="A65" s="290" t="s">
        <v>110</v>
      </c>
      <c r="B65" s="291"/>
      <c r="C65" s="217">
        <f>IF('Segment Tables'!$D$23="No",('Segment Tables'!$G28/100),('Segment Tables'!$K28/100))</f>
        <v>0.064</v>
      </c>
      <c r="D65" s="366">
        <f t="shared" si="0"/>
        <v>0.020985558264591024</v>
      </c>
      <c r="E65" s="367"/>
      <c r="F65" s="298">
        <f>IF('Segment Tables'!$D$23="No",'Segment Tables'!$E28/100,'Segment Tables'!$I28/100)</f>
        <v>0.086</v>
      </c>
      <c r="G65" s="244"/>
      <c r="H65" s="366">
        <f t="shared" si="1"/>
        <v>0.015227645715743861</v>
      </c>
      <c r="I65" s="367"/>
      <c r="J65" s="298">
        <f>IF('Segment Tables'!$D$23="No",'Segment Tables'!$F28/100,'Segment Tables'!$J28/100)</f>
        <v>0.038</v>
      </c>
      <c r="K65" s="244"/>
      <c r="L65" s="366">
        <f t="shared" si="2"/>
        <v>0.005731680601016424</v>
      </c>
      <c r="M65" s="393"/>
    </row>
    <row r="66" spans="1:13" ht="12.75">
      <c r="A66" s="290" t="s">
        <v>111</v>
      </c>
      <c r="B66" s="291"/>
      <c r="C66" s="217">
        <f>IF('Segment Tables'!$D$23="No",('Segment Tables'!$G29/100),('Segment Tables'!$K29/100))</f>
        <v>0.435</v>
      </c>
      <c r="D66" s="366">
        <f t="shared" si="0"/>
        <v>0.1426362163296421</v>
      </c>
      <c r="E66" s="367"/>
      <c r="F66" s="298">
        <f>IF('Segment Tables'!$D$23="No",'Segment Tables'!$E29/100,'Segment Tables'!$I29/100)</f>
        <v>0.47200000000000003</v>
      </c>
      <c r="G66" s="244"/>
      <c r="H66" s="366">
        <f t="shared" si="1"/>
        <v>0.08357498578873376</v>
      </c>
      <c r="I66" s="367"/>
      <c r="J66" s="298">
        <f>IF('Segment Tables'!$D$23="No",'Segment Tables'!$F29/100,'Segment Tables'!$J29/100)</f>
        <v>0.391</v>
      </c>
      <c r="K66" s="244"/>
      <c r="L66" s="366">
        <f t="shared" si="2"/>
        <v>0.058975976710458476</v>
      </c>
      <c r="M66" s="393"/>
    </row>
    <row r="67" spans="1:13" ht="12.75">
      <c r="A67" s="377" t="s">
        <v>112</v>
      </c>
      <c r="B67" s="378"/>
      <c r="C67" s="217">
        <f>IF('Segment Tables'!$D$23="No",('Segment Tables'!$G30/100),('Segment Tables'!$K30/100))</f>
        <v>0.015</v>
      </c>
      <c r="D67" s="366">
        <f t="shared" si="0"/>
        <v>0.004918490218263521</v>
      </c>
      <c r="E67" s="367"/>
      <c r="F67" s="298">
        <f>IF('Segment Tables'!$D$23="No",'Segment Tables'!$E30/100,'Segment Tables'!$I30/100)</f>
        <v>0.017</v>
      </c>
      <c r="G67" s="244"/>
      <c r="H67" s="366">
        <f t="shared" si="1"/>
        <v>0.0030101160135772753</v>
      </c>
      <c r="I67" s="367"/>
      <c r="J67" s="298">
        <f>IF('Segment Tables'!$D$23="No",'Segment Tables'!$F30/100,'Segment Tables'!$J30/100)</f>
        <v>0.013000000000000001</v>
      </c>
      <c r="K67" s="244"/>
      <c r="L67" s="366">
        <f t="shared" si="2"/>
        <v>0.0019608381003477244</v>
      </c>
      <c r="M67" s="393"/>
    </row>
    <row r="68" spans="1:13" ht="13.5" thickBot="1">
      <c r="A68" s="394" t="s">
        <v>113</v>
      </c>
      <c r="B68" s="395"/>
      <c r="C68" s="19">
        <f>+SUM(C62:C67)</f>
        <v>0.5930000000000001</v>
      </c>
      <c r="D68" s="396">
        <f t="shared" si="0"/>
        <v>0.19444431329535122</v>
      </c>
      <c r="E68" s="397"/>
      <c r="F68" s="298">
        <f>SUM(F62:G67)</f>
        <v>0.62</v>
      </c>
      <c r="G68" s="244"/>
      <c r="H68" s="396">
        <f t="shared" si="1"/>
        <v>0.10978070167164179</v>
      </c>
      <c r="I68" s="397"/>
      <c r="J68" s="298">
        <f>SUM(J62:K67)</f>
        <v>0.562</v>
      </c>
      <c r="K68" s="244"/>
      <c r="L68" s="396">
        <f t="shared" si="2"/>
        <v>0.08476853941503239</v>
      </c>
      <c r="M68" s="398"/>
    </row>
    <row r="69" spans="1:13" ht="13.5" thickBot="1">
      <c r="A69" s="383" t="s">
        <v>114</v>
      </c>
      <c r="B69" s="384"/>
      <c r="C69" s="384"/>
      <c r="D69" s="384"/>
      <c r="E69" s="384"/>
      <c r="F69" s="384"/>
      <c r="G69" s="384"/>
      <c r="H69" s="385"/>
      <c r="I69" s="385"/>
      <c r="J69" s="385"/>
      <c r="K69" s="385"/>
      <c r="L69" s="385"/>
      <c r="M69" s="385"/>
    </row>
    <row r="70" spans="1:13" ht="12.75">
      <c r="A70" s="399" t="s">
        <v>115</v>
      </c>
      <c r="B70" s="400"/>
      <c r="C70" s="217">
        <f>IF('Segment Tables'!$D$23="No",('Segment Tables'!$G33/100),('Segment Tables'!$K33/100))</f>
        <v>0.008</v>
      </c>
      <c r="D70" s="366">
        <f aca="true" t="shared" si="3" ref="D70:D75">+$L$49*C70</f>
        <v>0.002623194783073878</v>
      </c>
      <c r="E70" s="367"/>
      <c r="F70" s="388">
        <f>IF('Segment Tables'!$D$23="No",'Segment Tables'!$E33/100,'Segment Tables'!$I33/100)</f>
        <v>0.008</v>
      </c>
      <c r="G70" s="389"/>
      <c r="H70" s="388">
        <f aca="true" t="shared" si="4" ref="H70:H75">+$L$50*F70</f>
        <v>0.0014165251828598942</v>
      </c>
      <c r="I70" s="389"/>
      <c r="J70" s="388">
        <f>IF('Segment Tables'!$D$23="No",'Segment Tables'!$F33/100,'Segment Tables'!$J33/100)</f>
        <v>0.006999999999999999</v>
      </c>
      <c r="K70" s="389"/>
      <c r="L70" s="388">
        <f>+$L$51*J70</f>
        <v>0.001055835900187236</v>
      </c>
      <c r="M70" s="392"/>
    </row>
    <row r="71" spans="1:13" ht="12.75">
      <c r="A71" s="377" t="s">
        <v>116</v>
      </c>
      <c r="B71" s="378"/>
      <c r="C71" s="217">
        <f>IF('Segment Tables'!$D$23="No",('Segment Tables'!$G34/100),('Segment Tables'!$K34/100))</f>
        <v>0.036000000000000004</v>
      </c>
      <c r="D71" s="366">
        <f t="shared" si="3"/>
        <v>0.011804376523832451</v>
      </c>
      <c r="E71" s="367"/>
      <c r="F71" s="366">
        <f>IF('Segment Tables'!$D$23="No",'Segment Tables'!$E34/100,'Segment Tables'!$I34/100)</f>
        <v>0.057999999999999996</v>
      </c>
      <c r="G71" s="367"/>
      <c r="H71" s="366">
        <f t="shared" si="4"/>
        <v>0.010269807575734232</v>
      </c>
      <c r="I71" s="367"/>
      <c r="J71" s="366">
        <f>IF('Segment Tables'!$D$23="No",'Segment Tables'!$F34/100,'Segment Tables'!$J34/100)</f>
        <v>0.01</v>
      </c>
      <c r="K71" s="367"/>
      <c r="L71" s="366">
        <f>+$L$51*J71</f>
        <v>0.00150833700026748</v>
      </c>
      <c r="M71" s="393"/>
    </row>
    <row r="72" spans="1:13" ht="12.75">
      <c r="A72" s="377" t="s">
        <v>117</v>
      </c>
      <c r="B72" s="378"/>
      <c r="C72" s="217">
        <f>IF('Segment Tables'!$D$23="No",('Segment Tables'!$G35/100),('Segment Tables'!$K35/100))</f>
        <v>0.201</v>
      </c>
      <c r="D72" s="366">
        <f t="shared" si="3"/>
        <v>0.06590776892473119</v>
      </c>
      <c r="E72" s="367"/>
      <c r="F72" s="366">
        <f>IF('Segment Tables'!$D$23="No",'Segment Tables'!$E35/100,'Segment Tables'!$I35/100)</f>
        <v>0.188</v>
      </c>
      <c r="G72" s="367"/>
      <c r="H72" s="366">
        <f t="shared" si="4"/>
        <v>0.033288341797207514</v>
      </c>
      <c r="I72" s="367"/>
      <c r="J72" s="366">
        <f>IF('Segment Tables'!$D$23="No",'Segment Tables'!$F35/100,'Segment Tables'!$J35/100)</f>
        <v>0.215</v>
      </c>
      <c r="K72" s="367"/>
      <c r="L72" s="366">
        <f>+$L$51*J72</f>
        <v>0.03242924550575082</v>
      </c>
      <c r="M72" s="393"/>
    </row>
    <row r="73" spans="1:13" ht="12.75">
      <c r="A73" s="377" t="s">
        <v>118</v>
      </c>
      <c r="B73" s="378"/>
      <c r="C73" s="217">
        <f>IF('Segment Tables'!$D$23="No",('Segment Tables'!$G36/100),('Segment Tables'!$K36/100))</f>
        <v>0.055999999999999994</v>
      </c>
      <c r="D73" s="366">
        <f t="shared" si="3"/>
        <v>0.018362363481517145</v>
      </c>
      <c r="E73" s="367"/>
      <c r="F73" s="366">
        <f>IF('Segment Tables'!$D$23="No",'Segment Tables'!$E36/100,'Segment Tables'!$I36/100)</f>
        <v>0.044000000000000004</v>
      </c>
      <c r="G73" s="367"/>
      <c r="H73" s="366">
        <f t="shared" si="4"/>
        <v>0.0077908885057294186</v>
      </c>
      <c r="I73" s="367"/>
      <c r="J73" s="366">
        <f>IF('Segment Tables'!$D$23="No",'Segment Tables'!$F36/100,'Segment Tables'!$J36/100)</f>
        <v>0.071</v>
      </c>
      <c r="K73" s="367"/>
      <c r="L73" s="366">
        <f>+$L$51*J73</f>
        <v>0.010709192701899108</v>
      </c>
      <c r="M73" s="393"/>
    </row>
    <row r="74" spans="1:13" ht="12.75">
      <c r="A74" s="377" t="s">
        <v>119</v>
      </c>
      <c r="B74" s="378"/>
      <c r="C74" s="217">
        <f>IF('Segment Tables'!$D$23="No",('Segment Tables'!$G37/100),('Segment Tables'!$K37/100))</f>
        <v>0.106</v>
      </c>
      <c r="D74" s="366">
        <f t="shared" si="3"/>
        <v>0.03475733087572888</v>
      </c>
      <c r="E74" s="367"/>
      <c r="F74" s="366">
        <f>IF('Segment Tables'!$D$23="No",'Segment Tables'!$E37/100,'Segment Tables'!$I37/100)</f>
        <v>0.08199999999999999</v>
      </c>
      <c r="G74" s="367"/>
      <c r="H74" s="366">
        <f t="shared" si="4"/>
        <v>0.014519383124313914</v>
      </c>
      <c r="I74" s="367"/>
      <c r="J74" s="366">
        <f>IF('Segment Tables'!$D$23="No",'Segment Tables'!$F37/100,'Segment Tables'!$J37/100)</f>
        <v>0.135</v>
      </c>
      <c r="K74" s="367"/>
      <c r="L74" s="366">
        <f>+$L$51*J74</f>
        <v>0.020362549503610983</v>
      </c>
      <c r="M74" s="393"/>
    </row>
    <row r="75" spans="1:13" ht="13.5" thickBot="1">
      <c r="A75" s="401" t="s">
        <v>152</v>
      </c>
      <c r="B75" s="395"/>
      <c r="C75" s="3">
        <f>SUM(C70:C74)</f>
        <v>0.40700000000000003</v>
      </c>
      <c r="D75" s="396">
        <f t="shared" si="3"/>
        <v>0.13345503458888355</v>
      </c>
      <c r="E75" s="397"/>
      <c r="F75" s="396">
        <f>SUM(F70:F74)</f>
        <v>0.38</v>
      </c>
      <c r="G75" s="397"/>
      <c r="H75" s="396">
        <f t="shared" si="4"/>
        <v>0.06728494618584498</v>
      </c>
      <c r="I75" s="397"/>
      <c r="J75" s="396">
        <f>SUM(J70:J74)</f>
        <v>0.438</v>
      </c>
      <c r="K75" s="397"/>
      <c r="L75" s="396">
        <f>SUM(L70:L74)</f>
        <v>0.06606516061171562</v>
      </c>
      <c r="M75" s="398"/>
    </row>
    <row r="78" ht="13.5" thickBot="1"/>
    <row r="79" spans="1:13" ht="14.25" thickBot="1" thickTop="1">
      <c r="A79" s="261" t="s">
        <v>120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</row>
    <row r="80" spans="1:13" ht="12.75">
      <c r="A80" s="404" t="s">
        <v>32</v>
      </c>
      <c r="B80" s="404"/>
      <c r="C80" s="405"/>
      <c r="D80" s="406" t="s">
        <v>33</v>
      </c>
      <c r="E80" s="404"/>
      <c r="F80" s="405"/>
      <c r="G80" s="406" t="s">
        <v>34</v>
      </c>
      <c r="H80" s="404"/>
      <c r="I80" s="405"/>
      <c r="J80" s="406" t="s">
        <v>35</v>
      </c>
      <c r="K80" s="405"/>
      <c r="L80" s="406" t="s">
        <v>36</v>
      </c>
      <c r="M80" s="404"/>
    </row>
    <row r="81" spans="1:13" ht="36" customHeight="1">
      <c r="A81" s="415" t="s">
        <v>121</v>
      </c>
      <c r="B81" s="415"/>
      <c r="C81" s="416"/>
      <c r="D81" s="368" t="s">
        <v>462</v>
      </c>
      <c r="E81" s="370"/>
      <c r="F81" s="369"/>
      <c r="G81" s="368" t="s">
        <v>122</v>
      </c>
      <c r="H81" s="370"/>
      <c r="I81" s="369"/>
      <c r="J81" s="368" t="s">
        <v>123</v>
      </c>
      <c r="K81" s="369"/>
      <c r="L81" s="368" t="s">
        <v>124</v>
      </c>
      <c r="M81" s="370"/>
    </row>
    <row r="82" spans="1:13" ht="12.75">
      <c r="A82" s="415"/>
      <c r="B82" s="415"/>
      <c r="C82" s="416"/>
      <c r="D82" s="294" t="s">
        <v>125</v>
      </c>
      <c r="E82" s="290"/>
      <c r="F82" s="291"/>
      <c r="G82" s="294" t="s">
        <v>126</v>
      </c>
      <c r="H82" s="402"/>
      <c r="I82" s="403"/>
      <c r="J82" s="368"/>
      <c r="K82" s="369"/>
      <c r="L82" s="294" t="s">
        <v>127</v>
      </c>
      <c r="M82" s="402"/>
    </row>
    <row r="83" spans="1:13" ht="12.75">
      <c r="A83" s="407" t="s">
        <v>89</v>
      </c>
      <c r="B83" s="407"/>
      <c r="C83" s="408"/>
      <c r="D83" s="336">
        <f>+F49</f>
        <v>1</v>
      </c>
      <c r="E83" s="409"/>
      <c r="F83" s="410"/>
      <c r="G83" s="411">
        <f>+L49</f>
        <v>0.32789934788423475</v>
      </c>
      <c r="H83" s="412"/>
      <c r="I83" s="413"/>
      <c r="J83" s="414">
        <f>+$I$9</f>
        <v>0.1</v>
      </c>
      <c r="K83" s="410"/>
      <c r="L83" s="411">
        <f>+G83/J83</f>
        <v>3.2789934788423474</v>
      </c>
      <c r="M83" s="412"/>
    </row>
    <row r="84" spans="1:13" ht="12.75">
      <c r="A84" s="407" t="s">
        <v>90</v>
      </c>
      <c r="B84" s="407"/>
      <c r="C84" s="408"/>
      <c r="D84" s="336">
        <f>+F50</f>
        <v>0.54</v>
      </c>
      <c r="E84" s="409"/>
      <c r="F84" s="410"/>
      <c r="G84" s="411">
        <f>+L50</f>
        <v>0.17706564785748677</v>
      </c>
      <c r="H84" s="412"/>
      <c r="I84" s="413"/>
      <c r="J84" s="414">
        <f>+$I$9</f>
        <v>0.1</v>
      </c>
      <c r="K84" s="410"/>
      <c r="L84" s="411">
        <f>+G84/J84</f>
        <v>1.7706564785748675</v>
      </c>
      <c r="M84" s="412"/>
    </row>
    <row r="85" spans="1:13" ht="13.5" thickBot="1">
      <c r="A85" s="417" t="s">
        <v>91</v>
      </c>
      <c r="B85" s="417"/>
      <c r="C85" s="418"/>
      <c r="D85" s="342">
        <f>+F51</f>
        <v>0.46</v>
      </c>
      <c r="E85" s="419"/>
      <c r="F85" s="420"/>
      <c r="G85" s="421">
        <f>+L51</f>
        <v>0.150833700026748</v>
      </c>
      <c r="H85" s="422"/>
      <c r="I85" s="423"/>
      <c r="J85" s="424">
        <f>+$I$9</f>
        <v>0.1</v>
      </c>
      <c r="K85" s="420"/>
      <c r="L85" s="421">
        <f>+G85/J85</f>
        <v>1.50833700026748</v>
      </c>
      <c r="M85" s="422"/>
    </row>
  </sheetData>
  <sheetProtection/>
  <mergeCells count="296">
    <mergeCell ref="A23:F23"/>
    <mergeCell ref="A20:F20"/>
    <mergeCell ref="A21:F21"/>
    <mergeCell ref="A22:F22"/>
    <mergeCell ref="G13:H13"/>
    <mergeCell ref="G14:H14"/>
    <mergeCell ref="G15:H15"/>
    <mergeCell ref="G16:H16"/>
    <mergeCell ref="A19:F19"/>
    <mergeCell ref="G22:H22"/>
    <mergeCell ref="A15:F15"/>
    <mergeCell ref="A16:F16"/>
    <mergeCell ref="G24:H24"/>
    <mergeCell ref="F47:G47"/>
    <mergeCell ref="M32:M35"/>
    <mergeCell ref="K37:K40"/>
    <mergeCell ref="D37:D40"/>
    <mergeCell ref="E37:E40"/>
    <mergeCell ref="A24:F24"/>
    <mergeCell ref="A25:F25"/>
    <mergeCell ref="A26:F26"/>
    <mergeCell ref="L37:L40"/>
    <mergeCell ref="L49:M49"/>
    <mergeCell ref="A49:B49"/>
    <mergeCell ref="D47:E47"/>
    <mergeCell ref="D48:E48"/>
    <mergeCell ref="D49:E49"/>
    <mergeCell ref="L46:M46"/>
    <mergeCell ref="L47:M47"/>
    <mergeCell ref="A46:B46"/>
    <mergeCell ref="F49:G49"/>
    <mergeCell ref="L48:M48"/>
    <mergeCell ref="M37:M40"/>
    <mergeCell ref="A37:A40"/>
    <mergeCell ref="B37:B40"/>
    <mergeCell ref="C37:C40"/>
    <mergeCell ref="F37:F40"/>
    <mergeCell ref="G37:G40"/>
    <mergeCell ref="I37:I40"/>
    <mergeCell ref="A47:B48"/>
    <mergeCell ref="G11:H11"/>
    <mergeCell ref="G12:H12"/>
    <mergeCell ref="J4:M4"/>
    <mergeCell ref="J5:M5"/>
    <mergeCell ref="J6:M6"/>
    <mergeCell ref="J7:M7"/>
    <mergeCell ref="I11:M11"/>
    <mergeCell ref="G9:H9"/>
    <mergeCell ref="G10:H10"/>
    <mergeCell ref="K12:L12"/>
    <mergeCell ref="G3:M3"/>
    <mergeCell ref="G4:I4"/>
    <mergeCell ref="G5:I5"/>
    <mergeCell ref="G6:I6"/>
    <mergeCell ref="G7:I7"/>
    <mergeCell ref="I8:M8"/>
    <mergeCell ref="G8:H8"/>
    <mergeCell ref="K13:L13"/>
    <mergeCell ref="A51:B51"/>
    <mergeCell ref="D50:E50"/>
    <mergeCell ref="D51:E51"/>
    <mergeCell ref="F46:G46"/>
    <mergeCell ref="A50:B50"/>
    <mergeCell ref="F50:G50"/>
    <mergeCell ref="J37:J40"/>
    <mergeCell ref="H37:H40"/>
    <mergeCell ref="L50:M50"/>
    <mergeCell ref="A5:C5"/>
    <mergeCell ref="A6:C6"/>
    <mergeCell ref="A9:F9"/>
    <mergeCell ref="A18:F18"/>
    <mergeCell ref="A17:F17"/>
    <mergeCell ref="A10:C10"/>
    <mergeCell ref="A12:F12"/>
    <mergeCell ref="A13:F13"/>
    <mergeCell ref="A14:F14"/>
    <mergeCell ref="A11:F11"/>
    <mergeCell ref="A2:M2"/>
    <mergeCell ref="A3:F3"/>
    <mergeCell ref="A7:C7"/>
    <mergeCell ref="D7:F7"/>
    <mergeCell ref="A8:F8"/>
    <mergeCell ref="I17:M17"/>
    <mergeCell ref="D4:F4"/>
    <mergeCell ref="D5:F5"/>
    <mergeCell ref="D6:F6"/>
    <mergeCell ref="A4:C4"/>
    <mergeCell ref="F60:G60"/>
    <mergeCell ref="F62:G62"/>
    <mergeCell ref="A55:M55"/>
    <mergeCell ref="L56:M56"/>
    <mergeCell ref="A60:B60"/>
    <mergeCell ref="G17:H17"/>
    <mergeCell ref="G18:H18"/>
    <mergeCell ref="G19:H19"/>
    <mergeCell ref="G20:H20"/>
    <mergeCell ref="G21:H21"/>
    <mergeCell ref="D56:E56"/>
    <mergeCell ref="D57:E57"/>
    <mergeCell ref="A56:B56"/>
    <mergeCell ref="A57:B58"/>
    <mergeCell ref="A59:B59"/>
    <mergeCell ref="F59:G59"/>
    <mergeCell ref="D59:E59"/>
    <mergeCell ref="F65:G65"/>
    <mergeCell ref="A72:B72"/>
    <mergeCell ref="I23:M23"/>
    <mergeCell ref="F51:G51"/>
    <mergeCell ref="H49:I49"/>
    <mergeCell ref="H50:I50"/>
    <mergeCell ref="H51:I51"/>
    <mergeCell ref="A68:B68"/>
    <mergeCell ref="F56:G56"/>
    <mergeCell ref="F66:G66"/>
    <mergeCell ref="A62:B62"/>
    <mergeCell ref="F57:G57"/>
    <mergeCell ref="F58:G58"/>
    <mergeCell ref="D58:E58"/>
    <mergeCell ref="A65:B65"/>
    <mergeCell ref="A66:B66"/>
    <mergeCell ref="A63:B63"/>
    <mergeCell ref="A64:B64"/>
    <mergeCell ref="D66:E66"/>
    <mergeCell ref="F64:G64"/>
    <mergeCell ref="A71:B71"/>
    <mergeCell ref="D67:E67"/>
    <mergeCell ref="D68:E68"/>
    <mergeCell ref="D70:E70"/>
    <mergeCell ref="D71:E71"/>
    <mergeCell ref="D72:E72"/>
    <mergeCell ref="A70:B70"/>
    <mergeCell ref="A69:M69"/>
    <mergeCell ref="A67:B67"/>
    <mergeCell ref="F67:G67"/>
    <mergeCell ref="D60:E60"/>
    <mergeCell ref="D62:E62"/>
    <mergeCell ref="D63:E63"/>
    <mergeCell ref="D64:E64"/>
    <mergeCell ref="D65:E65"/>
    <mergeCell ref="A61:M61"/>
    <mergeCell ref="F63:G63"/>
    <mergeCell ref="H65:I65"/>
    <mergeCell ref="L60:M60"/>
    <mergeCell ref="L62:M62"/>
    <mergeCell ref="H73:I73"/>
    <mergeCell ref="H74:I74"/>
    <mergeCell ref="H75:I75"/>
    <mergeCell ref="D73:E73"/>
    <mergeCell ref="A73:B73"/>
    <mergeCell ref="A74:B74"/>
    <mergeCell ref="A75:B75"/>
    <mergeCell ref="D74:E74"/>
    <mergeCell ref="D75:E75"/>
    <mergeCell ref="F73:G73"/>
    <mergeCell ref="H70:I70"/>
    <mergeCell ref="H71:I71"/>
    <mergeCell ref="F71:G71"/>
    <mergeCell ref="H72:I72"/>
    <mergeCell ref="F68:G68"/>
    <mergeCell ref="F70:G70"/>
    <mergeCell ref="F72:G72"/>
    <mergeCell ref="F74:G74"/>
    <mergeCell ref="F75:G75"/>
    <mergeCell ref="H56:I56"/>
    <mergeCell ref="H57:I57"/>
    <mergeCell ref="H58:I58"/>
    <mergeCell ref="H59:I59"/>
    <mergeCell ref="H60:I60"/>
    <mergeCell ref="H66:I66"/>
    <mergeCell ref="H67:I67"/>
    <mergeCell ref="H68:I68"/>
    <mergeCell ref="J70:K70"/>
    <mergeCell ref="J71:K71"/>
    <mergeCell ref="J72:K72"/>
    <mergeCell ref="J73:K73"/>
    <mergeCell ref="J74:K74"/>
    <mergeCell ref="J75:K75"/>
    <mergeCell ref="J68:K68"/>
    <mergeCell ref="J56:K56"/>
    <mergeCell ref="J57:K57"/>
    <mergeCell ref="J58:K58"/>
    <mergeCell ref="J59:K59"/>
    <mergeCell ref="L66:M66"/>
    <mergeCell ref="L59:M59"/>
    <mergeCell ref="H63:I63"/>
    <mergeCell ref="H64:I64"/>
    <mergeCell ref="L58:M58"/>
    <mergeCell ref="L51:M51"/>
    <mergeCell ref="L67:M67"/>
    <mergeCell ref="J66:K66"/>
    <mergeCell ref="J67:K67"/>
    <mergeCell ref="L63:M63"/>
    <mergeCell ref="L64:M64"/>
    <mergeCell ref="L65:M65"/>
    <mergeCell ref="G26:H26"/>
    <mergeCell ref="I18:M18"/>
    <mergeCell ref="G23:H23"/>
    <mergeCell ref="J63:K63"/>
    <mergeCell ref="J64:K64"/>
    <mergeCell ref="J65:K65"/>
    <mergeCell ref="H62:I62"/>
    <mergeCell ref="L57:M57"/>
    <mergeCell ref="J60:K60"/>
    <mergeCell ref="J62:K62"/>
    <mergeCell ref="D46:E46"/>
    <mergeCell ref="K32:K35"/>
    <mergeCell ref="F32:F35"/>
    <mergeCell ref="G32:G35"/>
    <mergeCell ref="J32:J35"/>
    <mergeCell ref="H47:I47"/>
    <mergeCell ref="H48:I48"/>
    <mergeCell ref="F48:G48"/>
    <mergeCell ref="A45:M45"/>
    <mergeCell ref="L32:L35"/>
    <mergeCell ref="I9:M9"/>
    <mergeCell ref="I10:M10"/>
    <mergeCell ref="I24:M24"/>
    <mergeCell ref="I32:I35"/>
    <mergeCell ref="H46:I46"/>
    <mergeCell ref="A30:M30"/>
    <mergeCell ref="I15:M15"/>
    <mergeCell ref="I16:M16"/>
    <mergeCell ref="G25:H25"/>
    <mergeCell ref="D82:F82"/>
    <mergeCell ref="G82:I82"/>
    <mergeCell ref="A81:C82"/>
    <mergeCell ref="L68:M68"/>
    <mergeCell ref="L70:M70"/>
    <mergeCell ref="L71:M71"/>
    <mergeCell ref="L72:M72"/>
    <mergeCell ref="L73:M73"/>
    <mergeCell ref="L74:M74"/>
    <mergeCell ref="L75:M75"/>
    <mergeCell ref="A79:M79"/>
    <mergeCell ref="L80:M80"/>
    <mergeCell ref="L81:M81"/>
    <mergeCell ref="J80:K80"/>
    <mergeCell ref="J81:K82"/>
    <mergeCell ref="G80:I80"/>
    <mergeCell ref="G81:I81"/>
    <mergeCell ref="D80:F80"/>
    <mergeCell ref="D81:F81"/>
    <mergeCell ref="A80:C80"/>
    <mergeCell ref="G85:I85"/>
    <mergeCell ref="J83:K83"/>
    <mergeCell ref="J84:K84"/>
    <mergeCell ref="J85:K85"/>
    <mergeCell ref="A83:C83"/>
    <mergeCell ref="A84:C84"/>
    <mergeCell ref="A85:C85"/>
    <mergeCell ref="L82:M82"/>
    <mergeCell ref="L85:M85"/>
    <mergeCell ref="L83:M83"/>
    <mergeCell ref="L84:M84"/>
    <mergeCell ref="G83:I83"/>
    <mergeCell ref="G84:I84"/>
    <mergeCell ref="D83:F83"/>
    <mergeCell ref="D84:F84"/>
    <mergeCell ref="D85:F85"/>
    <mergeCell ref="I21:M21"/>
    <mergeCell ref="I22:M22"/>
    <mergeCell ref="I14:M14"/>
    <mergeCell ref="I25:M25"/>
    <mergeCell ref="I26:M26"/>
    <mergeCell ref="I19:M19"/>
    <mergeCell ref="I20:M20"/>
    <mergeCell ref="A32:A35"/>
    <mergeCell ref="B32:B35"/>
    <mergeCell ref="C32:C35"/>
    <mergeCell ref="D32:D35"/>
    <mergeCell ref="E32:E35"/>
    <mergeCell ref="H32:H35"/>
    <mergeCell ref="AD33:AE33"/>
    <mergeCell ref="AD34:AH37"/>
    <mergeCell ref="AD26:AE26"/>
    <mergeCell ref="AD28:AE28"/>
    <mergeCell ref="AD30:AE30"/>
    <mergeCell ref="AD32:AE32"/>
    <mergeCell ref="AD29:AE29"/>
    <mergeCell ref="AD31:AE31"/>
    <mergeCell ref="AD23:AE24"/>
    <mergeCell ref="AF23:AH23"/>
    <mergeCell ref="AD10:AE10"/>
    <mergeCell ref="AD12:AE12"/>
    <mergeCell ref="AD14:AE14"/>
    <mergeCell ref="AD16:AH19"/>
    <mergeCell ref="AD25:AE25"/>
    <mergeCell ref="AD27:AE27"/>
    <mergeCell ref="AF7:AH7"/>
    <mergeCell ref="AD5:AH6"/>
    <mergeCell ref="AD7:AE8"/>
    <mergeCell ref="AD9:AE9"/>
    <mergeCell ref="AD11:AE11"/>
    <mergeCell ref="AD13:AE13"/>
    <mergeCell ref="AD15:AE15"/>
    <mergeCell ref="AD21:AH22"/>
  </mergeCells>
  <conditionalFormatting sqref="I10:M10">
    <cfRule type="cellIs" priority="1" dxfId="0" operator="greaterThan" stopIfTrue="1">
      <formula>$E$10</formula>
    </cfRule>
  </conditionalFormatting>
  <dataValidations count="16">
    <dataValidation type="list" allowBlank="1" showInputMessage="1" showErrorMessage="1" sqref="I11:M11">
      <formula1>LWidth</formula1>
    </dataValidation>
    <dataValidation type="list" allowBlank="1" showInputMessage="1" showErrorMessage="1" sqref="M12 J12">
      <formula1>SWidth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M13 J13">
      <formula1>SType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errorTitle="Invalid" sqref="I25:M25">
      <formula1>SpEnforce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decimal" operator="greaterThan" allowBlank="1" showInputMessage="1" showErrorMessage="1" sqref="I9:M9">
      <formula1>0</formula1>
    </dataValidation>
    <dataValidation type="whole" operator="greaterThan" allowBlank="1" showInputMessage="1" showErrorMessage="1" sqref="J7:M7">
      <formula1>1990</formula1>
    </dataValidation>
    <dataValidation type="whole" operator="greaterThanOrEqual" allowBlank="1" showInputMessage="1" showErrorMessage="1" sqref="I15:M15">
      <formula1>0</formula1>
    </dataValidation>
    <dataValidation type="decimal" operator="greaterThanOrEqual" allowBlank="1" showInputMessage="1" showErrorMessage="1" sqref="I14:M14 I18:M19">
      <formula1>0</formula1>
    </dataValidation>
    <dataValidation type="decimal" allowBlank="1" showInputMessage="1" showErrorMessage="1" sqref="I26:M26">
      <formula1>0</formula1>
      <formula2>10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50"/>
  <sheetViews>
    <sheetView zoomScalePageLayoutView="0" workbookViewId="0" topLeftCell="A1">
      <selection activeCell="A43" sqref="A43"/>
    </sheetView>
  </sheetViews>
  <sheetFormatPr defaultColWidth="9.140625" defaultRowHeight="12.75"/>
  <cols>
    <col min="2" max="13" width="13.7109375" style="0" customWidth="1"/>
    <col min="15" max="15" width="9.140625" style="126" customWidth="1"/>
    <col min="16" max="16" width="13.7109375" style="0" customWidth="1"/>
    <col min="18" max="27" width="13.7109375" style="0" customWidth="1"/>
  </cols>
  <sheetData>
    <row r="2" spans="2:18" ht="12.75">
      <c r="B2" s="118" t="s">
        <v>407</v>
      </c>
      <c r="R2" s="118" t="s">
        <v>408</v>
      </c>
    </row>
    <row r="4" spans="2:11" ht="13.5" thickBot="1">
      <c r="B4" s="20"/>
      <c r="E4" s="17"/>
      <c r="K4" s="21"/>
    </row>
    <row r="5" spans="2:27" ht="13.5" thickTop="1">
      <c r="B5" s="484" t="s">
        <v>444</v>
      </c>
      <c r="C5" s="484"/>
      <c r="D5" s="484"/>
      <c r="E5" s="484"/>
      <c r="F5" s="484"/>
      <c r="G5" s="484"/>
      <c r="H5" s="484"/>
      <c r="I5" s="484"/>
      <c r="J5" s="484"/>
      <c r="K5" s="21"/>
      <c r="R5" s="259" t="s">
        <v>453</v>
      </c>
      <c r="S5" s="259"/>
      <c r="T5" s="259"/>
      <c r="U5" s="259"/>
      <c r="V5" s="259"/>
      <c r="W5" s="259"/>
      <c r="X5" s="259"/>
      <c r="Y5" s="259"/>
      <c r="Z5" s="259"/>
      <c r="AA5" s="259"/>
    </row>
    <row r="6" spans="2:27" ht="13.5" thickBot="1">
      <c r="B6" s="260"/>
      <c r="C6" s="260"/>
      <c r="D6" s="260"/>
      <c r="E6" s="260"/>
      <c r="F6" s="260"/>
      <c r="G6" s="260"/>
      <c r="H6" s="260"/>
      <c r="I6" s="260"/>
      <c r="J6" s="260"/>
      <c r="K6" s="21"/>
      <c r="R6" s="260"/>
      <c r="S6" s="260"/>
      <c r="T6" s="260"/>
      <c r="U6" s="260"/>
      <c r="V6" s="260"/>
      <c r="W6" s="260"/>
      <c r="X6" s="260"/>
      <c r="Y6" s="260"/>
      <c r="Z6" s="260"/>
      <c r="AA6" s="260"/>
    </row>
    <row r="7" spans="2:27" ht="12.75">
      <c r="B7" s="486" t="s">
        <v>121</v>
      </c>
      <c r="C7" s="487"/>
      <c r="D7" s="487"/>
      <c r="E7" s="507" t="s">
        <v>145</v>
      </c>
      <c r="F7" s="507"/>
      <c r="G7" s="507"/>
      <c r="H7" s="507"/>
      <c r="I7" s="507"/>
      <c r="J7" s="508"/>
      <c r="R7" s="431" t="s">
        <v>131</v>
      </c>
      <c r="S7" s="254" t="s">
        <v>9</v>
      </c>
      <c r="T7" s="254"/>
      <c r="U7" s="254"/>
      <c r="V7" s="254"/>
      <c r="W7" s="254"/>
      <c r="X7" s="254"/>
      <c r="Y7" s="254"/>
      <c r="Z7" s="254"/>
      <c r="AA7" s="255"/>
    </row>
    <row r="8" spans="2:27" ht="12.75">
      <c r="B8" s="502" t="s">
        <v>201</v>
      </c>
      <c r="C8" s="258"/>
      <c r="D8" s="184" t="s">
        <v>199</v>
      </c>
      <c r="E8" s="488" t="s">
        <v>146</v>
      </c>
      <c r="F8" s="488"/>
      <c r="G8" s="488"/>
      <c r="H8" s="436" t="s">
        <v>486</v>
      </c>
      <c r="I8" s="436"/>
      <c r="J8" s="498"/>
      <c r="R8" s="432"/>
      <c r="S8" s="26">
        <v>0</v>
      </c>
      <c r="T8" s="26">
        <v>1</v>
      </c>
      <c r="U8" s="26">
        <v>2</v>
      </c>
      <c r="V8" s="26">
        <v>3</v>
      </c>
      <c r="W8" s="26">
        <v>4</v>
      </c>
      <c r="X8" s="26">
        <v>5</v>
      </c>
      <c r="Y8" s="26">
        <v>6</v>
      </c>
      <c r="Z8" s="26">
        <v>7</v>
      </c>
      <c r="AA8" s="49">
        <v>8</v>
      </c>
    </row>
    <row r="9" spans="2:27" ht="12.75">
      <c r="B9" s="470" t="s">
        <v>138</v>
      </c>
      <c r="C9" s="471"/>
      <c r="D9" s="471"/>
      <c r="E9" s="499">
        <v>1.3</v>
      </c>
      <c r="F9" s="499"/>
      <c r="G9" s="499"/>
      <c r="H9" s="500">
        <v>3.1</v>
      </c>
      <c r="I9" s="500"/>
      <c r="J9" s="501"/>
      <c r="R9" s="65" t="s">
        <v>160</v>
      </c>
      <c r="S9" s="50">
        <v>1</v>
      </c>
      <c r="T9" s="50">
        <v>1</v>
      </c>
      <c r="U9" s="50">
        <v>1</v>
      </c>
      <c r="V9" s="50">
        <v>1</v>
      </c>
      <c r="W9" s="50">
        <v>1</v>
      </c>
      <c r="X9" s="50">
        <f>+(W9+Y9)/2</f>
        <v>1</v>
      </c>
      <c r="Y9" s="50">
        <v>1</v>
      </c>
      <c r="Z9" s="50">
        <f>+(Y9+AA9)/2</f>
        <v>1</v>
      </c>
      <c r="AA9" s="51">
        <v>1</v>
      </c>
    </row>
    <row r="10" spans="2:27" ht="12.75">
      <c r="B10" s="470" t="s">
        <v>139</v>
      </c>
      <c r="C10" s="471"/>
      <c r="D10" s="471"/>
      <c r="E10" s="503">
        <v>5.4</v>
      </c>
      <c r="F10" s="503"/>
      <c r="G10" s="503"/>
      <c r="H10" s="500">
        <v>7.7</v>
      </c>
      <c r="I10" s="500"/>
      <c r="J10" s="501"/>
      <c r="R10" s="65" t="s">
        <v>161</v>
      </c>
      <c r="S10" s="50">
        <v>1</v>
      </c>
      <c r="T10" s="50">
        <v>1</v>
      </c>
      <c r="U10" s="50">
        <v>1.01</v>
      </c>
      <c r="V10" s="50">
        <v>1.01</v>
      </c>
      <c r="W10" s="50">
        <v>1.01</v>
      </c>
      <c r="X10" s="50">
        <f>+(W10+Y10)/2</f>
        <v>1.0150000000000001</v>
      </c>
      <c r="Y10" s="50">
        <v>1.02</v>
      </c>
      <c r="Z10" s="50">
        <f>+(Y10+AA10)/2</f>
        <v>1.02</v>
      </c>
      <c r="AA10" s="51">
        <v>1.02</v>
      </c>
    </row>
    <row r="11" spans="2:27" ht="12.75">
      <c r="B11" s="470" t="s">
        <v>140</v>
      </c>
      <c r="C11" s="471"/>
      <c r="D11" s="471"/>
      <c r="E11" s="503">
        <v>10.9</v>
      </c>
      <c r="F11" s="503"/>
      <c r="G11" s="503"/>
      <c r="H11" s="500">
        <v>25.2</v>
      </c>
      <c r="I11" s="500"/>
      <c r="J11" s="501"/>
      <c r="R11" s="65" t="s">
        <v>162</v>
      </c>
      <c r="S11" s="50">
        <v>1</v>
      </c>
      <c r="T11" s="50">
        <v>1.01</v>
      </c>
      <c r="U11" s="50">
        <v>1.02</v>
      </c>
      <c r="V11" s="50">
        <v>1.02</v>
      </c>
      <c r="W11" s="50">
        <v>1.03</v>
      </c>
      <c r="X11" s="50">
        <f>+(W11+Y11)/2</f>
        <v>1.0350000000000001</v>
      </c>
      <c r="Y11" s="50">
        <v>1.04</v>
      </c>
      <c r="Z11" s="50">
        <f>+(Y11+AA11)/2</f>
        <v>1.05</v>
      </c>
      <c r="AA11" s="51">
        <v>1.06</v>
      </c>
    </row>
    <row r="12" spans="2:27" ht="13.5" thickBot="1">
      <c r="B12" s="475" t="s">
        <v>141</v>
      </c>
      <c r="C12" s="476"/>
      <c r="D12" s="476"/>
      <c r="E12" s="473">
        <v>14.5</v>
      </c>
      <c r="F12" s="473"/>
      <c r="G12" s="473"/>
      <c r="H12" s="509">
        <v>18</v>
      </c>
      <c r="I12" s="509"/>
      <c r="J12" s="510"/>
      <c r="R12" s="66" t="s">
        <v>163</v>
      </c>
      <c r="S12" s="52">
        <v>1</v>
      </c>
      <c r="T12" s="52">
        <v>1.01</v>
      </c>
      <c r="U12" s="52">
        <v>1.03</v>
      </c>
      <c r="V12" s="52">
        <v>1.04</v>
      </c>
      <c r="W12" s="52">
        <v>1.05</v>
      </c>
      <c r="X12" s="50">
        <f>+(W12+Y12)/2</f>
        <v>1.065</v>
      </c>
      <c r="Y12" s="52">
        <v>1.08</v>
      </c>
      <c r="Z12" s="50">
        <f>+(Y12+AA12)/2</f>
        <v>1.0950000000000002</v>
      </c>
      <c r="AA12" s="53">
        <v>1.11</v>
      </c>
    </row>
    <row r="13" spans="2:27" ht="13.5" thickTop="1">
      <c r="B13" s="477" t="s">
        <v>142</v>
      </c>
      <c r="C13" s="478"/>
      <c r="D13" s="478"/>
      <c r="E13" s="472">
        <f>SUM(E9:E12)</f>
        <v>32.1</v>
      </c>
      <c r="F13" s="472"/>
      <c r="G13" s="472"/>
      <c r="H13" s="472">
        <f>SUM(H9:H12)</f>
        <v>54</v>
      </c>
      <c r="I13" s="472"/>
      <c r="J13" s="504"/>
      <c r="R13" s="433" t="s">
        <v>197</v>
      </c>
      <c r="S13" s="434"/>
      <c r="T13" s="434"/>
      <c r="U13" s="434"/>
      <c r="V13" s="434"/>
      <c r="W13" s="434"/>
      <c r="X13" s="434"/>
      <c r="Y13" s="434"/>
      <c r="Z13" s="434"/>
      <c r="AA13" s="434"/>
    </row>
    <row r="14" spans="2:27" ht="13.5" thickBot="1">
      <c r="B14" s="475" t="s">
        <v>143</v>
      </c>
      <c r="C14" s="476"/>
      <c r="D14" s="476"/>
      <c r="E14" s="473">
        <f>100-E13</f>
        <v>67.9</v>
      </c>
      <c r="F14" s="473"/>
      <c r="G14" s="473"/>
      <c r="H14" s="473">
        <f>100-H13</f>
        <v>46</v>
      </c>
      <c r="I14" s="473"/>
      <c r="J14" s="50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</row>
    <row r="15" spans="2:10" ht="14.25" thickBot="1" thickTop="1">
      <c r="B15" s="481" t="s">
        <v>144</v>
      </c>
      <c r="C15" s="482"/>
      <c r="D15" s="482"/>
      <c r="E15" s="474">
        <f>SUM(E13:E14)</f>
        <v>100</v>
      </c>
      <c r="F15" s="474"/>
      <c r="G15" s="474"/>
      <c r="H15" s="474">
        <f>SUM(H13:H14)</f>
        <v>100</v>
      </c>
      <c r="I15" s="474"/>
      <c r="J15" s="506"/>
    </row>
    <row r="16" spans="2:6" ht="12.75">
      <c r="B16" s="224" t="s">
        <v>447</v>
      </c>
      <c r="C16" s="22"/>
      <c r="D16" s="22"/>
      <c r="E16" s="22"/>
      <c r="F16" s="22"/>
    </row>
    <row r="17" spans="2:6" ht="13.5" thickBot="1">
      <c r="B17" s="22"/>
      <c r="C17" s="22"/>
      <c r="D17" s="22"/>
      <c r="E17" s="22"/>
      <c r="F17" s="22"/>
    </row>
    <row r="18" spans="2:12" ht="13.5" thickTop="1">
      <c r="B18" s="483" t="s">
        <v>445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</row>
    <row r="19" spans="2:12" ht="13.5" thickBot="1"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</row>
    <row r="20" spans="2:12" ht="12.75">
      <c r="B20" s="22"/>
      <c r="C20" s="22"/>
      <c r="D20" s="22"/>
      <c r="E20" s="489" t="s">
        <v>155</v>
      </c>
      <c r="F20" s="489"/>
      <c r="G20" s="489"/>
      <c r="H20" s="489"/>
      <c r="I20" s="489"/>
      <c r="J20" s="489"/>
      <c r="K20" s="489"/>
      <c r="L20" s="489"/>
    </row>
    <row r="21" spans="5:12" ht="12.75">
      <c r="E21" s="493" t="s">
        <v>146</v>
      </c>
      <c r="F21" s="494"/>
      <c r="G21" s="494"/>
      <c r="H21" s="495"/>
      <c r="I21" s="493" t="s">
        <v>486</v>
      </c>
      <c r="J21" s="494"/>
      <c r="K21" s="494"/>
      <c r="L21" s="494"/>
    </row>
    <row r="22" spans="2:12" ht="12.75">
      <c r="B22" s="71" t="s">
        <v>148</v>
      </c>
      <c r="C22" s="14"/>
      <c r="E22" s="455" t="s">
        <v>154</v>
      </c>
      <c r="F22" s="490" t="s">
        <v>156</v>
      </c>
      <c r="G22" s="490" t="s">
        <v>157</v>
      </c>
      <c r="H22" s="491"/>
      <c r="I22" s="496" t="s">
        <v>154</v>
      </c>
      <c r="J22" s="496" t="s">
        <v>156</v>
      </c>
      <c r="K22" s="496" t="s">
        <v>157</v>
      </c>
      <c r="L22" s="497"/>
    </row>
    <row r="23" spans="2:12" ht="12.75">
      <c r="B23" s="453" t="s">
        <v>201</v>
      </c>
      <c r="C23" s="454"/>
      <c r="D23" s="198" t="s">
        <v>199</v>
      </c>
      <c r="E23" s="455"/>
      <c r="F23" s="490"/>
      <c r="G23" s="492"/>
      <c r="H23" s="491"/>
      <c r="I23" s="496"/>
      <c r="J23" s="496"/>
      <c r="K23" s="497"/>
      <c r="L23" s="497"/>
    </row>
    <row r="24" spans="2:12" ht="12.75">
      <c r="B24" s="29" t="s">
        <v>149</v>
      </c>
      <c r="C24" s="30"/>
      <c r="D24" s="30"/>
      <c r="E24" s="31"/>
      <c r="F24" s="30"/>
      <c r="G24" s="257"/>
      <c r="H24" s="469"/>
      <c r="I24" s="30"/>
      <c r="J24" s="30"/>
      <c r="K24" s="269"/>
      <c r="L24" s="269"/>
    </row>
    <row r="25" spans="2:12" ht="12.75">
      <c r="B25" s="32" t="s">
        <v>107</v>
      </c>
      <c r="C25" s="14"/>
      <c r="D25" s="14"/>
      <c r="E25" s="33">
        <v>3.8</v>
      </c>
      <c r="F25" s="34">
        <v>18.4</v>
      </c>
      <c r="G25" s="464">
        <v>12.1</v>
      </c>
      <c r="H25" s="465"/>
      <c r="I25" s="199">
        <v>3.1</v>
      </c>
      <c r="J25" s="199">
        <v>12</v>
      </c>
      <c r="K25" s="462">
        <v>7.2</v>
      </c>
      <c r="L25" s="462"/>
    </row>
    <row r="26" spans="2:12" ht="12.75">
      <c r="B26" s="32" t="s">
        <v>108</v>
      </c>
      <c r="C26" s="14"/>
      <c r="D26" s="14"/>
      <c r="E26" s="33">
        <v>0.4</v>
      </c>
      <c r="F26" s="34">
        <v>0.1</v>
      </c>
      <c r="G26" s="464">
        <v>0.2</v>
      </c>
      <c r="H26" s="465"/>
      <c r="I26" s="199">
        <v>0.6</v>
      </c>
      <c r="J26" s="199">
        <v>0</v>
      </c>
      <c r="K26" s="462">
        <v>0.3</v>
      </c>
      <c r="L26" s="462"/>
    </row>
    <row r="27" spans="2:12" ht="12.75">
      <c r="B27" s="32" t="s">
        <v>109</v>
      </c>
      <c r="C27" s="14"/>
      <c r="D27" s="14"/>
      <c r="E27" s="33">
        <v>0.7</v>
      </c>
      <c r="F27" s="34">
        <v>0.1</v>
      </c>
      <c r="G27" s="464">
        <v>0.3</v>
      </c>
      <c r="H27" s="465"/>
      <c r="I27" s="199">
        <v>0.8</v>
      </c>
      <c r="J27" s="199">
        <v>0</v>
      </c>
      <c r="K27" s="462">
        <v>0.4</v>
      </c>
      <c r="L27" s="462"/>
    </row>
    <row r="28" spans="2:12" ht="12.75">
      <c r="B28" s="32" t="s">
        <v>110</v>
      </c>
      <c r="C28" s="14"/>
      <c r="D28" s="14"/>
      <c r="E28" s="33">
        <v>3.7</v>
      </c>
      <c r="F28" s="17">
        <v>1.5</v>
      </c>
      <c r="G28" s="466">
        <v>2.5</v>
      </c>
      <c r="H28" s="465"/>
      <c r="I28" s="199">
        <v>8.6</v>
      </c>
      <c r="J28" s="199">
        <v>3.8</v>
      </c>
      <c r="K28" s="462">
        <v>6.4</v>
      </c>
      <c r="L28" s="462"/>
    </row>
    <row r="29" spans="2:12" ht="12.75">
      <c r="B29" s="32" t="s">
        <v>111</v>
      </c>
      <c r="C29" s="14"/>
      <c r="D29" s="14"/>
      <c r="E29" s="33">
        <v>54.5</v>
      </c>
      <c r="F29" s="17">
        <v>50.5</v>
      </c>
      <c r="G29" s="466">
        <v>52.1</v>
      </c>
      <c r="H29" s="465"/>
      <c r="I29" s="199">
        <v>47.2</v>
      </c>
      <c r="J29" s="199">
        <v>39.1</v>
      </c>
      <c r="K29" s="462">
        <v>43.5</v>
      </c>
      <c r="L29" s="462"/>
    </row>
    <row r="30" spans="2:12" ht="12.75">
      <c r="B30" s="32" t="s">
        <v>150</v>
      </c>
      <c r="C30" s="14"/>
      <c r="D30" s="14"/>
      <c r="E30" s="33">
        <v>0.7</v>
      </c>
      <c r="F30" s="17">
        <v>2.9</v>
      </c>
      <c r="G30" s="466">
        <v>2.1</v>
      </c>
      <c r="H30" s="465"/>
      <c r="I30" s="199">
        <v>1.7</v>
      </c>
      <c r="J30" s="199">
        <v>1.3</v>
      </c>
      <c r="K30" s="462">
        <v>1.5</v>
      </c>
      <c r="L30" s="462"/>
    </row>
    <row r="31" spans="2:12" ht="12.75">
      <c r="B31" s="226" t="s">
        <v>113</v>
      </c>
      <c r="C31" s="211"/>
      <c r="D31" s="211"/>
      <c r="E31" s="210">
        <f>SUM(E25:E30)</f>
        <v>63.800000000000004</v>
      </c>
      <c r="F31" s="212">
        <f>SUM(F25:F30)</f>
        <v>73.5</v>
      </c>
      <c r="G31" s="258">
        <f>SUM(G25:H30)</f>
        <v>69.3</v>
      </c>
      <c r="H31" s="244"/>
      <c r="I31" s="214">
        <f>SUM(I25:I30)</f>
        <v>62.00000000000001</v>
      </c>
      <c r="J31" s="215">
        <f>SUM(J25:J30)</f>
        <v>56.2</v>
      </c>
      <c r="K31" s="463">
        <f>SUM(K25:L30)</f>
        <v>59.3</v>
      </c>
      <c r="L31" s="463"/>
    </row>
    <row r="32" spans="2:12" ht="12.75">
      <c r="B32" s="25" t="s">
        <v>151</v>
      </c>
      <c r="E32" s="33"/>
      <c r="F32" s="34"/>
      <c r="G32" s="257"/>
      <c r="H32" s="469"/>
      <c r="I32" s="15"/>
      <c r="J32" s="15"/>
      <c r="K32" s="480"/>
      <c r="L32" s="480"/>
    </row>
    <row r="33" spans="2:12" ht="12.75">
      <c r="B33" s="23" t="s">
        <v>115</v>
      </c>
      <c r="E33" s="59">
        <v>10</v>
      </c>
      <c r="F33" s="34">
        <v>7.2</v>
      </c>
      <c r="G33" s="464">
        <v>8.5</v>
      </c>
      <c r="H33" s="465"/>
      <c r="I33" s="200">
        <v>0.8</v>
      </c>
      <c r="J33" s="200">
        <v>0.7</v>
      </c>
      <c r="K33" s="461">
        <v>0.8</v>
      </c>
      <c r="L33" s="461"/>
    </row>
    <row r="34" spans="2:12" ht="12.75">
      <c r="B34" s="23" t="s">
        <v>116</v>
      </c>
      <c r="E34" s="33">
        <v>3.4</v>
      </c>
      <c r="F34" s="34">
        <v>0.3</v>
      </c>
      <c r="G34" s="464">
        <v>1.6</v>
      </c>
      <c r="H34" s="465"/>
      <c r="I34" s="200">
        <v>5.8</v>
      </c>
      <c r="J34" s="200">
        <v>1</v>
      </c>
      <c r="K34" s="461">
        <v>3.6</v>
      </c>
      <c r="L34" s="461"/>
    </row>
    <row r="35" spans="2:12" ht="12.75">
      <c r="B35" s="23" t="s">
        <v>117</v>
      </c>
      <c r="E35" s="33">
        <v>16.4</v>
      </c>
      <c r="F35" s="34">
        <v>12.2</v>
      </c>
      <c r="G35" s="464">
        <v>14.2</v>
      </c>
      <c r="H35" s="465"/>
      <c r="I35" s="200">
        <v>18.8</v>
      </c>
      <c r="J35" s="200">
        <v>21.5</v>
      </c>
      <c r="K35" s="461">
        <v>20.1</v>
      </c>
      <c r="L35" s="461"/>
    </row>
    <row r="36" spans="2:12" ht="12.75">
      <c r="B36" s="23" t="s">
        <v>118</v>
      </c>
      <c r="E36" s="33">
        <v>3.8</v>
      </c>
      <c r="F36" s="34">
        <v>3.8</v>
      </c>
      <c r="G36" s="466">
        <v>3.7</v>
      </c>
      <c r="H36" s="465"/>
      <c r="I36" s="200">
        <v>4.4</v>
      </c>
      <c r="J36" s="200">
        <v>7.1</v>
      </c>
      <c r="K36" s="461">
        <v>5.6</v>
      </c>
      <c r="L36" s="461"/>
    </row>
    <row r="37" spans="2:12" ht="12.75">
      <c r="B37" s="23" t="s">
        <v>119</v>
      </c>
      <c r="E37" s="33">
        <v>2.6</v>
      </c>
      <c r="F37" s="37">
        <v>3</v>
      </c>
      <c r="G37" s="466">
        <v>2.7</v>
      </c>
      <c r="H37" s="465"/>
      <c r="I37" s="200">
        <v>8.2</v>
      </c>
      <c r="J37" s="200">
        <v>13.5</v>
      </c>
      <c r="K37" s="461">
        <v>10.6</v>
      </c>
      <c r="L37" s="461"/>
    </row>
    <row r="38" spans="2:12" ht="12.75">
      <c r="B38" s="226" t="s">
        <v>152</v>
      </c>
      <c r="C38" s="211"/>
      <c r="D38" s="211"/>
      <c r="E38" s="210">
        <f>SUM(E33:E37)</f>
        <v>36.199999999999996</v>
      </c>
      <c r="F38" s="212">
        <f>SUM(F33:F37)</f>
        <v>26.5</v>
      </c>
      <c r="G38" s="256">
        <f>SUM(G33:H37)</f>
        <v>30.699999999999996</v>
      </c>
      <c r="H38" s="244"/>
      <c r="I38" s="214">
        <f>SUM(I33:I37)</f>
        <v>38</v>
      </c>
      <c r="J38" s="215">
        <f>SUM(J33:J37)</f>
        <v>43.8</v>
      </c>
      <c r="K38" s="479">
        <f>SUM(K33:L37)</f>
        <v>40.7</v>
      </c>
      <c r="L38" s="463"/>
    </row>
    <row r="39" spans="2:12" ht="13.5" thickBot="1">
      <c r="B39" s="27" t="s">
        <v>153</v>
      </c>
      <c r="C39" s="28"/>
      <c r="D39" s="28"/>
      <c r="E39" s="35">
        <f>+E31+E38</f>
        <v>100</v>
      </c>
      <c r="F39" s="36">
        <f>+F31+F38</f>
        <v>100</v>
      </c>
      <c r="G39" s="467">
        <v>100</v>
      </c>
      <c r="H39" s="468"/>
      <c r="I39" s="35">
        <f>+I31+I38</f>
        <v>100</v>
      </c>
      <c r="J39" s="36">
        <f>+J31+J38</f>
        <v>100</v>
      </c>
      <c r="K39" s="467">
        <v>100</v>
      </c>
      <c r="L39" s="467"/>
    </row>
    <row r="40" ht="12.75">
      <c r="B40" s="225" t="s">
        <v>446</v>
      </c>
    </row>
    <row r="42" ht="13.5" thickBot="1"/>
    <row r="43" spans="2:15" ht="13.5" thickBot="1">
      <c r="B43" s="428" t="s">
        <v>457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102"/>
    </row>
    <row r="44" spans="2:15" ht="12.75">
      <c r="B44" s="429" t="s">
        <v>196</v>
      </c>
      <c r="C44" s="254" t="s">
        <v>195</v>
      </c>
      <c r="D44" s="425"/>
      <c r="E44" s="425"/>
      <c r="F44" s="425"/>
      <c r="G44" s="425"/>
      <c r="H44" s="425"/>
      <c r="I44" s="254" t="s">
        <v>486</v>
      </c>
      <c r="J44" s="425"/>
      <c r="K44" s="425"/>
      <c r="L44" s="425"/>
      <c r="M44" s="425"/>
      <c r="N44" s="390"/>
      <c r="O44" s="17"/>
    </row>
    <row r="45" spans="2:15" ht="12.75">
      <c r="B45" s="372"/>
      <c r="C45" s="453" t="s">
        <v>201</v>
      </c>
      <c r="D45" s="454"/>
      <c r="E45" s="216" t="s">
        <v>199</v>
      </c>
      <c r="F45" s="441" t="s">
        <v>194</v>
      </c>
      <c r="G45" s="442"/>
      <c r="H45" s="443"/>
      <c r="I45" s="426" t="s">
        <v>193</v>
      </c>
      <c r="J45" s="426"/>
      <c r="K45" s="426"/>
      <c r="L45" s="426" t="s">
        <v>194</v>
      </c>
      <c r="M45" s="426"/>
      <c r="N45" s="427"/>
      <c r="O45" s="201"/>
    </row>
    <row r="46" spans="2:15" ht="12.75">
      <c r="B46" s="372"/>
      <c r="C46" s="455" t="s">
        <v>193</v>
      </c>
      <c r="D46" s="435"/>
      <c r="E46" s="456"/>
      <c r="F46" s="444"/>
      <c r="G46" s="445"/>
      <c r="H46" s="372"/>
      <c r="I46" s="426"/>
      <c r="J46" s="426"/>
      <c r="K46" s="426"/>
      <c r="L46" s="426"/>
      <c r="M46" s="426"/>
      <c r="N46" s="427"/>
      <c r="O46" s="201"/>
    </row>
    <row r="47" spans="2:15" ht="12.75">
      <c r="B47" s="372"/>
      <c r="C47" s="457"/>
      <c r="D47" s="458"/>
      <c r="E47" s="459"/>
      <c r="F47" s="446"/>
      <c r="G47" s="447"/>
      <c r="H47" s="430"/>
      <c r="I47" s="426"/>
      <c r="J47" s="426"/>
      <c r="K47" s="426"/>
      <c r="L47" s="426"/>
      <c r="M47" s="426"/>
      <c r="N47" s="427"/>
      <c r="O47" s="201"/>
    </row>
    <row r="48" spans="2:15" ht="14.25">
      <c r="B48" s="430"/>
      <c r="C48" s="436" t="s">
        <v>190</v>
      </c>
      <c r="D48" s="436"/>
      <c r="E48" s="26" t="s">
        <v>191</v>
      </c>
      <c r="F48" s="436" t="s">
        <v>192</v>
      </c>
      <c r="G48" s="253"/>
      <c r="H48" s="448"/>
      <c r="I48" s="436" t="s">
        <v>190</v>
      </c>
      <c r="J48" s="436"/>
      <c r="K48" s="26" t="s">
        <v>191</v>
      </c>
      <c r="L48" s="436" t="s">
        <v>192</v>
      </c>
      <c r="M48" s="253"/>
      <c r="N48" s="460"/>
      <c r="O48" s="72"/>
    </row>
    <row r="49" spans="2:15" ht="13.5" thickBot="1">
      <c r="B49" s="63" t="s">
        <v>189</v>
      </c>
      <c r="C49" s="452">
        <v>0.382</v>
      </c>
      <c r="D49" s="452"/>
      <c r="E49" s="3">
        <v>0.618</v>
      </c>
      <c r="F49" s="449">
        <v>0.37</v>
      </c>
      <c r="G49" s="450"/>
      <c r="H49" s="451"/>
      <c r="I49" s="437">
        <v>0.54</v>
      </c>
      <c r="J49" s="437"/>
      <c r="K49" s="227">
        <v>0.46</v>
      </c>
      <c r="L49" s="438">
        <v>0.28</v>
      </c>
      <c r="M49" s="439"/>
      <c r="N49" s="440"/>
      <c r="O49" s="72"/>
    </row>
    <row r="50" ht="12.75">
      <c r="B50" s="225" t="s">
        <v>456</v>
      </c>
    </row>
  </sheetData>
  <sheetProtection/>
  <mergeCells count="91">
    <mergeCell ref="B8:C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H11:J11"/>
    <mergeCell ref="B7:D7"/>
    <mergeCell ref="E8:G8"/>
    <mergeCell ref="E20:L20"/>
    <mergeCell ref="F22:F23"/>
    <mergeCell ref="G22:H23"/>
    <mergeCell ref="E21:H21"/>
    <mergeCell ref="I21:L21"/>
    <mergeCell ref="I22:I23"/>
    <mergeCell ref="J22:J23"/>
    <mergeCell ref="K22:L23"/>
    <mergeCell ref="K38:L38"/>
    <mergeCell ref="K32:L32"/>
    <mergeCell ref="K33:L33"/>
    <mergeCell ref="B15:D15"/>
    <mergeCell ref="G24:H24"/>
    <mergeCell ref="B18:L19"/>
    <mergeCell ref="E22:E23"/>
    <mergeCell ref="G38:H38"/>
    <mergeCell ref="G36:H36"/>
    <mergeCell ref="G37:H37"/>
    <mergeCell ref="B9:D9"/>
    <mergeCell ref="B10:D10"/>
    <mergeCell ref="B11:D11"/>
    <mergeCell ref="E13:G13"/>
    <mergeCell ref="E14:G14"/>
    <mergeCell ref="E15:G15"/>
    <mergeCell ref="B12:D12"/>
    <mergeCell ref="B13:D13"/>
    <mergeCell ref="B14:D14"/>
    <mergeCell ref="G39:H39"/>
    <mergeCell ref="G32:H32"/>
    <mergeCell ref="G34:H34"/>
    <mergeCell ref="G35:H35"/>
    <mergeCell ref="K39:L39"/>
    <mergeCell ref="K24:L24"/>
    <mergeCell ref="K25:L25"/>
    <mergeCell ref="K26:L26"/>
    <mergeCell ref="G31:H31"/>
    <mergeCell ref="G33:H33"/>
    <mergeCell ref="G25:H25"/>
    <mergeCell ref="G26:H26"/>
    <mergeCell ref="G27:H27"/>
    <mergeCell ref="G28:H28"/>
    <mergeCell ref="G29:H29"/>
    <mergeCell ref="G30:H30"/>
    <mergeCell ref="L48:N48"/>
    <mergeCell ref="K34:L34"/>
    <mergeCell ref="K35:L35"/>
    <mergeCell ref="K36:L36"/>
    <mergeCell ref="K37:L37"/>
    <mergeCell ref="K27:L27"/>
    <mergeCell ref="K28:L28"/>
    <mergeCell ref="K29:L29"/>
    <mergeCell ref="K30:L30"/>
    <mergeCell ref="K31:L31"/>
    <mergeCell ref="I49:J49"/>
    <mergeCell ref="L49:N49"/>
    <mergeCell ref="F45:H47"/>
    <mergeCell ref="F48:H48"/>
    <mergeCell ref="F49:H49"/>
    <mergeCell ref="C49:D49"/>
    <mergeCell ref="C48:D48"/>
    <mergeCell ref="C45:D45"/>
    <mergeCell ref="C46:E47"/>
    <mergeCell ref="I45:K47"/>
    <mergeCell ref="C44:H44"/>
    <mergeCell ref="L45:N47"/>
    <mergeCell ref="B43:N43"/>
    <mergeCell ref="B44:B48"/>
    <mergeCell ref="R5:AA6"/>
    <mergeCell ref="R7:R8"/>
    <mergeCell ref="S7:AA7"/>
    <mergeCell ref="R13:AA14"/>
    <mergeCell ref="I44:N44"/>
    <mergeCell ref="I48:J48"/>
  </mergeCells>
  <dataValidations count="1">
    <dataValidation type="list" allowBlank="1" showInputMessage="1" showErrorMessage="1" sqref="D8 E45 D23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4"/>
  <sheetViews>
    <sheetView zoomScale="90" zoomScaleNormal="90" zoomScalePageLayoutView="0" workbookViewId="0" topLeftCell="A1">
      <selection activeCell="P27" sqref="P27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7109375" style="0" customWidth="1"/>
    <col min="6" max="6" width="13.28125" style="0" customWidth="1"/>
    <col min="7" max="7" width="10.8515625" style="0" customWidth="1"/>
    <col min="8" max="8" width="12.421875" style="0" customWidth="1"/>
    <col min="9" max="9" width="18.421875" style="0" customWidth="1"/>
    <col min="10" max="10" width="15.28125" style="0" customWidth="1"/>
    <col min="11" max="11" width="15.57421875" style="0" customWidth="1"/>
    <col min="12" max="12" width="17.421875" style="0" customWidth="1"/>
    <col min="13" max="13" width="14.574218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26:36" ht="13.5" thickBot="1"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14.25" customHeight="1" thickBot="1" thickTop="1">
      <c r="A2" s="261" t="s">
        <v>202</v>
      </c>
      <c r="B2" s="262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Z2" s="7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13.5" customHeight="1">
      <c r="A3" s="264" t="s">
        <v>1</v>
      </c>
      <c r="B3" s="265"/>
      <c r="C3" s="265"/>
      <c r="D3" s="265"/>
      <c r="E3" s="265"/>
      <c r="F3" s="266"/>
      <c r="G3" s="267" t="s">
        <v>23</v>
      </c>
      <c r="H3" s="268"/>
      <c r="I3" s="268"/>
      <c r="J3" s="268"/>
      <c r="K3" s="268"/>
      <c r="L3" s="268"/>
      <c r="M3" s="268"/>
      <c r="Z3" s="7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12.75">
      <c r="A4" s="269" t="s">
        <v>2</v>
      </c>
      <c r="B4" s="269"/>
      <c r="C4" s="270"/>
      <c r="D4" s="271" t="s">
        <v>327</v>
      </c>
      <c r="E4" s="272"/>
      <c r="F4" s="273"/>
      <c r="G4" s="274" t="s">
        <v>24</v>
      </c>
      <c r="H4" s="269"/>
      <c r="I4" s="270"/>
      <c r="J4" s="271" t="s">
        <v>328</v>
      </c>
      <c r="K4" s="272"/>
      <c r="L4" s="272"/>
      <c r="M4" s="272"/>
      <c r="Z4" s="7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12.75">
      <c r="A5" s="275" t="s">
        <v>3</v>
      </c>
      <c r="B5" s="276"/>
      <c r="C5" s="277"/>
      <c r="D5" s="278" t="s">
        <v>147</v>
      </c>
      <c r="E5" s="279"/>
      <c r="F5" s="280"/>
      <c r="G5" s="599" t="s">
        <v>203</v>
      </c>
      <c r="H5" s="276"/>
      <c r="I5" s="277"/>
      <c r="J5" s="282" t="s">
        <v>473</v>
      </c>
      <c r="K5" s="279"/>
      <c r="L5" s="279"/>
      <c r="M5" s="279"/>
      <c r="Z5" s="7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6" ht="12.75" customHeight="1">
      <c r="A6" s="275" t="s">
        <v>4</v>
      </c>
      <c r="B6" s="276"/>
      <c r="C6" s="277"/>
      <c r="D6" s="283">
        <v>40268</v>
      </c>
      <c r="E6" s="279"/>
      <c r="F6" s="280"/>
      <c r="G6" s="281" t="s">
        <v>26</v>
      </c>
      <c r="H6" s="276"/>
      <c r="I6" s="277"/>
      <c r="J6" s="282" t="s">
        <v>329</v>
      </c>
      <c r="K6" s="279"/>
      <c r="L6" s="279"/>
      <c r="M6" s="279"/>
      <c r="Z6" s="72"/>
      <c r="AA6" s="74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12.75">
      <c r="A7" s="275"/>
      <c r="B7" s="275"/>
      <c r="C7" s="277"/>
      <c r="D7" s="281"/>
      <c r="E7" s="276"/>
      <c r="F7" s="277"/>
      <c r="G7" s="281" t="s">
        <v>27</v>
      </c>
      <c r="H7" s="276"/>
      <c r="I7" s="277"/>
      <c r="J7" s="284">
        <v>2010</v>
      </c>
      <c r="K7" s="285"/>
      <c r="L7" s="285"/>
      <c r="M7" s="285"/>
      <c r="Z7" s="72"/>
      <c r="AA7" s="74"/>
      <c r="AB7" s="70"/>
      <c r="AC7" s="70"/>
      <c r="AD7" s="70"/>
      <c r="AE7" s="70"/>
      <c r="AF7" s="70"/>
      <c r="AG7" s="70"/>
      <c r="AH7" s="70"/>
      <c r="AI7" s="70"/>
      <c r="AJ7" s="70"/>
    </row>
    <row r="8" spans="1:36" ht="12.75">
      <c r="A8" s="286" t="s">
        <v>5</v>
      </c>
      <c r="B8" s="287"/>
      <c r="C8" s="287"/>
      <c r="D8" s="287"/>
      <c r="E8" s="287"/>
      <c r="F8" s="288"/>
      <c r="G8" s="289" t="s">
        <v>28</v>
      </c>
      <c r="H8" s="288"/>
      <c r="I8" s="289" t="s">
        <v>30</v>
      </c>
      <c r="J8" s="287"/>
      <c r="K8" s="287"/>
      <c r="L8" s="287"/>
      <c r="M8" s="287"/>
      <c r="Z8" s="72"/>
      <c r="AA8" s="74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3.5" thickBot="1">
      <c r="A9" s="589" t="s">
        <v>204</v>
      </c>
      <c r="B9" s="290"/>
      <c r="C9" s="290"/>
      <c r="D9" s="290"/>
      <c r="E9" s="290"/>
      <c r="F9" s="291"/>
      <c r="G9" s="292" t="s">
        <v>29</v>
      </c>
      <c r="H9" s="270"/>
      <c r="I9" s="597" t="s">
        <v>213</v>
      </c>
      <c r="J9" s="598"/>
      <c r="K9" s="598"/>
      <c r="L9" s="598"/>
      <c r="M9" s="598"/>
      <c r="O9" s="236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Z9" s="72"/>
      <c r="AA9" s="74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16.5" thickBot="1">
      <c r="A10" s="589" t="s">
        <v>205</v>
      </c>
      <c r="B10" s="290"/>
      <c r="C10" s="297"/>
      <c r="D10" s="228" t="s">
        <v>487</v>
      </c>
      <c r="E10" s="229">
        <f>IF($I$9="3ST",19500,IF($I$9="4ST",14700,25200))</f>
        <v>19500</v>
      </c>
      <c r="F10" s="230" t="s">
        <v>488</v>
      </c>
      <c r="G10" s="294" t="s">
        <v>29</v>
      </c>
      <c r="H10" s="291"/>
      <c r="I10" s="295">
        <v>8000</v>
      </c>
      <c r="J10" s="296"/>
      <c r="K10" s="296"/>
      <c r="L10" s="296"/>
      <c r="M10" s="296"/>
      <c r="N10" s="231" t="str">
        <f>IF(I10&gt;E10,"AADT out of range","AADT OK")</f>
        <v>AADT OK</v>
      </c>
      <c r="Z10" s="72"/>
      <c r="AA10" s="113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ht="16.5" thickBot="1">
      <c r="A11" s="589" t="s">
        <v>206</v>
      </c>
      <c r="B11" s="290"/>
      <c r="C11" s="297"/>
      <c r="D11" s="228" t="s">
        <v>487</v>
      </c>
      <c r="E11" s="229">
        <f>IF($I$9="3ST",4300,IF($I$9="4ST",3500,12500))</f>
        <v>4300</v>
      </c>
      <c r="F11" s="230" t="s">
        <v>488</v>
      </c>
      <c r="G11" s="294" t="s">
        <v>29</v>
      </c>
      <c r="H11" s="291"/>
      <c r="I11" s="295">
        <v>1000</v>
      </c>
      <c r="J11" s="296"/>
      <c r="K11" s="296"/>
      <c r="L11" s="296"/>
      <c r="M11" s="296"/>
      <c r="N11" s="231" t="str">
        <f>IF(I11&gt;E11,"AADT out of range","AADT OK")</f>
        <v>AADT OK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ht="12.75">
      <c r="A12" s="96" t="s">
        <v>207</v>
      </c>
      <c r="B12" s="61"/>
      <c r="C12" s="96" t="s">
        <v>236</v>
      </c>
      <c r="D12" s="61"/>
      <c r="E12" s="61"/>
      <c r="F12" s="184" t="s">
        <v>200</v>
      </c>
      <c r="G12" s="298">
        <v>0</v>
      </c>
      <c r="H12" s="291"/>
      <c r="I12" s="218" t="s">
        <v>238</v>
      </c>
      <c r="J12" s="185">
        <v>30</v>
      </c>
      <c r="K12" s="595" t="s">
        <v>239</v>
      </c>
      <c r="L12" s="596"/>
      <c r="M12" s="185">
        <v>0</v>
      </c>
      <c r="T12" s="237" t="s">
        <v>506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ht="12.75">
      <c r="A13" s="589" t="s">
        <v>208</v>
      </c>
      <c r="B13" s="290"/>
      <c r="C13" s="290"/>
      <c r="D13" s="290"/>
      <c r="E13" s="290"/>
      <c r="F13" s="291"/>
      <c r="G13" s="303">
        <v>0</v>
      </c>
      <c r="H13" s="291"/>
      <c r="I13" s="299">
        <v>0</v>
      </c>
      <c r="J13" s="300"/>
      <c r="K13" s="300"/>
      <c r="L13" s="300"/>
      <c r="M13" s="300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ht="12.75">
      <c r="A14" s="589" t="s">
        <v>209</v>
      </c>
      <c r="B14" s="290"/>
      <c r="C14" s="290"/>
      <c r="D14" s="290"/>
      <c r="E14" s="290"/>
      <c r="F14" s="291"/>
      <c r="G14" s="298">
        <v>0</v>
      </c>
      <c r="H14" s="291"/>
      <c r="I14" s="590">
        <v>0</v>
      </c>
      <c r="J14" s="300"/>
      <c r="K14" s="300"/>
      <c r="L14" s="300"/>
      <c r="M14" s="300"/>
      <c r="Z14" s="72"/>
      <c r="AA14" s="74"/>
      <c r="AB14" s="72"/>
      <c r="AC14" s="72"/>
      <c r="AD14" s="72"/>
      <c r="AE14" s="70"/>
      <c r="AF14" s="72"/>
      <c r="AG14" s="72"/>
      <c r="AH14" s="72"/>
      <c r="AI14" s="72"/>
      <c r="AJ14" s="72"/>
    </row>
    <row r="15" spans="1:36" ht="13.5" customHeight="1">
      <c r="A15" s="589" t="s">
        <v>210</v>
      </c>
      <c r="B15" s="290"/>
      <c r="C15" s="290"/>
      <c r="D15" s="290"/>
      <c r="E15" s="290"/>
      <c r="F15" s="291"/>
      <c r="G15" s="594" t="s">
        <v>165</v>
      </c>
      <c r="H15" s="291"/>
      <c r="I15" s="299" t="s">
        <v>166</v>
      </c>
      <c r="J15" s="300"/>
      <c r="K15" s="300"/>
      <c r="L15" s="300"/>
      <c r="M15" s="300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6.5" thickBot="1">
      <c r="A16" s="591" t="s">
        <v>211</v>
      </c>
      <c r="B16" s="309"/>
      <c r="C16" s="309"/>
      <c r="D16" s="309"/>
      <c r="E16" s="309"/>
      <c r="F16" s="310"/>
      <c r="G16" s="592">
        <v>1</v>
      </c>
      <c r="H16" s="593"/>
      <c r="I16" s="312">
        <f>VLOOKUP(I9,'Construction - Do Not Delete'!D54:E56,2,FALSE)</f>
        <v>0.31</v>
      </c>
      <c r="J16" s="313"/>
      <c r="K16" s="313"/>
      <c r="L16" s="313"/>
      <c r="M16" s="313"/>
      <c r="N16" s="64" t="s">
        <v>510</v>
      </c>
      <c r="Z16" s="72"/>
      <c r="AA16" s="74"/>
      <c r="AB16" s="72"/>
      <c r="AC16" s="72"/>
      <c r="AD16" s="72"/>
      <c r="AE16" s="70"/>
      <c r="AF16" s="72"/>
      <c r="AG16" s="72"/>
      <c r="AH16" s="72"/>
      <c r="AI16" s="72"/>
      <c r="AJ16" s="72"/>
    </row>
    <row r="17" spans="1:36" ht="13.5" thickTop="1">
      <c r="A17" s="62"/>
      <c r="B17" s="62"/>
      <c r="C17" s="62"/>
      <c r="D17" s="62"/>
      <c r="E17" s="62"/>
      <c r="F17" s="62"/>
      <c r="G17" s="75"/>
      <c r="H17" s="76"/>
      <c r="I17" s="77"/>
      <c r="J17" s="78"/>
      <c r="K17" s="78"/>
      <c r="L17" s="78"/>
      <c r="M17" s="78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13" ht="13.5" thickBot="1">
      <c r="A18" s="72"/>
      <c r="B18" s="72"/>
      <c r="C18" s="72"/>
      <c r="D18" s="72"/>
      <c r="E18" s="72"/>
      <c r="F18" s="72"/>
      <c r="G18" s="17"/>
      <c r="H18" s="72"/>
      <c r="I18" s="17"/>
      <c r="J18" s="72"/>
      <c r="K18" s="72"/>
      <c r="L18" s="72"/>
      <c r="M18" s="72"/>
    </row>
    <row r="19" spans="1:13" ht="14.25" customHeight="1" thickBot="1" thickTop="1">
      <c r="A19" s="261" t="s">
        <v>219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2.75">
      <c r="A20" s="511" t="s">
        <v>32</v>
      </c>
      <c r="B20" s="512"/>
      <c r="C20" s="512"/>
      <c r="D20" s="584" t="s">
        <v>33</v>
      </c>
      <c r="E20" s="512"/>
      <c r="F20" s="584" t="s">
        <v>34</v>
      </c>
      <c r="G20" s="512"/>
      <c r="H20" s="512"/>
      <c r="I20" s="584" t="s">
        <v>35</v>
      </c>
      <c r="J20" s="512"/>
      <c r="K20" s="512"/>
      <c r="L20" s="584" t="s">
        <v>36</v>
      </c>
      <c r="M20" s="585"/>
    </row>
    <row r="21" spans="1:13" ht="12.75">
      <c r="A21" s="577" t="s">
        <v>220</v>
      </c>
      <c r="B21" s="572"/>
      <c r="C21" s="572"/>
      <c r="D21" s="569" t="s">
        <v>222</v>
      </c>
      <c r="E21" s="572"/>
      <c r="F21" s="569" t="s">
        <v>223</v>
      </c>
      <c r="G21" s="572"/>
      <c r="H21" s="572"/>
      <c r="I21" s="569" t="s">
        <v>54</v>
      </c>
      <c r="J21" s="572"/>
      <c r="K21" s="572"/>
      <c r="L21" s="569" t="s">
        <v>224</v>
      </c>
      <c r="M21" s="570"/>
    </row>
    <row r="22" spans="1:13" ht="15.75">
      <c r="A22" s="577" t="s">
        <v>436</v>
      </c>
      <c r="B22" s="572"/>
      <c r="C22" s="572"/>
      <c r="D22" s="569" t="s">
        <v>437</v>
      </c>
      <c r="E22" s="572"/>
      <c r="F22" s="569" t="s">
        <v>438</v>
      </c>
      <c r="G22" s="572"/>
      <c r="H22" s="572"/>
      <c r="I22" s="569" t="s">
        <v>439</v>
      </c>
      <c r="J22" s="572"/>
      <c r="K22" s="572"/>
      <c r="L22" s="569" t="s">
        <v>440</v>
      </c>
      <c r="M22" s="570"/>
    </row>
    <row r="23" spans="1:13" ht="13.5" thickBot="1">
      <c r="A23" s="577" t="s">
        <v>221</v>
      </c>
      <c r="B23" s="572"/>
      <c r="C23" s="572"/>
      <c r="D23" s="569" t="s">
        <v>474</v>
      </c>
      <c r="E23" s="572"/>
      <c r="F23" s="569" t="s">
        <v>475</v>
      </c>
      <c r="G23" s="572"/>
      <c r="H23" s="572"/>
      <c r="I23" s="569" t="s">
        <v>476</v>
      </c>
      <c r="J23" s="572"/>
      <c r="K23" s="572"/>
      <c r="L23" s="571" t="s">
        <v>225</v>
      </c>
      <c r="M23" s="570"/>
    </row>
    <row r="24" spans="1:13" ht="13.5" thickBot="1">
      <c r="A24" s="513">
        <f>IF(+$I$9="3ST",(EXP(0.004*$J$12)),(IF(+$I$9="4ST",(IF($F$12="No",(EXP(0.0054*$J$12)),(((EXP(0.0054*$J$12))+(EXP(0.0054*$M$12)))/2))),1)))</f>
        <v>1.1274968515793757</v>
      </c>
      <c r="B24" s="513"/>
      <c r="C24" s="514"/>
      <c r="D24" s="524">
        <f>IF($I$9="3ST",(IF($I$13=0,1,(HLOOKUP($I$13,'Intersection Tables'!$AC$9:$AF$15,3,FALSE)))),(IF($I$9="4ST",(IF($I$13=0,1,(HLOOKUP($I$13,'Intersection Tables'!$AC$9:$AF$15,5,FALSE)))),(IF($I$13=0,1,(HLOOKUP($I$13,'Intersection Tables'!$AC$9:$AF$15,7,FALSE)))))))</f>
        <v>1</v>
      </c>
      <c r="E24" s="514"/>
      <c r="F24" s="525">
        <f>IF($I$9="3ST",(IF($I$14=0,1,(HLOOKUP($I$14,'Intersection Tables'!$AC$25:$AF$31,3,FALSE)))),(IF($I$9="4ST",(IF($I$14=0,1,(HLOOKUP($I$14,'Intersection Tables'!$AC$25:$AF$31,5,FALSE)))),(IF($I$14=0,1,(HLOOKUP($I$14,'Intersection Tables'!$AC$25:$AF$31,7,FALSE)))))))</f>
        <v>1</v>
      </c>
      <c r="G24" s="526"/>
      <c r="H24" s="527"/>
      <c r="I24" s="524">
        <f>IF(($I$15="Not Present"),1,(1-0.38*(IF('Intersection Tables'!$D$49="No",(VLOOKUP($I$9,'Intersection Tables'!$B$50:$F$52,4,FALSE)),(VLOOKUP($I$9,'Intersection Tables'!B50:H52,6,FALSE))))))</f>
        <v>0.93084</v>
      </c>
      <c r="J24" s="566"/>
      <c r="K24" s="567"/>
      <c r="L24" s="524">
        <f>+A24*D24*F24*I24</f>
        <v>1.0495191693241461</v>
      </c>
      <c r="M24" s="513"/>
    </row>
    <row r="25" spans="1:13" ht="12.75">
      <c r="A25" s="526"/>
      <c r="B25" s="526"/>
      <c r="C25" s="526"/>
      <c r="D25" s="101"/>
      <c r="E25" s="101"/>
      <c r="F25" s="526"/>
      <c r="G25" s="526"/>
      <c r="H25" s="527"/>
      <c r="I25" s="526"/>
      <c r="J25" s="578"/>
      <c r="K25" s="578"/>
      <c r="L25" s="72"/>
      <c r="M25" s="72"/>
    </row>
    <row r="26" spans="1:13" ht="13.5" thickBot="1">
      <c r="A26" s="74"/>
      <c r="B26" s="72"/>
      <c r="C26" s="72"/>
      <c r="D26" s="72"/>
      <c r="E26" s="72"/>
      <c r="F26" s="72"/>
      <c r="G26" s="70"/>
      <c r="H26" s="80"/>
      <c r="I26" s="70"/>
      <c r="J26" s="72"/>
      <c r="K26" s="72"/>
      <c r="L26" s="72"/>
      <c r="M26" s="72"/>
    </row>
    <row r="27" spans="1:13" ht="14.25" thickBot="1" thickTop="1">
      <c r="A27" s="261" t="s">
        <v>226</v>
      </c>
      <c r="B27" s="262"/>
      <c r="C27" s="262"/>
      <c r="D27" s="262"/>
      <c r="E27" s="262"/>
      <c r="F27" s="262"/>
      <c r="G27" s="262"/>
      <c r="H27" s="262"/>
      <c r="I27" s="263"/>
      <c r="J27" s="263"/>
      <c r="K27" s="263"/>
      <c r="L27" s="263"/>
      <c r="M27" s="263"/>
    </row>
    <row r="28" spans="1:13" ht="12.75">
      <c r="A28" s="568" t="s">
        <v>32</v>
      </c>
      <c r="B28" s="425"/>
      <c r="C28" s="523" t="s">
        <v>33</v>
      </c>
      <c r="D28" s="425"/>
      <c r="E28" s="89" t="s">
        <v>34</v>
      </c>
      <c r="F28" s="90" t="s">
        <v>35</v>
      </c>
      <c r="G28" s="523" t="s">
        <v>36</v>
      </c>
      <c r="H28" s="425"/>
      <c r="I28" s="89" t="s">
        <v>37</v>
      </c>
      <c r="J28" s="523" t="s">
        <v>38</v>
      </c>
      <c r="K28" s="425"/>
      <c r="L28" s="523" t="s">
        <v>39</v>
      </c>
      <c r="M28" s="390"/>
    </row>
    <row r="29" spans="1:13" ht="16.5" customHeight="1">
      <c r="A29" s="515" t="s">
        <v>79</v>
      </c>
      <c r="B29" s="315"/>
      <c r="C29" s="575" t="s">
        <v>227</v>
      </c>
      <c r="D29" s="576"/>
      <c r="E29" s="530" t="s">
        <v>81</v>
      </c>
      <c r="F29" s="530" t="s">
        <v>82</v>
      </c>
      <c r="G29" s="530" t="s">
        <v>228</v>
      </c>
      <c r="H29" s="537"/>
      <c r="I29" s="530" t="s">
        <v>84</v>
      </c>
      <c r="J29" s="518" t="s">
        <v>211</v>
      </c>
      <c r="K29" s="315"/>
      <c r="L29" s="530" t="s">
        <v>252</v>
      </c>
      <c r="M29" s="573"/>
    </row>
    <row r="30" spans="1:13" ht="12.75">
      <c r="A30" s="516"/>
      <c r="B30" s="315"/>
      <c r="C30" s="522"/>
      <c r="D30" s="522"/>
      <c r="E30" s="531"/>
      <c r="F30" s="520"/>
      <c r="G30" s="520"/>
      <c r="H30" s="520"/>
      <c r="I30" s="520"/>
      <c r="J30" s="322"/>
      <c r="K30" s="315"/>
      <c r="L30" s="520"/>
      <c r="M30" s="574"/>
    </row>
    <row r="31" spans="1:13" ht="12.75">
      <c r="A31" s="325"/>
      <c r="B31" s="315"/>
      <c r="C31" s="519" t="s">
        <v>229</v>
      </c>
      <c r="D31" s="520"/>
      <c r="E31" s="519" t="s">
        <v>230</v>
      </c>
      <c r="F31" s="519" t="s">
        <v>463</v>
      </c>
      <c r="G31" s="521" t="s">
        <v>231</v>
      </c>
      <c r="H31" s="522"/>
      <c r="I31" s="519" t="s">
        <v>441</v>
      </c>
      <c r="J31" s="322"/>
      <c r="K31" s="315"/>
      <c r="L31" s="521" t="s">
        <v>232</v>
      </c>
      <c r="M31" s="345"/>
    </row>
    <row r="32" spans="1:24" ht="12.75">
      <c r="A32" s="517"/>
      <c r="B32" s="316"/>
      <c r="C32" s="520"/>
      <c r="D32" s="520"/>
      <c r="E32" s="520"/>
      <c r="F32" s="520"/>
      <c r="G32" s="522"/>
      <c r="H32" s="522"/>
      <c r="I32" s="520"/>
      <c r="J32" s="323"/>
      <c r="K32" s="316"/>
      <c r="L32" s="522"/>
      <c r="M32" s="345"/>
      <c r="Q32" s="100"/>
      <c r="R32" s="100"/>
      <c r="S32" s="100"/>
      <c r="T32" s="100"/>
      <c r="U32" s="100"/>
      <c r="V32" s="100"/>
      <c r="W32" s="100"/>
      <c r="X32" s="100"/>
    </row>
    <row r="33" spans="1:24" ht="12.75">
      <c r="A33" s="528" t="s">
        <v>89</v>
      </c>
      <c r="B33" s="529"/>
      <c r="C33" s="545">
        <f>IF($I$9="3ST",(EXP(-9.86+0.79*(LN($I$10))+(0.49*(LN($I$11))))),IF($I$9="4ST",(EXP(-8.56+0.6*(LN($I$10))+(0.61*(LN($I$11))))),(EXP(-5.13+(0.6*(LN($I$10)))+(0.2*(LN($I$11)))))))</f>
        <v>1.8676586265828639</v>
      </c>
      <c r="D33" s="545"/>
      <c r="E33" s="86">
        <f>IF($I$9="3ST",0.54,(IF($I$9="4ST",0.24,0.11)))</f>
        <v>0.54</v>
      </c>
      <c r="F33" s="105">
        <f>IF($I$9="3ST",IF('Intersection Tables'!$D$10="No",'Intersection Tables'!$E$18,'Intersection Tables'!$K$18),(IF($I$9="4ST",(IF('Intersection Tables'!$D$10="No",'Intersection Tables'!$G$18,'Intersection Tables'!$M$18)),(IF('Intersection Tables'!$D$10="No",'Intersection Tables'!$I$18,'Intersection Tables'!$O$18)))))/100</f>
        <v>1</v>
      </c>
      <c r="G33" s="546">
        <f>+C33*F33</f>
        <v>1.8676586265828639</v>
      </c>
      <c r="H33" s="547"/>
      <c r="I33" s="107">
        <f>+$L$24</f>
        <v>1.0495191693241461</v>
      </c>
      <c r="J33" s="548">
        <f>+$I$16</f>
        <v>0.31</v>
      </c>
      <c r="K33" s="549"/>
      <c r="L33" s="546">
        <f>+G33*I33*J33</f>
        <v>0.6076444944092201</v>
      </c>
      <c r="M33" s="565"/>
      <c r="Q33" s="100"/>
      <c r="R33" s="100"/>
      <c r="S33" s="100"/>
      <c r="T33" s="100"/>
      <c r="U33" s="100"/>
      <c r="V33" s="100"/>
      <c r="W33" s="100"/>
      <c r="X33" s="100"/>
    </row>
    <row r="34" spans="1:24" ht="12.75">
      <c r="A34" s="528" t="s">
        <v>90</v>
      </c>
      <c r="B34" s="529"/>
      <c r="C34" s="542" t="s">
        <v>29</v>
      </c>
      <c r="D34" s="448"/>
      <c r="E34" s="87" t="s">
        <v>29</v>
      </c>
      <c r="F34" s="105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0.5329999999999999</v>
      </c>
      <c r="G34" s="546">
        <f>+C33*F34</f>
        <v>0.9954620479686663</v>
      </c>
      <c r="H34" s="547"/>
      <c r="I34" s="107">
        <f>+$L$24</f>
        <v>1.0495191693241461</v>
      </c>
      <c r="J34" s="548">
        <f>+$I$16</f>
        <v>0.31</v>
      </c>
      <c r="K34" s="549"/>
      <c r="L34" s="546">
        <f>+G34*I34*J34</f>
        <v>0.32387451552011426</v>
      </c>
      <c r="M34" s="565"/>
      <c r="Q34" s="100"/>
      <c r="R34" s="100"/>
      <c r="S34" s="100"/>
      <c r="T34" s="100"/>
      <c r="U34" s="100"/>
      <c r="V34" s="100"/>
      <c r="W34" s="100"/>
      <c r="X34" s="100"/>
    </row>
    <row r="35" spans="1:13" ht="13.5" thickBot="1">
      <c r="A35" s="555" t="s">
        <v>91</v>
      </c>
      <c r="B35" s="556"/>
      <c r="C35" s="543" t="s">
        <v>29</v>
      </c>
      <c r="D35" s="544"/>
      <c r="E35" s="88" t="s">
        <v>29</v>
      </c>
      <c r="F35" s="106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0.467</v>
      </c>
      <c r="G35" s="538">
        <f>+C33*F35</f>
        <v>0.8721965786141974</v>
      </c>
      <c r="H35" s="539"/>
      <c r="I35" s="108">
        <f>+$L$24</f>
        <v>1.0495191693241461</v>
      </c>
      <c r="J35" s="540">
        <f>+$I$16</f>
        <v>0.31</v>
      </c>
      <c r="K35" s="541"/>
      <c r="L35" s="538">
        <f>+G35*I35*J35</f>
        <v>0.28376997888910577</v>
      </c>
      <c r="M35" s="564"/>
    </row>
    <row r="36" spans="1:32" ht="12.75">
      <c r="A36" s="82"/>
      <c r="B36" s="82"/>
      <c r="C36" s="219"/>
      <c r="D36" s="219"/>
      <c r="E36" s="82"/>
      <c r="F36" s="82"/>
      <c r="G36" s="82"/>
      <c r="H36" s="82"/>
      <c r="I36" s="82"/>
      <c r="J36" s="82"/>
      <c r="K36" s="82"/>
      <c r="L36" s="82"/>
      <c r="M36" s="82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 ht="13.5" thickBo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  <c r="X37" s="17"/>
      <c r="AC37" s="17"/>
      <c r="AD37" s="17"/>
      <c r="AE37" s="17"/>
      <c r="AF37" s="17"/>
    </row>
    <row r="38" spans="1:32" ht="14.25" thickBot="1" thickTop="1">
      <c r="A38" s="261" t="s">
        <v>233</v>
      </c>
      <c r="B38" s="262"/>
      <c r="C38" s="262"/>
      <c r="D38" s="262"/>
      <c r="E38" s="262"/>
      <c r="F38" s="262"/>
      <c r="G38" s="262"/>
      <c r="H38" s="360"/>
      <c r="I38" s="360"/>
      <c r="J38" s="360"/>
      <c r="K38" s="360"/>
      <c r="L38" s="360"/>
      <c r="M38" s="360"/>
      <c r="X38" s="102"/>
      <c r="AC38" s="102"/>
      <c r="AD38" s="102"/>
      <c r="AE38" s="102"/>
      <c r="AF38" s="72"/>
    </row>
    <row r="39" spans="1:32" ht="12.75">
      <c r="A39" s="361" t="s">
        <v>32</v>
      </c>
      <c r="B39" s="362"/>
      <c r="C39" s="18" t="s">
        <v>33</v>
      </c>
      <c r="D39" s="363" t="s">
        <v>34</v>
      </c>
      <c r="E39" s="364"/>
      <c r="F39" s="363" t="s">
        <v>35</v>
      </c>
      <c r="G39" s="364"/>
      <c r="H39" s="348" t="s">
        <v>36</v>
      </c>
      <c r="I39" s="365"/>
      <c r="J39" s="363" t="s">
        <v>37</v>
      </c>
      <c r="K39" s="364"/>
      <c r="L39" s="348" t="s">
        <v>38</v>
      </c>
      <c r="M39" s="349"/>
      <c r="AC39" s="102"/>
      <c r="AD39" s="102"/>
      <c r="AE39" s="102"/>
      <c r="AF39" s="72"/>
    </row>
    <row r="40" spans="1:32" ht="12.75">
      <c r="A40" s="586" t="s">
        <v>93</v>
      </c>
      <c r="B40" s="532"/>
      <c r="C40" s="532" t="s">
        <v>97</v>
      </c>
      <c r="D40" s="532" t="s">
        <v>256</v>
      </c>
      <c r="E40" s="535"/>
      <c r="F40" s="532" t="s">
        <v>95</v>
      </c>
      <c r="G40" s="532"/>
      <c r="H40" s="532" t="s">
        <v>257</v>
      </c>
      <c r="I40" s="532"/>
      <c r="J40" s="532" t="s">
        <v>98</v>
      </c>
      <c r="K40" s="532"/>
      <c r="L40" s="532" t="s">
        <v>258</v>
      </c>
      <c r="M40" s="344"/>
      <c r="AC40" s="102"/>
      <c r="AD40" s="102"/>
      <c r="AE40" s="104"/>
      <c r="AF40" s="72"/>
    </row>
    <row r="41" spans="1:32" ht="12.75">
      <c r="A41" s="587"/>
      <c r="B41" s="588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6"/>
      <c r="AC41" s="17"/>
      <c r="AD41" s="79"/>
      <c r="AE41" s="73"/>
      <c r="AF41" s="72"/>
    </row>
    <row r="42" spans="1:13" ht="12.75">
      <c r="A42" s="456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457"/>
    </row>
    <row r="43" spans="1:14" ht="12.75">
      <c r="A43" s="456"/>
      <c r="B43" s="533"/>
      <c r="C43" s="581" t="s">
        <v>464</v>
      </c>
      <c r="D43" s="579" t="s">
        <v>253</v>
      </c>
      <c r="E43" s="582"/>
      <c r="F43" s="581" t="s">
        <v>465</v>
      </c>
      <c r="G43" s="583"/>
      <c r="H43" s="579" t="s">
        <v>254</v>
      </c>
      <c r="I43" s="582"/>
      <c r="J43" s="581" t="s">
        <v>465</v>
      </c>
      <c r="K43" s="583"/>
      <c r="L43" s="579" t="s">
        <v>255</v>
      </c>
      <c r="M43" s="580"/>
      <c r="N43" s="40"/>
    </row>
    <row r="44" spans="1:14" ht="12.75">
      <c r="A44" s="459"/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457"/>
      <c r="N44" s="40"/>
    </row>
    <row r="45" spans="1:14" ht="12.75">
      <c r="A45" s="377" t="s">
        <v>89</v>
      </c>
      <c r="B45" s="378"/>
      <c r="C45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1</v>
      </c>
      <c r="D45" s="366">
        <f>+L33</f>
        <v>0.6076444944092201</v>
      </c>
      <c r="E45" s="244"/>
      <c r="F45" s="366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0.9990000000000001</v>
      </c>
      <c r="G45" s="244"/>
      <c r="H45" s="366">
        <f>+L34</f>
        <v>0.32387451552011426</v>
      </c>
      <c r="I45" s="244"/>
      <c r="J45" s="366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0.9989999999999999</v>
      </c>
      <c r="K45" s="244"/>
      <c r="L45" s="366">
        <f>+L35</f>
        <v>0.28376997888910577</v>
      </c>
      <c r="M45" s="258"/>
      <c r="N45" s="40"/>
    </row>
    <row r="46" spans="1:14" ht="13.5" thickBot="1">
      <c r="A46" s="371"/>
      <c r="B46" s="372"/>
      <c r="C46" s="4"/>
      <c r="D46" s="373" t="s">
        <v>103</v>
      </c>
      <c r="E46" s="374"/>
      <c r="F46" s="375"/>
      <c r="G46" s="376"/>
      <c r="H46" s="379" t="s">
        <v>104</v>
      </c>
      <c r="I46" s="380"/>
      <c r="J46" s="381"/>
      <c r="K46" s="246"/>
      <c r="L46" s="379" t="s">
        <v>105</v>
      </c>
      <c r="M46" s="382"/>
      <c r="N46" s="40"/>
    </row>
    <row r="47" spans="1:14" ht="13.5" thickBot="1">
      <c r="A47" s="383" t="s">
        <v>106</v>
      </c>
      <c r="B47" s="384"/>
      <c r="C47" s="384"/>
      <c r="D47" s="384"/>
      <c r="E47" s="384"/>
      <c r="F47" s="384"/>
      <c r="G47" s="384"/>
      <c r="H47" s="385"/>
      <c r="I47" s="385"/>
      <c r="J47" s="385"/>
      <c r="K47" s="385"/>
      <c r="L47" s="385"/>
      <c r="M47" s="385"/>
      <c r="N47" s="40"/>
    </row>
    <row r="48" spans="1:14" ht="12.75">
      <c r="A48" s="386" t="s">
        <v>107</v>
      </c>
      <c r="B48" s="387"/>
      <c r="C48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0</v>
      </c>
      <c r="D48" s="388">
        <f>+C48*$D$45</f>
        <v>0</v>
      </c>
      <c r="E48" s="389"/>
      <c r="F48" s="388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</v>
      </c>
      <c r="G48" s="391"/>
      <c r="H48" s="388">
        <f>+$H$45*F48</f>
        <v>0</v>
      </c>
      <c r="I48" s="389"/>
      <c r="J48" s="388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0</v>
      </c>
      <c r="K48" s="391"/>
      <c r="L48" s="388">
        <f>+$L$45*J48</f>
        <v>0</v>
      </c>
      <c r="M48" s="392"/>
      <c r="N48" s="40"/>
    </row>
    <row r="49" spans="1:13" ht="12.75">
      <c r="A49" s="377" t="s">
        <v>108</v>
      </c>
      <c r="B49" s="378"/>
      <c r="C49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0.004</v>
      </c>
      <c r="D49" s="366">
        <f aca="true" t="shared" si="0" ref="D49:D54">+C49*$D$45</f>
        <v>0.0024305779776368805</v>
      </c>
      <c r="E49" s="367"/>
      <c r="F49" s="366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0.008</v>
      </c>
      <c r="G49" s="244"/>
      <c r="H49" s="366">
        <f aca="true" t="shared" si="1" ref="H49:H54">+$H$45*F49</f>
        <v>0.002590996124160914</v>
      </c>
      <c r="I49" s="367"/>
      <c r="J49" s="366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0</v>
      </c>
      <c r="K49" s="244"/>
      <c r="L49" s="366">
        <f aca="true" t="shared" si="2" ref="L49:L54">+$L$45*J49</f>
        <v>0</v>
      </c>
      <c r="M49" s="393"/>
    </row>
    <row r="50" spans="1:13" ht="12.75">
      <c r="A50" s="377" t="s">
        <v>109</v>
      </c>
      <c r="B50" s="378"/>
      <c r="C50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0.001</v>
      </c>
      <c r="D50" s="366">
        <f t="shared" si="0"/>
        <v>0.0006076444944092201</v>
      </c>
      <c r="E50" s="367"/>
      <c r="F50" s="366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0.003</v>
      </c>
      <c r="G50" s="244"/>
      <c r="H50" s="366">
        <f t="shared" si="1"/>
        <v>0.0009716235465603428</v>
      </c>
      <c r="I50" s="367"/>
      <c r="J50" s="366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</v>
      </c>
      <c r="K50" s="244"/>
      <c r="L50" s="366">
        <f t="shared" si="2"/>
        <v>0</v>
      </c>
      <c r="M50" s="393"/>
    </row>
    <row r="51" spans="1:13" ht="12.75">
      <c r="A51" s="290" t="s">
        <v>110</v>
      </c>
      <c r="B51" s="291"/>
      <c r="C51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0.018000000000000002</v>
      </c>
      <c r="D51" s="366">
        <f t="shared" si="0"/>
        <v>0.010937600899365962</v>
      </c>
      <c r="E51" s="367"/>
      <c r="F51" s="366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0.025</v>
      </c>
      <c r="G51" s="244"/>
      <c r="H51" s="366">
        <f t="shared" si="1"/>
        <v>0.008096862888002857</v>
      </c>
      <c r="I51" s="367"/>
      <c r="J51" s="366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0.01</v>
      </c>
      <c r="K51" s="244"/>
      <c r="L51" s="366">
        <f t="shared" si="2"/>
        <v>0.002837699788891058</v>
      </c>
      <c r="M51" s="393"/>
    </row>
    <row r="52" spans="1:13" ht="12.75">
      <c r="A52" s="290" t="s">
        <v>111</v>
      </c>
      <c r="B52" s="291"/>
      <c r="C52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0.126</v>
      </c>
      <c r="D52" s="366">
        <f t="shared" si="0"/>
        <v>0.07656320629556174</v>
      </c>
      <c r="E52" s="367"/>
      <c r="F52" s="366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0.114</v>
      </c>
      <c r="G52" s="244"/>
      <c r="H52" s="366">
        <f t="shared" si="1"/>
        <v>0.03692169476929303</v>
      </c>
      <c r="I52" s="367"/>
      <c r="J52" s="366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0.139</v>
      </c>
      <c r="K52" s="244"/>
      <c r="L52" s="366">
        <f t="shared" si="2"/>
        <v>0.0394440270655857</v>
      </c>
      <c r="M52" s="393"/>
    </row>
    <row r="53" spans="1:13" ht="12.75">
      <c r="A53" s="377" t="s">
        <v>112</v>
      </c>
      <c r="B53" s="378"/>
      <c r="C53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0.006</v>
      </c>
      <c r="D53" s="366">
        <f t="shared" si="0"/>
        <v>0.0036458669664553205</v>
      </c>
      <c r="E53" s="367"/>
      <c r="F53" s="366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0.005</v>
      </c>
      <c r="G53" s="244"/>
      <c r="H53" s="366">
        <f t="shared" si="1"/>
        <v>0.0016193725776005713</v>
      </c>
      <c r="I53" s="367"/>
      <c r="J53" s="366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0.006</v>
      </c>
      <c r="K53" s="244"/>
      <c r="L53" s="366">
        <f t="shared" si="2"/>
        <v>0.0017026198733346347</v>
      </c>
      <c r="M53" s="393"/>
    </row>
    <row r="54" spans="1:13" ht="13.5" thickBot="1">
      <c r="A54" s="394" t="s">
        <v>113</v>
      </c>
      <c r="B54" s="395"/>
      <c r="C54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0.15499999999999997</v>
      </c>
      <c r="D54" s="396">
        <f t="shared" si="0"/>
        <v>0.09418489663342909</v>
      </c>
      <c r="E54" s="397"/>
      <c r="F54" s="396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0.155</v>
      </c>
      <c r="G54" s="246"/>
      <c r="H54" s="396">
        <f t="shared" si="1"/>
        <v>0.05020054990561771</v>
      </c>
      <c r="I54" s="397"/>
      <c r="J54" s="396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0.155</v>
      </c>
      <c r="K54" s="246"/>
      <c r="L54" s="396">
        <f t="shared" si="2"/>
        <v>0.043984346727811395</v>
      </c>
      <c r="M54" s="398"/>
    </row>
    <row r="55" spans="1:13" ht="13.5" thickBot="1">
      <c r="A55" s="383" t="s">
        <v>114</v>
      </c>
      <c r="B55" s="384"/>
      <c r="C55" s="384"/>
      <c r="D55" s="384"/>
      <c r="E55" s="384"/>
      <c r="F55" s="384"/>
      <c r="G55" s="384"/>
      <c r="H55" s="385"/>
      <c r="I55" s="385"/>
      <c r="J55" s="385"/>
      <c r="K55" s="385"/>
      <c r="L55" s="385"/>
      <c r="M55" s="385"/>
    </row>
    <row r="56" spans="1:13" ht="12.75">
      <c r="A56" s="399" t="s">
        <v>115</v>
      </c>
      <c r="B56" s="400"/>
      <c r="C56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0.052000000000000005</v>
      </c>
      <c r="D56" s="388">
        <f aca="true" t="shared" si="3" ref="D56:D61">+C56*$D$45</f>
        <v>0.03159751370927945</v>
      </c>
      <c r="E56" s="389"/>
      <c r="F56" s="388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0.046</v>
      </c>
      <c r="G56" s="391"/>
      <c r="H56" s="388">
        <f aca="true" t="shared" si="4" ref="H56:H61">+$H$45*F56</f>
        <v>0.014898227713925256</v>
      </c>
      <c r="I56" s="389"/>
      <c r="J56" s="388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0.057999999999999996</v>
      </c>
      <c r="K56" s="391"/>
      <c r="L56" s="388">
        <f aca="true" t="shared" si="5" ref="L56:L61">+$L$45*J56</f>
        <v>0.016458658775568135</v>
      </c>
      <c r="M56" s="392"/>
    </row>
    <row r="57" spans="1:13" ht="12.75">
      <c r="A57" s="377" t="s">
        <v>116</v>
      </c>
      <c r="B57" s="378"/>
      <c r="C57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0.006</v>
      </c>
      <c r="D57" s="366">
        <f t="shared" si="3"/>
        <v>0.0036458669664553205</v>
      </c>
      <c r="E57" s="367"/>
      <c r="F57" s="366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0.011000000000000001</v>
      </c>
      <c r="G57" s="244"/>
      <c r="H57" s="366">
        <f t="shared" si="4"/>
        <v>0.003562619670721257</v>
      </c>
      <c r="I57" s="367"/>
      <c r="J57" s="366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0</v>
      </c>
      <c r="K57" s="244"/>
      <c r="L57" s="366">
        <f t="shared" si="5"/>
        <v>0</v>
      </c>
      <c r="M57" s="393"/>
    </row>
    <row r="58" spans="1:13" ht="12.75">
      <c r="A58" s="377" t="s">
        <v>117</v>
      </c>
      <c r="B58" s="378"/>
      <c r="C58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0.33299999999999996</v>
      </c>
      <c r="D58" s="366">
        <f t="shared" si="3"/>
        <v>0.20234561663827028</v>
      </c>
      <c r="E58" s="367"/>
      <c r="F58" s="366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0.332</v>
      </c>
      <c r="G58" s="244"/>
      <c r="H58" s="366">
        <f t="shared" si="4"/>
        <v>0.10752633915267794</v>
      </c>
      <c r="I58" s="367"/>
      <c r="J58" s="366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0.33299999999999996</v>
      </c>
      <c r="K58" s="244"/>
      <c r="L58" s="366">
        <f t="shared" si="5"/>
        <v>0.09449540297007221</v>
      </c>
      <c r="M58" s="393"/>
    </row>
    <row r="59" spans="1:13" ht="12.75">
      <c r="A59" s="377" t="s">
        <v>118</v>
      </c>
      <c r="B59" s="378"/>
      <c r="C59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0.018000000000000002</v>
      </c>
      <c r="D59" s="366">
        <f t="shared" si="3"/>
        <v>0.010937600899365962</v>
      </c>
      <c r="E59" s="367"/>
      <c r="F59" s="366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0.016</v>
      </c>
      <c r="G59" s="244"/>
      <c r="H59" s="366">
        <f t="shared" si="4"/>
        <v>0.005181992248321828</v>
      </c>
      <c r="I59" s="367"/>
      <c r="J59" s="366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0.019</v>
      </c>
      <c r="K59" s="244"/>
      <c r="L59" s="366">
        <f t="shared" si="5"/>
        <v>0.005391629598893009</v>
      </c>
      <c r="M59" s="393"/>
    </row>
    <row r="60" spans="1:13" ht="12.75">
      <c r="A60" s="377" t="s">
        <v>119</v>
      </c>
      <c r="B60" s="378"/>
      <c r="C60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0.436</v>
      </c>
      <c r="D60" s="366">
        <f t="shared" si="3"/>
        <v>0.26493299956241995</v>
      </c>
      <c r="E60" s="367"/>
      <c r="F60" s="366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0.439</v>
      </c>
      <c r="G60" s="244"/>
      <c r="H60" s="366">
        <f t="shared" si="4"/>
        <v>0.14218091231333016</v>
      </c>
      <c r="I60" s="367"/>
      <c r="J60" s="366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0.434</v>
      </c>
      <c r="K60" s="244"/>
      <c r="L60" s="366">
        <f t="shared" si="5"/>
        <v>0.1231561708378719</v>
      </c>
      <c r="M60" s="393"/>
    </row>
    <row r="61" spans="1:13" ht="13.5" thickBot="1">
      <c r="A61" s="401" t="s">
        <v>152</v>
      </c>
      <c r="B61" s="395"/>
      <c r="C61" s="109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0.845</v>
      </c>
      <c r="D61" s="396">
        <f t="shared" si="3"/>
        <v>0.513459597775791</v>
      </c>
      <c r="E61" s="397"/>
      <c r="F61" s="396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0.8440000000000001</v>
      </c>
      <c r="G61" s="246"/>
      <c r="H61" s="396">
        <f t="shared" si="4"/>
        <v>0.27335009109897646</v>
      </c>
      <c r="I61" s="397"/>
      <c r="J61" s="396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0.8439999999999999</v>
      </c>
      <c r="K61" s="246"/>
      <c r="L61" s="396">
        <f t="shared" si="5"/>
        <v>0.23950186218240524</v>
      </c>
      <c r="M61" s="398"/>
    </row>
    <row r="62" spans="1:13" ht="12.75">
      <c r="A62" s="94"/>
      <c r="B62" s="14"/>
      <c r="C62" s="34"/>
      <c r="D62" s="95"/>
      <c r="E62" s="95"/>
      <c r="F62" s="110"/>
      <c r="G62" s="56"/>
      <c r="H62" s="95"/>
      <c r="I62" s="95"/>
      <c r="J62" s="95"/>
      <c r="K62" s="95"/>
      <c r="L62" s="95"/>
      <c r="M62" s="95"/>
    </row>
    <row r="63" ht="13.5" thickBot="1"/>
    <row r="64" spans="1:13" ht="14.25" thickBot="1" thickTop="1">
      <c r="A64" s="261" t="s">
        <v>234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</row>
    <row r="65" spans="1:13" ht="12.75">
      <c r="A65" s="364" t="s">
        <v>32</v>
      </c>
      <c r="B65" s="552"/>
      <c r="C65" s="552"/>
      <c r="D65" s="553"/>
      <c r="E65" s="554" t="s">
        <v>33</v>
      </c>
      <c r="F65" s="425"/>
      <c r="G65" s="425"/>
      <c r="H65" s="425"/>
      <c r="I65" s="554" t="s">
        <v>34</v>
      </c>
      <c r="J65" s="425"/>
      <c r="K65" s="425"/>
      <c r="L65" s="425"/>
      <c r="M65" s="390"/>
    </row>
    <row r="66" spans="1:13" ht="12.75">
      <c r="A66" s="369" t="s">
        <v>121</v>
      </c>
      <c r="B66" s="561"/>
      <c r="C66" s="561"/>
      <c r="D66" s="561"/>
      <c r="E66" s="436" t="s">
        <v>466</v>
      </c>
      <c r="F66" s="436"/>
      <c r="G66" s="436"/>
      <c r="H66" s="436"/>
      <c r="I66" s="436" t="s">
        <v>259</v>
      </c>
      <c r="J66" s="436"/>
      <c r="K66" s="436"/>
      <c r="L66" s="436"/>
      <c r="M66" s="498"/>
    </row>
    <row r="67" spans="1:13" ht="12.75">
      <c r="A67" s="562"/>
      <c r="B67" s="563"/>
      <c r="C67" s="563"/>
      <c r="D67" s="563"/>
      <c r="E67" s="551" t="s">
        <v>235</v>
      </c>
      <c r="F67" s="448"/>
      <c r="G67" s="448"/>
      <c r="H67" s="448"/>
      <c r="I67" s="551" t="s">
        <v>260</v>
      </c>
      <c r="J67" s="542"/>
      <c r="K67" s="542"/>
      <c r="L67" s="448"/>
      <c r="M67" s="460"/>
    </row>
    <row r="68" spans="1:13" ht="12.75">
      <c r="A68" s="408" t="s">
        <v>89</v>
      </c>
      <c r="B68" s="559"/>
      <c r="C68" s="559"/>
      <c r="D68" s="448"/>
      <c r="E68" s="366">
        <f>+F33</f>
        <v>1</v>
      </c>
      <c r="F68" s="258"/>
      <c r="G68" s="258"/>
      <c r="H68" s="244"/>
      <c r="I68" s="557">
        <f>+L33</f>
        <v>0.6076444944092201</v>
      </c>
      <c r="J68" s="463"/>
      <c r="K68" s="463"/>
      <c r="L68" s="463"/>
      <c r="M68" s="463"/>
    </row>
    <row r="69" spans="1:13" ht="12.75">
      <c r="A69" s="408" t="s">
        <v>90</v>
      </c>
      <c r="B69" s="559"/>
      <c r="C69" s="559"/>
      <c r="D69" s="448"/>
      <c r="E69" s="366">
        <f>+F34</f>
        <v>0.5329999999999999</v>
      </c>
      <c r="F69" s="258"/>
      <c r="G69" s="258"/>
      <c r="H69" s="244"/>
      <c r="I69" s="557">
        <f>+L34</f>
        <v>0.32387451552011426</v>
      </c>
      <c r="J69" s="463"/>
      <c r="K69" s="463"/>
      <c r="L69" s="463"/>
      <c r="M69" s="463"/>
    </row>
    <row r="70" spans="1:13" ht="13.5" thickBot="1">
      <c r="A70" s="418" t="s">
        <v>91</v>
      </c>
      <c r="B70" s="560"/>
      <c r="C70" s="560"/>
      <c r="D70" s="544"/>
      <c r="E70" s="396">
        <f>+F35</f>
        <v>0.467</v>
      </c>
      <c r="F70" s="550"/>
      <c r="G70" s="550"/>
      <c r="H70" s="246"/>
      <c r="I70" s="558">
        <f>+L35</f>
        <v>0.28376997888910577</v>
      </c>
      <c r="J70" s="467"/>
      <c r="K70" s="467"/>
      <c r="L70" s="467"/>
      <c r="M70" s="467"/>
    </row>
    <row r="74" spans="1:14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2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72"/>
    </row>
    <row r="77" spans="1:14" ht="12.75">
      <c r="A77" s="91"/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72"/>
    </row>
    <row r="78" spans="1:14" ht="12.75">
      <c r="A78" s="91"/>
      <c r="B78" s="91"/>
      <c r="C78" s="91"/>
      <c r="D78" s="81"/>
      <c r="E78" s="72"/>
      <c r="F78" s="72"/>
      <c r="G78" s="81"/>
      <c r="H78" s="81"/>
      <c r="I78" s="81"/>
      <c r="J78" s="92"/>
      <c r="K78" s="92"/>
      <c r="L78" s="81"/>
      <c r="M78" s="81"/>
      <c r="N78" s="72"/>
    </row>
    <row r="79" spans="1:14" ht="12.75">
      <c r="A79" s="93"/>
      <c r="B79" s="93"/>
      <c r="C79" s="93"/>
      <c r="D79" s="83"/>
      <c r="E79" s="17"/>
      <c r="F79" s="17"/>
      <c r="G79" s="83"/>
      <c r="H79" s="17"/>
      <c r="I79" s="17"/>
      <c r="J79" s="17"/>
      <c r="K79" s="17"/>
      <c r="L79" s="41"/>
      <c r="M79" s="41"/>
      <c r="N79" s="72"/>
    </row>
    <row r="80" spans="1:14" ht="12.75">
      <c r="A80" s="93"/>
      <c r="B80" s="93"/>
      <c r="C80" s="93"/>
      <c r="D80" s="83"/>
      <c r="E80" s="17"/>
      <c r="F80" s="17"/>
      <c r="G80" s="83"/>
      <c r="H80" s="17"/>
      <c r="I80" s="17"/>
      <c r="J80" s="17"/>
      <c r="K80" s="17"/>
      <c r="L80" s="41"/>
      <c r="M80" s="41"/>
      <c r="N80" s="72"/>
    </row>
    <row r="81" spans="1:14" ht="12.75">
      <c r="A81" s="93"/>
      <c r="B81" s="93"/>
      <c r="C81" s="93"/>
      <c r="D81" s="83"/>
      <c r="E81" s="17"/>
      <c r="F81" s="17"/>
      <c r="G81" s="83"/>
      <c r="H81" s="17"/>
      <c r="I81" s="17"/>
      <c r="J81" s="17"/>
      <c r="K81" s="17"/>
      <c r="L81" s="41"/>
      <c r="M81" s="41"/>
      <c r="N81" s="72"/>
    </row>
    <row r="82" spans="1:14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</sheetData>
  <sheetProtection/>
  <mergeCells count="239">
    <mergeCell ref="A6:C6"/>
    <mergeCell ref="D6:F6"/>
    <mergeCell ref="G6:I6"/>
    <mergeCell ref="J6:M6"/>
    <mergeCell ref="A7:C7"/>
    <mergeCell ref="D7:F7"/>
    <mergeCell ref="G7:I7"/>
    <mergeCell ref="J7:M7"/>
    <mergeCell ref="J4:M4"/>
    <mergeCell ref="A2:M2"/>
    <mergeCell ref="A3:F3"/>
    <mergeCell ref="G3:M3"/>
    <mergeCell ref="A5:C5"/>
    <mergeCell ref="D5:F5"/>
    <mergeCell ref="G5:I5"/>
    <mergeCell ref="J5:M5"/>
    <mergeCell ref="A4:C4"/>
    <mergeCell ref="D4:F4"/>
    <mergeCell ref="A8:F8"/>
    <mergeCell ref="G8:H8"/>
    <mergeCell ref="I8:M8"/>
    <mergeCell ref="G10:H10"/>
    <mergeCell ref="I10:M10"/>
    <mergeCell ref="A9:F9"/>
    <mergeCell ref="G9:H9"/>
    <mergeCell ref="I9:M9"/>
    <mergeCell ref="G4:I4"/>
    <mergeCell ref="K12:L12"/>
    <mergeCell ref="G12:H12"/>
    <mergeCell ref="G11:H11"/>
    <mergeCell ref="I11:M11"/>
    <mergeCell ref="A13:F13"/>
    <mergeCell ref="G13:H13"/>
    <mergeCell ref="I13:M13"/>
    <mergeCell ref="A10:C10"/>
    <mergeCell ref="A11:C11"/>
    <mergeCell ref="A14:F14"/>
    <mergeCell ref="G14:H14"/>
    <mergeCell ref="I14:M14"/>
    <mergeCell ref="A19:M19"/>
    <mergeCell ref="A16:F16"/>
    <mergeCell ref="G16:H16"/>
    <mergeCell ref="I16:M16"/>
    <mergeCell ref="A15:F15"/>
    <mergeCell ref="G15:H15"/>
    <mergeCell ref="I15:M15"/>
    <mergeCell ref="D20:E20"/>
    <mergeCell ref="I20:K20"/>
    <mergeCell ref="L20:M20"/>
    <mergeCell ref="F20:H20"/>
    <mergeCell ref="A40:B44"/>
    <mergeCell ref="A39:B39"/>
    <mergeCell ref="D39:E39"/>
    <mergeCell ref="F39:G39"/>
    <mergeCell ref="H39:I39"/>
    <mergeCell ref="J39:K39"/>
    <mergeCell ref="L39:M39"/>
    <mergeCell ref="A45:B45"/>
    <mergeCell ref="D45:E45"/>
    <mergeCell ref="H45:I45"/>
    <mergeCell ref="L45:M45"/>
    <mergeCell ref="C43:C44"/>
    <mergeCell ref="D43:E44"/>
    <mergeCell ref="F43:G44"/>
    <mergeCell ref="H43:I44"/>
    <mergeCell ref="J43:K44"/>
    <mergeCell ref="L48:M48"/>
    <mergeCell ref="L43:M44"/>
    <mergeCell ref="A46:B46"/>
    <mergeCell ref="D46:E46"/>
    <mergeCell ref="F46:G46"/>
    <mergeCell ref="H46:I46"/>
    <mergeCell ref="J46:K46"/>
    <mergeCell ref="L46:M46"/>
    <mergeCell ref="A49:B49"/>
    <mergeCell ref="D49:E49"/>
    <mergeCell ref="F49:G49"/>
    <mergeCell ref="H49:I49"/>
    <mergeCell ref="J49:K49"/>
    <mergeCell ref="L49:M49"/>
    <mergeCell ref="A50:B50"/>
    <mergeCell ref="D50:E50"/>
    <mergeCell ref="F50:G50"/>
    <mergeCell ref="H50:I50"/>
    <mergeCell ref="J50:K50"/>
    <mergeCell ref="L50:M50"/>
    <mergeCell ref="A51:B51"/>
    <mergeCell ref="D51:E51"/>
    <mergeCell ref="F51:G51"/>
    <mergeCell ref="H51:I51"/>
    <mergeCell ref="J51:K51"/>
    <mergeCell ref="L51:M51"/>
    <mergeCell ref="A52:B52"/>
    <mergeCell ref="D52:E52"/>
    <mergeCell ref="F52:G52"/>
    <mergeCell ref="H52:I52"/>
    <mergeCell ref="J52:K52"/>
    <mergeCell ref="L52:M52"/>
    <mergeCell ref="L54:M54"/>
    <mergeCell ref="A53:B53"/>
    <mergeCell ref="D53:E53"/>
    <mergeCell ref="F53:G53"/>
    <mergeCell ref="H53:I53"/>
    <mergeCell ref="J53:K53"/>
    <mergeCell ref="L53:M53"/>
    <mergeCell ref="A58:B58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A60:B60"/>
    <mergeCell ref="D60:E60"/>
    <mergeCell ref="F60:G60"/>
    <mergeCell ref="H60:I60"/>
    <mergeCell ref="J60:K60"/>
    <mergeCell ref="A59:B59"/>
    <mergeCell ref="D59:E59"/>
    <mergeCell ref="F59:G59"/>
    <mergeCell ref="C31:D32"/>
    <mergeCell ref="E31:E32"/>
    <mergeCell ref="I29:I30"/>
    <mergeCell ref="J57:K57"/>
    <mergeCell ref="A47:M47"/>
    <mergeCell ref="A48:B48"/>
    <mergeCell ref="D48:E48"/>
    <mergeCell ref="F48:G48"/>
    <mergeCell ref="A54:B54"/>
    <mergeCell ref="D54:E54"/>
    <mergeCell ref="C29:D30"/>
    <mergeCell ref="A21:C21"/>
    <mergeCell ref="A22:C22"/>
    <mergeCell ref="A23:C23"/>
    <mergeCell ref="A27:M27"/>
    <mergeCell ref="I25:K25"/>
    <mergeCell ref="L28:M28"/>
    <mergeCell ref="I21:K21"/>
    <mergeCell ref="I22:K22"/>
    <mergeCell ref="I23:K23"/>
    <mergeCell ref="F29:F30"/>
    <mergeCell ref="L31:M32"/>
    <mergeCell ref="L60:M60"/>
    <mergeCell ref="H58:I58"/>
    <mergeCell ref="J58:K58"/>
    <mergeCell ref="L29:M30"/>
    <mergeCell ref="H59:I59"/>
    <mergeCell ref="J59:K59"/>
    <mergeCell ref="L57:M57"/>
    <mergeCell ref="L56:M56"/>
    <mergeCell ref="L22:M22"/>
    <mergeCell ref="L23:M23"/>
    <mergeCell ref="D21:E21"/>
    <mergeCell ref="L21:M21"/>
    <mergeCell ref="D22:E22"/>
    <mergeCell ref="D23:E23"/>
    <mergeCell ref="F21:H21"/>
    <mergeCell ref="F22:H22"/>
    <mergeCell ref="F23:H23"/>
    <mergeCell ref="I24:K24"/>
    <mergeCell ref="L24:M24"/>
    <mergeCell ref="J28:K28"/>
    <mergeCell ref="C28:D28"/>
    <mergeCell ref="A28:B28"/>
    <mergeCell ref="A25:C25"/>
    <mergeCell ref="F25:H25"/>
    <mergeCell ref="I66:M66"/>
    <mergeCell ref="L35:M35"/>
    <mergeCell ref="L33:M33"/>
    <mergeCell ref="L34:M34"/>
    <mergeCell ref="J61:K61"/>
    <mergeCell ref="L61:M61"/>
    <mergeCell ref="L59:M59"/>
    <mergeCell ref="L58:M58"/>
    <mergeCell ref="I65:M65"/>
    <mergeCell ref="H48:I48"/>
    <mergeCell ref="A35:B35"/>
    <mergeCell ref="A55:M55"/>
    <mergeCell ref="I69:M69"/>
    <mergeCell ref="I70:M70"/>
    <mergeCell ref="I68:M68"/>
    <mergeCell ref="A68:D68"/>
    <mergeCell ref="A69:D69"/>
    <mergeCell ref="A70:D70"/>
    <mergeCell ref="I67:M67"/>
    <mergeCell ref="A66:D67"/>
    <mergeCell ref="E68:H68"/>
    <mergeCell ref="E69:H69"/>
    <mergeCell ref="E70:H70"/>
    <mergeCell ref="E66:H66"/>
    <mergeCell ref="D58:E58"/>
    <mergeCell ref="F58:G58"/>
    <mergeCell ref="E67:H67"/>
    <mergeCell ref="A65:D65"/>
    <mergeCell ref="E65:H65"/>
    <mergeCell ref="A61:B61"/>
    <mergeCell ref="J33:K33"/>
    <mergeCell ref="J34:K34"/>
    <mergeCell ref="J40:K42"/>
    <mergeCell ref="H61:I61"/>
    <mergeCell ref="F45:G45"/>
    <mergeCell ref="J45:K45"/>
    <mergeCell ref="J48:K48"/>
    <mergeCell ref="F54:G54"/>
    <mergeCell ref="H54:I54"/>
    <mergeCell ref="J54:K54"/>
    <mergeCell ref="A64:M64"/>
    <mergeCell ref="J35:K35"/>
    <mergeCell ref="C34:D34"/>
    <mergeCell ref="C35:D35"/>
    <mergeCell ref="C33:D33"/>
    <mergeCell ref="A34:B34"/>
    <mergeCell ref="F61:G61"/>
    <mergeCell ref="D61:E61"/>
    <mergeCell ref="G33:H33"/>
    <mergeCell ref="G34:H34"/>
    <mergeCell ref="A33:B33"/>
    <mergeCell ref="E29:E30"/>
    <mergeCell ref="C40:C42"/>
    <mergeCell ref="D40:E42"/>
    <mergeCell ref="F40:G42"/>
    <mergeCell ref="H40:I42"/>
    <mergeCell ref="A38:M38"/>
    <mergeCell ref="L40:M42"/>
    <mergeCell ref="G29:H30"/>
    <mergeCell ref="G35:H35"/>
    <mergeCell ref="A20:C20"/>
    <mergeCell ref="A24:C24"/>
    <mergeCell ref="A29:B32"/>
    <mergeCell ref="J29:K32"/>
    <mergeCell ref="F31:F32"/>
    <mergeCell ref="G31:H32"/>
    <mergeCell ref="I31:I32"/>
    <mergeCell ref="G28:H28"/>
    <mergeCell ref="D24:E24"/>
    <mergeCell ref="F24:H24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2">
    <dataValidation operator="greaterThan" allowBlank="1" showInputMessage="1" showErrorMessage="1" sqref="K12 I12"/>
    <dataValidation type="list" operator="greaterThan" allowBlank="1" showInputMessage="1" showErrorMessage="1" sqref="I9:M9">
      <formula1>IType</formula1>
    </dataValidation>
    <dataValidation type="whole" operator="lessThanOrEqual" allowBlank="1" showInputMessage="1" showErrorMessage="1" sqref="I11:M11">
      <formula1>12500</formula1>
    </dataValidation>
    <dataValidation allowBlank="1" showInputMessage="1" showErrorMessage="1" errorTitle="Invalid" sqref="L25:M25"/>
    <dataValidation type="list" allowBlank="1" showInputMessage="1" showErrorMessage="1" sqref="I13:M13">
      <formula1>LApproach</formula1>
    </dataValidation>
    <dataValidation type="list" allowBlank="1" showInputMessage="1" showErrorMessage="1" sqref="I14:M14">
      <formula1>RApproach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F12">
      <formula1>Differ</formula1>
    </dataValidation>
    <dataValidation type="whole" allowBlank="1" showInputMessage="1" showErrorMessage="1" sqref="M12 J12">
      <formula1>0</formula1>
      <formula2>90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whole" operator="lessThanOrEqual" allowBlank="1" showInputMessage="1" showErrorMessage="1" sqref="I10:M10">
      <formula1>25200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G1">
      <selection activeCell="O53" sqref="O53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7109375" style="0" customWidth="1"/>
    <col min="6" max="6" width="13.28125" style="0" customWidth="1"/>
    <col min="7" max="7" width="10.8515625" style="0" customWidth="1"/>
    <col min="8" max="8" width="12.421875" style="0" customWidth="1"/>
    <col min="9" max="9" width="18.421875" style="0" customWidth="1"/>
    <col min="10" max="10" width="15.28125" style="0" customWidth="1"/>
    <col min="11" max="11" width="15.57421875" style="0" customWidth="1"/>
    <col min="12" max="12" width="17.421875" style="0" customWidth="1"/>
    <col min="13" max="13" width="14.57421875" style="0" customWidth="1"/>
    <col min="15" max="15" width="47.0039062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26:36" ht="13.5" thickBot="1"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14.25" customHeight="1" thickBot="1" thickTop="1">
      <c r="A2" s="261" t="s">
        <v>202</v>
      </c>
      <c r="B2" s="262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Z2" s="7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13.5" customHeight="1">
      <c r="A3" s="264" t="s">
        <v>1</v>
      </c>
      <c r="B3" s="265"/>
      <c r="C3" s="265"/>
      <c r="D3" s="265"/>
      <c r="E3" s="265"/>
      <c r="F3" s="266"/>
      <c r="G3" s="267" t="s">
        <v>23</v>
      </c>
      <c r="H3" s="268"/>
      <c r="I3" s="268"/>
      <c r="J3" s="268"/>
      <c r="K3" s="268"/>
      <c r="L3" s="268"/>
      <c r="M3" s="268"/>
      <c r="Z3" s="7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12.75">
      <c r="A4" s="269" t="s">
        <v>2</v>
      </c>
      <c r="B4" s="269"/>
      <c r="C4" s="270"/>
      <c r="D4" s="271" t="s">
        <v>327</v>
      </c>
      <c r="E4" s="272"/>
      <c r="F4" s="273"/>
      <c r="G4" s="274" t="s">
        <v>24</v>
      </c>
      <c r="H4" s="269"/>
      <c r="I4" s="270"/>
      <c r="J4" s="271" t="s">
        <v>328</v>
      </c>
      <c r="K4" s="272"/>
      <c r="L4" s="272"/>
      <c r="M4" s="272"/>
      <c r="Z4" s="7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12.75">
      <c r="A5" s="275" t="s">
        <v>3</v>
      </c>
      <c r="B5" s="276"/>
      <c r="C5" s="277"/>
      <c r="D5" s="278" t="s">
        <v>147</v>
      </c>
      <c r="E5" s="279"/>
      <c r="F5" s="280"/>
      <c r="G5" s="599" t="s">
        <v>203</v>
      </c>
      <c r="H5" s="276"/>
      <c r="I5" s="277"/>
      <c r="J5" s="282" t="s">
        <v>472</v>
      </c>
      <c r="K5" s="279"/>
      <c r="L5" s="279"/>
      <c r="M5" s="279"/>
      <c r="Z5" s="7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6" ht="12.75" customHeight="1">
      <c r="A6" s="275" t="s">
        <v>4</v>
      </c>
      <c r="B6" s="276"/>
      <c r="C6" s="277"/>
      <c r="D6" s="283">
        <v>40268</v>
      </c>
      <c r="E6" s="279"/>
      <c r="F6" s="280"/>
      <c r="G6" s="281" t="s">
        <v>26</v>
      </c>
      <c r="H6" s="276"/>
      <c r="I6" s="277"/>
      <c r="J6" s="282" t="s">
        <v>329</v>
      </c>
      <c r="K6" s="279"/>
      <c r="L6" s="279"/>
      <c r="M6" s="279"/>
      <c r="Z6" s="72"/>
      <c r="AA6" s="74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12.75">
      <c r="A7" s="275"/>
      <c r="B7" s="275"/>
      <c r="C7" s="277"/>
      <c r="D7" s="281"/>
      <c r="E7" s="276"/>
      <c r="F7" s="277"/>
      <c r="G7" s="281" t="s">
        <v>27</v>
      </c>
      <c r="H7" s="276"/>
      <c r="I7" s="277"/>
      <c r="J7" s="284">
        <v>2010</v>
      </c>
      <c r="K7" s="285"/>
      <c r="L7" s="285"/>
      <c r="M7" s="285"/>
      <c r="Z7" s="72"/>
      <c r="AA7" s="74"/>
      <c r="AB7" s="70"/>
      <c r="AC7" s="70"/>
      <c r="AD7" s="70"/>
      <c r="AE7" s="70"/>
      <c r="AF7" s="70"/>
      <c r="AG7" s="70"/>
      <c r="AH7" s="70"/>
      <c r="AI7" s="70"/>
      <c r="AJ7" s="70"/>
    </row>
    <row r="8" spans="1:36" ht="12.75">
      <c r="A8" s="286" t="s">
        <v>5</v>
      </c>
      <c r="B8" s="287"/>
      <c r="C8" s="287"/>
      <c r="D8" s="287"/>
      <c r="E8" s="287"/>
      <c r="F8" s="288"/>
      <c r="G8" s="289" t="s">
        <v>28</v>
      </c>
      <c r="H8" s="288"/>
      <c r="I8" s="289" t="s">
        <v>30</v>
      </c>
      <c r="J8" s="287"/>
      <c r="K8" s="287"/>
      <c r="L8" s="287"/>
      <c r="M8" s="287"/>
      <c r="Z8" s="72"/>
      <c r="AA8" s="74"/>
      <c r="AB8" s="70"/>
      <c r="AC8" s="70"/>
      <c r="AD8" s="70"/>
      <c r="AE8" s="70"/>
      <c r="AF8" s="70"/>
      <c r="AG8" s="70"/>
      <c r="AH8" s="70"/>
      <c r="AI8" s="70"/>
      <c r="AJ8" s="70"/>
    </row>
    <row r="9" spans="1:36" ht="13.5" thickBot="1">
      <c r="A9" s="589" t="s">
        <v>204</v>
      </c>
      <c r="B9" s="290"/>
      <c r="C9" s="290"/>
      <c r="D9" s="290"/>
      <c r="E9" s="290"/>
      <c r="F9" s="291"/>
      <c r="G9" s="292" t="s">
        <v>29</v>
      </c>
      <c r="H9" s="270"/>
      <c r="I9" s="597" t="s">
        <v>214</v>
      </c>
      <c r="J9" s="598"/>
      <c r="K9" s="598"/>
      <c r="L9" s="598"/>
      <c r="M9" s="598"/>
      <c r="O9" s="236" t="str">
        <f>IF($I$9="3ST","Unsignalized three-leg (stop control on minor-road approaches)",IF($I$9="4ST","Unsignalized four-leg (stop control on minor-road approaches)","Signalized four-leg"))</f>
        <v>Unsignalized four-leg (stop control on minor-road approaches)</v>
      </c>
      <c r="Z9" s="72"/>
      <c r="AA9" s="74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16.5" thickBot="1">
      <c r="A10" s="589" t="s">
        <v>205</v>
      </c>
      <c r="B10" s="290"/>
      <c r="C10" s="297"/>
      <c r="D10" s="228" t="s">
        <v>487</v>
      </c>
      <c r="E10" s="229">
        <f>IF($I$9="3ST",19500,IF($I$9="4ST",14700,25200))</f>
        <v>14700</v>
      </c>
      <c r="F10" s="230" t="s">
        <v>488</v>
      </c>
      <c r="G10" s="294" t="s">
        <v>29</v>
      </c>
      <c r="H10" s="291"/>
      <c r="I10" s="295">
        <v>10000</v>
      </c>
      <c r="J10" s="296"/>
      <c r="K10" s="296"/>
      <c r="L10" s="296"/>
      <c r="M10" s="296"/>
      <c r="N10" s="231" t="str">
        <f>IF(I10&gt;E10,"AADT out of range","AADT OK")</f>
        <v>AADT OK</v>
      </c>
      <c r="Z10" s="72"/>
      <c r="AA10" s="113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ht="16.5" thickBot="1">
      <c r="A11" s="589" t="s">
        <v>206</v>
      </c>
      <c r="B11" s="290"/>
      <c r="C11" s="297"/>
      <c r="D11" s="228" t="s">
        <v>487</v>
      </c>
      <c r="E11" s="229">
        <f>IF($I$9="3ST",4300,IF($I$9="4ST",3500,12500))</f>
        <v>3500</v>
      </c>
      <c r="F11" s="230" t="s">
        <v>488</v>
      </c>
      <c r="G11" s="294" t="s">
        <v>29</v>
      </c>
      <c r="H11" s="291"/>
      <c r="I11" s="295">
        <v>2000</v>
      </c>
      <c r="J11" s="296"/>
      <c r="K11" s="296"/>
      <c r="L11" s="296"/>
      <c r="M11" s="296"/>
      <c r="N11" s="231" t="str">
        <f>IF(I11&gt;E11,"AADT out of range","AADT OK")</f>
        <v>AADT OK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ht="12.75">
      <c r="A12" s="96" t="s">
        <v>207</v>
      </c>
      <c r="B12" s="61"/>
      <c r="C12" s="96" t="s">
        <v>236</v>
      </c>
      <c r="D12" s="61"/>
      <c r="E12" s="61"/>
      <c r="F12" s="184" t="s">
        <v>200</v>
      </c>
      <c r="G12" s="298">
        <v>0</v>
      </c>
      <c r="H12" s="291"/>
      <c r="I12" s="218" t="s">
        <v>238</v>
      </c>
      <c r="J12" s="185">
        <v>0</v>
      </c>
      <c r="K12" s="595" t="s">
        <v>239</v>
      </c>
      <c r="L12" s="596"/>
      <c r="M12" s="185">
        <v>0</v>
      </c>
      <c r="O12" s="237"/>
      <c r="P12" s="237" t="s">
        <v>506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ht="12.75">
      <c r="A13" s="589" t="s">
        <v>208</v>
      </c>
      <c r="B13" s="290"/>
      <c r="C13" s="290"/>
      <c r="D13" s="290"/>
      <c r="E13" s="290"/>
      <c r="F13" s="291"/>
      <c r="G13" s="303">
        <v>0</v>
      </c>
      <c r="H13" s="291"/>
      <c r="I13" s="299">
        <v>2</v>
      </c>
      <c r="J13" s="300"/>
      <c r="K13" s="300"/>
      <c r="L13" s="300"/>
      <c r="M13" s="300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ht="12.75">
      <c r="A14" s="589" t="s">
        <v>209</v>
      </c>
      <c r="B14" s="290"/>
      <c r="C14" s="290"/>
      <c r="D14" s="290"/>
      <c r="E14" s="290"/>
      <c r="F14" s="291"/>
      <c r="G14" s="298">
        <v>0</v>
      </c>
      <c r="H14" s="291"/>
      <c r="I14" s="590">
        <v>1</v>
      </c>
      <c r="J14" s="300"/>
      <c r="K14" s="300"/>
      <c r="L14" s="300"/>
      <c r="M14" s="300"/>
      <c r="Z14" s="72"/>
      <c r="AA14" s="74"/>
      <c r="AB14" s="72"/>
      <c r="AC14" s="72"/>
      <c r="AD14" s="72"/>
      <c r="AE14" s="70"/>
      <c r="AF14" s="72"/>
      <c r="AG14" s="72"/>
      <c r="AH14" s="72"/>
      <c r="AI14" s="72"/>
      <c r="AJ14" s="72"/>
    </row>
    <row r="15" spans="1:36" ht="13.5" customHeight="1">
      <c r="A15" s="589" t="s">
        <v>210</v>
      </c>
      <c r="B15" s="290"/>
      <c r="C15" s="290"/>
      <c r="D15" s="290"/>
      <c r="E15" s="290"/>
      <c r="F15" s="291"/>
      <c r="G15" s="594" t="s">
        <v>165</v>
      </c>
      <c r="H15" s="291"/>
      <c r="I15" s="299" t="s">
        <v>165</v>
      </c>
      <c r="J15" s="300"/>
      <c r="K15" s="300"/>
      <c r="L15" s="300"/>
      <c r="M15" s="300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6.5" thickBot="1">
      <c r="A16" s="591" t="s">
        <v>211</v>
      </c>
      <c r="B16" s="309"/>
      <c r="C16" s="309"/>
      <c r="D16" s="309"/>
      <c r="E16" s="309"/>
      <c r="F16" s="310"/>
      <c r="G16" s="592">
        <v>1</v>
      </c>
      <c r="H16" s="593"/>
      <c r="I16" s="312">
        <f>VLOOKUP(I9,'Construction - Do Not Delete'!D54:E56,2,FALSE)</f>
        <v>0.31</v>
      </c>
      <c r="J16" s="313"/>
      <c r="K16" s="313"/>
      <c r="L16" s="313"/>
      <c r="M16" s="313"/>
      <c r="N16" s="64" t="s">
        <v>510</v>
      </c>
      <c r="Z16" s="72"/>
      <c r="AA16" s="74"/>
      <c r="AB16" s="72"/>
      <c r="AC16" s="72"/>
      <c r="AD16" s="72"/>
      <c r="AE16" s="70"/>
      <c r="AF16" s="72"/>
      <c r="AG16" s="72"/>
      <c r="AH16" s="72"/>
      <c r="AI16" s="72"/>
      <c r="AJ16" s="72"/>
    </row>
    <row r="17" spans="1:36" ht="13.5" thickTop="1">
      <c r="A17" s="62"/>
      <c r="B17" s="62"/>
      <c r="C17" s="62"/>
      <c r="D17" s="62"/>
      <c r="E17" s="62"/>
      <c r="F17" s="62"/>
      <c r="G17" s="75"/>
      <c r="H17" s="76"/>
      <c r="I17" s="77"/>
      <c r="J17" s="78"/>
      <c r="K17" s="78"/>
      <c r="L17" s="78"/>
      <c r="M17" s="78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13" ht="13.5" thickBot="1">
      <c r="A18" s="72"/>
      <c r="B18" s="72"/>
      <c r="C18" s="72"/>
      <c r="D18" s="72"/>
      <c r="E18" s="72"/>
      <c r="F18" s="72"/>
      <c r="G18" s="17"/>
      <c r="H18" s="72"/>
      <c r="I18" s="17"/>
      <c r="J18" s="72"/>
      <c r="K18" s="72"/>
      <c r="L18" s="72"/>
      <c r="M18" s="72"/>
    </row>
    <row r="19" spans="1:13" ht="14.25" customHeight="1" thickBot="1" thickTop="1">
      <c r="A19" s="261" t="s">
        <v>219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2.75">
      <c r="A20" s="511" t="s">
        <v>32</v>
      </c>
      <c r="B20" s="512"/>
      <c r="C20" s="512"/>
      <c r="D20" s="584" t="s">
        <v>33</v>
      </c>
      <c r="E20" s="512"/>
      <c r="F20" s="584" t="s">
        <v>34</v>
      </c>
      <c r="G20" s="512"/>
      <c r="H20" s="512"/>
      <c r="I20" s="584" t="s">
        <v>35</v>
      </c>
      <c r="J20" s="512"/>
      <c r="K20" s="512"/>
      <c r="L20" s="584" t="s">
        <v>36</v>
      </c>
      <c r="M20" s="585"/>
    </row>
    <row r="21" spans="1:13" ht="12.75">
      <c r="A21" s="577" t="s">
        <v>220</v>
      </c>
      <c r="B21" s="572"/>
      <c r="C21" s="572"/>
      <c r="D21" s="569" t="s">
        <v>222</v>
      </c>
      <c r="E21" s="572"/>
      <c r="F21" s="569" t="s">
        <v>223</v>
      </c>
      <c r="G21" s="572"/>
      <c r="H21" s="572"/>
      <c r="I21" s="569" t="s">
        <v>54</v>
      </c>
      <c r="J21" s="572"/>
      <c r="K21" s="572"/>
      <c r="L21" s="569" t="s">
        <v>224</v>
      </c>
      <c r="M21" s="570"/>
    </row>
    <row r="22" spans="1:13" ht="15.75">
      <c r="A22" s="577" t="s">
        <v>436</v>
      </c>
      <c r="B22" s="572"/>
      <c r="C22" s="572"/>
      <c r="D22" s="569" t="s">
        <v>437</v>
      </c>
      <c r="E22" s="572"/>
      <c r="F22" s="569" t="s">
        <v>438</v>
      </c>
      <c r="G22" s="572"/>
      <c r="H22" s="572"/>
      <c r="I22" s="569" t="s">
        <v>439</v>
      </c>
      <c r="J22" s="572"/>
      <c r="K22" s="572"/>
      <c r="L22" s="569" t="s">
        <v>440</v>
      </c>
      <c r="M22" s="570"/>
    </row>
    <row r="23" spans="1:13" ht="13.5" thickBot="1">
      <c r="A23" s="577" t="s">
        <v>221</v>
      </c>
      <c r="B23" s="572"/>
      <c r="C23" s="572"/>
      <c r="D23" s="569" t="s">
        <v>474</v>
      </c>
      <c r="E23" s="572"/>
      <c r="F23" s="569" t="s">
        <v>475</v>
      </c>
      <c r="G23" s="572"/>
      <c r="H23" s="572"/>
      <c r="I23" s="569" t="s">
        <v>476</v>
      </c>
      <c r="J23" s="572"/>
      <c r="K23" s="572"/>
      <c r="L23" s="571" t="s">
        <v>225</v>
      </c>
      <c r="M23" s="570"/>
    </row>
    <row r="24" spans="1:13" ht="13.5" thickBot="1">
      <c r="A24" s="513">
        <f>IF(+$I$9="3ST",(EXP(0.004*$J$12)),(IF(+$I$9="4ST",(IF($F$12="No",(EXP(0.0054*$J$12)),(((EXP(0.0054*$J$12))+(EXP(0.0054*$M$12)))/2))),1)))</f>
        <v>1</v>
      </c>
      <c r="B24" s="513"/>
      <c r="C24" s="514"/>
      <c r="D24" s="524">
        <f>IF($I$9="3ST",(IF($I$13=0,1,(HLOOKUP($I$13,'Intersection Tables'!$AC$9:$AF$15,3,FALSE)))),(IF($I$9="4ST",(IF($I$13=0,1,(HLOOKUP($I$13,'Intersection Tables'!$AC$9:$AF$15,5,FALSE)))),(IF($I$13=0,1,(HLOOKUP($I$13,'Intersection Tables'!$AC$9:$AF$15,7,FALSE)))))))</f>
        <v>0.52</v>
      </c>
      <c r="E24" s="514"/>
      <c r="F24" s="525">
        <f>IF($I$9="3ST",(IF($I$14=0,1,(HLOOKUP($I$14,'Intersection Tables'!$AC$25:$AF$31,3,FALSE)))),(IF($I$9="4ST",(IF($I$14=0,1,(HLOOKUP($I$14,'Intersection Tables'!$AC$25:$AF$31,5,FALSE)))),(IF($I$14=0,1,(HLOOKUP($I$14,'Intersection Tables'!$AC$25:$AF$31,7,FALSE)))))))</f>
        <v>0.86</v>
      </c>
      <c r="G24" s="526"/>
      <c r="H24" s="527"/>
      <c r="I24" s="524">
        <f>IF(($I$15="Not Present"),1,(1-0.38*(IF('Intersection Tables'!$D$49="No",(VLOOKUP($I$9,'Intersection Tables'!$B$50:$F$52,4,FALSE)),(VLOOKUP($I$9,'Intersection Tables'!B50:H52,6,FALSE))))))</f>
        <v>1</v>
      </c>
      <c r="J24" s="566"/>
      <c r="K24" s="567"/>
      <c r="L24" s="524">
        <f>+A24*D24*F24*I24</f>
        <v>0.4472</v>
      </c>
      <c r="M24" s="513"/>
    </row>
    <row r="25" spans="1:13" ht="12.75">
      <c r="A25" s="526"/>
      <c r="B25" s="526"/>
      <c r="C25" s="526"/>
      <c r="D25" s="101"/>
      <c r="E25" s="101"/>
      <c r="F25" s="526"/>
      <c r="G25" s="526"/>
      <c r="H25" s="527"/>
      <c r="I25" s="526"/>
      <c r="J25" s="578"/>
      <c r="K25" s="578"/>
      <c r="L25" s="72"/>
      <c r="M25" s="72"/>
    </row>
    <row r="26" spans="1:13" ht="13.5" thickBot="1">
      <c r="A26" s="74"/>
      <c r="B26" s="72"/>
      <c r="C26" s="72"/>
      <c r="D26" s="72"/>
      <c r="E26" s="72"/>
      <c r="F26" s="72"/>
      <c r="G26" s="70"/>
      <c r="H26" s="80"/>
      <c r="I26" s="70"/>
      <c r="J26" s="72"/>
      <c r="K26" s="72"/>
      <c r="L26" s="72"/>
      <c r="M26" s="72"/>
    </row>
    <row r="27" spans="1:13" ht="14.25" thickBot="1" thickTop="1">
      <c r="A27" s="261" t="s">
        <v>226</v>
      </c>
      <c r="B27" s="262"/>
      <c r="C27" s="262"/>
      <c r="D27" s="262"/>
      <c r="E27" s="262"/>
      <c r="F27" s="262"/>
      <c r="G27" s="262"/>
      <c r="H27" s="262"/>
      <c r="I27" s="263"/>
      <c r="J27" s="263"/>
      <c r="K27" s="263"/>
      <c r="L27" s="263"/>
      <c r="M27" s="263"/>
    </row>
    <row r="28" spans="1:13" ht="12.75">
      <c r="A28" s="568" t="s">
        <v>32</v>
      </c>
      <c r="B28" s="425"/>
      <c r="C28" s="523" t="s">
        <v>33</v>
      </c>
      <c r="D28" s="425"/>
      <c r="E28" s="89" t="s">
        <v>34</v>
      </c>
      <c r="F28" s="90" t="s">
        <v>35</v>
      </c>
      <c r="G28" s="523" t="s">
        <v>36</v>
      </c>
      <c r="H28" s="425"/>
      <c r="I28" s="89" t="s">
        <v>37</v>
      </c>
      <c r="J28" s="523" t="s">
        <v>38</v>
      </c>
      <c r="K28" s="425"/>
      <c r="L28" s="523" t="s">
        <v>39</v>
      </c>
      <c r="M28" s="390"/>
    </row>
    <row r="29" spans="1:13" ht="16.5" customHeight="1">
      <c r="A29" s="515" t="s">
        <v>79</v>
      </c>
      <c r="B29" s="315"/>
      <c r="C29" s="575" t="s">
        <v>227</v>
      </c>
      <c r="D29" s="576"/>
      <c r="E29" s="530" t="s">
        <v>81</v>
      </c>
      <c r="F29" s="530" t="s">
        <v>82</v>
      </c>
      <c r="G29" s="530" t="s">
        <v>228</v>
      </c>
      <c r="H29" s="537"/>
      <c r="I29" s="530" t="s">
        <v>84</v>
      </c>
      <c r="J29" s="518" t="s">
        <v>211</v>
      </c>
      <c r="K29" s="315"/>
      <c r="L29" s="530" t="s">
        <v>252</v>
      </c>
      <c r="M29" s="573"/>
    </row>
    <row r="30" spans="1:13" ht="12.75">
      <c r="A30" s="516"/>
      <c r="B30" s="315"/>
      <c r="C30" s="522"/>
      <c r="D30" s="522"/>
      <c r="E30" s="531"/>
      <c r="F30" s="520"/>
      <c r="G30" s="520"/>
      <c r="H30" s="520"/>
      <c r="I30" s="520"/>
      <c r="J30" s="322"/>
      <c r="K30" s="315"/>
      <c r="L30" s="520"/>
      <c r="M30" s="574"/>
    </row>
    <row r="31" spans="1:13" ht="12.75">
      <c r="A31" s="325"/>
      <c r="B31" s="315"/>
      <c r="C31" s="519" t="s">
        <v>229</v>
      </c>
      <c r="D31" s="520"/>
      <c r="E31" s="519" t="s">
        <v>230</v>
      </c>
      <c r="F31" s="519" t="s">
        <v>463</v>
      </c>
      <c r="G31" s="521" t="s">
        <v>231</v>
      </c>
      <c r="H31" s="522"/>
      <c r="I31" s="519" t="s">
        <v>441</v>
      </c>
      <c r="J31" s="322"/>
      <c r="K31" s="315"/>
      <c r="L31" s="521" t="s">
        <v>232</v>
      </c>
      <c r="M31" s="345"/>
    </row>
    <row r="32" spans="1:24" ht="12.75">
      <c r="A32" s="517"/>
      <c r="B32" s="316"/>
      <c r="C32" s="520"/>
      <c r="D32" s="520"/>
      <c r="E32" s="520"/>
      <c r="F32" s="520"/>
      <c r="G32" s="522"/>
      <c r="H32" s="522"/>
      <c r="I32" s="520"/>
      <c r="J32" s="323"/>
      <c r="K32" s="316"/>
      <c r="L32" s="522"/>
      <c r="M32" s="345"/>
      <c r="Q32" s="100"/>
      <c r="R32" s="100"/>
      <c r="S32" s="100"/>
      <c r="T32" s="100"/>
      <c r="U32" s="100"/>
      <c r="V32" s="100"/>
      <c r="W32" s="100"/>
      <c r="X32" s="100"/>
    </row>
    <row r="33" spans="1:24" ht="12.75">
      <c r="A33" s="528" t="s">
        <v>89</v>
      </c>
      <c r="B33" s="529"/>
      <c r="C33" s="545">
        <f>IF($I$9="3ST",(EXP(-9.86+0.79*(LN($I$10))+(0.49*(LN($I$11))))),IF($I$9="4ST",(EXP(-8.56+0.6*(LN($I$10))+(0.61*(LN($I$11))))),(EXP(-5.13+(0.6*(LN($I$10)))+(0.2*(LN($I$11)))))))</f>
        <v>4.966695469558125</v>
      </c>
      <c r="D33" s="545"/>
      <c r="E33" s="86">
        <f>IF($I$9="3ST",0.54,(IF($I$9="4ST",0.24,0.11)))</f>
        <v>0.24</v>
      </c>
      <c r="F33" s="105">
        <f>IF($I$9="3ST",IF('Intersection Tables'!$D$10="No",'Intersection Tables'!$E$18,'Intersection Tables'!$K$18),(IF($I$9="4ST",(IF('Intersection Tables'!$D$10="No",'Intersection Tables'!$G$18,'Intersection Tables'!$M$18)),(IF('Intersection Tables'!$D$10="No",'Intersection Tables'!$I$18,'Intersection Tables'!$O$18)))))/100</f>
        <v>1</v>
      </c>
      <c r="G33" s="546">
        <f>+C33*F33</f>
        <v>4.966695469558125</v>
      </c>
      <c r="H33" s="547"/>
      <c r="I33" s="107">
        <f>+$L$24</f>
        <v>0.4472</v>
      </c>
      <c r="J33" s="548">
        <f>+$I$16</f>
        <v>0.31</v>
      </c>
      <c r="K33" s="549"/>
      <c r="L33" s="546">
        <f>+G33*I33*J33</f>
        <v>0.6885429263357821</v>
      </c>
      <c r="M33" s="565"/>
      <c r="Q33" s="100"/>
      <c r="R33" s="100"/>
      <c r="S33" s="100"/>
      <c r="T33" s="100"/>
      <c r="U33" s="100"/>
      <c r="V33" s="100"/>
      <c r="W33" s="100"/>
      <c r="X33" s="100"/>
    </row>
    <row r="34" spans="1:24" ht="12.75">
      <c r="A34" s="528" t="s">
        <v>90</v>
      </c>
      <c r="B34" s="529"/>
      <c r="C34" s="542" t="s">
        <v>29</v>
      </c>
      <c r="D34" s="448"/>
      <c r="E34" s="87" t="s">
        <v>29</v>
      </c>
      <c r="F34" s="105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0.518</v>
      </c>
      <c r="G34" s="546">
        <f>+C33*F34</f>
        <v>2.5727482532311092</v>
      </c>
      <c r="H34" s="547"/>
      <c r="I34" s="107">
        <f>+$L$24</f>
        <v>0.4472</v>
      </c>
      <c r="J34" s="548">
        <f>+$I$16</f>
        <v>0.31</v>
      </c>
      <c r="K34" s="549"/>
      <c r="L34" s="546">
        <f>+G34*I34*J34</f>
        <v>0.35666523584193516</v>
      </c>
      <c r="M34" s="565"/>
      <c r="Q34" s="100"/>
      <c r="R34" s="100"/>
      <c r="S34" s="100"/>
      <c r="T34" s="100"/>
      <c r="U34" s="100"/>
      <c r="V34" s="100"/>
      <c r="W34" s="100"/>
      <c r="X34" s="100"/>
    </row>
    <row r="35" spans="1:13" ht="13.5" thickBot="1">
      <c r="A35" s="555" t="s">
        <v>91</v>
      </c>
      <c r="B35" s="556"/>
      <c r="C35" s="543" t="s">
        <v>29</v>
      </c>
      <c r="D35" s="544"/>
      <c r="E35" s="88" t="s">
        <v>29</v>
      </c>
      <c r="F35" s="106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0.48200000000000004</v>
      </c>
      <c r="G35" s="538">
        <f>+C33*F35</f>
        <v>2.3939472163270166</v>
      </c>
      <c r="H35" s="539"/>
      <c r="I35" s="108">
        <f>+$L$24</f>
        <v>0.4472</v>
      </c>
      <c r="J35" s="540">
        <f>+$I$16</f>
        <v>0.31</v>
      </c>
      <c r="K35" s="541"/>
      <c r="L35" s="538">
        <f>+G35*I35*J35</f>
        <v>0.3318776904938469</v>
      </c>
      <c r="M35" s="564"/>
    </row>
    <row r="36" spans="1:32" ht="12.75">
      <c r="A36" s="82"/>
      <c r="B36" s="82"/>
      <c r="C36" s="219"/>
      <c r="D36" s="219"/>
      <c r="E36" s="82"/>
      <c r="F36" s="82"/>
      <c r="G36" s="82"/>
      <c r="H36" s="82"/>
      <c r="I36" s="82"/>
      <c r="J36" s="82"/>
      <c r="K36" s="82"/>
      <c r="L36" s="82"/>
      <c r="M36" s="82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 ht="13.5" thickBo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  <c r="X37" s="17"/>
      <c r="AC37" s="17"/>
      <c r="AD37" s="17"/>
      <c r="AE37" s="17"/>
      <c r="AF37" s="17"/>
    </row>
    <row r="38" spans="1:32" ht="14.25" thickBot="1" thickTop="1">
      <c r="A38" s="261" t="s">
        <v>233</v>
      </c>
      <c r="B38" s="262"/>
      <c r="C38" s="262"/>
      <c r="D38" s="262"/>
      <c r="E38" s="262"/>
      <c r="F38" s="262"/>
      <c r="G38" s="262"/>
      <c r="H38" s="360"/>
      <c r="I38" s="360"/>
      <c r="J38" s="360"/>
      <c r="K38" s="360"/>
      <c r="L38" s="360"/>
      <c r="M38" s="360"/>
      <c r="X38" s="102"/>
      <c r="AC38" s="102"/>
      <c r="AD38" s="102"/>
      <c r="AE38" s="102"/>
      <c r="AF38" s="72"/>
    </row>
    <row r="39" spans="1:32" ht="12.75">
      <c r="A39" s="361" t="s">
        <v>32</v>
      </c>
      <c r="B39" s="362"/>
      <c r="C39" s="18" t="s">
        <v>33</v>
      </c>
      <c r="D39" s="363" t="s">
        <v>34</v>
      </c>
      <c r="E39" s="364"/>
      <c r="F39" s="363" t="s">
        <v>35</v>
      </c>
      <c r="G39" s="364"/>
      <c r="H39" s="348" t="s">
        <v>36</v>
      </c>
      <c r="I39" s="365"/>
      <c r="J39" s="363" t="s">
        <v>37</v>
      </c>
      <c r="K39" s="364"/>
      <c r="L39" s="348" t="s">
        <v>38</v>
      </c>
      <c r="M39" s="349"/>
      <c r="AC39" s="102"/>
      <c r="AD39" s="102"/>
      <c r="AE39" s="102"/>
      <c r="AF39" s="72"/>
    </row>
    <row r="40" spans="1:32" ht="12.75">
      <c r="A40" s="586" t="s">
        <v>93</v>
      </c>
      <c r="B40" s="532"/>
      <c r="C40" s="532" t="s">
        <v>97</v>
      </c>
      <c r="D40" s="532" t="s">
        <v>256</v>
      </c>
      <c r="E40" s="535"/>
      <c r="F40" s="532" t="s">
        <v>95</v>
      </c>
      <c r="G40" s="532"/>
      <c r="H40" s="532" t="s">
        <v>257</v>
      </c>
      <c r="I40" s="532"/>
      <c r="J40" s="532" t="s">
        <v>98</v>
      </c>
      <c r="K40" s="532"/>
      <c r="L40" s="532" t="s">
        <v>258</v>
      </c>
      <c r="M40" s="344"/>
      <c r="AC40" s="102"/>
      <c r="AD40" s="102"/>
      <c r="AE40" s="104"/>
      <c r="AF40" s="72"/>
    </row>
    <row r="41" spans="1:32" ht="12.75">
      <c r="A41" s="587"/>
      <c r="B41" s="588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6"/>
      <c r="AC41" s="17"/>
      <c r="AD41" s="79"/>
      <c r="AE41" s="73"/>
      <c r="AF41" s="72"/>
    </row>
    <row r="42" spans="1:13" ht="12.75">
      <c r="A42" s="456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457"/>
    </row>
    <row r="43" spans="1:14" ht="12.75">
      <c r="A43" s="456"/>
      <c r="B43" s="533"/>
      <c r="C43" s="581" t="s">
        <v>464</v>
      </c>
      <c r="D43" s="579" t="s">
        <v>253</v>
      </c>
      <c r="E43" s="582"/>
      <c r="F43" s="581" t="s">
        <v>465</v>
      </c>
      <c r="G43" s="583"/>
      <c r="H43" s="579" t="s">
        <v>254</v>
      </c>
      <c r="I43" s="582"/>
      <c r="J43" s="581" t="s">
        <v>465</v>
      </c>
      <c r="K43" s="583"/>
      <c r="L43" s="579" t="s">
        <v>255</v>
      </c>
      <c r="M43" s="580"/>
      <c r="N43" s="40"/>
    </row>
    <row r="44" spans="1:14" ht="12.75">
      <c r="A44" s="459"/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457"/>
      <c r="N44" s="40"/>
    </row>
    <row r="45" spans="1:14" ht="12.75">
      <c r="A45" s="377" t="s">
        <v>89</v>
      </c>
      <c r="B45" s="378"/>
      <c r="C45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0.9989999999999999</v>
      </c>
      <c r="D45" s="366">
        <f>+L33</f>
        <v>0.6885429263357821</v>
      </c>
      <c r="E45" s="244"/>
      <c r="F45" s="366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1.0020000000000002</v>
      </c>
      <c r="G45" s="244"/>
      <c r="H45" s="366">
        <f>+L34</f>
        <v>0.35666523584193516</v>
      </c>
      <c r="I45" s="244"/>
      <c r="J45" s="366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1</v>
      </c>
      <c r="K45" s="244"/>
      <c r="L45" s="366">
        <f>+L35</f>
        <v>0.3318776904938469</v>
      </c>
      <c r="M45" s="258"/>
      <c r="N45" s="40"/>
    </row>
    <row r="46" spans="1:14" ht="13.5" thickBot="1">
      <c r="A46" s="371"/>
      <c r="B46" s="372"/>
      <c r="C46" s="4"/>
      <c r="D46" s="373" t="s">
        <v>103</v>
      </c>
      <c r="E46" s="374"/>
      <c r="F46" s="375"/>
      <c r="G46" s="376"/>
      <c r="H46" s="379" t="s">
        <v>104</v>
      </c>
      <c r="I46" s="380"/>
      <c r="J46" s="381"/>
      <c r="K46" s="246"/>
      <c r="L46" s="379" t="s">
        <v>105</v>
      </c>
      <c r="M46" s="382"/>
      <c r="N46" s="40"/>
    </row>
    <row r="47" spans="1:14" ht="13.5" thickBot="1">
      <c r="A47" s="383" t="s">
        <v>106</v>
      </c>
      <c r="B47" s="384"/>
      <c r="C47" s="384"/>
      <c r="D47" s="384"/>
      <c r="E47" s="384"/>
      <c r="F47" s="384"/>
      <c r="G47" s="384"/>
      <c r="H47" s="385"/>
      <c r="I47" s="385"/>
      <c r="J47" s="385"/>
      <c r="K47" s="385"/>
      <c r="L47" s="385"/>
      <c r="M47" s="385"/>
      <c r="N47" s="40"/>
    </row>
    <row r="48" spans="1:14" ht="12.75">
      <c r="A48" s="386" t="s">
        <v>107</v>
      </c>
      <c r="B48" s="387"/>
      <c r="C48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0.001</v>
      </c>
      <c r="D48" s="388">
        <f>+C48*$D$45</f>
        <v>0.0006885429263357821</v>
      </c>
      <c r="E48" s="389"/>
      <c r="F48" s="388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</v>
      </c>
      <c r="G48" s="391"/>
      <c r="H48" s="388">
        <f>+$H$45*F48</f>
        <v>0</v>
      </c>
      <c r="I48" s="389"/>
      <c r="J48" s="388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0.003</v>
      </c>
      <c r="K48" s="391"/>
      <c r="L48" s="388">
        <f>+$L$45*J48</f>
        <v>0.0009956330714815408</v>
      </c>
      <c r="M48" s="392"/>
      <c r="N48" s="40"/>
    </row>
    <row r="49" spans="1:13" ht="12.75">
      <c r="A49" s="377" t="s">
        <v>108</v>
      </c>
      <c r="B49" s="378"/>
      <c r="C49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0.011000000000000001</v>
      </c>
      <c r="D49" s="366">
        <f aca="true" t="shared" si="0" ref="D49:D54">+C49*$D$45</f>
        <v>0.007573972189693604</v>
      </c>
      <c r="E49" s="367"/>
      <c r="F49" s="366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0.02</v>
      </c>
      <c r="G49" s="244"/>
      <c r="H49" s="366">
        <f aca="true" t="shared" si="1" ref="H49:H54">+$H$45*F49</f>
        <v>0.007133304716838703</v>
      </c>
      <c r="I49" s="367"/>
      <c r="J49" s="366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0</v>
      </c>
      <c r="K49" s="244"/>
      <c r="L49" s="366">
        <f aca="true" t="shared" si="2" ref="L49:L54">+$L$45*J49</f>
        <v>0</v>
      </c>
      <c r="M49" s="393"/>
    </row>
    <row r="50" spans="1:13" ht="12.75">
      <c r="A50" s="377" t="s">
        <v>109</v>
      </c>
      <c r="B50" s="378"/>
      <c r="C50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0.009000000000000001</v>
      </c>
      <c r="D50" s="366">
        <f t="shared" si="0"/>
        <v>0.006196886337022039</v>
      </c>
      <c r="E50" s="367"/>
      <c r="F50" s="366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0.018000000000000002</v>
      </c>
      <c r="G50" s="244"/>
      <c r="H50" s="366">
        <f t="shared" si="1"/>
        <v>0.006419974245154833</v>
      </c>
      <c r="I50" s="367"/>
      <c r="J50" s="366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</v>
      </c>
      <c r="K50" s="244"/>
      <c r="L50" s="366">
        <f t="shared" si="2"/>
        <v>0</v>
      </c>
      <c r="M50" s="393"/>
    </row>
    <row r="51" spans="1:13" ht="12.75">
      <c r="A51" s="290" t="s">
        <v>110</v>
      </c>
      <c r="B51" s="291"/>
      <c r="C51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0.009000000000000001</v>
      </c>
      <c r="D51" s="366">
        <f t="shared" si="0"/>
        <v>0.006196886337022039</v>
      </c>
      <c r="E51" s="367"/>
      <c r="F51" s="366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0.013000000000000001</v>
      </c>
      <c r="G51" s="244"/>
      <c r="H51" s="366">
        <f t="shared" si="1"/>
        <v>0.0046366480659451575</v>
      </c>
      <c r="I51" s="367"/>
      <c r="J51" s="366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0.006</v>
      </c>
      <c r="K51" s="244"/>
      <c r="L51" s="366">
        <f t="shared" si="2"/>
        <v>0.0019912661429630817</v>
      </c>
      <c r="M51" s="393"/>
    </row>
    <row r="52" spans="1:13" ht="12.75">
      <c r="A52" s="290" t="s">
        <v>111</v>
      </c>
      <c r="B52" s="291"/>
      <c r="C52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0.044000000000000004</v>
      </c>
      <c r="D52" s="366">
        <f t="shared" si="0"/>
        <v>0.030295888758774415</v>
      </c>
      <c r="E52" s="367"/>
      <c r="F52" s="366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0.03</v>
      </c>
      <c r="G52" s="244"/>
      <c r="H52" s="366">
        <f t="shared" si="1"/>
        <v>0.010699957075258055</v>
      </c>
      <c r="I52" s="367"/>
      <c r="J52" s="366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0.059000000000000004</v>
      </c>
      <c r="K52" s="244"/>
      <c r="L52" s="366">
        <f t="shared" si="2"/>
        <v>0.019580783739136968</v>
      </c>
      <c r="M52" s="393"/>
    </row>
    <row r="53" spans="1:13" ht="12.75">
      <c r="A53" s="377" t="s">
        <v>112</v>
      </c>
      <c r="B53" s="378"/>
      <c r="C53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0.004</v>
      </c>
      <c r="D53" s="366">
        <f t="shared" si="0"/>
        <v>0.0027541717053431282</v>
      </c>
      <c r="E53" s="367"/>
      <c r="F53" s="366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0.008</v>
      </c>
      <c r="G53" s="244"/>
      <c r="H53" s="366">
        <f t="shared" si="1"/>
        <v>0.0028533218867354813</v>
      </c>
      <c r="I53" s="367"/>
      <c r="J53" s="366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0</v>
      </c>
      <c r="K53" s="244"/>
      <c r="L53" s="366">
        <f t="shared" si="2"/>
        <v>0</v>
      </c>
      <c r="M53" s="393"/>
    </row>
    <row r="54" spans="1:13" ht="13.5" thickBot="1">
      <c r="A54" s="394" t="s">
        <v>113</v>
      </c>
      <c r="B54" s="395"/>
      <c r="C54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0.07800000000000001</v>
      </c>
      <c r="D54" s="396">
        <f t="shared" si="0"/>
        <v>0.05370634825419101</v>
      </c>
      <c r="E54" s="397"/>
      <c r="F54" s="396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0.08900000000000001</v>
      </c>
      <c r="G54" s="246"/>
      <c r="H54" s="396">
        <f t="shared" si="1"/>
        <v>0.03174320598993223</v>
      </c>
      <c r="I54" s="397"/>
      <c r="J54" s="396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0.068</v>
      </c>
      <c r="K54" s="246"/>
      <c r="L54" s="396">
        <f t="shared" si="2"/>
        <v>0.02256768295358159</v>
      </c>
      <c r="M54" s="398"/>
    </row>
    <row r="55" spans="1:13" ht="13.5" thickBot="1">
      <c r="A55" s="383" t="s">
        <v>114</v>
      </c>
      <c r="B55" s="384"/>
      <c r="C55" s="384"/>
      <c r="D55" s="384"/>
      <c r="E55" s="384"/>
      <c r="F55" s="384"/>
      <c r="G55" s="384"/>
      <c r="H55" s="385"/>
      <c r="I55" s="385"/>
      <c r="J55" s="385"/>
      <c r="K55" s="385"/>
      <c r="L55" s="385"/>
      <c r="M55" s="385"/>
    </row>
    <row r="56" spans="1:13" ht="12.75">
      <c r="A56" s="399" t="s">
        <v>115</v>
      </c>
      <c r="B56" s="400"/>
      <c r="C56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0.359</v>
      </c>
      <c r="D56" s="388">
        <f aca="true" t="shared" si="3" ref="D56:D61">+C56*$D$45</f>
        <v>0.24718691055454575</v>
      </c>
      <c r="E56" s="389"/>
      <c r="F56" s="388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0.42200000000000004</v>
      </c>
      <c r="G56" s="391"/>
      <c r="H56" s="388">
        <f aca="true" t="shared" si="4" ref="H56:H61">+$H$45*F56</f>
        <v>0.15051272952529665</v>
      </c>
      <c r="I56" s="389"/>
      <c r="J56" s="388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0.28800000000000003</v>
      </c>
      <c r="K56" s="391"/>
      <c r="L56" s="388">
        <f aca="true" t="shared" si="5" ref="L56:L61">+$L$45*J56</f>
        <v>0.09558077486222792</v>
      </c>
      <c r="M56" s="392"/>
    </row>
    <row r="57" spans="1:13" ht="12.75">
      <c r="A57" s="377" t="s">
        <v>116</v>
      </c>
      <c r="B57" s="378"/>
      <c r="C57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0.005</v>
      </c>
      <c r="D57" s="366">
        <f t="shared" si="3"/>
        <v>0.0034427146316789105</v>
      </c>
      <c r="E57" s="367"/>
      <c r="F57" s="366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0.008</v>
      </c>
      <c r="G57" s="244"/>
      <c r="H57" s="366">
        <f t="shared" si="4"/>
        <v>0.0028533218867354813</v>
      </c>
      <c r="I57" s="367"/>
      <c r="J57" s="366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0.003</v>
      </c>
      <c r="K57" s="244"/>
      <c r="L57" s="366">
        <f t="shared" si="5"/>
        <v>0.0009956330714815408</v>
      </c>
      <c r="M57" s="393"/>
    </row>
    <row r="58" spans="1:13" ht="12.75">
      <c r="A58" s="377" t="s">
        <v>117</v>
      </c>
      <c r="B58" s="378"/>
      <c r="C58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0.18899999999999997</v>
      </c>
      <c r="D58" s="366">
        <f t="shared" si="3"/>
        <v>0.1301346130774628</v>
      </c>
      <c r="E58" s="367"/>
      <c r="F58" s="366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0.177</v>
      </c>
      <c r="G58" s="244"/>
      <c r="H58" s="366">
        <f t="shared" si="4"/>
        <v>0.06312974674402252</v>
      </c>
      <c r="I58" s="367"/>
      <c r="J58" s="366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0.203</v>
      </c>
      <c r="K58" s="244"/>
      <c r="L58" s="366">
        <f t="shared" si="5"/>
        <v>0.06737117117025093</v>
      </c>
      <c r="M58" s="393"/>
    </row>
    <row r="59" spans="1:13" ht="12.75">
      <c r="A59" s="377" t="s">
        <v>118</v>
      </c>
      <c r="B59" s="378"/>
      <c r="C59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0.003</v>
      </c>
      <c r="D59" s="366">
        <f t="shared" si="3"/>
        <v>0.0020656287790073464</v>
      </c>
      <c r="E59" s="367"/>
      <c r="F59" s="366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0.005</v>
      </c>
      <c r="G59" s="244"/>
      <c r="H59" s="366">
        <f t="shared" si="4"/>
        <v>0.0017833261792096758</v>
      </c>
      <c r="I59" s="367"/>
      <c r="J59" s="366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0</v>
      </c>
      <c r="K59" s="244"/>
      <c r="L59" s="366">
        <f t="shared" si="5"/>
        <v>0</v>
      </c>
      <c r="M59" s="393"/>
    </row>
    <row r="60" spans="1:13" ht="12.75">
      <c r="A60" s="377" t="s">
        <v>119</v>
      </c>
      <c r="B60" s="378"/>
      <c r="C60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0.365</v>
      </c>
      <c r="D60" s="366">
        <f t="shared" si="3"/>
        <v>0.25131816811256047</v>
      </c>
      <c r="E60" s="367"/>
      <c r="F60" s="366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0.301</v>
      </c>
      <c r="G60" s="244"/>
      <c r="H60" s="366">
        <f t="shared" si="4"/>
        <v>0.10735623598842248</v>
      </c>
      <c r="I60" s="367"/>
      <c r="J60" s="366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0.43799999999999994</v>
      </c>
      <c r="K60" s="244"/>
      <c r="L60" s="366">
        <f t="shared" si="5"/>
        <v>0.14536242843630492</v>
      </c>
      <c r="M60" s="393"/>
    </row>
    <row r="61" spans="1:13" ht="13.5" thickBot="1">
      <c r="A61" s="401" t="s">
        <v>152</v>
      </c>
      <c r="B61" s="395"/>
      <c r="C61" s="109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0.9209999999999999</v>
      </c>
      <c r="D61" s="396">
        <f t="shared" si="3"/>
        <v>0.6341480351552552</v>
      </c>
      <c r="E61" s="397"/>
      <c r="F61" s="396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0.9130000000000001</v>
      </c>
      <c r="G61" s="246"/>
      <c r="H61" s="396">
        <f t="shared" si="4"/>
        <v>0.32563536032368684</v>
      </c>
      <c r="I61" s="397"/>
      <c r="J61" s="396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0.932</v>
      </c>
      <c r="K61" s="246"/>
      <c r="L61" s="396">
        <f t="shared" si="5"/>
        <v>0.30931000754026533</v>
      </c>
      <c r="M61" s="398"/>
    </row>
    <row r="62" spans="1:13" ht="12.75">
      <c r="A62" s="94"/>
      <c r="B62" s="14"/>
      <c r="C62" s="34"/>
      <c r="D62" s="95"/>
      <c r="E62" s="95"/>
      <c r="F62" s="110"/>
      <c r="G62" s="56"/>
      <c r="H62" s="95"/>
      <c r="I62" s="95"/>
      <c r="J62" s="95"/>
      <c r="K62" s="95"/>
      <c r="L62" s="95"/>
      <c r="M62" s="95"/>
    </row>
    <row r="63" ht="13.5" thickBot="1"/>
    <row r="64" spans="1:13" ht="14.25" thickBot="1" thickTop="1">
      <c r="A64" s="261" t="s">
        <v>234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</row>
    <row r="65" spans="1:13" ht="12.75">
      <c r="A65" s="364" t="s">
        <v>32</v>
      </c>
      <c r="B65" s="552"/>
      <c r="C65" s="552"/>
      <c r="D65" s="553"/>
      <c r="E65" s="554" t="s">
        <v>33</v>
      </c>
      <c r="F65" s="425"/>
      <c r="G65" s="425"/>
      <c r="H65" s="425"/>
      <c r="I65" s="554" t="s">
        <v>34</v>
      </c>
      <c r="J65" s="425"/>
      <c r="K65" s="425"/>
      <c r="L65" s="425"/>
      <c r="M65" s="390"/>
    </row>
    <row r="66" spans="1:13" ht="12.75">
      <c r="A66" s="369" t="s">
        <v>121</v>
      </c>
      <c r="B66" s="561"/>
      <c r="C66" s="561"/>
      <c r="D66" s="561"/>
      <c r="E66" s="436" t="s">
        <v>466</v>
      </c>
      <c r="F66" s="436"/>
      <c r="G66" s="436"/>
      <c r="H66" s="436"/>
      <c r="I66" s="436" t="s">
        <v>259</v>
      </c>
      <c r="J66" s="436"/>
      <c r="K66" s="436"/>
      <c r="L66" s="436"/>
      <c r="M66" s="498"/>
    </row>
    <row r="67" spans="1:13" ht="12.75">
      <c r="A67" s="562"/>
      <c r="B67" s="563"/>
      <c r="C67" s="563"/>
      <c r="D67" s="563"/>
      <c r="E67" s="551" t="s">
        <v>235</v>
      </c>
      <c r="F67" s="448"/>
      <c r="G67" s="448"/>
      <c r="H67" s="448"/>
      <c r="I67" s="551" t="s">
        <v>260</v>
      </c>
      <c r="J67" s="542"/>
      <c r="K67" s="542"/>
      <c r="L67" s="448"/>
      <c r="M67" s="460"/>
    </row>
    <row r="68" spans="1:13" ht="12.75">
      <c r="A68" s="408" t="s">
        <v>89</v>
      </c>
      <c r="B68" s="559"/>
      <c r="C68" s="559"/>
      <c r="D68" s="448"/>
      <c r="E68" s="366">
        <f>+F33</f>
        <v>1</v>
      </c>
      <c r="F68" s="258"/>
      <c r="G68" s="258"/>
      <c r="H68" s="244"/>
      <c r="I68" s="557">
        <f>+L33</f>
        <v>0.6885429263357821</v>
      </c>
      <c r="J68" s="463"/>
      <c r="K68" s="463"/>
      <c r="L68" s="463"/>
      <c r="M68" s="463"/>
    </row>
    <row r="69" spans="1:13" ht="12.75">
      <c r="A69" s="408" t="s">
        <v>90</v>
      </c>
      <c r="B69" s="559"/>
      <c r="C69" s="559"/>
      <c r="D69" s="448"/>
      <c r="E69" s="366">
        <f>+F34</f>
        <v>0.518</v>
      </c>
      <c r="F69" s="258"/>
      <c r="G69" s="258"/>
      <c r="H69" s="244"/>
      <c r="I69" s="557">
        <f>+L34</f>
        <v>0.35666523584193516</v>
      </c>
      <c r="J69" s="463"/>
      <c r="K69" s="463"/>
      <c r="L69" s="463"/>
      <c r="M69" s="463"/>
    </row>
    <row r="70" spans="1:13" ht="13.5" thickBot="1">
      <c r="A70" s="418" t="s">
        <v>91</v>
      </c>
      <c r="B70" s="560"/>
      <c r="C70" s="560"/>
      <c r="D70" s="544"/>
      <c r="E70" s="396">
        <f>+F35</f>
        <v>0.48200000000000004</v>
      </c>
      <c r="F70" s="550"/>
      <c r="G70" s="550"/>
      <c r="H70" s="246"/>
      <c r="I70" s="558">
        <f>+L35</f>
        <v>0.3318776904938469</v>
      </c>
      <c r="J70" s="467"/>
      <c r="K70" s="467"/>
      <c r="L70" s="467"/>
      <c r="M70" s="467"/>
    </row>
    <row r="74" spans="1:14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ht="12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72"/>
    </row>
    <row r="77" spans="1:14" ht="12.75">
      <c r="A77" s="91"/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72"/>
    </row>
    <row r="78" spans="1:14" ht="12.75">
      <c r="A78" s="91"/>
      <c r="B78" s="91"/>
      <c r="C78" s="91"/>
      <c r="D78" s="81"/>
      <c r="E78" s="72"/>
      <c r="F78" s="72"/>
      <c r="G78" s="81"/>
      <c r="H78" s="81"/>
      <c r="I78" s="81"/>
      <c r="J78" s="92"/>
      <c r="K78" s="92"/>
      <c r="L78" s="81"/>
      <c r="M78" s="81"/>
      <c r="N78" s="72"/>
    </row>
    <row r="79" spans="1:14" ht="12.75">
      <c r="A79" s="93"/>
      <c r="B79" s="93"/>
      <c r="C79" s="93"/>
      <c r="D79" s="83"/>
      <c r="E79" s="17"/>
      <c r="F79" s="17"/>
      <c r="G79" s="83"/>
      <c r="H79" s="17"/>
      <c r="I79" s="17"/>
      <c r="J79" s="17"/>
      <c r="K79" s="17"/>
      <c r="L79" s="41"/>
      <c r="M79" s="41"/>
      <c r="N79" s="72"/>
    </row>
    <row r="80" spans="1:14" ht="12.75">
      <c r="A80" s="93"/>
      <c r="B80" s="93"/>
      <c r="C80" s="93"/>
      <c r="D80" s="83"/>
      <c r="E80" s="17"/>
      <c r="F80" s="17"/>
      <c r="G80" s="83"/>
      <c r="H80" s="17"/>
      <c r="I80" s="17"/>
      <c r="J80" s="17"/>
      <c r="K80" s="17"/>
      <c r="L80" s="41"/>
      <c r="M80" s="41"/>
      <c r="N80" s="72"/>
    </row>
    <row r="81" spans="1:14" ht="12.75">
      <c r="A81" s="93"/>
      <c r="B81" s="93"/>
      <c r="C81" s="93"/>
      <c r="D81" s="83"/>
      <c r="E81" s="17"/>
      <c r="F81" s="17"/>
      <c r="G81" s="83"/>
      <c r="H81" s="17"/>
      <c r="I81" s="17"/>
      <c r="J81" s="17"/>
      <c r="K81" s="17"/>
      <c r="L81" s="41"/>
      <c r="M81" s="41"/>
      <c r="N81" s="72"/>
    </row>
    <row r="82" spans="1:14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</sheetData>
  <sheetProtection/>
  <mergeCells count="239">
    <mergeCell ref="A70:D70"/>
    <mergeCell ref="E70:H70"/>
    <mergeCell ref="I70:M70"/>
    <mergeCell ref="A68:D68"/>
    <mergeCell ref="E68:H68"/>
    <mergeCell ref="I68:M68"/>
    <mergeCell ref="A69:D69"/>
    <mergeCell ref="E69:H69"/>
    <mergeCell ref="I69:M69"/>
    <mergeCell ref="A64:M64"/>
    <mergeCell ref="A65:D65"/>
    <mergeCell ref="E65:H65"/>
    <mergeCell ref="I65:M65"/>
    <mergeCell ref="A66:D67"/>
    <mergeCell ref="E66:H66"/>
    <mergeCell ref="I66:M66"/>
    <mergeCell ref="E67:H67"/>
    <mergeCell ref="I67:M67"/>
    <mergeCell ref="A61:B61"/>
    <mergeCell ref="D61:E61"/>
    <mergeCell ref="F61:G61"/>
    <mergeCell ref="H61:I61"/>
    <mergeCell ref="J61:K61"/>
    <mergeCell ref="L61:M61"/>
    <mergeCell ref="A60:B60"/>
    <mergeCell ref="D60:E60"/>
    <mergeCell ref="F60:G60"/>
    <mergeCell ref="H60:I60"/>
    <mergeCell ref="J60:K60"/>
    <mergeCell ref="L60:M60"/>
    <mergeCell ref="A59:B59"/>
    <mergeCell ref="D59:E59"/>
    <mergeCell ref="F59:G59"/>
    <mergeCell ref="H59:I59"/>
    <mergeCell ref="J59:K59"/>
    <mergeCell ref="L59:M59"/>
    <mergeCell ref="A58:B58"/>
    <mergeCell ref="D58:E58"/>
    <mergeCell ref="F58:G58"/>
    <mergeCell ref="H58:I58"/>
    <mergeCell ref="J58:K58"/>
    <mergeCell ref="L58:M58"/>
    <mergeCell ref="A57:B57"/>
    <mergeCell ref="D57:E57"/>
    <mergeCell ref="F57:G57"/>
    <mergeCell ref="H57:I57"/>
    <mergeCell ref="J57:K57"/>
    <mergeCell ref="L57:M57"/>
    <mergeCell ref="A55:M55"/>
    <mergeCell ref="A56:B56"/>
    <mergeCell ref="D56:E56"/>
    <mergeCell ref="F56:G56"/>
    <mergeCell ref="H56:I56"/>
    <mergeCell ref="J56:K56"/>
    <mergeCell ref="L56:M56"/>
    <mergeCell ref="A54:B54"/>
    <mergeCell ref="D54:E54"/>
    <mergeCell ref="F54:G54"/>
    <mergeCell ref="H54:I54"/>
    <mergeCell ref="J54:K54"/>
    <mergeCell ref="L54:M54"/>
    <mergeCell ref="A53:B53"/>
    <mergeCell ref="D53:E53"/>
    <mergeCell ref="F53:G53"/>
    <mergeCell ref="H53:I53"/>
    <mergeCell ref="J53:K53"/>
    <mergeCell ref="L53:M53"/>
    <mergeCell ref="A52:B52"/>
    <mergeCell ref="D52:E52"/>
    <mergeCell ref="F52:G52"/>
    <mergeCell ref="H52:I52"/>
    <mergeCell ref="J52:K52"/>
    <mergeCell ref="L52:M52"/>
    <mergeCell ref="A51:B51"/>
    <mergeCell ref="D51:E51"/>
    <mergeCell ref="F51:G51"/>
    <mergeCell ref="H51:I51"/>
    <mergeCell ref="J51:K51"/>
    <mergeCell ref="L51:M51"/>
    <mergeCell ref="A50:B50"/>
    <mergeCell ref="D50:E50"/>
    <mergeCell ref="F50:G50"/>
    <mergeCell ref="H50:I50"/>
    <mergeCell ref="J50:K50"/>
    <mergeCell ref="L50:M50"/>
    <mergeCell ref="A49:B49"/>
    <mergeCell ref="D49:E49"/>
    <mergeCell ref="F49:G49"/>
    <mergeCell ref="H49:I49"/>
    <mergeCell ref="J49:K49"/>
    <mergeCell ref="L49:M49"/>
    <mergeCell ref="A47:M47"/>
    <mergeCell ref="A48:B48"/>
    <mergeCell ref="D48:E48"/>
    <mergeCell ref="F48:G48"/>
    <mergeCell ref="H48:I48"/>
    <mergeCell ref="J48:K48"/>
    <mergeCell ref="L48:M48"/>
    <mergeCell ref="A46:B46"/>
    <mergeCell ref="D46:E46"/>
    <mergeCell ref="F46:G46"/>
    <mergeCell ref="H46:I46"/>
    <mergeCell ref="J46:K46"/>
    <mergeCell ref="L46:M46"/>
    <mergeCell ref="A45:B45"/>
    <mergeCell ref="D45:E45"/>
    <mergeCell ref="F45:G45"/>
    <mergeCell ref="H45:I45"/>
    <mergeCell ref="J45:K45"/>
    <mergeCell ref="L45:M45"/>
    <mergeCell ref="L40:M42"/>
    <mergeCell ref="C43:C44"/>
    <mergeCell ref="D43:E44"/>
    <mergeCell ref="F43:G44"/>
    <mergeCell ref="H43:I44"/>
    <mergeCell ref="J43:K44"/>
    <mergeCell ref="L43:M44"/>
    <mergeCell ref="A40:B44"/>
    <mergeCell ref="C40:C42"/>
    <mergeCell ref="D40:E42"/>
    <mergeCell ref="F40:G42"/>
    <mergeCell ref="H40:I42"/>
    <mergeCell ref="J40:K42"/>
    <mergeCell ref="A39:B39"/>
    <mergeCell ref="D39:E39"/>
    <mergeCell ref="F39:G39"/>
    <mergeCell ref="H39:I39"/>
    <mergeCell ref="J39:K39"/>
    <mergeCell ref="L39:M39"/>
    <mergeCell ref="A35:B35"/>
    <mergeCell ref="C35:D35"/>
    <mergeCell ref="G35:H35"/>
    <mergeCell ref="J35:K35"/>
    <mergeCell ref="L35:M35"/>
    <mergeCell ref="A38:M38"/>
    <mergeCell ref="A33:B33"/>
    <mergeCell ref="C33:D33"/>
    <mergeCell ref="G33:H33"/>
    <mergeCell ref="J33:K33"/>
    <mergeCell ref="L33:M33"/>
    <mergeCell ref="A34:B34"/>
    <mergeCell ref="C34:D34"/>
    <mergeCell ref="G34:H34"/>
    <mergeCell ref="J34:K34"/>
    <mergeCell ref="L34:M34"/>
    <mergeCell ref="J29:K32"/>
    <mergeCell ref="L29:M30"/>
    <mergeCell ref="C31:D32"/>
    <mergeCell ref="E31:E32"/>
    <mergeCell ref="F31:F32"/>
    <mergeCell ref="G31:H32"/>
    <mergeCell ref="I31:I32"/>
    <mergeCell ref="L31:M32"/>
    <mergeCell ref="A29:B32"/>
    <mergeCell ref="C29:D30"/>
    <mergeCell ref="E29:E30"/>
    <mergeCell ref="F29:F30"/>
    <mergeCell ref="G29:H30"/>
    <mergeCell ref="I29:I30"/>
    <mergeCell ref="A25:C25"/>
    <mergeCell ref="F25:H25"/>
    <mergeCell ref="I25:K25"/>
    <mergeCell ref="A27:M27"/>
    <mergeCell ref="A28:B28"/>
    <mergeCell ref="C28:D28"/>
    <mergeCell ref="G28:H28"/>
    <mergeCell ref="J28:K28"/>
    <mergeCell ref="L28:M28"/>
    <mergeCell ref="A23:C23"/>
    <mergeCell ref="D23:E23"/>
    <mergeCell ref="F23:H23"/>
    <mergeCell ref="I23:K23"/>
    <mergeCell ref="L23:M23"/>
    <mergeCell ref="A24:C24"/>
    <mergeCell ref="D24:E24"/>
    <mergeCell ref="F24:H24"/>
    <mergeCell ref="I24:K24"/>
    <mergeCell ref="L24:M24"/>
    <mergeCell ref="A21:C21"/>
    <mergeCell ref="D21:E21"/>
    <mergeCell ref="F21:H21"/>
    <mergeCell ref="I21:K21"/>
    <mergeCell ref="L21:M21"/>
    <mergeCell ref="A22:C22"/>
    <mergeCell ref="D22:E22"/>
    <mergeCell ref="F22:H22"/>
    <mergeCell ref="I22:K22"/>
    <mergeCell ref="L22:M22"/>
    <mergeCell ref="A16:F16"/>
    <mergeCell ref="G16:H16"/>
    <mergeCell ref="I16:M16"/>
    <mergeCell ref="A19:M19"/>
    <mergeCell ref="A20:C20"/>
    <mergeCell ref="D20:E20"/>
    <mergeCell ref="F20:H20"/>
    <mergeCell ref="I20:K20"/>
    <mergeCell ref="L20:M20"/>
    <mergeCell ref="A14:F14"/>
    <mergeCell ref="G14:H14"/>
    <mergeCell ref="I14:M14"/>
    <mergeCell ref="A15:F15"/>
    <mergeCell ref="G15:H15"/>
    <mergeCell ref="I15:M15"/>
    <mergeCell ref="G11:H11"/>
    <mergeCell ref="I11:M11"/>
    <mergeCell ref="G12:H12"/>
    <mergeCell ref="K12:L12"/>
    <mergeCell ref="A13:F13"/>
    <mergeCell ref="G13:H13"/>
    <mergeCell ref="I13:M13"/>
    <mergeCell ref="A11:C11"/>
    <mergeCell ref="A9:F9"/>
    <mergeCell ref="G9:H9"/>
    <mergeCell ref="I9:M9"/>
    <mergeCell ref="G10:H10"/>
    <mergeCell ref="I10:M10"/>
    <mergeCell ref="A10:C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2">
    <dataValidation type="decimal" allowBlank="1" showInputMessage="1" showErrorMessage="1" sqref="I16:M16">
      <formula1>0</formula1>
      <formula2>10</formula2>
    </dataValidation>
    <dataValidation type="whole" operator="greaterThan" allowBlank="1" showInputMessage="1" showErrorMessage="1" sqref="J7:M7">
      <formula1>1990</formula1>
    </dataValidation>
    <dataValidation type="whole" allowBlank="1" showInputMessage="1" showErrorMessage="1" sqref="M12 J12">
      <formula1>0</formula1>
      <formula2>90</formula2>
    </dataValidation>
    <dataValidation type="list" allowBlank="1" showInputMessage="1" showErrorMessage="1" sqref="F12">
      <formula1>Differ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4:M14">
      <formula1>RApproach</formula1>
    </dataValidation>
    <dataValidation type="list" allowBlank="1" showInputMessage="1" showErrorMessage="1" sqref="I13:M13">
      <formula1>LApproach</formula1>
    </dataValidation>
    <dataValidation allowBlank="1" showInputMessage="1" showErrorMessage="1" errorTitle="Invalid" sqref="L25:M25"/>
    <dataValidation type="list" operator="greaterThan" allowBlank="1" showInputMessage="1" showErrorMessage="1" sqref="I9:M9">
      <formula1>IType</formula1>
    </dataValidation>
    <dataValidation operator="greaterThan" allowBlank="1" showInputMessage="1" showErrorMessage="1" sqref="K12 I12"/>
    <dataValidation type="whole" operator="lessThanOrEqual" allowBlank="1" showInputMessage="1" showErrorMessage="1" sqref="I10:M10">
      <formula1>25200</formula1>
    </dataValidation>
    <dataValidation type="whole" operator="lessThanOrEqual" allowBlank="1" showInputMessage="1" showErrorMessage="1" sqref="I11:M11">
      <formula1>12500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53"/>
  <sheetViews>
    <sheetView zoomScalePageLayoutView="0" workbookViewId="0" topLeftCell="C5">
      <selection activeCell="H54" sqref="H54"/>
    </sheetView>
  </sheetViews>
  <sheetFormatPr defaultColWidth="9.140625" defaultRowHeight="12.75"/>
  <cols>
    <col min="2" max="45" width="13.7109375" style="0" customWidth="1"/>
  </cols>
  <sheetData>
    <row r="2" spans="2:25" ht="12.75">
      <c r="B2" s="118" t="s">
        <v>407</v>
      </c>
      <c r="Y2" s="118" t="s">
        <v>408</v>
      </c>
    </row>
    <row r="4" ht="13.5" thickBot="1"/>
    <row r="5" spans="2:32" ht="13.5" thickTop="1">
      <c r="B5" s="483" t="s">
        <v>448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Y5" s="484" t="s">
        <v>467</v>
      </c>
      <c r="Z5" s="484"/>
      <c r="AA5" s="484"/>
      <c r="AB5" s="484"/>
      <c r="AC5" s="484"/>
      <c r="AD5" s="654"/>
      <c r="AE5" s="654"/>
      <c r="AF5" s="654"/>
    </row>
    <row r="6" spans="2:32" ht="13.5" thickBot="1"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Y6" s="260"/>
      <c r="Z6" s="260"/>
      <c r="AA6" s="260"/>
      <c r="AB6" s="260"/>
      <c r="AC6" s="260"/>
      <c r="AD6" s="485"/>
      <c r="AE6" s="485"/>
      <c r="AF6" s="485"/>
    </row>
    <row r="7" spans="2:32" ht="12.75">
      <c r="B7" s="612" t="s">
        <v>148</v>
      </c>
      <c r="C7" s="399"/>
      <c r="D7" s="400"/>
      <c r="E7" s="489" t="s">
        <v>172</v>
      </c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Y7" s="259" t="s">
        <v>241</v>
      </c>
      <c r="Z7" s="691"/>
      <c r="AA7" s="693" t="s">
        <v>242</v>
      </c>
      <c r="AB7" s="694"/>
      <c r="AC7" s="693" t="s">
        <v>240</v>
      </c>
      <c r="AD7" s="710"/>
      <c r="AE7" s="710"/>
      <c r="AF7" s="710"/>
    </row>
    <row r="8" spans="2:32" ht="12.75">
      <c r="B8" s="276"/>
      <c r="C8" s="276"/>
      <c r="D8" s="277"/>
      <c r="E8" s="493" t="s">
        <v>146</v>
      </c>
      <c r="F8" s="604"/>
      <c r="G8" s="604"/>
      <c r="H8" s="494"/>
      <c r="I8" s="494"/>
      <c r="J8" s="495"/>
      <c r="K8" s="493" t="s">
        <v>486</v>
      </c>
      <c r="L8" s="604"/>
      <c r="M8" s="494"/>
      <c r="N8" s="494"/>
      <c r="O8" s="494"/>
      <c r="P8" s="494"/>
      <c r="Y8" s="490"/>
      <c r="Z8" s="692"/>
      <c r="AA8" s="695"/>
      <c r="AB8" s="491"/>
      <c r="AC8" s="695"/>
      <c r="AD8" s="497"/>
      <c r="AE8" s="497"/>
      <c r="AF8" s="497"/>
    </row>
    <row r="9" spans="2:32" ht="12.75">
      <c r="B9" s="276"/>
      <c r="C9" s="276"/>
      <c r="D9" s="277"/>
      <c r="E9" s="441" t="s">
        <v>213</v>
      </c>
      <c r="F9" s="600"/>
      <c r="G9" s="605" t="s">
        <v>214</v>
      </c>
      <c r="H9" s="606"/>
      <c r="I9" s="490" t="s">
        <v>215</v>
      </c>
      <c r="J9" s="491"/>
      <c r="K9" s="441" t="s">
        <v>213</v>
      </c>
      <c r="L9" s="600"/>
      <c r="M9" s="441" t="s">
        <v>214</v>
      </c>
      <c r="N9" s="600"/>
      <c r="O9" s="441" t="s">
        <v>215</v>
      </c>
      <c r="P9" s="606"/>
      <c r="Y9" s="497"/>
      <c r="Z9" s="491"/>
      <c r="AA9" s="695"/>
      <c r="AB9" s="491"/>
      <c r="AC9" s="711">
        <v>1</v>
      </c>
      <c r="AD9" s="713">
        <v>2</v>
      </c>
      <c r="AE9" s="713">
        <v>3</v>
      </c>
      <c r="AF9" s="701">
        <v>4</v>
      </c>
    </row>
    <row r="10" spans="2:32" ht="12.75">
      <c r="B10" s="603" t="s">
        <v>201</v>
      </c>
      <c r="C10" s="407"/>
      <c r="D10" s="184" t="s">
        <v>199</v>
      </c>
      <c r="E10" s="601"/>
      <c r="F10" s="602"/>
      <c r="G10" s="607"/>
      <c r="H10" s="607"/>
      <c r="I10" s="492"/>
      <c r="J10" s="491"/>
      <c r="K10" s="601"/>
      <c r="L10" s="602"/>
      <c r="M10" s="601"/>
      <c r="N10" s="602"/>
      <c r="O10" s="573"/>
      <c r="P10" s="607"/>
      <c r="Y10" s="607"/>
      <c r="Z10" s="602"/>
      <c r="AA10" s="573"/>
      <c r="AB10" s="602"/>
      <c r="AC10" s="712"/>
      <c r="AD10" s="714"/>
      <c r="AE10" s="714"/>
      <c r="AF10" s="702"/>
    </row>
    <row r="11" spans="2:32" ht="12.75">
      <c r="B11" s="611"/>
      <c r="C11" s="269"/>
      <c r="D11" s="270"/>
      <c r="E11" s="274"/>
      <c r="F11" s="270"/>
      <c r="G11" s="274"/>
      <c r="H11" s="270"/>
      <c r="I11" s="257"/>
      <c r="J11" s="469"/>
      <c r="K11" s="608"/>
      <c r="L11" s="609"/>
      <c r="M11" s="608"/>
      <c r="N11" s="609"/>
      <c r="O11" s="610"/>
      <c r="P11" s="610"/>
      <c r="Y11" s="700" t="s">
        <v>243</v>
      </c>
      <c r="Z11" s="600"/>
      <c r="AA11" s="703" t="s">
        <v>468</v>
      </c>
      <c r="AB11" s="600"/>
      <c r="AC11" s="717">
        <v>0.56</v>
      </c>
      <c r="AD11" s="716">
        <v>0.31</v>
      </c>
      <c r="AE11" s="715">
        <v>0.31</v>
      </c>
      <c r="AF11" s="696">
        <v>0.31</v>
      </c>
    </row>
    <row r="12" spans="2:32" ht="12.75">
      <c r="B12" s="617" t="s">
        <v>138</v>
      </c>
      <c r="C12" s="276"/>
      <c r="D12" s="277"/>
      <c r="E12" s="613">
        <v>1.7</v>
      </c>
      <c r="F12" s="618"/>
      <c r="G12" s="613">
        <v>1.8</v>
      </c>
      <c r="H12" s="465"/>
      <c r="I12" s="613">
        <v>0.9</v>
      </c>
      <c r="J12" s="614"/>
      <c r="K12" s="615">
        <v>1.3</v>
      </c>
      <c r="L12" s="616"/>
      <c r="M12" s="615">
        <v>1.5</v>
      </c>
      <c r="N12" s="616"/>
      <c r="O12" s="619">
        <v>0.8</v>
      </c>
      <c r="P12" s="615"/>
      <c r="Y12" s="607"/>
      <c r="Z12" s="602"/>
      <c r="AA12" s="573"/>
      <c r="AB12" s="602"/>
      <c r="AC12" s="718"/>
      <c r="AD12" s="716"/>
      <c r="AE12" s="716"/>
      <c r="AF12" s="697"/>
    </row>
    <row r="13" spans="2:32" ht="12.75">
      <c r="B13" s="617" t="s">
        <v>177</v>
      </c>
      <c r="C13" s="276"/>
      <c r="D13" s="277"/>
      <c r="E13" s="613">
        <v>4</v>
      </c>
      <c r="F13" s="618"/>
      <c r="G13" s="613">
        <v>4.3</v>
      </c>
      <c r="H13" s="465"/>
      <c r="I13" s="613">
        <v>2.1</v>
      </c>
      <c r="J13" s="614"/>
      <c r="K13" s="615">
        <v>5</v>
      </c>
      <c r="L13" s="616"/>
      <c r="M13" s="615">
        <v>6.7</v>
      </c>
      <c r="N13" s="616"/>
      <c r="O13" s="619">
        <v>2.4</v>
      </c>
      <c r="P13" s="615"/>
      <c r="Y13" s="704" t="s">
        <v>469</v>
      </c>
      <c r="Z13" s="705"/>
      <c r="AA13" s="703" t="s">
        <v>468</v>
      </c>
      <c r="AB13" s="600"/>
      <c r="AC13" s="717">
        <v>0.72</v>
      </c>
      <c r="AD13" s="716">
        <v>0.52</v>
      </c>
      <c r="AE13" s="715">
        <v>0.52</v>
      </c>
      <c r="AF13" s="696">
        <v>0.52</v>
      </c>
    </row>
    <row r="14" spans="2:32" ht="12.75">
      <c r="B14" s="617" t="s">
        <v>176</v>
      </c>
      <c r="C14" s="276"/>
      <c r="D14" s="277"/>
      <c r="E14" s="613">
        <v>16.6</v>
      </c>
      <c r="F14" s="618"/>
      <c r="G14" s="613">
        <v>16.2</v>
      </c>
      <c r="H14" s="465"/>
      <c r="I14" s="613">
        <v>10.5</v>
      </c>
      <c r="J14" s="614"/>
      <c r="K14" s="615">
        <v>21.4</v>
      </c>
      <c r="L14" s="616"/>
      <c r="M14" s="615">
        <v>21.7</v>
      </c>
      <c r="N14" s="616"/>
      <c r="O14" s="619">
        <v>13.8</v>
      </c>
      <c r="P14" s="615"/>
      <c r="Y14" s="706"/>
      <c r="Z14" s="707"/>
      <c r="AA14" s="573"/>
      <c r="AB14" s="602"/>
      <c r="AC14" s="718"/>
      <c r="AD14" s="716"/>
      <c r="AE14" s="716"/>
      <c r="AF14" s="697"/>
    </row>
    <row r="15" spans="2:32" ht="13.5" thickBot="1">
      <c r="B15" s="628" t="s">
        <v>178</v>
      </c>
      <c r="C15" s="629"/>
      <c r="D15" s="630"/>
      <c r="E15" s="623">
        <v>19.2</v>
      </c>
      <c r="F15" s="624"/>
      <c r="G15" s="623">
        <v>20.8</v>
      </c>
      <c r="H15" s="625"/>
      <c r="I15" s="613">
        <v>20.5</v>
      </c>
      <c r="J15" s="614"/>
      <c r="K15" s="621">
        <v>25.6</v>
      </c>
      <c r="L15" s="622"/>
      <c r="M15" s="621">
        <v>21.9</v>
      </c>
      <c r="N15" s="622"/>
      <c r="O15" s="620">
        <v>25.2</v>
      </c>
      <c r="P15" s="621"/>
      <c r="Y15" s="708"/>
      <c r="Z15" s="709"/>
      <c r="AA15" s="698" t="s">
        <v>244</v>
      </c>
      <c r="AB15" s="699"/>
      <c r="AC15" s="53">
        <v>0.82</v>
      </c>
      <c r="AD15" s="52">
        <v>0.67</v>
      </c>
      <c r="AE15" s="52">
        <v>0.55</v>
      </c>
      <c r="AF15" s="53">
        <v>0.45</v>
      </c>
    </row>
    <row r="16" spans="2:32" ht="13.5" thickTop="1">
      <c r="B16" s="633" t="s">
        <v>179</v>
      </c>
      <c r="C16" s="634"/>
      <c r="D16" s="635"/>
      <c r="E16" s="631">
        <f>SUM(E12:E15)</f>
        <v>41.5</v>
      </c>
      <c r="F16" s="632"/>
      <c r="G16" s="631">
        <f>SUM(G12:G15)</f>
        <v>43.099999999999994</v>
      </c>
      <c r="H16" s="632"/>
      <c r="I16" s="631">
        <f>SUM(I12:I15)</f>
        <v>34</v>
      </c>
      <c r="J16" s="632"/>
      <c r="K16" s="626">
        <f>SUM(K12:K15)</f>
        <v>53.3</v>
      </c>
      <c r="L16" s="627"/>
      <c r="M16" s="626">
        <f>SUM(M12:M15)</f>
        <v>51.8</v>
      </c>
      <c r="N16" s="627"/>
      <c r="O16" s="631">
        <f>SUM(O12:O15)</f>
        <v>42.2</v>
      </c>
      <c r="P16" s="641"/>
      <c r="Y16" s="97" t="s">
        <v>246</v>
      </c>
      <c r="Z16" s="719" t="s">
        <v>245</v>
      </c>
      <c r="AA16" s="720"/>
      <c r="AB16" s="720"/>
      <c r="AC16" s="720"/>
      <c r="AD16" s="720"/>
      <c r="AE16" s="720"/>
      <c r="AF16" s="720"/>
    </row>
    <row r="17" spans="2:32" ht="13.5" thickBot="1">
      <c r="B17" s="628" t="s">
        <v>156</v>
      </c>
      <c r="C17" s="629"/>
      <c r="D17" s="630"/>
      <c r="E17" s="623">
        <f>100-E16</f>
        <v>58.5</v>
      </c>
      <c r="F17" s="624"/>
      <c r="G17" s="623">
        <f>100-G16</f>
        <v>56.900000000000006</v>
      </c>
      <c r="H17" s="625"/>
      <c r="I17" s="623">
        <f>100-I16</f>
        <v>66</v>
      </c>
      <c r="J17" s="642"/>
      <c r="K17" s="638">
        <f>100-K16</f>
        <v>46.7</v>
      </c>
      <c r="L17" s="643"/>
      <c r="M17" s="638">
        <f>100-M16</f>
        <v>48.2</v>
      </c>
      <c r="N17" s="643"/>
      <c r="O17" s="638">
        <f>100-O16</f>
        <v>57.8</v>
      </c>
      <c r="P17" s="639"/>
      <c r="Y17" s="58"/>
      <c r="Z17" s="248"/>
      <c r="AA17" s="248"/>
      <c r="AB17" s="248"/>
      <c r="AC17" s="248"/>
      <c r="AD17" s="248"/>
      <c r="AE17" s="248"/>
      <c r="AF17" s="248"/>
    </row>
    <row r="18" spans="2:32" ht="13.5" thickTop="1">
      <c r="B18" s="649" t="s">
        <v>144</v>
      </c>
      <c r="C18" s="650"/>
      <c r="D18" s="651"/>
      <c r="E18" s="504">
        <f>SUM(E16:E17)</f>
        <v>100</v>
      </c>
      <c r="F18" s="640"/>
      <c r="G18" s="504">
        <f>SUM(G16:G17)</f>
        <v>100</v>
      </c>
      <c r="H18" s="640"/>
      <c r="I18" s="646">
        <f>SUM(I16:I17)</f>
        <v>100</v>
      </c>
      <c r="J18" s="647"/>
      <c r="K18" s="636">
        <f>SUM(K16:K17)</f>
        <v>100</v>
      </c>
      <c r="L18" s="648"/>
      <c r="M18" s="636">
        <f>SUM(M16:M17)</f>
        <v>100</v>
      </c>
      <c r="N18" s="648"/>
      <c r="O18" s="636">
        <f>SUM(O16:O17)</f>
        <v>100</v>
      </c>
      <c r="P18" s="637"/>
      <c r="Y18" s="58"/>
      <c r="Z18" s="97" t="s">
        <v>247</v>
      </c>
      <c r="AA18" s="58"/>
      <c r="AB18" s="58"/>
      <c r="AC18" s="58"/>
      <c r="AD18" s="57"/>
      <c r="AE18" s="57"/>
      <c r="AF18" s="57"/>
    </row>
    <row r="19" spans="2:32" ht="12.75">
      <c r="B19" s="224" t="s">
        <v>450</v>
      </c>
      <c r="D19" s="30"/>
      <c r="E19" s="55"/>
      <c r="F19" s="55"/>
      <c r="G19" s="55"/>
      <c r="H19" s="55"/>
      <c r="I19" s="55"/>
      <c r="J19" s="55"/>
      <c r="K19" s="42"/>
      <c r="L19" s="37"/>
      <c r="M19" s="15"/>
      <c r="N19" s="15"/>
      <c r="O19" s="42"/>
      <c r="P19" s="42"/>
      <c r="Y19" s="58"/>
      <c r="Z19" s="58"/>
      <c r="AA19" s="58"/>
      <c r="AB19" s="58"/>
      <c r="AC19" s="58"/>
      <c r="AD19" s="58"/>
      <c r="AE19" s="58"/>
      <c r="AF19" s="58"/>
    </row>
    <row r="20" spans="2:17" ht="13.5" thickBot="1">
      <c r="B20" s="39"/>
      <c r="C20" s="40"/>
      <c r="D20" s="40"/>
      <c r="E20" s="17"/>
      <c r="F20" s="17"/>
      <c r="G20" s="17"/>
      <c r="H20" s="17"/>
      <c r="I20" s="17"/>
      <c r="J20" s="17"/>
      <c r="K20" s="41"/>
      <c r="L20" s="41"/>
      <c r="M20" s="41"/>
      <c r="N20" s="41"/>
      <c r="O20" s="41"/>
      <c r="P20" s="41"/>
      <c r="Q20" s="40"/>
    </row>
    <row r="21" spans="2:32" ht="13.5" thickTop="1">
      <c r="B21" s="653" t="s">
        <v>449</v>
      </c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5"/>
      <c r="O21" s="655"/>
      <c r="P21" s="655"/>
      <c r="Q21" s="655"/>
      <c r="R21" s="655"/>
      <c r="S21" s="655"/>
      <c r="T21" s="655"/>
      <c r="U21" s="655"/>
      <c r="V21" s="655"/>
      <c r="Y21" s="484" t="s">
        <v>470</v>
      </c>
      <c r="Z21" s="484"/>
      <c r="AA21" s="484"/>
      <c r="AB21" s="484"/>
      <c r="AC21" s="484"/>
      <c r="AD21" s="654"/>
      <c r="AE21" s="654"/>
      <c r="AF21" s="654"/>
    </row>
    <row r="22" spans="2:32" ht="13.5" thickBot="1">
      <c r="B22" s="260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656"/>
      <c r="O22" s="656"/>
      <c r="P22" s="656"/>
      <c r="Q22" s="656"/>
      <c r="R22" s="656"/>
      <c r="S22" s="656"/>
      <c r="T22" s="656"/>
      <c r="U22" s="656"/>
      <c r="V22" s="656"/>
      <c r="Y22" s="260"/>
      <c r="Z22" s="260"/>
      <c r="AA22" s="260"/>
      <c r="AB22" s="260"/>
      <c r="AC22" s="260"/>
      <c r="AD22" s="485"/>
      <c r="AE22" s="485"/>
      <c r="AF22" s="485"/>
    </row>
    <row r="23" spans="2:32" ht="12.75">
      <c r="B23" s="652" t="s">
        <v>148</v>
      </c>
      <c r="C23" s="275"/>
      <c r="D23" s="277"/>
      <c r="E23" s="508" t="s">
        <v>182</v>
      </c>
      <c r="F23" s="659"/>
      <c r="G23" s="659"/>
      <c r="H23" s="659"/>
      <c r="I23" s="659"/>
      <c r="J23" s="659"/>
      <c r="K23" s="659"/>
      <c r="L23" s="659"/>
      <c r="M23" s="659"/>
      <c r="N23" s="508" t="s">
        <v>507</v>
      </c>
      <c r="O23" s="659"/>
      <c r="P23" s="659"/>
      <c r="Q23" s="659"/>
      <c r="R23" s="659"/>
      <c r="S23" s="659"/>
      <c r="T23" s="659"/>
      <c r="U23" s="659"/>
      <c r="V23" s="659"/>
      <c r="Y23" s="259" t="s">
        <v>241</v>
      </c>
      <c r="Z23" s="691"/>
      <c r="AA23" s="693" t="s">
        <v>242</v>
      </c>
      <c r="AB23" s="694"/>
      <c r="AC23" s="693" t="s">
        <v>240</v>
      </c>
      <c r="AD23" s="710"/>
      <c r="AE23" s="710"/>
      <c r="AF23" s="710"/>
    </row>
    <row r="24" spans="2:32" ht="12.75">
      <c r="B24" s="276"/>
      <c r="C24" s="276"/>
      <c r="D24" s="277"/>
      <c r="E24" s="658" t="s">
        <v>173</v>
      </c>
      <c r="F24" s="561"/>
      <c r="G24" s="561"/>
      <c r="H24" s="657" t="s">
        <v>174</v>
      </c>
      <c r="I24" s="561"/>
      <c r="J24" s="561"/>
      <c r="K24" s="657" t="s">
        <v>175</v>
      </c>
      <c r="L24" s="561"/>
      <c r="M24" s="368"/>
      <c r="N24" s="657" t="s">
        <v>173</v>
      </c>
      <c r="O24" s="561"/>
      <c r="P24" s="561"/>
      <c r="Q24" s="657" t="s">
        <v>174</v>
      </c>
      <c r="R24" s="561"/>
      <c r="S24" s="561"/>
      <c r="T24" s="657" t="s">
        <v>175</v>
      </c>
      <c r="U24" s="561"/>
      <c r="V24" s="368"/>
      <c r="Y24" s="490"/>
      <c r="Z24" s="692"/>
      <c r="AA24" s="695"/>
      <c r="AB24" s="491"/>
      <c r="AC24" s="695"/>
      <c r="AD24" s="497"/>
      <c r="AE24" s="497"/>
      <c r="AF24" s="497"/>
    </row>
    <row r="25" spans="2:32" ht="12.75">
      <c r="B25" s="276"/>
      <c r="C25" s="276"/>
      <c r="D25" s="277"/>
      <c r="E25" s="369"/>
      <c r="F25" s="561"/>
      <c r="G25" s="561"/>
      <c r="H25" s="561"/>
      <c r="I25" s="561"/>
      <c r="J25" s="561"/>
      <c r="K25" s="561"/>
      <c r="L25" s="561"/>
      <c r="M25" s="368"/>
      <c r="N25" s="561"/>
      <c r="O25" s="561"/>
      <c r="P25" s="561"/>
      <c r="Q25" s="561"/>
      <c r="R25" s="561"/>
      <c r="S25" s="561"/>
      <c r="T25" s="561"/>
      <c r="U25" s="561"/>
      <c r="V25" s="368"/>
      <c r="Y25" s="497"/>
      <c r="Z25" s="491"/>
      <c r="AA25" s="695"/>
      <c r="AB25" s="491"/>
      <c r="AC25" s="711">
        <v>1</v>
      </c>
      <c r="AD25" s="713">
        <v>2</v>
      </c>
      <c r="AE25" s="713">
        <v>3</v>
      </c>
      <c r="AF25" s="701">
        <v>4</v>
      </c>
    </row>
    <row r="26" spans="2:32" ht="12.75">
      <c r="B26" s="276"/>
      <c r="C26" s="276"/>
      <c r="D26" s="277"/>
      <c r="E26" s="644" t="s">
        <v>180</v>
      </c>
      <c r="F26" s="660" t="s">
        <v>156</v>
      </c>
      <c r="G26" s="660" t="s">
        <v>89</v>
      </c>
      <c r="H26" s="660" t="s">
        <v>181</v>
      </c>
      <c r="I26" s="660" t="s">
        <v>156</v>
      </c>
      <c r="J26" s="660" t="s">
        <v>89</v>
      </c>
      <c r="K26" s="660" t="s">
        <v>181</v>
      </c>
      <c r="L26" s="660" t="s">
        <v>156</v>
      </c>
      <c r="M26" s="662" t="s">
        <v>89</v>
      </c>
      <c r="N26" s="660" t="s">
        <v>180</v>
      </c>
      <c r="O26" s="660" t="s">
        <v>156</v>
      </c>
      <c r="P26" s="660" t="s">
        <v>89</v>
      </c>
      <c r="Q26" s="660" t="s">
        <v>181</v>
      </c>
      <c r="R26" s="660" t="s">
        <v>156</v>
      </c>
      <c r="S26" s="660" t="s">
        <v>89</v>
      </c>
      <c r="T26" s="660" t="s">
        <v>181</v>
      </c>
      <c r="U26" s="660" t="s">
        <v>156</v>
      </c>
      <c r="V26" s="662" t="s">
        <v>89</v>
      </c>
      <c r="Y26" s="607"/>
      <c r="Z26" s="602"/>
      <c r="AA26" s="573"/>
      <c r="AB26" s="602"/>
      <c r="AC26" s="712"/>
      <c r="AD26" s="714"/>
      <c r="AE26" s="714"/>
      <c r="AF26" s="702"/>
    </row>
    <row r="27" spans="2:32" ht="12.75">
      <c r="B27" s="603" t="s">
        <v>201</v>
      </c>
      <c r="C27" s="407"/>
      <c r="D27" s="184" t="s">
        <v>199</v>
      </c>
      <c r="E27" s="645"/>
      <c r="F27" s="661"/>
      <c r="G27" s="661"/>
      <c r="H27" s="661"/>
      <c r="I27" s="661"/>
      <c r="J27" s="661"/>
      <c r="K27" s="661"/>
      <c r="L27" s="661"/>
      <c r="M27" s="663"/>
      <c r="N27" s="661"/>
      <c r="O27" s="661"/>
      <c r="P27" s="661"/>
      <c r="Q27" s="661"/>
      <c r="R27" s="661"/>
      <c r="S27" s="661"/>
      <c r="T27" s="661"/>
      <c r="U27" s="661"/>
      <c r="V27" s="663"/>
      <c r="Y27" s="700" t="s">
        <v>243</v>
      </c>
      <c r="Z27" s="600"/>
      <c r="AA27" s="703" t="s">
        <v>468</v>
      </c>
      <c r="AB27" s="600"/>
      <c r="AC27" s="717">
        <v>0.86</v>
      </c>
      <c r="AD27" s="716">
        <v>0.74</v>
      </c>
      <c r="AE27" s="715">
        <v>0.74</v>
      </c>
      <c r="AF27" s="696">
        <v>0.74</v>
      </c>
    </row>
    <row r="28" spans="2:32" ht="12.75">
      <c r="B28" s="494" t="s">
        <v>149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89" t="s">
        <v>149</v>
      </c>
      <c r="O28" s="258"/>
      <c r="P28" s="258"/>
      <c r="Q28" s="258"/>
      <c r="R28" s="258"/>
      <c r="S28" s="258"/>
      <c r="T28" s="258"/>
      <c r="U28" s="258"/>
      <c r="V28" s="258"/>
      <c r="Y28" s="607"/>
      <c r="Z28" s="602"/>
      <c r="AA28" s="573"/>
      <c r="AB28" s="602"/>
      <c r="AC28" s="718"/>
      <c r="AD28" s="716"/>
      <c r="AE28" s="716"/>
      <c r="AF28" s="697"/>
    </row>
    <row r="29" spans="2:32" ht="12.75">
      <c r="B29" s="664" t="s">
        <v>107</v>
      </c>
      <c r="C29" s="269"/>
      <c r="D29" s="270"/>
      <c r="E29" s="43">
        <v>0.8</v>
      </c>
      <c r="F29" s="43">
        <v>2.6</v>
      </c>
      <c r="G29" s="43">
        <v>1.9</v>
      </c>
      <c r="H29" s="43">
        <v>0.6</v>
      </c>
      <c r="I29" s="43">
        <v>1.4</v>
      </c>
      <c r="J29" s="43">
        <v>1</v>
      </c>
      <c r="K29" s="43">
        <v>0</v>
      </c>
      <c r="L29" s="43">
        <v>0.3</v>
      </c>
      <c r="M29" s="41">
        <v>0.2</v>
      </c>
      <c r="N29" s="203">
        <v>0</v>
      </c>
      <c r="O29" s="203">
        <v>0</v>
      </c>
      <c r="P29" s="203">
        <v>0</v>
      </c>
      <c r="Q29" s="203">
        <v>0</v>
      </c>
      <c r="R29" s="203">
        <v>0.3</v>
      </c>
      <c r="S29" s="203">
        <v>0.1</v>
      </c>
      <c r="T29" s="203">
        <v>0</v>
      </c>
      <c r="U29" s="203">
        <v>0</v>
      </c>
      <c r="V29" s="205">
        <v>0</v>
      </c>
      <c r="Y29" s="704" t="s">
        <v>469</v>
      </c>
      <c r="Z29" s="705"/>
      <c r="AA29" s="703" t="s">
        <v>468</v>
      </c>
      <c r="AB29" s="600"/>
      <c r="AC29" s="717">
        <v>0.86</v>
      </c>
      <c r="AD29" s="716">
        <v>0.74</v>
      </c>
      <c r="AE29" s="715">
        <v>0.74</v>
      </c>
      <c r="AF29" s="696">
        <v>0.74</v>
      </c>
    </row>
    <row r="30" spans="2:32" ht="12.75">
      <c r="B30" s="665" t="s">
        <v>108</v>
      </c>
      <c r="C30" s="276"/>
      <c r="D30" s="277"/>
      <c r="E30" s="43">
        <v>0.1</v>
      </c>
      <c r="F30" s="43">
        <v>0.1</v>
      </c>
      <c r="G30" s="43">
        <v>0.1</v>
      </c>
      <c r="H30" s="43">
        <v>0.1</v>
      </c>
      <c r="I30" s="43">
        <v>0.1</v>
      </c>
      <c r="J30" s="43">
        <v>0.1</v>
      </c>
      <c r="K30" s="43">
        <v>0.1</v>
      </c>
      <c r="L30" s="43">
        <v>0.1</v>
      </c>
      <c r="M30" s="41">
        <v>0.1</v>
      </c>
      <c r="N30" s="203">
        <v>0.8</v>
      </c>
      <c r="O30" s="203">
        <v>0</v>
      </c>
      <c r="P30" s="203">
        <v>0.4</v>
      </c>
      <c r="Q30" s="203">
        <v>2</v>
      </c>
      <c r="R30" s="203">
        <v>0</v>
      </c>
      <c r="S30" s="203">
        <v>1.1</v>
      </c>
      <c r="T30" s="203">
        <v>1.9</v>
      </c>
      <c r="U30" s="203">
        <v>0</v>
      </c>
      <c r="V30" s="207">
        <v>0.8</v>
      </c>
      <c r="Y30" s="706"/>
      <c r="Z30" s="707"/>
      <c r="AA30" s="573"/>
      <c r="AB30" s="602"/>
      <c r="AC30" s="718"/>
      <c r="AD30" s="716"/>
      <c r="AE30" s="716"/>
      <c r="AF30" s="697"/>
    </row>
    <row r="31" spans="2:32" ht="13.5" thickBot="1">
      <c r="B31" s="665" t="s">
        <v>109</v>
      </c>
      <c r="C31" s="276"/>
      <c r="D31" s="277"/>
      <c r="E31" s="43">
        <v>0.1</v>
      </c>
      <c r="F31" s="44">
        <v>0.1</v>
      </c>
      <c r="G31" s="44">
        <v>0.1</v>
      </c>
      <c r="H31" s="44">
        <v>0.1</v>
      </c>
      <c r="I31" s="44">
        <v>0.1</v>
      </c>
      <c r="J31" s="44">
        <v>0.1</v>
      </c>
      <c r="K31" s="44">
        <v>0.1</v>
      </c>
      <c r="L31" s="44">
        <v>0.1</v>
      </c>
      <c r="M31" s="15">
        <v>0.1</v>
      </c>
      <c r="N31" s="203">
        <v>0.3</v>
      </c>
      <c r="O31" s="203">
        <v>0</v>
      </c>
      <c r="P31" s="203">
        <v>0.1</v>
      </c>
      <c r="Q31" s="203">
        <v>1.8</v>
      </c>
      <c r="R31" s="203">
        <v>0</v>
      </c>
      <c r="S31" s="203">
        <v>0.9</v>
      </c>
      <c r="T31" s="203">
        <v>1.9</v>
      </c>
      <c r="U31" s="203">
        <v>0</v>
      </c>
      <c r="V31" s="207">
        <v>0.8</v>
      </c>
      <c r="Y31" s="708"/>
      <c r="Z31" s="709"/>
      <c r="AA31" s="698" t="s">
        <v>244</v>
      </c>
      <c r="AB31" s="699"/>
      <c r="AC31" s="53">
        <v>0.96</v>
      </c>
      <c r="AD31" s="52">
        <v>0.92</v>
      </c>
      <c r="AE31" s="52">
        <v>0.88</v>
      </c>
      <c r="AF31" s="53">
        <v>0.85</v>
      </c>
    </row>
    <row r="32" spans="2:32" ht="12.75">
      <c r="B32" s="665" t="s">
        <v>110</v>
      </c>
      <c r="C32" s="276"/>
      <c r="D32" s="277"/>
      <c r="E32" s="44">
        <v>2.2</v>
      </c>
      <c r="F32" s="44">
        <v>0.7</v>
      </c>
      <c r="G32" s="44">
        <v>1.3</v>
      </c>
      <c r="H32" s="44">
        <v>0.6</v>
      </c>
      <c r="I32" s="44">
        <v>0.4</v>
      </c>
      <c r="J32" s="44">
        <v>0.5</v>
      </c>
      <c r="K32" s="44">
        <v>0.3</v>
      </c>
      <c r="L32" s="44">
        <v>0.3</v>
      </c>
      <c r="M32" s="15">
        <v>0.3</v>
      </c>
      <c r="N32" s="203">
        <v>2.5</v>
      </c>
      <c r="O32" s="203">
        <v>1</v>
      </c>
      <c r="P32" s="203">
        <v>1.8</v>
      </c>
      <c r="Q32" s="203">
        <v>1.3</v>
      </c>
      <c r="R32" s="203">
        <v>0.6</v>
      </c>
      <c r="S32" s="203">
        <v>0.9</v>
      </c>
      <c r="T32" s="203">
        <v>0</v>
      </c>
      <c r="U32" s="203">
        <v>0</v>
      </c>
      <c r="V32" s="207">
        <v>0</v>
      </c>
      <c r="Y32" s="97" t="s">
        <v>246</v>
      </c>
      <c r="Z32" s="719" t="s">
        <v>248</v>
      </c>
      <c r="AA32" s="720"/>
      <c r="AB32" s="720"/>
      <c r="AC32" s="720"/>
      <c r="AD32" s="720"/>
      <c r="AE32" s="720"/>
      <c r="AF32" s="720"/>
    </row>
    <row r="33" spans="2:32" ht="12.75">
      <c r="B33" s="665" t="s">
        <v>111</v>
      </c>
      <c r="C33" s="276"/>
      <c r="D33" s="277"/>
      <c r="E33" s="44">
        <v>24</v>
      </c>
      <c r="F33" s="44">
        <v>24.7</v>
      </c>
      <c r="G33" s="44">
        <v>24.4</v>
      </c>
      <c r="H33" s="44">
        <v>9.4</v>
      </c>
      <c r="I33" s="44">
        <v>14.4</v>
      </c>
      <c r="J33" s="44">
        <v>12.2</v>
      </c>
      <c r="K33" s="44">
        <v>3.2</v>
      </c>
      <c r="L33" s="44">
        <v>8.1</v>
      </c>
      <c r="M33" s="15">
        <v>6.4</v>
      </c>
      <c r="N33" s="203">
        <v>11.4</v>
      </c>
      <c r="O33" s="203">
        <v>13.9</v>
      </c>
      <c r="P33" s="203">
        <v>12.6</v>
      </c>
      <c r="Q33" s="203">
        <v>3</v>
      </c>
      <c r="R33" s="203">
        <v>5.9</v>
      </c>
      <c r="S33" s="203">
        <v>4.4</v>
      </c>
      <c r="T33" s="203">
        <v>0</v>
      </c>
      <c r="U33" s="203">
        <v>0</v>
      </c>
      <c r="V33" s="207">
        <v>0</v>
      </c>
      <c r="Y33" s="98"/>
      <c r="Z33" s="248"/>
      <c r="AA33" s="248"/>
      <c r="AB33" s="248"/>
      <c r="AC33" s="248"/>
      <c r="AD33" s="248"/>
      <c r="AE33" s="248"/>
      <c r="AF33" s="248"/>
    </row>
    <row r="34" spans="2:32" ht="13.5" thickBot="1">
      <c r="B34" s="669" t="s">
        <v>150</v>
      </c>
      <c r="C34" s="629"/>
      <c r="D34" s="630"/>
      <c r="E34" s="44">
        <v>1.1</v>
      </c>
      <c r="F34" s="44">
        <v>2</v>
      </c>
      <c r="G34" s="44">
        <v>1.6</v>
      </c>
      <c r="H34" s="44">
        <v>0.4</v>
      </c>
      <c r="I34" s="44">
        <v>1</v>
      </c>
      <c r="J34" s="44">
        <v>0.8</v>
      </c>
      <c r="K34" s="44">
        <v>0.3</v>
      </c>
      <c r="L34" s="44">
        <v>1.8</v>
      </c>
      <c r="M34" s="15">
        <v>0.5</v>
      </c>
      <c r="N34" s="203">
        <v>0.5</v>
      </c>
      <c r="O34" s="203">
        <v>0.6</v>
      </c>
      <c r="P34" s="203">
        <v>0.6</v>
      </c>
      <c r="Q34" s="203">
        <v>0.8</v>
      </c>
      <c r="R34" s="203">
        <v>0</v>
      </c>
      <c r="S34" s="203">
        <v>0.4</v>
      </c>
      <c r="T34" s="203">
        <v>1.9</v>
      </c>
      <c r="U34" s="203">
        <v>0</v>
      </c>
      <c r="V34" s="209">
        <v>0.8</v>
      </c>
      <c r="Y34" s="99"/>
      <c r="Z34" s="97" t="s">
        <v>247</v>
      </c>
      <c r="AA34" s="100"/>
      <c r="AB34" s="100"/>
      <c r="AC34" s="100"/>
      <c r="AD34" s="100"/>
      <c r="AE34" s="100"/>
      <c r="AF34" s="100"/>
    </row>
    <row r="35" spans="2:22" ht="14.25" thickBot="1" thickTop="1">
      <c r="B35" s="666" t="s">
        <v>113</v>
      </c>
      <c r="C35" s="667"/>
      <c r="D35" s="668"/>
      <c r="E35" s="60">
        <f aca="true" t="shared" si="0" ref="E35:V35">SUM(E29:E34)</f>
        <v>28.3</v>
      </c>
      <c r="F35" s="60">
        <f t="shared" si="0"/>
        <v>30.2</v>
      </c>
      <c r="G35" s="60">
        <f t="shared" si="0"/>
        <v>29.4</v>
      </c>
      <c r="H35" s="60">
        <f t="shared" si="0"/>
        <v>11.200000000000001</v>
      </c>
      <c r="I35" s="60">
        <f t="shared" si="0"/>
        <v>17.4</v>
      </c>
      <c r="J35" s="60">
        <f t="shared" si="0"/>
        <v>14.7</v>
      </c>
      <c r="K35" s="60">
        <f t="shared" si="0"/>
        <v>4</v>
      </c>
      <c r="L35" s="60">
        <f t="shared" si="0"/>
        <v>10.700000000000001</v>
      </c>
      <c r="M35" s="46">
        <f t="shared" si="0"/>
        <v>7.6000000000000005</v>
      </c>
      <c r="N35" s="60">
        <f t="shared" si="0"/>
        <v>15.5</v>
      </c>
      <c r="O35" s="60">
        <f t="shared" si="0"/>
        <v>15.5</v>
      </c>
      <c r="P35" s="60">
        <f t="shared" si="0"/>
        <v>15.499999999999998</v>
      </c>
      <c r="Q35" s="60">
        <f t="shared" si="0"/>
        <v>8.9</v>
      </c>
      <c r="R35" s="60">
        <f t="shared" si="0"/>
        <v>6.800000000000001</v>
      </c>
      <c r="S35" s="60">
        <f t="shared" si="0"/>
        <v>7.800000000000001</v>
      </c>
      <c r="T35" s="60">
        <f t="shared" si="0"/>
        <v>5.699999999999999</v>
      </c>
      <c r="U35" s="60">
        <f t="shared" si="0"/>
        <v>0</v>
      </c>
      <c r="V35" s="46">
        <f t="shared" si="0"/>
        <v>2.4000000000000004</v>
      </c>
    </row>
    <row r="36" spans="2:22" ht="12.75">
      <c r="B36" s="673" t="s">
        <v>151</v>
      </c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255" t="s">
        <v>151</v>
      </c>
      <c r="O36" s="675"/>
      <c r="P36" s="675"/>
      <c r="Q36" s="675"/>
      <c r="R36" s="675"/>
      <c r="S36" s="675"/>
      <c r="T36" s="675"/>
      <c r="U36" s="675"/>
      <c r="V36" s="675"/>
    </row>
    <row r="37" spans="2:22" ht="12.75">
      <c r="B37" s="664" t="s">
        <v>115</v>
      </c>
      <c r="C37" s="269"/>
      <c r="D37" s="270"/>
      <c r="E37" s="44">
        <v>27.5</v>
      </c>
      <c r="F37" s="44">
        <v>21</v>
      </c>
      <c r="G37" s="44">
        <v>23.7</v>
      </c>
      <c r="H37" s="44">
        <v>53.2</v>
      </c>
      <c r="I37" s="44">
        <v>35.4</v>
      </c>
      <c r="J37" s="44">
        <v>43.1</v>
      </c>
      <c r="K37" s="44">
        <v>33.6</v>
      </c>
      <c r="L37" s="44">
        <v>24.2</v>
      </c>
      <c r="M37" s="59">
        <v>27.4</v>
      </c>
      <c r="N37" s="204">
        <v>4.6</v>
      </c>
      <c r="O37" s="204">
        <v>5.8</v>
      </c>
      <c r="P37" s="204">
        <v>5.2</v>
      </c>
      <c r="Q37" s="204">
        <v>42.2</v>
      </c>
      <c r="R37" s="204">
        <v>28.8</v>
      </c>
      <c r="S37" s="204">
        <v>35.9</v>
      </c>
      <c r="T37" s="204">
        <v>25.9</v>
      </c>
      <c r="U37" s="204">
        <v>24.6</v>
      </c>
      <c r="V37" s="205">
        <v>25.2</v>
      </c>
    </row>
    <row r="38" spans="2:22" ht="12.75">
      <c r="B38" s="676" t="s">
        <v>116</v>
      </c>
      <c r="C38" s="276"/>
      <c r="D38" s="277"/>
      <c r="E38" s="45">
        <v>8.1</v>
      </c>
      <c r="F38" s="44">
        <v>3.2</v>
      </c>
      <c r="G38" s="44">
        <v>5.2</v>
      </c>
      <c r="H38" s="44">
        <v>6</v>
      </c>
      <c r="I38" s="44">
        <v>2.5</v>
      </c>
      <c r="J38" s="44">
        <v>4</v>
      </c>
      <c r="K38" s="44">
        <v>8</v>
      </c>
      <c r="L38" s="44">
        <v>4</v>
      </c>
      <c r="M38" s="59">
        <v>5.4</v>
      </c>
      <c r="N38" s="206">
        <v>1.1</v>
      </c>
      <c r="O38" s="203">
        <v>0</v>
      </c>
      <c r="P38" s="203">
        <v>0.6</v>
      </c>
      <c r="Q38" s="203">
        <v>0.8</v>
      </c>
      <c r="R38" s="203">
        <v>0.3</v>
      </c>
      <c r="S38" s="203">
        <v>0.5</v>
      </c>
      <c r="T38" s="203">
        <v>0</v>
      </c>
      <c r="U38" s="203">
        <v>0</v>
      </c>
      <c r="V38" s="207">
        <v>0</v>
      </c>
    </row>
    <row r="39" spans="2:22" ht="12.75">
      <c r="B39" s="676" t="s">
        <v>117</v>
      </c>
      <c r="C39" s="276"/>
      <c r="D39" s="277"/>
      <c r="E39" s="44">
        <v>26</v>
      </c>
      <c r="F39" s="44">
        <v>29.2</v>
      </c>
      <c r="G39" s="44">
        <v>27.8</v>
      </c>
      <c r="H39" s="44">
        <v>21</v>
      </c>
      <c r="I39" s="44">
        <v>26.6</v>
      </c>
      <c r="J39" s="44">
        <v>24.2</v>
      </c>
      <c r="K39" s="44">
        <v>40.3</v>
      </c>
      <c r="L39" s="44">
        <v>43.8</v>
      </c>
      <c r="M39" s="59">
        <v>42.6</v>
      </c>
      <c r="N39" s="203">
        <v>33.2</v>
      </c>
      <c r="O39" s="203">
        <v>33.3</v>
      </c>
      <c r="P39" s="203">
        <v>33.3</v>
      </c>
      <c r="Q39" s="203">
        <v>17.7</v>
      </c>
      <c r="R39" s="203">
        <v>20.3</v>
      </c>
      <c r="S39" s="203">
        <v>18.9</v>
      </c>
      <c r="T39" s="203">
        <v>42.6</v>
      </c>
      <c r="U39" s="203">
        <v>39.1</v>
      </c>
      <c r="V39" s="207">
        <v>40.7</v>
      </c>
    </row>
    <row r="40" spans="2:22" ht="12.75">
      <c r="B40" s="676" t="s">
        <v>118</v>
      </c>
      <c r="C40" s="276"/>
      <c r="D40" s="277"/>
      <c r="E40" s="44">
        <v>5.1</v>
      </c>
      <c r="F40" s="44">
        <v>13.1</v>
      </c>
      <c r="G40" s="44">
        <v>9.7</v>
      </c>
      <c r="H40" s="44">
        <v>4.4</v>
      </c>
      <c r="I40" s="44">
        <v>14.4</v>
      </c>
      <c r="J40" s="44">
        <v>10.1</v>
      </c>
      <c r="K40" s="44">
        <v>5.1</v>
      </c>
      <c r="L40" s="44">
        <v>15.3</v>
      </c>
      <c r="M40" s="59">
        <v>11.8</v>
      </c>
      <c r="N40" s="203">
        <v>1.6</v>
      </c>
      <c r="O40" s="203">
        <v>1.9</v>
      </c>
      <c r="P40" s="203">
        <v>1.8</v>
      </c>
      <c r="Q40" s="203">
        <v>0.5</v>
      </c>
      <c r="R40" s="203">
        <v>0</v>
      </c>
      <c r="S40" s="203">
        <v>0.3</v>
      </c>
      <c r="T40" s="203">
        <v>0</v>
      </c>
      <c r="U40" s="203">
        <v>1.4</v>
      </c>
      <c r="V40" s="207">
        <v>0.8</v>
      </c>
    </row>
    <row r="41" spans="2:22" ht="13.5" thickBot="1">
      <c r="B41" s="669" t="s">
        <v>119</v>
      </c>
      <c r="C41" s="629"/>
      <c r="D41" s="630"/>
      <c r="E41" s="44">
        <v>5</v>
      </c>
      <c r="F41" s="44">
        <v>3.3</v>
      </c>
      <c r="G41" s="44">
        <v>4.2</v>
      </c>
      <c r="H41" s="44">
        <v>4.2</v>
      </c>
      <c r="I41" s="44">
        <v>3.7</v>
      </c>
      <c r="J41" s="44">
        <v>3.9</v>
      </c>
      <c r="K41" s="44">
        <v>9</v>
      </c>
      <c r="L41" s="44">
        <v>2</v>
      </c>
      <c r="M41" s="59">
        <v>5.2</v>
      </c>
      <c r="N41" s="208">
        <v>43.9</v>
      </c>
      <c r="O41" s="208">
        <v>43.4</v>
      </c>
      <c r="P41" s="208">
        <v>43.6</v>
      </c>
      <c r="Q41" s="208">
        <v>30.1</v>
      </c>
      <c r="R41" s="208">
        <v>43.8</v>
      </c>
      <c r="S41" s="208">
        <v>36.5</v>
      </c>
      <c r="T41" s="208">
        <v>25.9</v>
      </c>
      <c r="U41" s="208">
        <v>34.8</v>
      </c>
      <c r="V41" s="209">
        <v>30.9</v>
      </c>
    </row>
    <row r="42" spans="2:22" ht="14.25" thickBot="1" thickTop="1">
      <c r="B42" s="666" t="s">
        <v>152</v>
      </c>
      <c r="C42" s="667"/>
      <c r="D42" s="668"/>
      <c r="E42" s="60">
        <f aca="true" t="shared" si="1" ref="E42:V42">SUM(E37:E41)</f>
        <v>71.7</v>
      </c>
      <c r="F42" s="60">
        <f t="shared" si="1"/>
        <v>69.8</v>
      </c>
      <c r="G42" s="60">
        <f t="shared" si="1"/>
        <v>70.60000000000001</v>
      </c>
      <c r="H42" s="60">
        <f t="shared" si="1"/>
        <v>88.80000000000001</v>
      </c>
      <c r="I42" s="60">
        <f t="shared" si="1"/>
        <v>82.60000000000001</v>
      </c>
      <c r="J42" s="60">
        <f t="shared" si="1"/>
        <v>85.3</v>
      </c>
      <c r="K42" s="60">
        <f t="shared" si="1"/>
        <v>96</v>
      </c>
      <c r="L42" s="60">
        <f t="shared" si="1"/>
        <v>89.3</v>
      </c>
      <c r="M42" s="46">
        <f t="shared" si="1"/>
        <v>92.4</v>
      </c>
      <c r="N42" s="60">
        <f t="shared" si="1"/>
        <v>84.4</v>
      </c>
      <c r="O42" s="60">
        <f t="shared" si="1"/>
        <v>84.39999999999999</v>
      </c>
      <c r="P42" s="60">
        <f t="shared" si="1"/>
        <v>84.5</v>
      </c>
      <c r="Q42" s="60">
        <f t="shared" si="1"/>
        <v>91.30000000000001</v>
      </c>
      <c r="R42" s="60">
        <f t="shared" si="1"/>
        <v>93.2</v>
      </c>
      <c r="S42" s="60">
        <f t="shared" si="1"/>
        <v>92.1</v>
      </c>
      <c r="T42" s="60">
        <f t="shared" si="1"/>
        <v>94.4</v>
      </c>
      <c r="U42" s="60">
        <f t="shared" si="1"/>
        <v>99.9</v>
      </c>
      <c r="V42" s="46">
        <f t="shared" si="1"/>
        <v>97.6</v>
      </c>
    </row>
    <row r="43" spans="2:22" ht="13.5" thickBot="1">
      <c r="B43" s="670" t="s">
        <v>153</v>
      </c>
      <c r="C43" s="671"/>
      <c r="D43" s="672"/>
      <c r="E43" s="47">
        <f aca="true" t="shared" si="2" ref="E43:V43">+E35+E42</f>
        <v>100</v>
      </c>
      <c r="F43" s="47">
        <f t="shared" si="2"/>
        <v>100</v>
      </c>
      <c r="G43" s="47">
        <f t="shared" si="2"/>
        <v>100</v>
      </c>
      <c r="H43" s="47">
        <f t="shared" si="2"/>
        <v>100.00000000000001</v>
      </c>
      <c r="I43" s="47">
        <f t="shared" si="2"/>
        <v>100</v>
      </c>
      <c r="J43" s="47">
        <f t="shared" si="2"/>
        <v>100</v>
      </c>
      <c r="K43" s="47">
        <f t="shared" si="2"/>
        <v>100</v>
      </c>
      <c r="L43" s="47">
        <f t="shared" si="2"/>
        <v>100</v>
      </c>
      <c r="M43" s="48">
        <f t="shared" si="2"/>
        <v>100</v>
      </c>
      <c r="N43" s="47">
        <f t="shared" si="2"/>
        <v>99.9</v>
      </c>
      <c r="O43" s="47">
        <f t="shared" si="2"/>
        <v>99.89999999999999</v>
      </c>
      <c r="P43" s="47">
        <f t="shared" si="2"/>
        <v>100</v>
      </c>
      <c r="Q43" s="47">
        <f t="shared" si="2"/>
        <v>100.20000000000002</v>
      </c>
      <c r="R43" s="47">
        <f t="shared" si="2"/>
        <v>100</v>
      </c>
      <c r="S43" s="47">
        <f t="shared" si="2"/>
        <v>99.89999999999999</v>
      </c>
      <c r="T43" s="47">
        <f t="shared" si="2"/>
        <v>100.10000000000001</v>
      </c>
      <c r="U43" s="47">
        <f t="shared" si="2"/>
        <v>99.9</v>
      </c>
      <c r="V43" s="48">
        <f t="shared" si="2"/>
        <v>100</v>
      </c>
    </row>
    <row r="44" ht="12.75">
      <c r="B44" s="225" t="s">
        <v>450</v>
      </c>
    </row>
    <row r="46" spans="2:8" ht="12.75">
      <c r="B46" s="490" t="s">
        <v>471</v>
      </c>
      <c r="C46" s="492"/>
      <c r="D46" s="492"/>
      <c r="E46" s="492"/>
      <c r="F46" s="492"/>
      <c r="G46" s="492"/>
      <c r="H46" s="435"/>
    </row>
    <row r="47" spans="2:8" ht="13.5" thickBot="1">
      <c r="B47" s="485"/>
      <c r="C47" s="485"/>
      <c r="D47" s="485"/>
      <c r="E47" s="485"/>
      <c r="F47" s="485"/>
      <c r="G47" s="485"/>
      <c r="H47" s="680"/>
    </row>
    <row r="48" spans="2:8" ht="14.25">
      <c r="B48" s="679" t="s">
        <v>249</v>
      </c>
      <c r="C48" s="399"/>
      <c r="D48" s="399"/>
      <c r="E48" s="677" t="s">
        <v>251</v>
      </c>
      <c r="F48" s="678"/>
      <c r="G48" s="678"/>
      <c r="H48" s="678"/>
    </row>
    <row r="49" spans="2:9" ht="12.75" customHeight="1">
      <c r="B49" s="689" t="s">
        <v>201</v>
      </c>
      <c r="C49" s="690"/>
      <c r="D49" s="198" t="s">
        <v>199</v>
      </c>
      <c r="E49" s="498" t="s">
        <v>250</v>
      </c>
      <c r="F49" s="495"/>
      <c r="G49" s="239" t="s">
        <v>486</v>
      </c>
      <c r="H49" s="240"/>
      <c r="I49" s="238"/>
    </row>
    <row r="50" spans="2:8" ht="12.75">
      <c r="B50" s="502" t="s">
        <v>213</v>
      </c>
      <c r="C50" s="258"/>
      <c r="D50" s="291"/>
      <c r="E50" s="688">
        <v>0.26</v>
      </c>
      <c r="F50" s="243"/>
      <c r="G50" s="682">
        <v>0.182</v>
      </c>
      <c r="H50" s="683"/>
    </row>
    <row r="51" spans="2:8" ht="12.75">
      <c r="B51" s="502" t="s">
        <v>214</v>
      </c>
      <c r="C51" s="258"/>
      <c r="D51" s="291"/>
      <c r="E51" s="688">
        <v>0.244</v>
      </c>
      <c r="F51" s="243"/>
      <c r="G51" s="682">
        <v>0.172</v>
      </c>
      <c r="H51" s="683"/>
    </row>
    <row r="52" spans="2:8" ht="13.5" thickBot="1">
      <c r="B52" s="686" t="s">
        <v>215</v>
      </c>
      <c r="C52" s="550"/>
      <c r="D52" s="687"/>
      <c r="E52" s="681">
        <v>0.286</v>
      </c>
      <c r="F52" s="452"/>
      <c r="G52" s="684">
        <v>0.13</v>
      </c>
      <c r="H52" s="685"/>
    </row>
    <row r="53" ht="12.75">
      <c r="B53" s="225" t="s">
        <v>450</v>
      </c>
    </row>
  </sheetData>
  <sheetProtection/>
  <mergeCells count="173">
    <mergeCell ref="E49:F49"/>
    <mergeCell ref="AA27:AB28"/>
    <mergeCell ref="AC27:AC28"/>
    <mergeCell ref="AD27:AD28"/>
    <mergeCell ref="AE27:AE28"/>
    <mergeCell ref="AF27:AF28"/>
    <mergeCell ref="Y29:Z31"/>
    <mergeCell ref="AA29:AB30"/>
    <mergeCell ref="AC29:AC30"/>
    <mergeCell ref="AD29:AD30"/>
    <mergeCell ref="AE29:AE30"/>
    <mergeCell ref="Z32:AF33"/>
    <mergeCell ref="Z16:AF17"/>
    <mergeCell ref="Y21:AF22"/>
    <mergeCell ref="Y23:Z26"/>
    <mergeCell ref="AA23:AB26"/>
    <mergeCell ref="AC23:AF24"/>
    <mergeCell ref="AC25:AC26"/>
    <mergeCell ref="AD25:AD26"/>
    <mergeCell ref="AE25:AE26"/>
    <mergeCell ref="AF25:AF26"/>
    <mergeCell ref="AF11:AF12"/>
    <mergeCell ref="AC13:AC14"/>
    <mergeCell ref="AD13:AD14"/>
    <mergeCell ref="AE13:AE14"/>
    <mergeCell ref="AF13:AF14"/>
    <mergeCell ref="AC11:AC12"/>
    <mergeCell ref="AD11:AD12"/>
    <mergeCell ref="AA11:AB12"/>
    <mergeCell ref="Y13:Z15"/>
    <mergeCell ref="AA13:AB14"/>
    <mergeCell ref="AA15:AB15"/>
    <mergeCell ref="Y5:AF6"/>
    <mergeCell ref="AC7:AF8"/>
    <mergeCell ref="AC9:AC10"/>
    <mergeCell ref="AD9:AD10"/>
    <mergeCell ref="AE9:AE10"/>
    <mergeCell ref="AE11:AE12"/>
    <mergeCell ref="E50:F50"/>
    <mergeCell ref="E51:F51"/>
    <mergeCell ref="B49:C49"/>
    <mergeCell ref="Y7:Z10"/>
    <mergeCell ref="AA7:AB10"/>
    <mergeCell ref="AF29:AF30"/>
    <mergeCell ref="AA31:AB31"/>
    <mergeCell ref="Y27:Z28"/>
    <mergeCell ref="AF9:AF10"/>
    <mergeCell ref="Y11:Z12"/>
    <mergeCell ref="E48:H48"/>
    <mergeCell ref="B48:D48"/>
    <mergeCell ref="B46:H47"/>
    <mergeCell ref="E52:F52"/>
    <mergeCell ref="G50:H50"/>
    <mergeCell ref="G51:H51"/>
    <mergeCell ref="G52:H52"/>
    <mergeCell ref="B50:D50"/>
    <mergeCell ref="B51:D51"/>
    <mergeCell ref="B52:D52"/>
    <mergeCell ref="B43:D43"/>
    <mergeCell ref="B36:M36"/>
    <mergeCell ref="N36:V36"/>
    <mergeCell ref="B38:D38"/>
    <mergeCell ref="B39:D39"/>
    <mergeCell ref="B40:D40"/>
    <mergeCell ref="B41:D41"/>
    <mergeCell ref="B42:D42"/>
    <mergeCell ref="B29:D29"/>
    <mergeCell ref="B30:D30"/>
    <mergeCell ref="B32:D32"/>
    <mergeCell ref="B35:D35"/>
    <mergeCell ref="B37:D37"/>
    <mergeCell ref="B31:D31"/>
    <mergeCell ref="B33:D33"/>
    <mergeCell ref="B34:D34"/>
    <mergeCell ref="N28:V28"/>
    <mergeCell ref="B28:M28"/>
    <mergeCell ref="U26:U27"/>
    <mergeCell ref="V26:V27"/>
    <mergeCell ref="O26:O27"/>
    <mergeCell ref="P26:P27"/>
    <mergeCell ref="F26:F27"/>
    <mergeCell ref="G26:G27"/>
    <mergeCell ref="H26:H27"/>
    <mergeCell ref="N26:N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T24:V25"/>
    <mergeCell ref="E24:G25"/>
    <mergeCell ref="H24:J25"/>
    <mergeCell ref="K24:M25"/>
    <mergeCell ref="E23:M23"/>
    <mergeCell ref="N23:V23"/>
    <mergeCell ref="N24:P25"/>
    <mergeCell ref="E26:E27"/>
    <mergeCell ref="I18:J18"/>
    <mergeCell ref="K18:L18"/>
    <mergeCell ref="M18:N18"/>
    <mergeCell ref="B17:D17"/>
    <mergeCell ref="B18:D18"/>
    <mergeCell ref="B27:C27"/>
    <mergeCell ref="B23:D26"/>
    <mergeCell ref="B21:V22"/>
    <mergeCell ref="Q24:S25"/>
    <mergeCell ref="O18:P18"/>
    <mergeCell ref="O17:P17"/>
    <mergeCell ref="E18:F18"/>
    <mergeCell ref="G18:H18"/>
    <mergeCell ref="O16:P16"/>
    <mergeCell ref="E17:F17"/>
    <mergeCell ref="G17:H17"/>
    <mergeCell ref="I17:J17"/>
    <mergeCell ref="K17:L17"/>
    <mergeCell ref="M17:N17"/>
    <mergeCell ref="K16:L16"/>
    <mergeCell ref="M16:N16"/>
    <mergeCell ref="B15:D15"/>
    <mergeCell ref="B14:D14"/>
    <mergeCell ref="E14:F14"/>
    <mergeCell ref="G14:H14"/>
    <mergeCell ref="E16:F16"/>
    <mergeCell ref="G16:H16"/>
    <mergeCell ref="I16:J16"/>
    <mergeCell ref="B16:D16"/>
    <mergeCell ref="E15:F15"/>
    <mergeCell ref="G15:H15"/>
    <mergeCell ref="G13:H13"/>
    <mergeCell ref="I13:J13"/>
    <mergeCell ref="K13:L13"/>
    <mergeCell ref="I15:J15"/>
    <mergeCell ref="I14:J14"/>
    <mergeCell ref="E13:F13"/>
    <mergeCell ref="O13:P13"/>
    <mergeCell ref="O15:P15"/>
    <mergeCell ref="K12:L12"/>
    <mergeCell ref="M12:N12"/>
    <mergeCell ref="O12:P12"/>
    <mergeCell ref="O14:P14"/>
    <mergeCell ref="K15:L15"/>
    <mergeCell ref="M15:N15"/>
    <mergeCell ref="K14:L14"/>
    <mergeCell ref="G12:H12"/>
    <mergeCell ref="I12:J12"/>
    <mergeCell ref="M14:N14"/>
    <mergeCell ref="B13:D13"/>
    <mergeCell ref="B12:D12"/>
    <mergeCell ref="E12:F12"/>
    <mergeCell ref="M13:N13"/>
    <mergeCell ref="B5:P6"/>
    <mergeCell ref="M11:N11"/>
    <mergeCell ref="O11:P11"/>
    <mergeCell ref="B11:D11"/>
    <mergeCell ref="E11:F11"/>
    <mergeCell ref="G11:H11"/>
    <mergeCell ref="I11:J11"/>
    <mergeCell ref="K11:L11"/>
    <mergeCell ref="B7:D9"/>
    <mergeCell ref="E7:P7"/>
    <mergeCell ref="K9:L10"/>
    <mergeCell ref="M9:N10"/>
    <mergeCell ref="B10:C10"/>
    <mergeCell ref="E8:J8"/>
    <mergeCell ref="K8:P8"/>
    <mergeCell ref="E9:F10"/>
    <mergeCell ref="G9:H10"/>
    <mergeCell ref="I9:J10"/>
    <mergeCell ref="O9:P10"/>
  </mergeCells>
  <dataValidations count="1">
    <dataValidation type="list" allowBlank="1" showInputMessage="1" showErrorMessage="1" sqref="D10 D27 D49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72" customWidth="1"/>
    <col min="8" max="8" width="15.28125" style="72" customWidth="1"/>
    <col min="9" max="9" width="13.7109375" style="72" customWidth="1"/>
    <col min="10" max="10" width="15.8515625" style="72" customWidth="1"/>
    <col min="11" max="17" width="13.7109375" style="72" customWidth="1"/>
    <col min="18" max="27" width="12.7109375" style="72" customWidth="1"/>
    <col min="28" max="33" width="9.140625" style="72" customWidth="1"/>
    <col min="34" max="34" width="11.00390625" style="72" customWidth="1"/>
    <col min="35" max="35" width="12.421875" style="72" customWidth="1"/>
    <col min="36" max="36" width="10.421875" style="72" customWidth="1"/>
    <col min="37" max="37" width="10.7109375" style="72" customWidth="1"/>
    <col min="38" max="38" width="12.421875" style="72" customWidth="1"/>
    <col min="39" max="39" width="10.421875" style="72" customWidth="1"/>
    <col min="40" max="40" width="11.7109375" style="72" customWidth="1"/>
    <col min="41" max="41" width="10.421875" style="72" customWidth="1"/>
    <col min="42" max="43" width="9.140625" style="72" customWidth="1"/>
    <col min="44" max="44" width="10.140625" style="72" customWidth="1"/>
    <col min="45" max="16384" width="9.140625" style="72" customWidth="1"/>
  </cols>
  <sheetData>
    <row r="1" spans="12:21" ht="12.75">
      <c r="L1" s="74"/>
      <c r="O1" s="17"/>
      <c r="U1" s="139"/>
    </row>
    <row r="2" spans="12:21" ht="13.5" thickBot="1">
      <c r="L2" s="74"/>
      <c r="O2" s="17"/>
      <c r="U2" s="139"/>
    </row>
    <row r="3" spans="1:53" ht="13.5" thickTop="1">
      <c r="A3" s="136"/>
      <c r="B3" s="728" t="s">
        <v>330</v>
      </c>
      <c r="C3" s="729"/>
      <c r="D3" s="729"/>
      <c r="E3" s="729"/>
      <c r="F3" s="729"/>
      <c r="G3" s="729"/>
      <c r="H3" s="729"/>
      <c r="I3" s="729"/>
      <c r="J3" s="729"/>
      <c r="K3" s="133"/>
      <c r="L3" s="92"/>
      <c r="M3" s="92"/>
      <c r="N3" s="92"/>
      <c r="O3" s="92"/>
      <c r="P3" s="92"/>
      <c r="Q3" s="92"/>
      <c r="R3" s="92"/>
      <c r="S3" s="92"/>
      <c r="T3" s="92"/>
      <c r="U3" s="140"/>
      <c r="V3" s="140"/>
      <c r="W3" s="102"/>
      <c r="X3" s="102"/>
      <c r="Y3" s="102"/>
      <c r="AH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13.5" thickBot="1">
      <c r="A4" s="102"/>
      <c r="B4" s="730"/>
      <c r="C4" s="730"/>
      <c r="D4" s="730"/>
      <c r="E4" s="730"/>
      <c r="F4" s="730"/>
      <c r="G4" s="730"/>
      <c r="H4" s="730"/>
      <c r="I4" s="730"/>
      <c r="J4" s="730"/>
      <c r="K4" s="17"/>
      <c r="L4" s="92"/>
      <c r="M4" s="92"/>
      <c r="N4" s="92"/>
      <c r="O4" s="92"/>
      <c r="P4" s="92"/>
      <c r="Q4" s="92"/>
      <c r="R4" s="92"/>
      <c r="S4" s="92"/>
      <c r="T4" s="92"/>
      <c r="U4" s="140"/>
      <c r="V4" s="140"/>
      <c r="W4" s="17"/>
      <c r="X4" s="17"/>
      <c r="Y4" s="17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2:53" ht="12.75">
      <c r="B5" s="568" t="s">
        <v>32</v>
      </c>
      <c r="C5" s="553"/>
      <c r="D5" s="89" t="s">
        <v>33</v>
      </c>
      <c r="E5" s="89" t="s">
        <v>34</v>
      </c>
      <c r="F5" s="89" t="s">
        <v>35</v>
      </c>
      <c r="G5" s="89" t="s">
        <v>36</v>
      </c>
      <c r="H5" s="89" t="s">
        <v>37</v>
      </c>
      <c r="I5" s="89" t="s">
        <v>38</v>
      </c>
      <c r="J5" s="141" t="s">
        <v>39</v>
      </c>
      <c r="K5" s="104"/>
      <c r="L5" s="91"/>
      <c r="M5" s="91"/>
      <c r="N5" s="91"/>
      <c r="O5" s="133"/>
      <c r="P5" s="133"/>
      <c r="Q5" s="133"/>
      <c r="R5" s="133"/>
      <c r="S5" s="133"/>
      <c r="T5" s="133"/>
      <c r="W5" s="133"/>
      <c r="X5" s="133"/>
      <c r="Y5" s="133"/>
      <c r="AH5" s="102"/>
      <c r="AI5" s="102"/>
      <c r="AJ5" s="102"/>
      <c r="AK5" s="17"/>
      <c r="AL5" s="102"/>
      <c r="AM5" s="17"/>
      <c r="AN5" s="17"/>
      <c r="AO5" s="17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2:53" ht="12.75" customHeight="1">
      <c r="B6" s="731" t="s">
        <v>331</v>
      </c>
      <c r="C6" s="661"/>
      <c r="D6" s="733" t="s">
        <v>122</v>
      </c>
      <c r="E6" s="734"/>
      <c r="F6" s="734"/>
      <c r="G6" s="657" t="s">
        <v>332</v>
      </c>
      <c r="H6" s="657" t="s">
        <v>81</v>
      </c>
      <c r="I6" s="657" t="s">
        <v>333</v>
      </c>
      <c r="J6" s="736" t="s">
        <v>334</v>
      </c>
      <c r="L6" s="140"/>
      <c r="M6" s="140"/>
      <c r="N6" s="140"/>
      <c r="O6" s="133"/>
      <c r="P6" s="133"/>
      <c r="Q6" s="133"/>
      <c r="S6" s="102"/>
      <c r="W6" s="102"/>
      <c r="X6" s="102"/>
      <c r="Y6" s="102"/>
      <c r="AH6" s="102"/>
      <c r="AI6" s="102"/>
      <c r="AJ6" s="17"/>
      <c r="AK6" s="17"/>
      <c r="AL6" s="17"/>
      <c r="AM6" s="17"/>
      <c r="AN6" s="17"/>
      <c r="AO6" s="17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2:53" ht="12.75">
      <c r="B7" s="562"/>
      <c r="C7" s="563"/>
      <c r="D7" s="734"/>
      <c r="E7" s="734"/>
      <c r="F7" s="734"/>
      <c r="G7" s="561"/>
      <c r="H7" s="723"/>
      <c r="I7" s="561"/>
      <c r="J7" s="368"/>
      <c r="L7" s="127"/>
      <c r="M7" s="17"/>
      <c r="N7" s="17"/>
      <c r="O7" s="142"/>
      <c r="P7" s="142"/>
      <c r="Q7" s="142"/>
      <c r="R7" s="142"/>
      <c r="S7" s="142"/>
      <c r="T7" s="142"/>
      <c r="U7" s="142"/>
      <c r="V7" s="142"/>
      <c r="W7" s="17"/>
      <c r="X7" s="102"/>
      <c r="Y7" s="17"/>
      <c r="AH7" s="17"/>
      <c r="AI7" s="17"/>
      <c r="AJ7" s="17"/>
      <c r="AK7" s="17"/>
      <c r="AL7" s="143"/>
      <c r="AM7" s="143"/>
      <c r="AN7" s="143"/>
      <c r="AO7" s="143"/>
      <c r="AR7" s="74"/>
      <c r="AS7" s="70"/>
      <c r="AT7" s="70"/>
      <c r="AU7" s="70"/>
      <c r="AV7" s="70"/>
      <c r="AW7" s="70"/>
      <c r="AX7" s="70"/>
      <c r="AY7" s="70"/>
      <c r="AZ7" s="70"/>
      <c r="BA7" s="70"/>
    </row>
    <row r="8" spans="2:53" ht="12.75" customHeight="1">
      <c r="B8" s="562"/>
      <c r="C8" s="563"/>
      <c r="D8" s="735"/>
      <c r="E8" s="735"/>
      <c r="F8" s="735"/>
      <c r="G8" s="561"/>
      <c r="H8" s="723"/>
      <c r="I8" s="563"/>
      <c r="J8" s="737"/>
      <c r="K8" s="144"/>
      <c r="O8" s="84"/>
      <c r="P8" s="84"/>
      <c r="Q8" s="84"/>
      <c r="R8" s="84"/>
      <c r="S8" s="84"/>
      <c r="T8" s="84"/>
      <c r="U8" s="84"/>
      <c r="V8" s="84"/>
      <c r="W8" s="17"/>
      <c r="X8" s="17"/>
      <c r="Y8" s="17"/>
      <c r="AH8" s="17"/>
      <c r="AI8" s="17"/>
      <c r="AJ8" s="17"/>
      <c r="AK8" s="17"/>
      <c r="AL8" s="145"/>
      <c r="AM8" s="145"/>
      <c r="AN8" s="145"/>
      <c r="AO8" s="145"/>
      <c r="AR8" s="74"/>
      <c r="AS8" s="70"/>
      <c r="AT8" s="70"/>
      <c r="AU8" s="70"/>
      <c r="AV8" s="70"/>
      <c r="AW8" s="70"/>
      <c r="AX8" s="70"/>
      <c r="AY8" s="70"/>
      <c r="AZ8" s="70"/>
      <c r="BA8" s="70"/>
    </row>
    <row r="9" spans="1:53" ht="12.75">
      <c r="A9" s="102"/>
      <c r="B9" s="562"/>
      <c r="C9" s="563"/>
      <c r="D9" s="722" t="s">
        <v>335</v>
      </c>
      <c r="E9" s="722" t="s">
        <v>336</v>
      </c>
      <c r="F9" s="722" t="s">
        <v>337</v>
      </c>
      <c r="G9" s="561"/>
      <c r="H9" s="723"/>
      <c r="I9" s="722" t="s">
        <v>338</v>
      </c>
      <c r="J9" s="725" t="s">
        <v>339</v>
      </c>
      <c r="K9" s="104"/>
      <c r="M9" s="130"/>
      <c r="N9" s="130"/>
      <c r="O9" s="131"/>
      <c r="P9" s="131"/>
      <c r="Q9" s="131"/>
      <c r="R9" s="83"/>
      <c r="S9" s="83"/>
      <c r="T9" s="83"/>
      <c r="U9" s="83"/>
      <c r="V9" s="83"/>
      <c r="AH9" s="127"/>
      <c r="AI9" s="17"/>
      <c r="AJ9" s="146"/>
      <c r="AK9" s="17"/>
      <c r="AL9" s="147"/>
      <c r="AM9" s="147"/>
      <c r="AN9" s="148"/>
      <c r="AO9" s="148"/>
      <c r="AR9" s="74"/>
      <c r="AS9" s="70"/>
      <c r="AT9" s="70"/>
      <c r="AU9" s="70"/>
      <c r="AV9" s="70"/>
      <c r="AW9" s="70"/>
      <c r="AX9" s="70"/>
      <c r="AY9" s="70"/>
      <c r="AZ9" s="70"/>
      <c r="BA9" s="70"/>
    </row>
    <row r="10" spans="1:53" ht="12.75">
      <c r="A10" s="102"/>
      <c r="B10" s="562"/>
      <c r="C10" s="563"/>
      <c r="D10" s="723"/>
      <c r="E10" s="723"/>
      <c r="F10" s="723"/>
      <c r="G10" s="563"/>
      <c r="H10" s="563"/>
      <c r="I10" s="722"/>
      <c r="J10" s="725"/>
      <c r="K10" s="104"/>
      <c r="M10" s="130"/>
      <c r="N10" s="130"/>
      <c r="O10" s="131"/>
      <c r="P10" s="131"/>
      <c r="Q10" s="131"/>
      <c r="R10" s="83"/>
      <c r="S10" s="83"/>
      <c r="T10" s="83"/>
      <c r="U10" s="83"/>
      <c r="V10" s="83"/>
      <c r="AH10" s="127"/>
      <c r="AI10" s="17"/>
      <c r="AJ10" s="146"/>
      <c r="AK10" s="17"/>
      <c r="AL10" s="147"/>
      <c r="AM10" s="147"/>
      <c r="AN10" s="148"/>
      <c r="AO10" s="148"/>
      <c r="AR10" s="74"/>
      <c r="AS10" s="70"/>
      <c r="AT10" s="70"/>
      <c r="AU10" s="70"/>
      <c r="AV10" s="70"/>
      <c r="AW10" s="70"/>
      <c r="AX10" s="70"/>
      <c r="AY10" s="70"/>
      <c r="AZ10" s="70"/>
      <c r="BA10" s="70"/>
    </row>
    <row r="11" spans="1:53" ht="13.5" thickBot="1">
      <c r="A11" s="74"/>
      <c r="B11" s="732"/>
      <c r="C11" s="724"/>
      <c r="D11" s="724"/>
      <c r="E11" s="724"/>
      <c r="F11" s="724"/>
      <c r="G11" s="724"/>
      <c r="H11" s="724"/>
      <c r="I11" s="724"/>
      <c r="J11" s="726"/>
      <c r="K11" s="139"/>
      <c r="L11" s="130"/>
      <c r="M11" s="130"/>
      <c r="N11" s="130"/>
      <c r="O11" s="83"/>
      <c r="P11" s="83"/>
      <c r="Q11" s="83"/>
      <c r="R11" s="83"/>
      <c r="S11" s="83"/>
      <c r="T11" s="83"/>
      <c r="U11" s="83"/>
      <c r="V11" s="83"/>
      <c r="W11" s="41"/>
      <c r="X11" s="41"/>
      <c r="Y11" s="41"/>
      <c r="AH11" s="17"/>
      <c r="AI11" s="17"/>
      <c r="AJ11" s="17"/>
      <c r="AK11" s="17"/>
      <c r="AL11" s="147"/>
      <c r="AM11" s="147"/>
      <c r="AN11" s="147"/>
      <c r="AO11" s="147"/>
      <c r="AR11" s="74"/>
      <c r="AS11" s="70"/>
      <c r="AT11" s="70"/>
      <c r="AU11" s="70"/>
      <c r="AV11" s="70"/>
      <c r="AW11" s="70"/>
      <c r="AX11" s="70"/>
      <c r="AY11" s="70"/>
      <c r="AZ11" s="70"/>
      <c r="BA11" s="70"/>
    </row>
    <row r="12" spans="1:53" ht="12.75">
      <c r="A12" s="74"/>
      <c r="B12" s="727" t="s">
        <v>340</v>
      </c>
      <c r="C12" s="727"/>
      <c r="D12" s="727"/>
      <c r="E12" s="727"/>
      <c r="F12" s="727"/>
      <c r="G12" s="727"/>
      <c r="H12" s="727"/>
      <c r="I12" s="727"/>
      <c r="J12" s="727"/>
      <c r="K12" s="139"/>
      <c r="L12" s="130"/>
      <c r="M12" s="130"/>
      <c r="N12" s="130"/>
      <c r="O12" s="83"/>
      <c r="P12" s="83"/>
      <c r="Q12" s="83"/>
      <c r="R12" s="83"/>
      <c r="S12" s="83"/>
      <c r="T12" s="83"/>
      <c r="U12" s="83"/>
      <c r="V12" s="83"/>
      <c r="W12" s="41"/>
      <c r="X12" s="41"/>
      <c r="Y12" s="41"/>
      <c r="AH12" s="17"/>
      <c r="AI12" s="17"/>
      <c r="AJ12" s="17"/>
      <c r="AK12" s="17"/>
      <c r="AL12" s="147"/>
      <c r="AM12" s="147"/>
      <c r="AN12" s="147"/>
      <c r="AO12" s="147"/>
      <c r="AR12" s="74"/>
      <c r="AS12" s="70"/>
      <c r="AT12" s="70"/>
      <c r="AU12" s="70"/>
      <c r="AV12" s="70"/>
      <c r="AW12" s="70"/>
      <c r="AX12" s="70"/>
      <c r="AY12" s="70"/>
      <c r="AZ12" s="70"/>
      <c r="BA12" s="70"/>
    </row>
    <row r="13" spans="1:44" ht="12.75">
      <c r="A13" s="74"/>
      <c r="B13" s="721" t="s">
        <v>389</v>
      </c>
      <c r="C13" s="448"/>
      <c r="D13" s="115">
        <f>+'Segment 1'!G83</f>
        <v>4.0302845121325</v>
      </c>
      <c r="E13" s="115">
        <f>+'Segment 1'!G84</f>
        <v>2.1763536365515503</v>
      </c>
      <c r="F13" s="115">
        <f>+'Segment 1'!G85</f>
        <v>1.8539308755809503</v>
      </c>
      <c r="G13" s="192">
        <v>10</v>
      </c>
      <c r="H13" s="115">
        <f>+'Segment 1'!D49</f>
        <v>0.15733333333333333</v>
      </c>
      <c r="I13" s="149">
        <f>1/(1+H13*D13)</f>
        <v>0.6119583653488389</v>
      </c>
      <c r="J13" s="150">
        <f>+I13*+D13+((1-I13)*G13)</f>
        <v>6.346782668446959</v>
      </c>
      <c r="K13" s="139"/>
      <c r="L13" s="130"/>
      <c r="M13" s="130"/>
      <c r="N13" s="130"/>
      <c r="O13" s="83"/>
      <c r="P13" s="83"/>
      <c r="Q13" s="83"/>
      <c r="R13" s="83"/>
      <c r="S13" s="83"/>
      <c r="T13" s="83"/>
      <c r="U13" s="83"/>
      <c r="V13" s="83"/>
      <c r="W13" s="41"/>
      <c r="X13" s="41"/>
      <c r="Y13" s="41"/>
      <c r="AH13" s="151"/>
      <c r="AI13" s="152"/>
      <c r="AJ13" s="146"/>
      <c r="AK13" s="17"/>
      <c r="AL13" s="147"/>
      <c r="AM13" s="147"/>
      <c r="AN13" s="148"/>
      <c r="AO13" s="148"/>
      <c r="AR13" s="113"/>
    </row>
    <row r="14" spans="1:41" ht="12.75">
      <c r="A14" s="74"/>
      <c r="B14" s="721" t="s">
        <v>390</v>
      </c>
      <c r="C14" s="448"/>
      <c r="D14" s="115">
        <f>+'Segment 2'!G83</f>
        <v>0.32789934788423475</v>
      </c>
      <c r="E14" s="115">
        <f>+'Segment 2'!G84</f>
        <v>0.17706564785748677</v>
      </c>
      <c r="F14" s="115">
        <f>+'Segment 2'!G85</f>
        <v>0.150833700026748</v>
      </c>
      <c r="G14" s="192">
        <v>2</v>
      </c>
      <c r="H14" s="115">
        <f>+'Segment 2'!D49</f>
        <v>2.36</v>
      </c>
      <c r="I14" s="149">
        <f>1/(1+H14*D14)</f>
        <v>0.5637479212400982</v>
      </c>
      <c r="J14" s="150">
        <f>+I14*+D14+((1-I14)*G14)</f>
        <v>1.0573567332655247</v>
      </c>
      <c r="K14" s="139"/>
      <c r="L14" s="130"/>
      <c r="M14" s="130"/>
      <c r="N14" s="130"/>
      <c r="O14" s="83"/>
      <c r="P14" s="83"/>
      <c r="Q14" s="83"/>
      <c r="R14" s="83"/>
      <c r="S14" s="83"/>
      <c r="T14" s="83"/>
      <c r="U14" s="83"/>
      <c r="V14" s="83"/>
      <c r="W14" s="41"/>
      <c r="X14" s="41"/>
      <c r="Y14" s="41"/>
      <c r="AH14" s="152"/>
      <c r="AI14" s="152"/>
      <c r="AJ14" s="17"/>
      <c r="AK14" s="17"/>
      <c r="AL14" s="147"/>
      <c r="AM14" s="147"/>
      <c r="AN14" s="147"/>
      <c r="AO14" s="147"/>
    </row>
    <row r="15" spans="1:41" ht="12.75">
      <c r="A15" s="74"/>
      <c r="B15" s="721" t="s">
        <v>341</v>
      </c>
      <c r="C15" s="448"/>
      <c r="D15" s="115"/>
      <c r="E15" s="115"/>
      <c r="F15" s="115"/>
      <c r="G15" s="193"/>
      <c r="H15" s="115"/>
      <c r="I15" s="149">
        <f aca="true" t="shared" si="0" ref="I15:I20">1/(1+H15*D15)</f>
        <v>1</v>
      </c>
      <c r="J15" s="150">
        <f aca="true" t="shared" si="1" ref="J15:J20">+I15*+D15+((1-I15)*G15)</f>
        <v>0</v>
      </c>
      <c r="K15" s="139"/>
      <c r="L15" s="130"/>
      <c r="M15" s="130"/>
      <c r="N15" s="130"/>
      <c r="O15" s="83"/>
      <c r="P15" s="83"/>
      <c r="Q15" s="83"/>
      <c r="R15" s="83"/>
      <c r="S15" s="83"/>
      <c r="T15" s="83"/>
      <c r="U15" s="83"/>
      <c r="V15" s="83"/>
      <c r="W15" s="41"/>
      <c r="X15" s="41"/>
      <c r="Y15" s="41"/>
      <c r="AH15" s="152"/>
      <c r="AI15" s="152"/>
      <c r="AJ15" s="146"/>
      <c r="AK15" s="70"/>
      <c r="AL15" s="70"/>
      <c r="AM15" s="70"/>
      <c r="AN15" s="70"/>
      <c r="AO15" s="70"/>
    </row>
    <row r="16" spans="1:41" ht="12.75">
      <c r="A16" s="74"/>
      <c r="B16" s="721" t="s">
        <v>342</v>
      </c>
      <c r="C16" s="448"/>
      <c r="D16" s="115"/>
      <c r="E16" s="115"/>
      <c r="F16" s="115"/>
      <c r="G16" s="194"/>
      <c r="H16" s="115"/>
      <c r="I16" s="149">
        <f t="shared" si="0"/>
        <v>1</v>
      </c>
      <c r="J16" s="150">
        <f t="shared" si="1"/>
        <v>0</v>
      </c>
      <c r="K16" s="139"/>
      <c r="L16" s="130"/>
      <c r="M16" s="130"/>
      <c r="N16" s="130"/>
      <c r="O16" s="83"/>
      <c r="P16" s="83"/>
      <c r="Q16" s="83"/>
      <c r="R16" s="83"/>
      <c r="S16" s="83"/>
      <c r="T16" s="83"/>
      <c r="U16" s="83"/>
      <c r="V16" s="83"/>
      <c r="W16" s="41"/>
      <c r="X16" s="41"/>
      <c r="Y16" s="41"/>
      <c r="AH16" s="128"/>
      <c r="AI16" s="128"/>
      <c r="AJ16" s="129"/>
      <c r="AK16" s="129"/>
      <c r="AL16" s="129"/>
      <c r="AM16" s="129"/>
      <c r="AN16" s="129"/>
      <c r="AO16" s="129"/>
    </row>
    <row r="17" spans="1:48" ht="12.75">
      <c r="A17" s="74"/>
      <c r="B17" s="721" t="s">
        <v>343</v>
      </c>
      <c r="C17" s="448"/>
      <c r="D17" s="115"/>
      <c r="E17" s="115"/>
      <c r="F17" s="115"/>
      <c r="G17" s="193"/>
      <c r="H17" s="115"/>
      <c r="I17" s="149">
        <f t="shared" si="0"/>
        <v>1</v>
      </c>
      <c r="J17" s="150">
        <f t="shared" si="1"/>
        <v>0</v>
      </c>
      <c r="K17" s="139"/>
      <c r="L17" s="74"/>
      <c r="O17" s="83"/>
      <c r="P17" s="83"/>
      <c r="Q17" s="83"/>
      <c r="R17" s="83"/>
      <c r="S17" s="83"/>
      <c r="T17" s="83"/>
      <c r="U17" s="83"/>
      <c r="V17" s="83"/>
      <c r="W17" s="41"/>
      <c r="X17" s="41"/>
      <c r="Y17" s="41"/>
      <c r="AH17" s="129"/>
      <c r="AI17" s="129"/>
      <c r="AJ17" s="129"/>
      <c r="AK17" s="129"/>
      <c r="AL17" s="129"/>
      <c r="AM17" s="129"/>
      <c r="AN17" s="129"/>
      <c r="AO17" s="129"/>
      <c r="AR17" s="74"/>
      <c r="AV17" s="70"/>
    </row>
    <row r="18" spans="1:41" ht="12.75">
      <c r="A18" s="74"/>
      <c r="B18" s="721" t="s">
        <v>344</v>
      </c>
      <c r="C18" s="448"/>
      <c r="D18" s="115"/>
      <c r="E18" s="115"/>
      <c r="F18" s="115"/>
      <c r="G18" s="194"/>
      <c r="H18" s="115"/>
      <c r="I18" s="149">
        <f t="shared" si="0"/>
        <v>1</v>
      </c>
      <c r="J18" s="150">
        <f t="shared" si="1"/>
        <v>0</v>
      </c>
      <c r="K18" s="139"/>
      <c r="L18" s="132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1"/>
      <c r="X18" s="41"/>
      <c r="Y18" s="41"/>
      <c r="AH18" s="129"/>
      <c r="AI18" s="128"/>
      <c r="AJ18" s="129"/>
      <c r="AK18" s="129"/>
      <c r="AL18" s="129"/>
      <c r="AM18" s="129"/>
      <c r="AN18" s="129"/>
      <c r="AO18" s="129"/>
    </row>
    <row r="19" spans="1:48" ht="12.75">
      <c r="A19" s="74"/>
      <c r="B19" s="721" t="s">
        <v>345</v>
      </c>
      <c r="C19" s="448"/>
      <c r="D19" s="115"/>
      <c r="E19" s="115"/>
      <c r="F19" s="115"/>
      <c r="G19" s="195"/>
      <c r="H19" s="115"/>
      <c r="I19" s="149">
        <f t="shared" si="0"/>
        <v>1</v>
      </c>
      <c r="J19" s="150">
        <f t="shared" si="1"/>
        <v>0</v>
      </c>
      <c r="K19" s="15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1"/>
      <c r="X19" s="41"/>
      <c r="Y19" s="41"/>
      <c r="AH19" s="129"/>
      <c r="AI19" s="129"/>
      <c r="AJ19" s="129"/>
      <c r="AK19" s="129"/>
      <c r="AL19" s="129"/>
      <c r="AM19" s="129"/>
      <c r="AN19" s="129"/>
      <c r="AO19" s="129"/>
      <c r="AR19" s="74"/>
      <c r="AV19" s="70"/>
    </row>
    <row r="20" spans="2:25" ht="13.5" thickBot="1">
      <c r="B20" s="740" t="s">
        <v>346</v>
      </c>
      <c r="C20" s="544"/>
      <c r="D20" s="116"/>
      <c r="E20" s="116"/>
      <c r="F20" s="116"/>
      <c r="G20" s="196"/>
      <c r="H20" s="116"/>
      <c r="I20" s="149">
        <f t="shared" si="0"/>
        <v>1</v>
      </c>
      <c r="J20" s="150">
        <f t="shared" si="1"/>
        <v>0</v>
      </c>
      <c r="K20" s="134"/>
      <c r="L20" s="92"/>
      <c r="M20" s="92"/>
      <c r="N20" s="92"/>
      <c r="O20" s="92"/>
      <c r="P20" s="92"/>
      <c r="Q20" s="92"/>
      <c r="R20" s="92"/>
      <c r="S20" s="92"/>
      <c r="T20" s="92"/>
      <c r="U20" s="140"/>
      <c r="V20" s="140"/>
      <c r="W20" s="41"/>
      <c r="X20" s="41"/>
      <c r="Y20" s="41"/>
    </row>
    <row r="21" spans="2:41" ht="12.75">
      <c r="B21" s="727" t="s">
        <v>347</v>
      </c>
      <c r="C21" s="727"/>
      <c r="D21" s="727"/>
      <c r="E21" s="727"/>
      <c r="F21" s="727"/>
      <c r="G21" s="727"/>
      <c r="H21" s="727"/>
      <c r="I21" s="727"/>
      <c r="J21" s="727"/>
      <c r="K21" s="133"/>
      <c r="L21" s="92"/>
      <c r="M21" s="92"/>
      <c r="N21" s="92"/>
      <c r="O21" s="92"/>
      <c r="P21" s="92"/>
      <c r="Q21" s="92"/>
      <c r="R21" s="92"/>
      <c r="S21" s="92"/>
      <c r="T21" s="92"/>
      <c r="U21" s="140"/>
      <c r="V21" s="140"/>
      <c r="W21" s="17"/>
      <c r="X21" s="17"/>
      <c r="Y21" s="17"/>
      <c r="Z21" s="17"/>
      <c r="AA21" s="17"/>
      <c r="AB21" s="17"/>
      <c r="AC21" s="17"/>
      <c r="AD21" s="17"/>
      <c r="AE21" s="17"/>
      <c r="AH21" s="102"/>
      <c r="AI21" s="102"/>
      <c r="AJ21" s="102"/>
      <c r="AK21" s="102"/>
      <c r="AL21" s="102"/>
      <c r="AM21" s="17"/>
      <c r="AN21" s="17"/>
      <c r="AO21" s="17"/>
    </row>
    <row r="22" spans="1:41" ht="12.75">
      <c r="A22" s="154"/>
      <c r="B22" s="721" t="s">
        <v>348</v>
      </c>
      <c r="C22" s="448"/>
      <c r="D22" s="115">
        <f>+'Intersection 1'!I68</f>
        <v>0.6076444944092201</v>
      </c>
      <c r="E22" s="115">
        <f>+'Intersection 1'!I69</f>
        <v>0.32387451552011426</v>
      </c>
      <c r="F22" s="155">
        <f>+'Intersection 1'!I70</f>
        <v>0.28376997888910577</v>
      </c>
      <c r="G22" s="193">
        <v>3</v>
      </c>
      <c r="H22" s="155">
        <f>+'Intersection 1'!E33</f>
        <v>0.54</v>
      </c>
      <c r="I22" s="149">
        <f>1/(1+H22*D22)</f>
        <v>0.752939460417186</v>
      </c>
      <c r="J22" s="150">
        <f>+I22*+D22+((1-I22)*G22)</f>
        <v>1.198701136494394</v>
      </c>
      <c r="K22" s="104"/>
      <c r="L22" s="140"/>
      <c r="M22" s="140"/>
      <c r="N22" s="140"/>
      <c r="O22" s="102"/>
      <c r="P22" s="17"/>
      <c r="Q22" s="102"/>
      <c r="S22" s="102"/>
      <c r="T22" s="17"/>
      <c r="U22" s="102"/>
      <c r="W22" s="133"/>
      <c r="X22" s="133"/>
      <c r="Y22" s="133"/>
      <c r="Z22" s="133"/>
      <c r="AA22" s="133"/>
      <c r="AB22" s="133"/>
      <c r="AC22" s="133"/>
      <c r="AD22" s="133"/>
      <c r="AE22" s="133"/>
      <c r="AH22" s="102"/>
      <c r="AI22" s="102"/>
      <c r="AJ22" s="102"/>
      <c r="AK22" s="17"/>
      <c r="AL22" s="102"/>
      <c r="AM22" s="17"/>
      <c r="AN22" s="17"/>
      <c r="AO22" s="17"/>
    </row>
    <row r="23" spans="1:41" ht="12.75">
      <c r="A23" s="156"/>
      <c r="B23" s="528" t="s">
        <v>349</v>
      </c>
      <c r="C23" s="448"/>
      <c r="D23" s="149"/>
      <c r="E23" s="149"/>
      <c r="F23" s="157"/>
      <c r="G23" s="193"/>
      <c r="H23" s="117"/>
      <c r="I23" s="149">
        <f aca="true" t="shared" si="2" ref="I23:I29">1/(1+H23*D23)</f>
        <v>1</v>
      </c>
      <c r="J23" s="150">
        <f aca="true" t="shared" si="3" ref="J23:J29">+I23*+D23+((1-I23)*G23)</f>
        <v>0</v>
      </c>
      <c r="L23" s="127"/>
      <c r="M23" s="17"/>
      <c r="N23" s="17"/>
      <c r="O23" s="17"/>
      <c r="P23" s="17"/>
      <c r="S23" s="17"/>
      <c r="T23" s="17"/>
      <c r="W23" s="92"/>
      <c r="X23" s="92"/>
      <c r="Y23" s="92"/>
      <c r="Z23" s="92"/>
      <c r="AA23" s="92"/>
      <c r="AB23" s="92"/>
      <c r="AC23" s="92"/>
      <c r="AD23" s="92"/>
      <c r="AE23" s="92"/>
      <c r="AH23" s="102"/>
      <c r="AI23" s="102"/>
      <c r="AJ23" s="17"/>
      <c r="AK23" s="17"/>
      <c r="AL23" s="17"/>
      <c r="AM23" s="17"/>
      <c r="AN23" s="17"/>
      <c r="AO23" s="17"/>
    </row>
    <row r="24" spans="1:41" ht="12.75">
      <c r="A24" s="140"/>
      <c r="B24" s="721" t="s">
        <v>350</v>
      </c>
      <c r="C24" s="448"/>
      <c r="D24" s="158"/>
      <c r="E24" s="158"/>
      <c r="F24" s="157"/>
      <c r="G24" s="193"/>
      <c r="H24" s="117"/>
      <c r="I24" s="149">
        <f t="shared" si="2"/>
        <v>1</v>
      </c>
      <c r="J24" s="150">
        <f t="shared" si="3"/>
        <v>0</v>
      </c>
      <c r="L24" s="140"/>
      <c r="W24" s="92"/>
      <c r="X24" s="92"/>
      <c r="Y24" s="92"/>
      <c r="Z24" s="92"/>
      <c r="AA24" s="92"/>
      <c r="AB24" s="92"/>
      <c r="AC24" s="92"/>
      <c r="AD24" s="92"/>
      <c r="AE24" s="92"/>
      <c r="AH24" s="17"/>
      <c r="AI24" s="17"/>
      <c r="AJ24" s="17"/>
      <c r="AK24" s="17"/>
      <c r="AL24" s="143"/>
      <c r="AM24" s="143"/>
      <c r="AN24" s="143"/>
      <c r="AO24" s="143"/>
    </row>
    <row r="25" spans="1:41" ht="12.75">
      <c r="A25" s="140"/>
      <c r="B25" s="528" t="s">
        <v>351</v>
      </c>
      <c r="C25" s="448"/>
      <c r="D25" s="159"/>
      <c r="E25" s="159"/>
      <c r="F25" s="157"/>
      <c r="G25" s="193"/>
      <c r="H25" s="117"/>
      <c r="I25" s="149">
        <f t="shared" si="2"/>
        <v>1</v>
      </c>
      <c r="J25" s="150">
        <f t="shared" si="3"/>
        <v>0</v>
      </c>
      <c r="O25" s="142"/>
      <c r="P25" s="142"/>
      <c r="Q25" s="142"/>
      <c r="R25" s="84"/>
      <c r="S25" s="142"/>
      <c r="T25" s="142"/>
      <c r="U25" s="142"/>
      <c r="V25" s="84"/>
      <c r="W25" s="160"/>
      <c r="X25" s="160"/>
      <c r="Y25" s="160"/>
      <c r="Z25" s="160"/>
      <c r="AA25" s="160"/>
      <c r="AB25" s="160"/>
      <c r="AC25" s="160"/>
      <c r="AD25" s="160"/>
      <c r="AE25" s="160"/>
      <c r="AH25" s="17"/>
      <c r="AI25" s="17"/>
      <c r="AJ25" s="17"/>
      <c r="AK25" s="17"/>
      <c r="AL25" s="145"/>
      <c r="AM25" s="145"/>
      <c r="AN25" s="145"/>
      <c r="AO25" s="145"/>
    </row>
    <row r="26" spans="1:41" ht="12.75">
      <c r="A26" s="161"/>
      <c r="B26" s="721" t="s">
        <v>352</v>
      </c>
      <c r="C26" s="448"/>
      <c r="D26" s="149"/>
      <c r="E26" s="149"/>
      <c r="F26" s="149"/>
      <c r="G26" s="195"/>
      <c r="H26" s="115"/>
      <c r="I26" s="149">
        <f t="shared" si="2"/>
        <v>1</v>
      </c>
      <c r="J26" s="150">
        <f t="shared" si="3"/>
        <v>0</v>
      </c>
      <c r="K26" s="144"/>
      <c r="O26" s="84"/>
      <c r="P26" s="84"/>
      <c r="Q26" s="84"/>
      <c r="R26" s="84"/>
      <c r="S26" s="84"/>
      <c r="T26" s="84"/>
      <c r="U26" s="84"/>
      <c r="V26" s="84"/>
      <c r="W26" s="162"/>
      <c r="X26" s="162"/>
      <c r="Y26" s="162"/>
      <c r="Z26" s="162"/>
      <c r="AA26" s="162"/>
      <c r="AB26" s="162"/>
      <c r="AC26" s="162"/>
      <c r="AD26" s="162"/>
      <c r="AE26" s="162"/>
      <c r="AH26" s="127"/>
      <c r="AI26" s="17"/>
      <c r="AJ26" s="146"/>
      <c r="AK26" s="17"/>
      <c r="AL26" s="147"/>
      <c r="AM26" s="147"/>
      <c r="AN26" s="148"/>
      <c r="AO26" s="148"/>
    </row>
    <row r="27" spans="1:41" ht="12.75">
      <c r="A27" s="161"/>
      <c r="B27" s="528" t="s">
        <v>353</v>
      </c>
      <c r="C27" s="448"/>
      <c r="D27" s="149"/>
      <c r="E27" s="149"/>
      <c r="F27" s="149"/>
      <c r="G27" s="195"/>
      <c r="H27" s="115"/>
      <c r="I27" s="149">
        <f t="shared" si="2"/>
        <v>1</v>
      </c>
      <c r="J27" s="150">
        <f t="shared" si="3"/>
        <v>0</v>
      </c>
      <c r="K27" s="102"/>
      <c r="L27" s="130"/>
      <c r="M27" s="17"/>
      <c r="N27" s="17"/>
      <c r="O27" s="131"/>
      <c r="P27" s="131"/>
      <c r="Q27" s="131"/>
      <c r="R27" s="17"/>
      <c r="S27" s="83"/>
      <c r="T27" s="83"/>
      <c r="U27" s="83"/>
      <c r="V27" s="83"/>
      <c r="W27" s="102"/>
      <c r="X27" s="17"/>
      <c r="Y27" s="17"/>
      <c r="Z27" s="17"/>
      <c r="AA27" s="17"/>
      <c r="AB27" s="17"/>
      <c r="AC27" s="17"/>
      <c r="AD27" s="17"/>
      <c r="AE27" s="17"/>
      <c r="AH27" s="17"/>
      <c r="AI27" s="17"/>
      <c r="AJ27" s="17"/>
      <c r="AK27" s="17"/>
      <c r="AL27" s="147"/>
      <c r="AM27" s="147"/>
      <c r="AN27" s="147"/>
      <c r="AO27" s="147"/>
    </row>
    <row r="28" spans="1:41" ht="12.75">
      <c r="A28" s="70"/>
      <c r="B28" s="721" t="s">
        <v>354</v>
      </c>
      <c r="C28" s="448"/>
      <c r="D28" s="149"/>
      <c r="E28" s="149"/>
      <c r="F28" s="149"/>
      <c r="G28" s="195"/>
      <c r="H28" s="115"/>
      <c r="I28" s="149">
        <f t="shared" si="2"/>
        <v>1</v>
      </c>
      <c r="J28" s="150">
        <f t="shared" si="3"/>
        <v>0</v>
      </c>
      <c r="K28" s="102"/>
      <c r="L28" s="130"/>
      <c r="M28" s="17"/>
      <c r="N28" s="17"/>
      <c r="O28" s="131"/>
      <c r="P28" s="131"/>
      <c r="Q28" s="131"/>
      <c r="R28" s="17"/>
      <c r="S28" s="83"/>
      <c r="T28" s="83"/>
      <c r="U28" s="83"/>
      <c r="V28" s="83"/>
      <c r="W28" s="102"/>
      <c r="X28" s="17"/>
      <c r="Y28" s="17"/>
      <c r="Z28" s="17"/>
      <c r="AA28" s="17"/>
      <c r="AB28" s="17"/>
      <c r="AC28" s="17"/>
      <c r="AD28" s="17"/>
      <c r="AE28" s="17"/>
      <c r="AH28" s="17"/>
      <c r="AI28" s="17"/>
      <c r="AJ28" s="17"/>
      <c r="AK28" s="17"/>
      <c r="AL28" s="147"/>
      <c r="AM28" s="147"/>
      <c r="AN28" s="147"/>
      <c r="AO28" s="147"/>
    </row>
    <row r="29" spans="1:41" ht="13.5" thickBot="1">
      <c r="A29" s="74"/>
      <c r="B29" s="741" t="s">
        <v>355</v>
      </c>
      <c r="C29" s="742"/>
      <c r="D29" s="163"/>
      <c r="E29" s="163"/>
      <c r="F29" s="163"/>
      <c r="G29" s="197"/>
      <c r="H29" s="164"/>
      <c r="I29" s="149">
        <f t="shared" si="2"/>
        <v>1</v>
      </c>
      <c r="J29" s="150">
        <f t="shared" si="3"/>
        <v>0</v>
      </c>
      <c r="K29" s="134"/>
      <c r="L29" s="130"/>
      <c r="M29" s="130"/>
      <c r="N29" s="130"/>
      <c r="Q29" s="83"/>
      <c r="R29" s="83"/>
      <c r="S29" s="83"/>
      <c r="T29" s="83"/>
      <c r="U29" s="83"/>
      <c r="V29" s="83"/>
      <c r="W29" s="41"/>
      <c r="X29" s="41"/>
      <c r="Y29" s="41"/>
      <c r="Z29" s="41"/>
      <c r="AA29" s="41"/>
      <c r="AB29" s="41"/>
      <c r="AC29" s="41"/>
      <c r="AD29" s="41"/>
      <c r="AE29" s="41"/>
      <c r="AH29" s="151"/>
      <c r="AI29" s="152"/>
      <c r="AJ29" s="146"/>
      <c r="AK29" s="17"/>
      <c r="AL29" s="147"/>
      <c r="AM29" s="147"/>
      <c r="AN29" s="148"/>
      <c r="AO29" s="148"/>
    </row>
    <row r="30" spans="1:41" ht="14.25" thickBot="1" thickTop="1">
      <c r="A30" s="136"/>
      <c r="B30" s="738" t="s">
        <v>356</v>
      </c>
      <c r="C30" s="739"/>
      <c r="D30" s="165">
        <f>SUM(D13:D20)+SUM(D22:D29)</f>
        <v>4.9658283544259545</v>
      </c>
      <c r="E30" s="165">
        <f>SUM(E13:E20)+SUM(E22:E29)</f>
        <v>2.677293799929151</v>
      </c>
      <c r="F30" s="165">
        <f>SUM(F13:F20)+SUM(F22:F29)</f>
        <v>2.288534554496804</v>
      </c>
      <c r="G30" s="166">
        <f>SUM(G13:G20)+SUM(G22:G29)</f>
        <v>15</v>
      </c>
      <c r="H30" s="167" t="s">
        <v>29</v>
      </c>
      <c r="I30" s="167" t="s">
        <v>29</v>
      </c>
      <c r="J30" s="168">
        <f>SUM(J13:J20)+SUM(J22:J29)</f>
        <v>8.602840538206879</v>
      </c>
      <c r="K30" s="134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H30" s="152"/>
      <c r="AI30" s="152"/>
      <c r="AJ30" s="17"/>
      <c r="AK30" s="17"/>
      <c r="AL30" s="147"/>
      <c r="AM30" s="147"/>
      <c r="AN30" s="147"/>
      <c r="AO30" s="147"/>
    </row>
    <row r="31" spans="1:41" ht="12.75">
      <c r="A31" s="81"/>
      <c r="B31" s="93"/>
      <c r="C31" s="154"/>
      <c r="D31" s="154"/>
      <c r="F31" s="81"/>
      <c r="H31" s="81"/>
      <c r="K31" s="134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H31" s="152"/>
      <c r="AI31" s="152"/>
      <c r="AJ31" s="146"/>
      <c r="AK31" s="70"/>
      <c r="AL31" s="70"/>
      <c r="AM31" s="70"/>
      <c r="AN31" s="70"/>
      <c r="AO31" s="70"/>
    </row>
    <row r="32" spans="1:41" ht="12.75">
      <c r="A32" s="92"/>
      <c r="B32" s="93"/>
      <c r="C32" s="169"/>
      <c r="D32" s="92"/>
      <c r="E32" s="92"/>
      <c r="F32" s="92"/>
      <c r="G32" s="17"/>
      <c r="H32" s="92"/>
      <c r="K32" s="134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H32" s="128"/>
      <c r="AI32" s="128"/>
      <c r="AJ32" s="129"/>
      <c r="AK32" s="129"/>
      <c r="AL32" s="129"/>
      <c r="AM32" s="129"/>
      <c r="AN32" s="129"/>
      <c r="AO32" s="129"/>
    </row>
    <row r="33" spans="2:41" ht="13.5" thickBot="1">
      <c r="B33" s="93"/>
      <c r="C33" s="127"/>
      <c r="D33" s="17"/>
      <c r="E33" s="17"/>
      <c r="K33" s="134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H33" s="127"/>
      <c r="AI33" s="129"/>
      <c r="AJ33" s="129"/>
      <c r="AK33" s="129"/>
      <c r="AL33" s="129"/>
      <c r="AM33" s="129"/>
      <c r="AN33" s="129"/>
      <c r="AO33" s="129"/>
    </row>
    <row r="34" spans="2:41" ht="13.5" thickTop="1">
      <c r="B34" s="728" t="s">
        <v>357</v>
      </c>
      <c r="C34" s="729"/>
      <c r="D34" s="729"/>
      <c r="E34" s="729"/>
      <c r="F34" s="729"/>
      <c r="G34" s="729"/>
      <c r="H34" s="729"/>
      <c r="I34" s="729"/>
      <c r="J34" s="729"/>
      <c r="K34" s="134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H34" s="128"/>
      <c r="AI34" s="128"/>
      <c r="AJ34" s="129"/>
      <c r="AK34" s="129"/>
      <c r="AL34" s="129"/>
      <c r="AM34" s="129"/>
      <c r="AN34" s="129"/>
      <c r="AO34" s="129"/>
    </row>
    <row r="35" spans="2:41" ht="13.5" thickBot="1">
      <c r="B35" s="730"/>
      <c r="C35" s="730"/>
      <c r="D35" s="730"/>
      <c r="E35" s="730"/>
      <c r="F35" s="730"/>
      <c r="G35" s="730"/>
      <c r="H35" s="730"/>
      <c r="I35" s="730"/>
      <c r="J35" s="730"/>
      <c r="K35" s="134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H35" s="129"/>
      <c r="AI35" s="129"/>
      <c r="AJ35" s="129"/>
      <c r="AK35" s="129"/>
      <c r="AL35" s="129"/>
      <c r="AM35" s="129"/>
      <c r="AN35" s="129"/>
      <c r="AO35" s="129"/>
    </row>
    <row r="36" spans="2:41" ht="12.75">
      <c r="B36" s="568" t="s">
        <v>32</v>
      </c>
      <c r="C36" s="425"/>
      <c r="D36" s="425"/>
      <c r="E36" s="523" t="s">
        <v>33</v>
      </c>
      <c r="F36" s="425"/>
      <c r="G36" s="425"/>
      <c r="H36" s="523" t="s">
        <v>34</v>
      </c>
      <c r="I36" s="425"/>
      <c r="J36" s="390"/>
      <c r="K36" s="13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02"/>
      <c r="X36" s="102"/>
      <c r="Y36" s="102"/>
      <c r="Z36" s="102"/>
      <c r="AA36" s="102"/>
      <c r="AB36" s="102"/>
      <c r="AC36" s="102"/>
      <c r="AD36" s="102"/>
      <c r="AE36" s="102"/>
      <c r="AH36" s="129"/>
      <c r="AI36" s="129"/>
      <c r="AJ36" s="129"/>
      <c r="AK36" s="129"/>
      <c r="AL36" s="129"/>
      <c r="AM36" s="129"/>
      <c r="AN36" s="129"/>
      <c r="AO36" s="129"/>
    </row>
    <row r="37" spans="1:41" ht="13.5">
      <c r="A37" s="74"/>
      <c r="B37" s="743" t="s">
        <v>121</v>
      </c>
      <c r="C37" s="253"/>
      <c r="D37" s="253"/>
      <c r="E37" s="744" t="s">
        <v>358</v>
      </c>
      <c r="F37" s="745"/>
      <c r="G37" s="745"/>
      <c r="H37" s="744" t="s">
        <v>359</v>
      </c>
      <c r="I37" s="745"/>
      <c r="J37" s="746"/>
      <c r="K37" s="134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H37" s="129"/>
      <c r="AI37" s="129"/>
      <c r="AJ37" s="129"/>
      <c r="AK37" s="129"/>
      <c r="AL37" s="129"/>
      <c r="AM37" s="129"/>
      <c r="AN37" s="129"/>
      <c r="AO37" s="129"/>
    </row>
    <row r="38" spans="1:40" ht="15.75">
      <c r="A38" s="129"/>
      <c r="B38" s="528" t="s">
        <v>89</v>
      </c>
      <c r="C38" s="748"/>
      <c r="D38" s="748"/>
      <c r="E38" s="750" t="s">
        <v>360</v>
      </c>
      <c r="F38" s="751"/>
      <c r="G38" s="751"/>
      <c r="H38" s="750" t="s">
        <v>361</v>
      </c>
      <c r="I38" s="751"/>
      <c r="J38" s="752"/>
      <c r="K38" s="134"/>
      <c r="N38" s="135"/>
      <c r="O38" s="41"/>
      <c r="P38" s="41"/>
      <c r="Q38" s="41"/>
      <c r="R38" s="41"/>
      <c r="S38" s="41"/>
      <c r="T38" s="41"/>
      <c r="U38" s="41"/>
      <c r="V38" s="41"/>
      <c r="W38" s="135"/>
      <c r="X38" s="41"/>
      <c r="Y38" s="41"/>
      <c r="Z38" s="41"/>
      <c r="AA38" s="41"/>
      <c r="AB38" s="41"/>
      <c r="AC38" s="41"/>
      <c r="AD38" s="41"/>
      <c r="AE38" s="41"/>
      <c r="AH38" s="92"/>
      <c r="AI38" s="84"/>
      <c r="AJ38" s="84"/>
      <c r="AK38" s="84"/>
      <c r="AL38" s="84"/>
      <c r="AM38" s="84"/>
      <c r="AN38" s="140"/>
    </row>
    <row r="39" spans="1:40" ht="12.75">
      <c r="A39" s="129"/>
      <c r="B39" s="749"/>
      <c r="C39" s="748"/>
      <c r="D39" s="748"/>
      <c r="E39" s="753">
        <f>+D30</f>
        <v>4.9658283544259545</v>
      </c>
      <c r="F39" s="754"/>
      <c r="G39" s="755"/>
      <c r="H39" s="756">
        <f>+J30</f>
        <v>8.602840538206879</v>
      </c>
      <c r="I39" s="290"/>
      <c r="J39" s="290"/>
      <c r="K39" s="134"/>
      <c r="N39" s="135"/>
      <c r="O39" s="41"/>
      <c r="P39" s="41"/>
      <c r="Q39" s="41"/>
      <c r="R39" s="41"/>
      <c r="S39" s="41"/>
      <c r="T39" s="41"/>
      <c r="U39" s="41"/>
      <c r="V39" s="41"/>
      <c r="W39" s="135"/>
      <c r="X39" s="41"/>
      <c r="Y39" s="41"/>
      <c r="Z39" s="41"/>
      <c r="AA39" s="41"/>
      <c r="AB39" s="41"/>
      <c r="AC39" s="41"/>
      <c r="AD39" s="41"/>
      <c r="AE39" s="41"/>
      <c r="AH39" s="92"/>
      <c r="AI39" s="84"/>
      <c r="AJ39" s="84"/>
      <c r="AK39" s="84"/>
      <c r="AL39" s="84"/>
      <c r="AM39" s="84"/>
      <c r="AN39" s="140"/>
    </row>
    <row r="40" spans="1:40" ht="15.75">
      <c r="A40" s="132"/>
      <c r="B40" s="528" t="s">
        <v>90</v>
      </c>
      <c r="C40" s="748"/>
      <c r="D40" s="748"/>
      <c r="E40" s="750" t="s">
        <v>363</v>
      </c>
      <c r="F40" s="751"/>
      <c r="G40" s="751"/>
      <c r="H40" s="750" t="s">
        <v>364</v>
      </c>
      <c r="I40" s="751"/>
      <c r="J40" s="752"/>
      <c r="K40" s="134"/>
      <c r="N40" s="135"/>
      <c r="O40" s="41"/>
      <c r="P40" s="41"/>
      <c r="Q40" s="41"/>
      <c r="R40" s="41"/>
      <c r="S40" s="41"/>
      <c r="T40" s="41"/>
      <c r="U40" s="41"/>
      <c r="V40" s="41"/>
      <c r="W40" s="135"/>
      <c r="X40" s="41"/>
      <c r="Y40" s="41"/>
      <c r="Z40" s="41"/>
      <c r="AA40" s="41"/>
      <c r="AB40" s="41"/>
      <c r="AC40" s="41"/>
      <c r="AD40" s="41"/>
      <c r="AE40" s="41"/>
      <c r="AH40" s="92"/>
      <c r="AI40" s="84"/>
      <c r="AJ40" s="84"/>
      <c r="AK40" s="84"/>
      <c r="AL40" s="84"/>
      <c r="AM40" s="84"/>
      <c r="AN40" s="140"/>
    </row>
    <row r="41" spans="1:49" ht="12.75">
      <c r="A41" s="82"/>
      <c r="B41" s="749"/>
      <c r="C41" s="748"/>
      <c r="D41" s="748"/>
      <c r="E41" s="757">
        <f>+E30</f>
        <v>2.677293799929151</v>
      </c>
      <c r="F41" s="758"/>
      <c r="G41" s="759"/>
      <c r="H41" s="411">
        <f>+J30*E30/D30</f>
        <v>4.638165073545511</v>
      </c>
      <c r="I41" s="760"/>
      <c r="J41" s="760"/>
      <c r="K41" s="134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H41" s="84"/>
      <c r="AI41" s="84"/>
      <c r="AJ41" s="84"/>
      <c r="AK41" s="84"/>
      <c r="AL41" s="84"/>
      <c r="AM41" s="84"/>
      <c r="AN41" s="140"/>
      <c r="AO41" s="170"/>
      <c r="AP41" s="170"/>
      <c r="AQ41" s="170"/>
      <c r="AR41" s="170"/>
      <c r="AS41" s="170"/>
      <c r="AT41" s="170"/>
      <c r="AU41" s="170"/>
      <c r="AV41" s="170"/>
      <c r="AW41" s="170"/>
    </row>
    <row r="42" spans="1:49" ht="15.75">
      <c r="A42" s="84"/>
      <c r="B42" s="761" t="s">
        <v>91</v>
      </c>
      <c r="C42" s="762"/>
      <c r="D42" s="762"/>
      <c r="E42" s="750" t="s">
        <v>366</v>
      </c>
      <c r="F42" s="751"/>
      <c r="G42" s="751"/>
      <c r="H42" s="750" t="s">
        <v>367</v>
      </c>
      <c r="I42" s="751"/>
      <c r="J42" s="752"/>
      <c r="K42" s="134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H42" s="136"/>
      <c r="AK42" s="102"/>
      <c r="AO42" s="17"/>
      <c r="AT42" s="17"/>
      <c r="AU42" s="17"/>
      <c r="AV42" s="17"/>
      <c r="AW42" s="17"/>
    </row>
    <row r="43" spans="1:48" ht="13.5" thickBot="1">
      <c r="A43" s="136"/>
      <c r="B43" s="763"/>
      <c r="C43" s="764"/>
      <c r="D43" s="764"/>
      <c r="E43" s="765">
        <f>+F30</f>
        <v>2.288534554496804</v>
      </c>
      <c r="F43" s="766"/>
      <c r="G43" s="767"/>
      <c r="H43" s="421">
        <f>+J30*F30/D30</f>
        <v>3.964675464661369</v>
      </c>
      <c r="I43" s="747"/>
      <c r="J43" s="747"/>
      <c r="K43" s="134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H43" s="144"/>
      <c r="AI43" s="93"/>
      <c r="AJ43" s="17"/>
      <c r="AK43" s="104"/>
      <c r="AL43" s="102"/>
      <c r="AM43" s="170"/>
      <c r="AO43" s="102"/>
      <c r="AT43" s="102"/>
      <c r="AU43" s="102"/>
      <c r="AV43" s="102"/>
    </row>
    <row r="44" spans="1:48" ht="12.75">
      <c r="A44" s="81"/>
      <c r="C44" s="81"/>
      <c r="D44" s="81"/>
      <c r="E44" s="81"/>
      <c r="F44" s="154"/>
      <c r="G44" s="81"/>
      <c r="H44" s="81"/>
      <c r="I44" s="154"/>
      <c r="K44" s="134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H44" s="127"/>
      <c r="AI44" s="17"/>
      <c r="AK44" s="131"/>
      <c r="AL44" s="17"/>
      <c r="AM44" s="131"/>
      <c r="AN44" s="131"/>
      <c r="AT44" s="102"/>
      <c r="AU44" s="102"/>
      <c r="AV44" s="102"/>
    </row>
    <row r="45" spans="1:48" ht="12.75">
      <c r="A45" s="92"/>
      <c r="B45" s="92"/>
      <c r="C45" s="92"/>
      <c r="D45" s="92"/>
      <c r="F45" s="92"/>
      <c r="G45" s="92"/>
      <c r="H45" s="92"/>
      <c r="I45" s="92"/>
      <c r="K45" s="134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H45" s="127"/>
      <c r="AI45" s="17"/>
      <c r="AK45" s="131"/>
      <c r="AL45" s="17"/>
      <c r="AM45" s="131"/>
      <c r="AN45" s="131"/>
      <c r="AT45" s="102"/>
      <c r="AU45" s="102"/>
      <c r="AV45" s="104"/>
    </row>
    <row r="46" spans="1:48" ht="12.75">
      <c r="A46" s="92"/>
      <c r="B46" s="92"/>
      <c r="C46" s="17"/>
      <c r="F46" s="17"/>
      <c r="G46" s="17"/>
      <c r="H46" s="17"/>
      <c r="I46" s="17"/>
      <c r="AH46" s="127"/>
      <c r="AI46" s="17"/>
      <c r="AK46" s="83"/>
      <c r="AL46" s="17"/>
      <c r="AM46" s="131"/>
      <c r="AN46" s="131"/>
      <c r="AT46" s="17"/>
      <c r="AU46" s="127"/>
      <c r="AV46" s="74"/>
    </row>
    <row r="47" spans="1:9" ht="12.75">
      <c r="A47" s="17"/>
      <c r="B47" s="17"/>
      <c r="C47" s="17"/>
      <c r="F47" s="17"/>
      <c r="G47" s="17"/>
      <c r="H47" s="17"/>
      <c r="I47" s="17"/>
    </row>
    <row r="48" spans="1:9" ht="12.75">
      <c r="A48" s="17"/>
      <c r="B48" s="17"/>
      <c r="C48" s="151"/>
      <c r="D48" s="171"/>
      <c r="E48" s="172"/>
      <c r="F48" s="151"/>
      <c r="G48" s="171"/>
      <c r="H48" s="172"/>
      <c r="I48" s="151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3:9" ht="12.75">
      <c r="C50" s="83"/>
      <c r="D50" s="83"/>
      <c r="E50" s="83"/>
      <c r="F50" s="83"/>
      <c r="G50" s="83"/>
      <c r="H50" s="83"/>
      <c r="I50" s="83"/>
    </row>
    <row r="51" spans="1:9" ht="12.75">
      <c r="A51" s="70"/>
      <c r="B51" s="70"/>
      <c r="C51" s="70"/>
      <c r="D51" s="146"/>
      <c r="E51" s="70"/>
      <c r="F51" s="70"/>
      <c r="G51" s="154"/>
      <c r="I51" s="70"/>
    </row>
    <row r="52" spans="1:9" ht="12.75">
      <c r="A52" s="161"/>
      <c r="C52" s="83"/>
      <c r="D52" s="83"/>
      <c r="E52" s="83"/>
      <c r="F52" s="83"/>
      <c r="G52" s="83"/>
      <c r="H52" s="83"/>
      <c r="I52" s="83"/>
    </row>
    <row r="53" spans="1:9" ht="12.75">
      <c r="A53" s="161"/>
      <c r="C53" s="83"/>
      <c r="D53" s="83"/>
      <c r="E53" s="83"/>
      <c r="F53" s="83"/>
      <c r="G53" s="83"/>
      <c r="H53" s="83"/>
      <c r="I53" s="83"/>
    </row>
    <row r="54" spans="1:9" ht="12.75">
      <c r="A54" s="144"/>
      <c r="C54" s="83"/>
      <c r="D54" s="83"/>
      <c r="E54" s="83"/>
      <c r="F54" s="83"/>
      <c r="G54" s="83"/>
      <c r="H54" s="83"/>
      <c r="I54" s="83"/>
    </row>
    <row r="55" spans="1:9" ht="12.75">
      <c r="A55" s="161"/>
      <c r="C55" s="83"/>
      <c r="D55" s="83"/>
      <c r="E55" s="83"/>
      <c r="F55" s="83"/>
      <c r="G55" s="83"/>
      <c r="H55" s="83"/>
      <c r="I55" s="83"/>
    </row>
    <row r="56" spans="1:9" ht="12.75">
      <c r="A56" s="161"/>
      <c r="C56" s="83"/>
      <c r="D56" s="83"/>
      <c r="E56" s="83"/>
      <c r="F56" s="83"/>
      <c r="G56" s="83"/>
      <c r="H56" s="83"/>
      <c r="I56" s="83"/>
    </row>
    <row r="57" spans="1:9" ht="12.75">
      <c r="A57" s="161"/>
      <c r="C57" s="83"/>
      <c r="D57" s="83"/>
      <c r="E57" s="83"/>
      <c r="F57" s="83"/>
      <c r="G57" s="83"/>
      <c r="H57" s="83"/>
      <c r="I57" s="83"/>
    </row>
    <row r="58" spans="1:9" ht="12.75">
      <c r="A58" s="132"/>
      <c r="B58" s="93"/>
      <c r="C58" s="93"/>
      <c r="D58" s="93"/>
      <c r="E58" s="93"/>
      <c r="F58" s="93"/>
      <c r="G58" s="93"/>
      <c r="H58" s="93"/>
      <c r="I58" s="93"/>
    </row>
    <row r="59" spans="3:9" ht="12.75">
      <c r="C59" s="83"/>
      <c r="D59" s="83"/>
      <c r="E59" s="83"/>
      <c r="F59" s="83"/>
      <c r="G59" s="17"/>
      <c r="H59" s="83"/>
      <c r="I59" s="83"/>
    </row>
    <row r="60" spans="1:7" ht="12.75">
      <c r="A60" s="102"/>
      <c r="B60" s="17"/>
      <c r="C60" s="17"/>
      <c r="D60" s="17"/>
      <c r="E60" s="17"/>
      <c r="F60" s="17"/>
      <c r="G60" s="17"/>
    </row>
    <row r="62" spans="1:9" ht="12.75">
      <c r="A62" s="136"/>
      <c r="B62" s="136"/>
      <c r="C62" s="136"/>
      <c r="D62" s="136"/>
      <c r="E62" s="136"/>
      <c r="F62" s="136"/>
      <c r="G62" s="136"/>
      <c r="H62" s="136"/>
      <c r="I62" s="136"/>
    </row>
    <row r="63" spans="1:9" ht="12.75">
      <c r="A63" s="81"/>
      <c r="B63" s="81"/>
      <c r="C63" s="81"/>
      <c r="E63" s="154"/>
      <c r="F63" s="17"/>
      <c r="G63" s="17"/>
      <c r="H63" s="17"/>
      <c r="I63" s="154"/>
    </row>
    <row r="64" spans="1:9" ht="12.75">
      <c r="A64" s="92"/>
      <c r="B64" s="92"/>
      <c r="C64" s="92"/>
      <c r="D64" s="92"/>
      <c r="E64" s="102"/>
      <c r="F64" s="102"/>
      <c r="G64" s="102"/>
      <c r="H64" s="102"/>
      <c r="I64" s="102"/>
    </row>
    <row r="65" spans="1:9" ht="12.75">
      <c r="A65" s="140"/>
      <c r="B65" s="140"/>
      <c r="C65" s="140"/>
      <c r="D65" s="140"/>
      <c r="E65" s="154"/>
      <c r="I65" s="154"/>
    </row>
    <row r="66" spans="1:9" ht="12.75">
      <c r="A66" s="93"/>
      <c r="B66" s="93"/>
      <c r="C66" s="93"/>
      <c r="E66" s="83"/>
      <c r="F66" s="17"/>
      <c r="G66" s="17"/>
      <c r="H66" s="17"/>
      <c r="I66" s="41"/>
    </row>
    <row r="67" spans="1:9" ht="12.75">
      <c r="A67" s="93"/>
      <c r="B67" s="93"/>
      <c r="C67" s="93"/>
      <c r="E67" s="83"/>
      <c r="F67" s="17"/>
      <c r="G67" s="17"/>
      <c r="H67" s="17"/>
      <c r="I67" s="41"/>
    </row>
    <row r="68" spans="1:9" ht="12.75">
      <c r="A68" s="144"/>
      <c r="B68" s="93"/>
      <c r="C68" s="93"/>
      <c r="E68" s="83"/>
      <c r="F68" s="17"/>
      <c r="G68" s="17"/>
      <c r="H68" s="17"/>
      <c r="I68" s="41"/>
    </row>
    <row r="69" spans="1:9" ht="12.75">
      <c r="A69" s="93"/>
      <c r="B69" s="93"/>
      <c r="C69" s="93"/>
      <c r="E69" s="83"/>
      <c r="F69" s="17"/>
      <c r="G69" s="17"/>
      <c r="H69" s="17"/>
      <c r="I69" s="41"/>
    </row>
    <row r="70" spans="1:9" ht="12.75">
      <c r="A70" s="132"/>
      <c r="B70" s="93"/>
      <c r="C70" s="93"/>
      <c r="D70" s="93"/>
      <c r="E70" s="93"/>
      <c r="F70" s="93"/>
      <c r="G70" s="93"/>
      <c r="H70" s="93"/>
      <c r="I70" s="93"/>
    </row>
    <row r="75" spans="1:9" ht="12.75">
      <c r="A75" s="81"/>
      <c r="B75" s="81"/>
      <c r="C75" s="81"/>
      <c r="D75" s="81"/>
      <c r="E75" s="81"/>
      <c r="F75" s="81"/>
      <c r="G75" s="81"/>
      <c r="H75" s="81"/>
      <c r="I75" s="81"/>
    </row>
    <row r="76" spans="1:9" ht="12.75">
      <c r="A76" s="91"/>
      <c r="B76" s="91"/>
      <c r="C76" s="91"/>
      <c r="D76" s="92"/>
      <c r="E76" s="92"/>
      <c r="F76" s="92"/>
      <c r="G76" s="92"/>
      <c r="I76" s="92"/>
    </row>
    <row r="77" spans="1:9" ht="12.75">
      <c r="A77" s="91"/>
      <c r="B77" s="91"/>
      <c r="C77" s="91"/>
      <c r="D77" s="81"/>
      <c r="G77" s="81"/>
      <c r="H77" s="81"/>
      <c r="I77" s="81"/>
    </row>
    <row r="78" spans="1:9" ht="12.75">
      <c r="A78" s="93"/>
      <c r="B78" s="93"/>
      <c r="C78" s="93"/>
      <c r="D78" s="83"/>
      <c r="E78" s="17"/>
      <c r="F78" s="17"/>
      <c r="G78" s="83"/>
      <c r="H78" s="17"/>
      <c r="I78" s="17"/>
    </row>
    <row r="79" spans="1:9" ht="12.75">
      <c r="A79" s="93"/>
      <c r="B79" s="93"/>
      <c r="C79" s="93"/>
      <c r="D79" s="83"/>
      <c r="E79" s="17"/>
      <c r="F79" s="17"/>
      <c r="G79" s="83"/>
      <c r="H79" s="17"/>
      <c r="I79" s="17"/>
    </row>
    <row r="80" spans="1:9" ht="12.75">
      <c r="A80" s="93"/>
      <c r="B80" s="93"/>
      <c r="C80" s="93"/>
      <c r="D80" s="83"/>
      <c r="E80" s="17"/>
      <c r="F80" s="17"/>
      <c r="G80" s="83"/>
      <c r="H80" s="17"/>
      <c r="I80" s="17"/>
    </row>
  </sheetData>
  <sheetProtection/>
  <mergeCells count="54">
    <mergeCell ref="E40:G40"/>
    <mergeCell ref="H40:J40"/>
    <mergeCell ref="E41:G41"/>
    <mergeCell ref="H41:J41"/>
    <mergeCell ref="B42:D43"/>
    <mergeCell ref="E42:G42"/>
    <mergeCell ref="H42:J42"/>
    <mergeCell ref="E43:G43"/>
    <mergeCell ref="B37:D37"/>
    <mergeCell ref="E37:G37"/>
    <mergeCell ref="H37:J37"/>
    <mergeCell ref="H43:J43"/>
    <mergeCell ref="B38:D39"/>
    <mergeCell ref="E38:G38"/>
    <mergeCell ref="H38:J38"/>
    <mergeCell ref="E39:G39"/>
    <mergeCell ref="H39:J39"/>
    <mergeCell ref="B40:D41"/>
    <mergeCell ref="B27:C27"/>
    <mergeCell ref="B28:C28"/>
    <mergeCell ref="B29:C29"/>
    <mergeCell ref="B34:J35"/>
    <mergeCell ref="B36:D36"/>
    <mergeCell ref="E36:G36"/>
    <mergeCell ref="H36:J36"/>
    <mergeCell ref="B16:C16"/>
    <mergeCell ref="B30:C30"/>
    <mergeCell ref="B19:C19"/>
    <mergeCell ref="B20:C20"/>
    <mergeCell ref="B21:J21"/>
    <mergeCell ref="B22:C22"/>
    <mergeCell ref="B23:C23"/>
    <mergeCell ref="B24:C24"/>
    <mergeCell ref="B25:C25"/>
    <mergeCell ref="B26:C26"/>
    <mergeCell ref="B3:J4"/>
    <mergeCell ref="B5:C5"/>
    <mergeCell ref="B6:C11"/>
    <mergeCell ref="D6:F8"/>
    <mergeCell ref="G6:G11"/>
    <mergeCell ref="H6:H11"/>
    <mergeCell ref="I6:I8"/>
    <mergeCell ref="J6:J8"/>
    <mergeCell ref="D9:D11"/>
    <mergeCell ref="B18:C18"/>
    <mergeCell ref="E9:E11"/>
    <mergeCell ref="F9:F11"/>
    <mergeCell ref="I9:I11"/>
    <mergeCell ref="J9:J11"/>
    <mergeCell ref="B17:C17"/>
    <mergeCell ref="B12:J12"/>
    <mergeCell ref="B13:C13"/>
    <mergeCell ref="B14:C14"/>
    <mergeCell ref="B15:C15"/>
  </mergeCells>
  <dataValidations count="2">
    <dataValidation type="list" allowBlank="1" showInputMessage="1" showErrorMessage="1" sqref="AJ43">
      <formula1>Local</formula1>
    </dataValidation>
    <dataValidation type="whole" allowBlank="1" showInputMessage="1" showErrorMessage="1" sqref="I13:I20">
      <formula1>0</formula1>
      <formula2>78300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72" customWidth="1"/>
    <col min="8" max="8" width="15.28125" style="72" customWidth="1"/>
    <col min="9" max="10" width="13.7109375" style="72" customWidth="1"/>
    <col min="11" max="15" width="10.7109375" style="72" customWidth="1"/>
    <col min="16" max="22" width="13.7109375" style="72" customWidth="1"/>
    <col min="23" max="32" width="12.7109375" style="72" customWidth="1"/>
    <col min="33" max="38" width="9.140625" style="72" customWidth="1"/>
    <col min="39" max="39" width="11.00390625" style="72" customWidth="1"/>
    <col min="40" max="40" width="12.421875" style="72" customWidth="1"/>
    <col min="41" max="41" width="10.421875" style="72" customWidth="1"/>
    <col min="42" max="42" width="10.7109375" style="72" customWidth="1"/>
    <col min="43" max="43" width="12.421875" style="72" customWidth="1"/>
    <col min="44" max="44" width="10.421875" style="72" customWidth="1"/>
    <col min="45" max="45" width="11.7109375" style="72" customWidth="1"/>
    <col min="46" max="46" width="10.421875" style="72" customWidth="1"/>
    <col min="47" max="48" width="9.140625" style="72" customWidth="1"/>
    <col min="49" max="49" width="10.140625" style="72" customWidth="1"/>
    <col min="50" max="16384" width="9.140625" style="72" customWidth="1"/>
  </cols>
  <sheetData>
    <row r="1" spans="17:26" ht="12.75">
      <c r="Q1" s="74"/>
      <c r="T1" s="17"/>
      <c r="Z1" s="139"/>
    </row>
    <row r="2" spans="17:26" ht="13.5" thickBot="1">
      <c r="Q2" s="74"/>
      <c r="T2" s="17"/>
      <c r="Z2" s="139"/>
    </row>
    <row r="3" spans="1:58" ht="13.5" thickTop="1">
      <c r="A3" s="136"/>
      <c r="B3" s="728" t="s">
        <v>368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133"/>
      <c r="Q3" s="92"/>
      <c r="R3" s="92"/>
      <c r="S3" s="92"/>
      <c r="T3" s="92"/>
      <c r="U3" s="92"/>
      <c r="V3" s="92"/>
      <c r="W3" s="92"/>
      <c r="X3" s="92"/>
      <c r="Y3" s="92"/>
      <c r="Z3" s="140"/>
      <c r="AA3" s="140"/>
      <c r="AB3" s="102"/>
      <c r="AC3" s="102"/>
      <c r="AD3" s="102"/>
      <c r="AM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</row>
    <row r="4" spans="1:58" ht="13.5" thickBot="1">
      <c r="A4" s="102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17"/>
      <c r="Q4" s="92"/>
      <c r="R4" s="92"/>
      <c r="S4" s="92"/>
      <c r="T4" s="92"/>
      <c r="U4" s="92"/>
      <c r="V4" s="92"/>
      <c r="W4" s="92"/>
      <c r="X4" s="92"/>
      <c r="Y4" s="92"/>
      <c r="Z4" s="140"/>
      <c r="AA4" s="140"/>
      <c r="AB4" s="17"/>
      <c r="AC4" s="17"/>
      <c r="AD4" s="17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2:58" ht="12.75">
      <c r="B5" s="568" t="s">
        <v>32</v>
      </c>
      <c r="C5" s="553"/>
      <c r="D5" s="89" t="s">
        <v>33</v>
      </c>
      <c r="E5" s="89" t="s">
        <v>34</v>
      </c>
      <c r="F5" s="89" t="s">
        <v>35</v>
      </c>
      <c r="G5" s="89" t="s">
        <v>36</v>
      </c>
      <c r="H5" s="89" t="s">
        <v>37</v>
      </c>
      <c r="I5" s="89" t="s">
        <v>38</v>
      </c>
      <c r="J5" s="89" t="s">
        <v>39</v>
      </c>
      <c r="K5" s="89" t="s">
        <v>40</v>
      </c>
      <c r="L5" s="89" t="s">
        <v>41</v>
      </c>
      <c r="M5" s="89" t="s">
        <v>42</v>
      </c>
      <c r="N5" s="89" t="s">
        <v>43</v>
      </c>
      <c r="O5" s="141" t="s">
        <v>44</v>
      </c>
      <c r="P5" s="104"/>
      <c r="Q5" s="91"/>
      <c r="R5" s="91"/>
      <c r="S5" s="91"/>
      <c r="T5" s="133"/>
      <c r="U5" s="133"/>
      <c r="V5" s="133"/>
      <c r="W5" s="133"/>
      <c r="X5" s="133"/>
      <c r="Y5" s="133"/>
      <c r="AB5" s="133"/>
      <c r="AC5" s="133"/>
      <c r="AD5" s="133"/>
      <c r="AM5" s="102"/>
      <c r="AN5" s="102"/>
      <c r="AO5" s="102"/>
      <c r="AP5" s="17"/>
      <c r="AQ5" s="102"/>
      <c r="AR5" s="17"/>
      <c r="AS5" s="17"/>
      <c r="AT5" s="17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2:58" ht="12.75">
      <c r="B6" s="768" t="s">
        <v>331</v>
      </c>
      <c r="C6" s="769"/>
      <c r="D6" s="733" t="s">
        <v>122</v>
      </c>
      <c r="E6" s="734"/>
      <c r="F6" s="734"/>
      <c r="G6" s="733" t="s">
        <v>332</v>
      </c>
      <c r="H6" s="657" t="s">
        <v>81</v>
      </c>
      <c r="I6" s="657" t="s">
        <v>369</v>
      </c>
      <c r="J6" s="657" t="s">
        <v>370</v>
      </c>
      <c r="K6" s="657" t="s">
        <v>371</v>
      </c>
      <c r="L6" s="657" t="s">
        <v>372</v>
      </c>
      <c r="M6" s="657" t="s">
        <v>373</v>
      </c>
      <c r="N6" s="657" t="s">
        <v>374</v>
      </c>
      <c r="O6" s="736" t="s">
        <v>375</v>
      </c>
      <c r="Q6" s="140"/>
      <c r="R6" s="140"/>
      <c r="S6" s="140"/>
      <c r="T6" s="133"/>
      <c r="U6" s="133"/>
      <c r="V6" s="133"/>
      <c r="X6" s="102"/>
      <c r="AB6" s="102"/>
      <c r="AC6" s="102"/>
      <c r="AD6" s="102"/>
      <c r="AM6" s="102"/>
      <c r="AN6" s="102"/>
      <c r="AO6" s="17"/>
      <c r="AP6" s="17"/>
      <c r="AQ6" s="17"/>
      <c r="AR6" s="17"/>
      <c r="AS6" s="17"/>
      <c r="AT6" s="17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2:58" ht="12.75">
      <c r="B7" s="749"/>
      <c r="C7" s="748"/>
      <c r="D7" s="734"/>
      <c r="E7" s="734"/>
      <c r="F7" s="734"/>
      <c r="G7" s="426"/>
      <c r="H7" s="723"/>
      <c r="I7" s="561"/>
      <c r="J7" s="561"/>
      <c r="K7" s="561"/>
      <c r="L7" s="561"/>
      <c r="M7" s="561"/>
      <c r="N7" s="561"/>
      <c r="O7" s="368"/>
      <c r="Q7" s="127"/>
      <c r="R7" s="17"/>
      <c r="S7" s="17"/>
      <c r="T7" s="142"/>
      <c r="U7" s="142"/>
      <c r="V7" s="142"/>
      <c r="W7" s="142"/>
      <c r="X7" s="142"/>
      <c r="Y7" s="142"/>
      <c r="Z7" s="142"/>
      <c r="AA7" s="142"/>
      <c r="AB7" s="17"/>
      <c r="AC7" s="102"/>
      <c r="AD7" s="17"/>
      <c r="AM7" s="17"/>
      <c r="AN7" s="17"/>
      <c r="AO7" s="17"/>
      <c r="AP7" s="17"/>
      <c r="AQ7" s="143"/>
      <c r="AR7" s="143"/>
      <c r="AS7" s="143"/>
      <c r="AT7" s="143"/>
      <c r="AW7" s="74"/>
      <c r="AX7" s="70"/>
      <c r="AY7" s="70"/>
      <c r="AZ7" s="70"/>
      <c r="BA7" s="70"/>
      <c r="BB7" s="70"/>
      <c r="BC7" s="70"/>
      <c r="BD7" s="70"/>
      <c r="BE7" s="70"/>
      <c r="BF7" s="70"/>
    </row>
    <row r="8" spans="2:58" ht="12.75">
      <c r="B8" s="749"/>
      <c r="C8" s="748"/>
      <c r="D8" s="519" t="s">
        <v>335</v>
      </c>
      <c r="E8" s="519" t="s">
        <v>376</v>
      </c>
      <c r="F8" s="519" t="s">
        <v>337</v>
      </c>
      <c r="G8" s="426"/>
      <c r="H8" s="723"/>
      <c r="I8" s="519" t="s">
        <v>377</v>
      </c>
      <c r="J8" s="519" t="s">
        <v>378</v>
      </c>
      <c r="K8" s="722" t="s">
        <v>379</v>
      </c>
      <c r="L8" s="722" t="s">
        <v>380</v>
      </c>
      <c r="M8" s="722" t="s">
        <v>381</v>
      </c>
      <c r="N8" s="722" t="s">
        <v>382</v>
      </c>
      <c r="O8" s="725" t="s">
        <v>383</v>
      </c>
      <c r="P8" s="144"/>
      <c r="T8" s="84"/>
      <c r="U8" s="84"/>
      <c r="V8" s="84"/>
      <c r="W8" s="84"/>
      <c r="X8" s="84"/>
      <c r="Y8" s="84"/>
      <c r="Z8" s="84"/>
      <c r="AA8" s="84"/>
      <c r="AB8" s="17"/>
      <c r="AC8" s="17"/>
      <c r="AD8" s="17"/>
      <c r="AM8" s="17"/>
      <c r="AN8" s="17"/>
      <c r="AO8" s="17"/>
      <c r="AP8" s="17"/>
      <c r="AQ8" s="145"/>
      <c r="AR8" s="145"/>
      <c r="AS8" s="145"/>
      <c r="AT8" s="145"/>
      <c r="AW8" s="74"/>
      <c r="AX8" s="70"/>
      <c r="AY8" s="70"/>
      <c r="AZ8" s="70"/>
      <c r="BA8" s="70"/>
      <c r="BB8" s="70"/>
      <c r="BC8" s="70"/>
      <c r="BD8" s="70"/>
      <c r="BE8" s="70"/>
      <c r="BF8" s="70"/>
    </row>
    <row r="9" spans="1:58" ht="13.5" thickBot="1">
      <c r="A9" s="102"/>
      <c r="B9" s="770"/>
      <c r="C9" s="771"/>
      <c r="D9" s="774"/>
      <c r="E9" s="774"/>
      <c r="F9" s="774"/>
      <c r="G9" s="772"/>
      <c r="H9" s="773"/>
      <c r="I9" s="775"/>
      <c r="J9" s="775"/>
      <c r="K9" s="773"/>
      <c r="L9" s="773"/>
      <c r="M9" s="773"/>
      <c r="N9" s="773"/>
      <c r="O9" s="726"/>
      <c r="P9" s="104"/>
      <c r="Q9" s="130"/>
      <c r="R9" s="130"/>
      <c r="S9" s="130"/>
      <c r="T9" s="131"/>
      <c r="U9" s="131"/>
      <c r="V9" s="131"/>
      <c r="W9" s="83"/>
      <c r="X9" s="83"/>
      <c r="Y9" s="83"/>
      <c r="Z9" s="83"/>
      <c r="AA9" s="83"/>
      <c r="AM9" s="127"/>
      <c r="AN9" s="17"/>
      <c r="AO9" s="146"/>
      <c r="AP9" s="17"/>
      <c r="AQ9" s="147"/>
      <c r="AR9" s="147"/>
      <c r="AS9" s="148"/>
      <c r="AT9" s="148"/>
      <c r="AW9" s="74"/>
      <c r="AX9" s="70"/>
      <c r="AY9" s="70"/>
      <c r="AZ9" s="70"/>
      <c r="BA9" s="70"/>
      <c r="BB9" s="70"/>
      <c r="BC9" s="70"/>
      <c r="BD9" s="70"/>
      <c r="BE9" s="70"/>
      <c r="BF9" s="70"/>
    </row>
    <row r="10" spans="1:58" ht="12.75">
      <c r="A10" s="74"/>
      <c r="B10" s="727" t="s">
        <v>340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139"/>
      <c r="Q10" s="130"/>
      <c r="R10" s="130"/>
      <c r="S10" s="130"/>
      <c r="T10" s="83"/>
      <c r="U10" s="83"/>
      <c r="V10" s="83"/>
      <c r="W10" s="83"/>
      <c r="X10" s="83"/>
      <c r="Y10" s="83"/>
      <c r="Z10" s="83"/>
      <c r="AA10" s="83"/>
      <c r="AB10" s="41"/>
      <c r="AC10" s="41"/>
      <c r="AD10" s="41"/>
      <c r="AM10" s="17"/>
      <c r="AN10" s="17"/>
      <c r="AO10" s="17"/>
      <c r="AP10" s="17"/>
      <c r="AQ10" s="147"/>
      <c r="AR10" s="147"/>
      <c r="AS10" s="147"/>
      <c r="AT10" s="147"/>
      <c r="AW10" s="74"/>
      <c r="AX10" s="70"/>
      <c r="AY10" s="70"/>
      <c r="AZ10" s="70"/>
      <c r="BA10" s="70"/>
      <c r="BB10" s="70"/>
      <c r="BC10" s="70"/>
      <c r="BD10" s="70"/>
      <c r="BE10" s="70"/>
      <c r="BF10" s="70"/>
    </row>
    <row r="11" spans="1:49" ht="12.75">
      <c r="A11" s="74"/>
      <c r="B11" s="721" t="s">
        <v>389</v>
      </c>
      <c r="C11" s="448"/>
      <c r="D11" s="115">
        <f>+'Segment 1'!$G$83</f>
        <v>4.0302845121325</v>
      </c>
      <c r="E11" s="115">
        <f>+'Segment 1'!$G$84</f>
        <v>2.1763536365515503</v>
      </c>
      <c r="F11" s="115">
        <f>+'Segment 2'!$G$85</f>
        <v>0.150833700026748</v>
      </c>
      <c r="G11" s="137" t="s">
        <v>29</v>
      </c>
      <c r="H11" s="115">
        <f>+'Segment 1'!$D$49</f>
        <v>0.15733333333333333</v>
      </c>
      <c r="I11" s="149">
        <f>+H11*D11*D11</f>
        <v>2.5555957378009895</v>
      </c>
      <c r="J11" s="149">
        <f>SQRT(H11*D11)</f>
        <v>0.796302766901832</v>
      </c>
      <c r="K11" s="137" t="s">
        <v>29</v>
      </c>
      <c r="L11" s="137" t="s">
        <v>29</v>
      </c>
      <c r="M11" s="137" t="s">
        <v>29</v>
      </c>
      <c r="N11" s="137" t="s">
        <v>29</v>
      </c>
      <c r="O11" s="182" t="s">
        <v>29</v>
      </c>
      <c r="P11" s="139"/>
      <c r="Q11" s="130"/>
      <c r="R11" s="130"/>
      <c r="S11" s="130"/>
      <c r="T11" s="83"/>
      <c r="U11" s="83"/>
      <c r="V11" s="83"/>
      <c r="W11" s="83"/>
      <c r="X11" s="83"/>
      <c r="Y11" s="83"/>
      <c r="Z11" s="83"/>
      <c r="AA11" s="83"/>
      <c r="AB11" s="41"/>
      <c r="AC11" s="41"/>
      <c r="AD11" s="41"/>
      <c r="AM11" s="151"/>
      <c r="AN11" s="152"/>
      <c r="AO11" s="146"/>
      <c r="AP11" s="17"/>
      <c r="AQ11" s="147"/>
      <c r="AR11" s="147"/>
      <c r="AS11" s="148"/>
      <c r="AT11" s="148"/>
      <c r="AW11" s="113"/>
    </row>
    <row r="12" spans="1:46" ht="12.75">
      <c r="A12" s="74"/>
      <c r="B12" s="721" t="s">
        <v>390</v>
      </c>
      <c r="C12" s="448"/>
      <c r="D12" s="115">
        <f>+'Segment 2'!$G$83</f>
        <v>0.32789934788423475</v>
      </c>
      <c r="E12" s="115">
        <f>+'Segment 2'!$G$84</f>
        <v>0.17706564785748677</v>
      </c>
      <c r="F12" s="115">
        <f>+'Segment 1'!$G$85</f>
        <v>1.8539308755809503</v>
      </c>
      <c r="G12" s="137" t="s">
        <v>29</v>
      </c>
      <c r="H12" s="115">
        <f>+'Segment 2'!$D$49</f>
        <v>2.36</v>
      </c>
      <c r="I12" s="149">
        <f>+H12*D12*D12</f>
        <v>0.2537424383292591</v>
      </c>
      <c r="J12" s="149">
        <f>SQRT(H12*D12)</f>
        <v>0.8796831594425313</v>
      </c>
      <c r="K12" s="137" t="s">
        <v>29</v>
      </c>
      <c r="L12" s="137" t="s">
        <v>29</v>
      </c>
      <c r="M12" s="137" t="s">
        <v>29</v>
      </c>
      <c r="N12" s="137" t="s">
        <v>29</v>
      </c>
      <c r="O12" s="182" t="s">
        <v>29</v>
      </c>
      <c r="P12" s="139"/>
      <c r="Q12" s="130"/>
      <c r="R12" s="130"/>
      <c r="S12" s="130"/>
      <c r="T12" s="83"/>
      <c r="U12" s="83"/>
      <c r="V12" s="83"/>
      <c r="W12" s="83"/>
      <c r="X12" s="83"/>
      <c r="Y12" s="83"/>
      <c r="Z12" s="83"/>
      <c r="AA12" s="83"/>
      <c r="AB12" s="41"/>
      <c r="AC12" s="41"/>
      <c r="AD12" s="41"/>
      <c r="AM12" s="152"/>
      <c r="AN12" s="152"/>
      <c r="AO12" s="17"/>
      <c r="AP12" s="17"/>
      <c r="AQ12" s="147"/>
      <c r="AR12" s="147"/>
      <c r="AS12" s="147"/>
      <c r="AT12" s="147"/>
    </row>
    <row r="13" spans="1:46" ht="12.75">
      <c r="A13" s="74"/>
      <c r="B13" s="721" t="s">
        <v>341</v>
      </c>
      <c r="C13" s="448"/>
      <c r="D13" s="115"/>
      <c r="E13" s="115"/>
      <c r="F13" s="115"/>
      <c r="G13" s="137" t="s">
        <v>29</v>
      </c>
      <c r="H13" s="115"/>
      <c r="I13" s="173"/>
      <c r="J13" s="174"/>
      <c r="K13" s="137" t="s">
        <v>29</v>
      </c>
      <c r="L13" s="137" t="s">
        <v>29</v>
      </c>
      <c r="M13" s="137" t="s">
        <v>29</v>
      </c>
      <c r="N13" s="137" t="s">
        <v>29</v>
      </c>
      <c r="O13" s="182" t="s">
        <v>29</v>
      </c>
      <c r="P13" s="139"/>
      <c r="Q13" s="130"/>
      <c r="R13" s="130"/>
      <c r="S13" s="130"/>
      <c r="T13" s="83"/>
      <c r="U13" s="83"/>
      <c r="V13" s="83"/>
      <c r="W13" s="83"/>
      <c r="X13" s="83"/>
      <c r="Y13" s="83"/>
      <c r="Z13" s="83"/>
      <c r="AA13" s="83"/>
      <c r="AB13" s="41"/>
      <c r="AC13" s="41"/>
      <c r="AD13" s="41"/>
      <c r="AM13" s="152"/>
      <c r="AN13" s="152"/>
      <c r="AO13" s="146"/>
      <c r="AP13" s="70"/>
      <c r="AQ13" s="70"/>
      <c r="AR13" s="70"/>
      <c r="AS13" s="70"/>
      <c r="AT13" s="70"/>
    </row>
    <row r="14" spans="1:46" ht="12.75">
      <c r="A14" s="74"/>
      <c r="B14" s="721" t="s">
        <v>342</v>
      </c>
      <c r="C14" s="448"/>
      <c r="D14" s="115"/>
      <c r="E14" s="115"/>
      <c r="F14" s="115"/>
      <c r="G14" s="137" t="s">
        <v>29</v>
      </c>
      <c r="H14" s="115"/>
      <c r="I14" s="175"/>
      <c r="J14" s="174"/>
      <c r="K14" s="137" t="s">
        <v>29</v>
      </c>
      <c r="L14" s="137" t="s">
        <v>29</v>
      </c>
      <c r="M14" s="137" t="s">
        <v>29</v>
      </c>
      <c r="N14" s="137" t="s">
        <v>29</v>
      </c>
      <c r="O14" s="182" t="s">
        <v>29</v>
      </c>
      <c r="P14" s="139"/>
      <c r="Q14" s="130"/>
      <c r="R14" s="130"/>
      <c r="S14" s="130"/>
      <c r="T14" s="83"/>
      <c r="U14" s="83"/>
      <c r="V14" s="83"/>
      <c r="W14" s="83"/>
      <c r="X14" s="83"/>
      <c r="Y14" s="83"/>
      <c r="Z14" s="83"/>
      <c r="AA14" s="83"/>
      <c r="AB14" s="41"/>
      <c r="AC14" s="41"/>
      <c r="AD14" s="41"/>
      <c r="AM14" s="128"/>
      <c r="AN14" s="128"/>
      <c r="AO14" s="129"/>
      <c r="AP14" s="129"/>
      <c r="AQ14" s="129"/>
      <c r="AR14" s="129"/>
      <c r="AS14" s="129"/>
      <c r="AT14" s="129"/>
    </row>
    <row r="15" spans="1:53" ht="12.75">
      <c r="A15" s="74"/>
      <c r="B15" s="721" t="s">
        <v>343</v>
      </c>
      <c r="C15" s="448"/>
      <c r="D15" s="115"/>
      <c r="E15" s="115"/>
      <c r="F15" s="115"/>
      <c r="G15" s="137" t="s">
        <v>29</v>
      </c>
      <c r="H15" s="115"/>
      <c r="I15" s="176"/>
      <c r="J15" s="174"/>
      <c r="K15" s="137" t="s">
        <v>29</v>
      </c>
      <c r="L15" s="137" t="s">
        <v>29</v>
      </c>
      <c r="M15" s="137" t="s">
        <v>29</v>
      </c>
      <c r="N15" s="137" t="s">
        <v>29</v>
      </c>
      <c r="O15" s="182" t="s">
        <v>29</v>
      </c>
      <c r="P15" s="139"/>
      <c r="Q15" s="74"/>
      <c r="T15" s="83"/>
      <c r="U15" s="83"/>
      <c r="V15" s="83"/>
      <c r="W15" s="83"/>
      <c r="X15" s="83"/>
      <c r="Y15" s="83"/>
      <c r="Z15" s="83"/>
      <c r="AA15" s="83"/>
      <c r="AB15" s="41"/>
      <c r="AC15" s="41"/>
      <c r="AD15" s="41"/>
      <c r="AM15" s="129"/>
      <c r="AN15" s="129"/>
      <c r="AO15" s="129"/>
      <c r="AP15" s="129"/>
      <c r="AQ15" s="129"/>
      <c r="AR15" s="129"/>
      <c r="AS15" s="129"/>
      <c r="AT15" s="129"/>
      <c r="AW15" s="74"/>
      <c r="BA15" s="70"/>
    </row>
    <row r="16" spans="1:46" ht="12.75">
      <c r="A16" s="74"/>
      <c r="B16" s="721" t="s">
        <v>344</v>
      </c>
      <c r="C16" s="448"/>
      <c r="D16" s="115"/>
      <c r="E16" s="115"/>
      <c r="F16" s="115"/>
      <c r="G16" s="137" t="s">
        <v>29</v>
      </c>
      <c r="H16" s="115"/>
      <c r="I16" s="175"/>
      <c r="J16" s="174"/>
      <c r="K16" s="137" t="s">
        <v>29</v>
      </c>
      <c r="L16" s="137" t="s">
        <v>29</v>
      </c>
      <c r="M16" s="137" t="s">
        <v>29</v>
      </c>
      <c r="N16" s="137" t="s">
        <v>29</v>
      </c>
      <c r="O16" s="182" t="s">
        <v>29</v>
      </c>
      <c r="P16" s="139"/>
      <c r="Q16" s="132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1"/>
      <c r="AC16" s="41"/>
      <c r="AD16" s="41"/>
      <c r="AM16" s="129"/>
      <c r="AN16" s="128"/>
      <c r="AO16" s="129"/>
      <c r="AP16" s="129"/>
      <c r="AQ16" s="129"/>
      <c r="AR16" s="129"/>
      <c r="AS16" s="129"/>
      <c r="AT16" s="129"/>
    </row>
    <row r="17" spans="1:53" ht="12.75">
      <c r="A17" s="74"/>
      <c r="B17" s="721" t="s">
        <v>345</v>
      </c>
      <c r="C17" s="448"/>
      <c r="D17" s="115"/>
      <c r="E17" s="115"/>
      <c r="F17" s="115"/>
      <c r="G17" s="137" t="s">
        <v>29</v>
      </c>
      <c r="H17" s="115"/>
      <c r="I17" s="114"/>
      <c r="J17" s="174"/>
      <c r="K17" s="137" t="s">
        <v>29</v>
      </c>
      <c r="L17" s="137" t="s">
        <v>29</v>
      </c>
      <c r="M17" s="137" t="s">
        <v>29</v>
      </c>
      <c r="N17" s="137" t="s">
        <v>29</v>
      </c>
      <c r="O17" s="182" t="s">
        <v>29</v>
      </c>
      <c r="P17" s="15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1"/>
      <c r="AC17" s="41"/>
      <c r="AD17" s="41"/>
      <c r="AM17" s="129"/>
      <c r="AN17" s="129"/>
      <c r="AO17" s="129"/>
      <c r="AP17" s="129"/>
      <c r="AQ17" s="129"/>
      <c r="AR17" s="129"/>
      <c r="AS17" s="129"/>
      <c r="AT17" s="129"/>
      <c r="AW17" s="74"/>
      <c r="BA17" s="70"/>
    </row>
    <row r="18" spans="2:30" ht="13.5" thickBot="1">
      <c r="B18" s="740" t="s">
        <v>346</v>
      </c>
      <c r="C18" s="544"/>
      <c r="D18" s="116"/>
      <c r="E18" s="116"/>
      <c r="F18" s="116"/>
      <c r="G18" s="137" t="s">
        <v>29</v>
      </c>
      <c r="H18" s="116"/>
      <c r="I18" s="138"/>
      <c r="J18" s="177"/>
      <c r="K18" s="137" t="s">
        <v>29</v>
      </c>
      <c r="L18" s="137" t="s">
        <v>29</v>
      </c>
      <c r="M18" s="137" t="s">
        <v>29</v>
      </c>
      <c r="N18" s="137" t="s">
        <v>29</v>
      </c>
      <c r="O18" s="183" t="s">
        <v>29</v>
      </c>
      <c r="P18" s="134"/>
      <c r="Q18" s="92"/>
      <c r="R18" s="92"/>
      <c r="S18" s="92"/>
      <c r="T18" s="92"/>
      <c r="U18" s="92"/>
      <c r="V18" s="92"/>
      <c r="W18" s="92"/>
      <c r="X18" s="92"/>
      <c r="Y18" s="92"/>
      <c r="Z18" s="140"/>
      <c r="AA18" s="140"/>
      <c r="AB18" s="41"/>
      <c r="AC18" s="41"/>
      <c r="AD18" s="41"/>
    </row>
    <row r="19" spans="2:46" ht="12.75">
      <c r="B19" s="727" t="s">
        <v>347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133"/>
      <c r="Q19" s="92"/>
      <c r="R19" s="92"/>
      <c r="S19" s="92"/>
      <c r="T19" s="92"/>
      <c r="U19" s="92"/>
      <c r="V19" s="92"/>
      <c r="W19" s="92"/>
      <c r="X19" s="92"/>
      <c r="Y19" s="92"/>
      <c r="Z19" s="140"/>
      <c r="AA19" s="140"/>
      <c r="AB19" s="17"/>
      <c r="AC19" s="17"/>
      <c r="AD19" s="17"/>
      <c r="AE19" s="17"/>
      <c r="AF19" s="17"/>
      <c r="AG19" s="17"/>
      <c r="AH19" s="17"/>
      <c r="AI19" s="17"/>
      <c r="AJ19" s="17"/>
      <c r="AM19" s="102"/>
      <c r="AN19" s="102"/>
      <c r="AO19" s="102"/>
      <c r="AP19" s="102"/>
      <c r="AQ19" s="102"/>
      <c r="AR19" s="17"/>
      <c r="AS19" s="17"/>
      <c r="AT19" s="17"/>
    </row>
    <row r="20" spans="1:46" ht="12.75">
      <c r="A20" s="154"/>
      <c r="B20" s="721" t="s">
        <v>348</v>
      </c>
      <c r="C20" s="448"/>
      <c r="D20" s="115">
        <f>+'Intersection 1'!$I$68</f>
        <v>0.6076444944092201</v>
      </c>
      <c r="E20" s="115">
        <f>+'Intersection 1'!$I$69</f>
        <v>0.32387451552011426</v>
      </c>
      <c r="F20" s="155">
        <f>+'Intersection 1'!$I$70</f>
        <v>0.28376997888910577</v>
      </c>
      <c r="G20" s="137" t="s">
        <v>29</v>
      </c>
      <c r="H20" s="115">
        <f>+'Intersection 1'!$E$33</f>
        <v>0.54</v>
      </c>
      <c r="I20" s="115">
        <f>H20*D20*D20</f>
        <v>0.19938518905635183</v>
      </c>
      <c r="J20" s="155">
        <f>SQRT(H20*D20)</f>
        <v>0.5728246040289985</v>
      </c>
      <c r="K20" s="137" t="s">
        <v>29</v>
      </c>
      <c r="L20" s="137" t="s">
        <v>29</v>
      </c>
      <c r="M20" s="137" t="s">
        <v>29</v>
      </c>
      <c r="N20" s="137" t="s">
        <v>29</v>
      </c>
      <c r="O20" s="182" t="s">
        <v>29</v>
      </c>
      <c r="P20" s="104"/>
      <c r="Q20" s="140"/>
      <c r="R20" s="140"/>
      <c r="S20" s="140"/>
      <c r="T20" s="102"/>
      <c r="U20" s="17"/>
      <c r="V20" s="102"/>
      <c r="X20" s="102"/>
      <c r="Y20" s="17"/>
      <c r="Z20" s="102"/>
      <c r="AB20" s="133"/>
      <c r="AC20" s="133"/>
      <c r="AD20" s="133"/>
      <c r="AE20" s="133"/>
      <c r="AF20" s="133"/>
      <c r="AG20" s="133"/>
      <c r="AH20" s="133"/>
      <c r="AI20" s="133"/>
      <c r="AJ20" s="133"/>
      <c r="AM20" s="102"/>
      <c r="AN20" s="102"/>
      <c r="AO20" s="102"/>
      <c r="AP20" s="17"/>
      <c r="AQ20" s="102"/>
      <c r="AR20" s="17"/>
      <c r="AS20" s="17"/>
      <c r="AT20" s="17"/>
    </row>
    <row r="21" spans="1:46" ht="12.75">
      <c r="A21" s="156"/>
      <c r="B21" s="528" t="s">
        <v>349</v>
      </c>
      <c r="C21" s="448"/>
      <c r="D21" s="115">
        <f>+'Intersection 2'!$I$68</f>
        <v>0.6885429263357821</v>
      </c>
      <c r="E21" s="115">
        <f>+'Intersection 2'!$I$69</f>
        <v>0.35666523584193516</v>
      </c>
      <c r="F21" s="155">
        <f>+'Intersection 2'!$I$70</f>
        <v>0.3318776904938469</v>
      </c>
      <c r="G21" s="137" t="s">
        <v>29</v>
      </c>
      <c r="H21" s="115">
        <f>+'Intersection 2'!$E$33</f>
        <v>0.24</v>
      </c>
      <c r="I21" s="115">
        <f>H21*D21*D21</f>
        <v>0.11378192673769012</v>
      </c>
      <c r="J21" s="155">
        <f>SQRT(H21*D21)</f>
        <v>0.40650990433270834</v>
      </c>
      <c r="K21" s="137" t="s">
        <v>29</v>
      </c>
      <c r="L21" s="137" t="s">
        <v>29</v>
      </c>
      <c r="M21" s="137" t="s">
        <v>29</v>
      </c>
      <c r="N21" s="137" t="s">
        <v>29</v>
      </c>
      <c r="O21" s="182" t="s">
        <v>29</v>
      </c>
      <c r="Q21" s="127"/>
      <c r="R21" s="17"/>
      <c r="S21" s="17"/>
      <c r="T21" s="17"/>
      <c r="U21" s="17"/>
      <c r="X21" s="17"/>
      <c r="Y21" s="17"/>
      <c r="AB21" s="92"/>
      <c r="AC21" s="92"/>
      <c r="AD21" s="92"/>
      <c r="AE21" s="92"/>
      <c r="AF21" s="92"/>
      <c r="AG21" s="92"/>
      <c r="AH21" s="92"/>
      <c r="AI21" s="92"/>
      <c r="AJ21" s="92"/>
      <c r="AM21" s="102"/>
      <c r="AN21" s="102"/>
      <c r="AO21" s="17"/>
      <c r="AP21" s="17"/>
      <c r="AQ21" s="17"/>
      <c r="AR21" s="17"/>
      <c r="AS21" s="17"/>
      <c r="AT21" s="17"/>
    </row>
    <row r="22" spans="1:46" ht="12.75">
      <c r="A22" s="140"/>
      <c r="B22" s="721" t="s">
        <v>350</v>
      </c>
      <c r="C22" s="448"/>
      <c r="D22" s="105"/>
      <c r="E22" s="105"/>
      <c r="F22" s="117"/>
      <c r="G22" s="137" t="s">
        <v>29</v>
      </c>
      <c r="H22" s="117"/>
      <c r="I22" s="174"/>
      <c r="J22" s="176"/>
      <c r="K22" s="137" t="s">
        <v>29</v>
      </c>
      <c r="L22" s="137" t="s">
        <v>29</v>
      </c>
      <c r="M22" s="137" t="s">
        <v>29</v>
      </c>
      <c r="N22" s="137" t="s">
        <v>29</v>
      </c>
      <c r="O22" s="182" t="s">
        <v>29</v>
      </c>
      <c r="Q22" s="140"/>
      <c r="AB22" s="92"/>
      <c r="AC22" s="92"/>
      <c r="AD22" s="92"/>
      <c r="AE22" s="92"/>
      <c r="AF22" s="92"/>
      <c r="AG22" s="92"/>
      <c r="AH22" s="92"/>
      <c r="AI22" s="92"/>
      <c r="AJ22" s="92"/>
      <c r="AM22" s="17"/>
      <c r="AN22" s="17"/>
      <c r="AO22" s="17"/>
      <c r="AP22" s="17"/>
      <c r="AQ22" s="143"/>
      <c r="AR22" s="143"/>
      <c r="AS22" s="143"/>
      <c r="AT22" s="143"/>
    </row>
    <row r="23" spans="1:46" ht="12.75">
      <c r="A23" s="140"/>
      <c r="B23" s="528" t="s">
        <v>351</v>
      </c>
      <c r="C23" s="448"/>
      <c r="D23" s="105"/>
      <c r="E23" s="105"/>
      <c r="F23" s="117"/>
      <c r="G23" s="137" t="s">
        <v>29</v>
      </c>
      <c r="H23" s="117"/>
      <c r="I23" s="174"/>
      <c r="J23" s="176"/>
      <c r="K23" s="137" t="s">
        <v>29</v>
      </c>
      <c r="L23" s="137" t="s">
        <v>29</v>
      </c>
      <c r="M23" s="137" t="s">
        <v>29</v>
      </c>
      <c r="N23" s="137" t="s">
        <v>29</v>
      </c>
      <c r="O23" s="182" t="s">
        <v>29</v>
      </c>
      <c r="T23" s="142"/>
      <c r="U23" s="142"/>
      <c r="V23" s="142"/>
      <c r="W23" s="84"/>
      <c r="X23" s="142"/>
      <c r="Y23" s="142"/>
      <c r="Z23" s="142"/>
      <c r="AA23" s="84"/>
      <c r="AB23" s="160"/>
      <c r="AC23" s="160"/>
      <c r="AD23" s="160"/>
      <c r="AE23" s="160"/>
      <c r="AF23" s="160"/>
      <c r="AG23" s="160"/>
      <c r="AH23" s="160"/>
      <c r="AI23" s="160"/>
      <c r="AJ23" s="160"/>
      <c r="AM23" s="17"/>
      <c r="AN23" s="17"/>
      <c r="AO23" s="17"/>
      <c r="AP23" s="17"/>
      <c r="AQ23" s="145"/>
      <c r="AR23" s="145"/>
      <c r="AS23" s="145"/>
      <c r="AT23" s="145"/>
    </row>
    <row r="24" spans="1:46" ht="12.75">
      <c r="A24" s="161"/>
      <c r="B24" s="721" t="s">
        <v>352</v>
      </c>
      <c r="C24" s="448"/>
      <c r="D24" s="115"/>
      <c r="E24" s="115"/>
      <c r="F24" s="115"/>
      <c r="G24" s="137" t="s">
        <v>29</v>
      </c>
      <c r="H24" s="115"/>
      <c r="I24" s="114"/>
      <c r="J24" s="114"/>
      <c r="K24" s="137" t="s">
        <v>29</v>
      </c>
      <c r="L24" s="137" t="s">
        <v>29</v>
      </c>
      <c r="M24" s="137" t="s">
        <v>29</v>
      </c>
      <c r="N24" s="137" t="s">
        <v>29</v>
      </c>
      <c r="O24" s="182" t="s">
        <v>29</v>
      </c>
      <c r="P24" s="144"/>
      <c r="T24" s="84"/>
      <c r="U24" s="84"/>
      <c r="V24" s="84"/>
      <c r="W24" s="84"/>
      <c r="X24" s="84"/>
      <c r="Y24" s="84"/>
      <c r="Z24" s="84"/>
      <c r="AA24" s="84"/>
      <c r="AB24" s="162"/>
      <c r="AC24" s="162"/>
      <c r="AD24" s="162"/>
      <c r="AE24" s="162"/>
      <c r="AF24" s="162"/>
      <c r="AG24" s="162"/>
      <c r="AH24" s="162"/>
      <c r="AI24" s="162"/>
      <c r="AJ24" s="162"/>
      <c r="AM24" s="127"/>
      <c r="AN24" s="17"/>
      <c r="AO24" s="146"/>
      <c r="AP24" s="17"/>
      <c r="AQ24" s="147"/>
      <c r="AR24" s="147"/>
      <c r="AS24" s="148"/>
      <c r="AT24" s="148"/>
    </row>
    <row r="25" spans="1:46" ht="12.75">
      <c r="A25" s="161"/>
      <c r="B25" s="528" t="s">
        <v>353</v>
      </c>
      <c r="C25" s="448"/>
      <c r="D25" s="115"/>
      <c r="E25" s="115"/>
      <c r="F25" s="115"/>
      <c r="G25" s="137" t="s">
        <v>29</v>
      </c>
      <c r="H25" s="115"/>
      <c r="I25" s="114"/>
      <c r="J25" s="114"/>
      <c r="K25" s="137" t="s">
        <v>29</v>
      </c>
      <c r="L25" s="137" t="s">
        <v>29</v>
      </c>
      <c r="M25" s="137" t="s">
        <v>29</v>
      </c>
      <c r="N25" s="137" t="s">
        <v>29</v>
      </c>
      <c r="O25" s="182" t="s">
        <v>29</v>
      </c>
      <c r="P25" s="102"/>
      <c r="Q25" s="130"/>
      <c r="R25" s="17"/>
      <c r="S25" s="17"/>
      <c r="T25" s="131"/>
      <c r="U25" s="131"/>
      <c r="V25" s="131"/>
      <c r="W25" s="17"/>
      <c r="X25" s="83"/>
      <c r="Y25" s="83"/>
      <c r="Z25" s="83"/>
      <c r="AA25" s="83"/>
      <c r="AB25" s="102"/>
      <c r="AC25" s="17"/>
      <c r="AD25" s="17"/>
      <c r="AE25" s="17"/>
      <c r="AF25" s="17"/>
      <c r="AG25" s="17"/>
      <c r="AH25" s="17"/>
      <c r="AI25" s="17"/>
      <c r="AJ25" s="17"/>
      <c r="AM25" s="17"/>
      <c r="AN25" s="17"/>
      <c r="AO25" s="17"/>
      <c r="AP25" s="17"/>
      <c r="AQ25" s="147"/>
      <c r="AR25" s="147"/>
      <c r="AS25" s="147"/>
      <c r="AT25" s="147"/>
    </row>
    <row r="26" spans="1:46" ht="12.75">
      <c r="A26" s="70"/>
      <c r="B26" s="721" t="s">
        <v>354</v>
      </c>
      <c r="C26" s="448"/>
      <c r="D26" s="115"/>
      <c r="E26" s="115"/>
      <c r="F26" s="115"/>
      <c r="G26" s="137" t="s">
        <v>29</v>
      </c>
      <c r="H26" s="178"/>
      <c r="I26" s="114"/>
      <c r="J26" s="179"/>
      <c r="K26" s="137" t="s">
        <v>29</v>
      </c>
      <c r="L26" s="137" t="s">
        <v>29</v>
      </c>
      <c r="M26" s="137" t="s">
        <v>29</v>
      </c>
      <c r="N26" s="137" t="s">
        <v>29</v>
      </c>
      <c r="O26" s="182" t="s">
        <v>29</v>
      </c>
      <c r="P26" s="102"/>
      <c r="Q26" s="130"/>
      <c r="R26" s="17"/>
      <c r="S26" s="17"/>
      <c r="T26" s="131"/>
      <c r="U26" s="131"/>
      <c r="V26" s="131"/>
      <c r="W26" s="17"/>
      <c r="X26" s="83"/>
      <c r="Y26" s="83"/>
      <c r="Z26" s="83"/>
      <c r="AA26" s="83"/>
      <c r="AB26" s="102"/>
      <c r="AC26" s="17"/>
      <c r="AD26" s="17"/>
      <c r="AE26" s="17"/>
      <c r="AF26" s="17"/>
      <c r="AG26" s="17"/>
      <c r="AH26" s="17"/>
      <c r="AI26" s="17"/>
      <c r="AJ26" s="17"/>
      <c r="AM26" s="17"/>
      <c r="AN26" s="17"/>
      <c r="AO26" s="17"/>
      <c r="AP26" s="17"/>
      <c r="AQ26" s="147"/>
      <c r="AR26" s="147"/>
      <c r="AS26" s="147"/>
      <c r="AT26" s="147"/>
    </row>
    <row r="27" spans="1:46" ht="13.5" thickBot="1">
      <c r="A27" s="74"/>
      <c r="B27" s="741" t="s">
        <v>355</v>
      </c>
      <c r="C27" s="742"/>
      <c r="D27" s="164"/>
      <c r="E27" s="164"/>
      <c r="F27" s="164"/>
      <c r="G27" s="137" t="s">
        <v>29</v>
      </c>
      <c r="H27" s="178"/>
      <c r="I27" s="114"/>
      <c r="J27" s="174"/>
      <c r="K27" s="137" t="s">
        <v>29</v>
      </c>
      <c r="L27" s="137" t="s">
        <v>29</v>
      </c>
      <c r="M27" s="137" t="s">
        <v>29</v>
      </c>
      <c r="N27" s="137" t="s">
        <v>29</v>
      </c>
      <c r="O27" s="182" t="s">
        <v>29</v>
      </c>
      <c r="P27" s="134"/>
      <c r="Q27" s="130"/>
      <c r="R27" s="130"/>
      <c r="S27" s="130"/>
      <c r="V27" s="83"/>
      <c r="W27" s="83"/>
      <c r="X27" s="83"/>
      <c r="Y27" s="83"/>
      <c r="Z27" s="83"/>
      <c r="AA27" s="83"/>
      <c r="AB27" s="41"/>
      <c r="AC27" s="41"/>
      <c r="AD27" s="41"/>
      <c r="AE27" s="41"/>
      <c r="AF27" s="41"/>
      <c r="AG27" s="41"/>
      <c r="AH27" s="41"/>
      <c r="AI27" s="41"/>
      <c r="AJ27" s="41"/>
      <c r="AM27" s="151"/>
      <c r="AN27" s="152"/>
      <c r="AO27" s="146"/>
      <c r="AP27" s="17"/>
      <c r="AQ27" s="147"/>
      <c r="AR27" s="147"/>
      <c r="AS27" s="148"/>
      <c r="AT27" s="148"/>
    </row>
    <row r="28" spans="1:46" ht="14.25" thickBot="1" thickTop="1">
      <c r="A28" s="136"/>
      <c r="B28" s="738" t="s">
        <v>442</v>
      </c>
      <c r="C28" s="739"/>
      <c r="D28" s="180">
        <f>SUM(D11:D18)+SUM(D20:D27)</f>
        <v>5.654371280761737</v>
      </c>
      <c r="E28" s="180">
        <f>SUM(E11:E18)+SUM(E20:E27)</f>
        <v>3.0339590357710864</v>
      </c>
      <c r="F28" s="180">
        <f>SUM(F11:F18)+SUM(F20:F27)</f>
        <v>2.620412244990651</v>
      </c>
      <c r="G28" s="220">
        <v>12</v>
      </c>
      <c r="H28" s="221" t="s">
        <v>29</v>
      </c>
      <c r="I28" s="222">
        <f>SUM(I11:I18)+SUM(I20:I27)</f>
        <v>3.1225052919242904</v>
      </c>
      <c r="J28" s="222">
        <f>SUM(J11:J18)+SUM(J20:J27)</f>
        <v>2.65532043470607</v>
      </c>
      <c r="K28" s="116">
        <f>1/(1+I28/D28)</f>
        <v>0.6442350230101623</v>
      </c>
      <c r="L28" s="116">
        <f>K28*D28+((1-K28)*G28)</f>
        <v>7.911923736047591</v>
      </c>
      <c r="M28" s="116">
        <f>1/(1+(J28/D28))</f>
        <v>0.6804550005431116</v>
      </c>
      <c r="N28" s="116">
        <f>+M28*D28+(1-M28)*G28</f>
        <v>7.682085206404343</v>
      </c>
      <c r="O28" s="202">
        <f>(L28+N28)/2</f>
        <v>7.797004471225967</v>
      </c>
      <c r="P28" s="13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M28" s="152"/>
      <c r="AN28" s="152"/>
      <c r="AO28" s="17"/>
      <c r="AP28" s="17"/>
      <c r="AQ28" s="147"/>
      <c r="AR28" s="147"/>
      <c r="AS28" s="147"/>
      <c r="AT28" s="147"/>
    </row>
    <row r="29" spans="1:46" ht="12.75">
      <c r="A29" s="81"/>
      <c r="B29" s="93"/>
      <c r="C29" s="154"/>
      <c r="D29" s="154"/>
      <c r="F29" s="81"/>
      <c r="H29" s="81"/>
      <c r="J29" s="81"/>
      <c r="K29" s="81"/>
      <c r="L29" s="81"/>
      <c r="P29" s="13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M29" s="152"/>
      <c r="AN29" s="152"/>
      <c r="AO29" s="146"/>
      <c r="AP29" s="70"/>
      <c r="AQ29" s="70"/>
      <c r="AR29" s="70"/>
      <c r="AS29" s="70"/>
      <c r="AT29" s="70"/>
    </row>
    <row r="30" spans="1:46" ht="12.75">
      <c r="A30" s="92"/>
      <c r="B30" s="93"/>
      <c r="C30" s="169"/>
      <c r="D30" s="92"/>
      <c r="E30" s="92"/>
      <c r="F30" s="92"/>
      <c r="G30" s="17"/>
      <c r="H30" s="92"/>
      <c r="J30" s="92"/>
      <c r="K30" s="92"/>
      <c r="L30" s="92"/>
      <c r="P30" s="13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M30" s="128"/>
      <c r="AN30" s="128"/>
      <c r="AO30" s="129"/>
      <c r="AP30" s="129"/>
      <c r="AQ30" s="129"/>
      <c r="AR30" s="129"/>
      <c r="AS30" s="129"/>
      <c r="AT30" s="129"/>
    </row>
    <row r="31" spans="2:46" ht="12.75">
      <c r="B31" s="93"/>
      <c r="C31" s="127"/>
      <c r="D31" s="17"/>
      <c r="E31" s="17"/>
      <c r="J31" s="146"/>
      <c r="K31" s="17"/>
      <c r="P31" s="134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M31" s="127"/>
      <c r="AN31" s="129"/>
      <c r="AO31" s="129"/>
      <c r="AP31" s="129"/>
      <c r="AQ31" s="129"/>
      <c r="AR31" s="129"/>
      <c r="AS31" s="129"/>
      <c r="AT31" s="129"/>
    </row>
    <row r="32" spans="2:46" ht="12.75">
      <c r="B32" s="93"/>
      <c r="C32" s="146"/>
      <c r="D32" s="146"/>
      <c r="E32" s="146"/>
      <c r="F32" s="151"/>
      <c r="G32" s="152"/>
      <c r="H32" s="151"/>
      <c r="J32" s="17"/>
      <c r="K32" s="17"/>
      <c r="L32" s="146"/>
      <c r="M32" s="17"/>
      <c r="P32" s="134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M32" s="128"/>
      <c r="AN32" s="128"/>
      <c r="AO32" s="129"/>
      <c r="AP32" s="129"/>
      <c r="AQ32" s="129"/>
      <c r="AR32" s="129"/>
      <c r="AS32" s="129"/>
      <c r="AT32" s="129"/>
    </row>
    <row r="33" spans="2:46" ht="13.5" thickBot="1">
      <c r="B33" s="93"/>
      <c r="C33" s="127"/>
      <c r="D33" s="17"/>
      <c r="E33" s="17"/>
      <c r="K33" s="70"/>
      <c r="L33" s="83"/>
      <c r="M33" s="17"/>
      <c r="P33" s="134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M33" s="129"/>
      <c r="AN33" s="129"/>
      <c r="AO33" s="129"/>
      <c r="AP33" s="129"/>
      <c r="AQ33" s="129"/>
      <c r="AR33" s="129"/>
      <c r="AS33" s="129"/>
      <c r="AT33" s="129"/>
    </row>
    <row r="34" spans="2:46" ht="13.5" thickTop="1">
      <c r="B34" s="728" t="s">
        <v>384</v>
      </c>
      <c r="C34" s="729"/>
      <c r="D34" s="729"/>
      <c r="E34" s="729"/>
      <c r="F34" s="729"/>
      <c r="G34" s="729"/>
      <c r="H34" s="729"/>
      <c r="I34" s="729"/>
      <c r="J34" s="729"/>
      <c r="K34" s="70"/>
      <c r="L34" s="83"/>
      <c r="M34" s="17"/>
      <c r="P34" s="133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02"/>
      <c r="AC34" s="102"/>
      <c r="AD34" s="102"/>
      <c r="AE34" s="102"/>
      <c r="AF34" s="102"/>
      <c r="AG34" s="102"/>
      <c r="AH34" s="102"/>
      <c r="AI34" s="102"/>
      <c r="AJ34" s="102"/>
      <c r="AM34" s="129"/>
      <c r="AN34" s="129"/>
      <c r="AO34" s="129"/>
      <c r="AP34" s="129"/>
      <c r="AQ34" s="129"/>
      <c r="AR34" s="129"/>
      <c r="AS34" s="129"/>
      <c r="AT34" s="129"/>
    </row>
    <row r="35" spans="1:46" ht="13.5" thickBot="1">
      <c r="A35" s="74"/>
      <c r="B35" s="730"/>
      <c r="C35" s="730"/>
      <c r="D35" s="730"/>
      <c r="E35" s="730"/>
      <c r="F35" s="730"/>
      <c r="G35" s="730"/>
      <c r="H35" s="730"/>
      <c r="I35" s="730"/>
      <c r="J35" s="730"/>
      <c r="K35" s="70"/>
      <c r="L35" s="83"/>
      <c r="M35" s="17"/>
      <c r="P35" s="134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M35" s="129"/>
      <c r="AN35" s="129"/>
      <c r="AO35" s="129"/>
      <c r="AP35" s="129"/>
      <c r="AQ35" s="129"/>
      <c r="AR35" s="129"/>
      <c r="AS35" s="129"/>
      <c r="AT35" s="129"/>
    </row>
    <row r="36" spans="1:45" ht="12.75">
      <c r="A36" s="129"/>
      <c r="B36" s="568" t="s">
        <v>32</v>
      </c>
      <c r="C36" s="425"/>
      <c r="D36" s="425"/>
      <c r="E36" s="523" t="s">
        <v>33</v>
      </c>
      <c r="F36" s="425"/>
      <c r="G36" s="425"/>
      <c r="H36" s="523" t="s">
        <v>34</v>
      </c>
      <c r="I36" s="425"/>
      <c r="J36" s="390"/>
      <c r="K36" s="181"/>
      <c r="L36" s="146"/>
      <c r="M36" s="17"/>
      <c r="P36" s="134"/>
      <c r="S36" s="135"/>
      <c r="T36" s="41"/>
      <c r="U36" s="41"/>
      <c r="V36" s="41"/>
      <c r="W36" s="41"/>
      <c r="X36" s="41"/>
      <c r="Y36" s="41"/>
      <c r="Z36" s="41"/>
      <c r="AA36" s="41"/>
      <c r="AB36" s="135"/>
      <c r="AC36" s="41"/>
      <c r="AD36" s="41"/>
      <c r="AE36" s="41"/>
      <c r="AF36" s="41"/>
      <c r="AG36" s="41"/>
      <c r="AH36" s="41"/>
      <c r="AI36" s="41"/>
      <c r="AJ36" s="41"/>
      <c r="AM36" s="92"/>
      <c r="AN36" s="84"/>
      <c r="AO36" s="84"/>
      <c r="AP36" s="84"/>
      <c r="AQ36" s="84"/>
      <c r="AR36" s="84"/>
      <c r="AS36" s="140"/>
    </row>
    <row r="37" spans="1:45" ht="13.5">
      <c r="A37" s="129"/>
      <c r="B37" s="743" t="s">
        <v>121</v>
      </c>
      <c r="C37" s="253"/>
      <c r="D37" s="253"/>
      <c r="E37" s="744" t="s">
        <v>358</v>
      </c>
      <c r="F37" s="745"/>
      <c r="G37" s="745"/>
      <c r="H37" s="744" t="s">
        <v>359</v>
      </c>
      <c r="I37" s="745"/>
      <c r="J37" s="746"/>
      <c r="K37" s="152"/>
      <c r="L37" s="83"/>
      <c r="M37" s="17"/>
      <c r="P37" s="134"/>
      <c r="S37" s="135"/>
      <c r="T37" s="41"/>
      <c r="U37" s="41"/>
      <c r="V37" s="41"/>
      <c r="W37" s="41"/>
      <c r="X37" s="41"/>
      <c r="Y37" s="41"/>
      <c r="Z37" s="41"/>
      <c r="AA37" s="41"/>
      <c r="AB37" s="135"/>
      <c r="AC37" s="41"/>
      <c r="AD37" s="41"/>
      <c r="AE37" s="41"/>
      <c r="AF37" s="41"/>
      <c r="AG37" s="41"/>
      <c r="AH37" s="41"/>
      <c r="AI37" s="41"/>
      <c r="AJ37" s="41"/>
      <c r="AM37" s="92"/>
      <c r="AN37" s="84"/>
      <c r="AO37" s="84"/>
      <c r="AP37" s="84"/>
      <c r="AQ37" s="84"/>
      <c r="AR37" s="84"/>
      <c r="AS37" s="140"/>
    </row>
    <row r="38" spans="1:45" ht="15.75">
      <c r="A38" s="132"/>
      <c r="B38" s="528" t="s">
        <v>89</v>
      </c>
      <c r="C38" s="748"/>
      <c r="D38" s="748"/>
      <c r="E38" s="750" t="s">
        <v>385</v>
      </c>
      <c r="F38" s="751"/>
      <c r="G38" s="751"/>
      <c r="H38" s="750" t="s">
        <v>386</v>
      </c>
      <c r="I38" s="751"/>
      <c r="J38" s="752"/>
      <c r="K38" s="93"/>
      <c r="L38" s="93"/>
      <c r="M38" s="93"/>
      <c r="N38" s="93"/>
      <c r="P38" s="134"/>
      <c r="S38" s="135"/>
      <c r="T38" s="41"/>
      <c r="U38" s="41"/>
      <c r="V38" s="41"/>
      <c r="W38" s="41"/>
      <c r="X38" s="41"/>
      <c r="Y38" s="41"/>
      <c r="Z38" s="41"/>
      <c r="AA38" s="41"/>
      <c r="AB38" s="135"/>
      <c r="AC38" s="41"/>
      <c r="AD38" s="41"/>
      <c r="AE38" s="41"/>
      <c r="AF38" s="41"/>
      <c r="AG38" s="41"/>
      <c r="AH38" s="41"/>
      <c r="AI38" s="41"/>
      <c r="AJ38" s="41"/>
      <c r="AM38" s="92"/>
      <c r="AN38" s="84"/>
      <c r="AO38" s="84"/>
      <c r="AP38" s="84"/>
      <c r="AQ38" s="84"/>
      <c r="AR38" s="84"/>
      <c r="AS38" s="140"/>
    </row>
    <row r="39" spans="1:54" ht="12.75">
      <c r="A39" s="82"/>
      <c r="B39" s="749"/>
      <c r="C39" s="748"/>
      <c r="D39" s="748"/>
      <c r="E39" s="753">
        <f>+D28</f>
        <v>5.654371280761737</v>
      </c>
      <c r="F39" s="754"/>
      <c r="G39" s="755"/>
      <c r="H39" s="756">
        <f>+O28</f>
        <v>7.797004471225967</v>
      </c>
      <c r="I39" s="290"/>
      <c r="J39" s="290"/>
      <c r="K39" s="82"/>
      <c r="L39" s="82"/>
      <c r="M39" s="82"/>
      <c r="P39" s="134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M39" s="84"/>
      <c r="AN39" s="84"/>
      <c r="AO39" s="84"/>
      <c r="AP39" s="84"/>
      <c r="AQ39" s="84"/>
      <c r="AR39" s="84"/>
      <c r="AS39" s="140"/>
      <c r="AT39" s="170"/>
      <c r="AU39" s="170"/>
      <c r="AV39" s="170"/>
      <c r="AW39" s="170"/>
      <c r="AX39" s="170"/>
      <c r="AY39" s="170"/>
      <c r="AZ39" s="170"/>
      <c r="BA39" s="170"/>
      <c r="BB39" s="170"/>
    </row>
    <row r="40" spans="1:54" ht="15.75">
      <c r="A40" s="84"/>
      <c r="B40" s="528" t="s">
        <v>362</v>
      </c>
      <c r="C40" s="748"/>
      <c r="D40" s="748"/>
      <c r="E40" s="750" t="s">
        <v>387</v>
      </c>
      <c r="F40" s="751"/>
      <c r="G40" s="751"/>
      <c r="H40" s="750" t="s">
        <v>364</v>
      </c>
      <c r="I40" s="751"/>
      <c r="J40" s="752"/>
      <c r="K40" s="84"/>
      <c r="L40" s="84"/>
      <c r="M40" s="85"/>
      <c r="P40" s="134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M40" s="136"/>
      <c r="AP40" s="102"/>
      <c r="AT40" s="17"/>
      <c r="AY40" s="17"/>
      <c r="AZ40" s="17"/>
      <c r="BA40" s="17"/>
      <c r="BB40" s="17"/>
    </row>
    <row r="41" spans="1:53" ht="12.75">
      <c r="A41" s="136"/>
      <c r="B41" s="749"/>
      <c r="C41" s="748"/>
      <c r="D41" s="748"/>
      <c r="E41" s="757">
        <f>+E28</f>
        <v>3.0339590357710864</v>
      </c>
      <c r="F41" s="758"/>
      <c r="G41" s="759"/>
      <c r="H41" s="411">
        <f>+O28*E28/D28</f>
        <v>4.1836290885088045</v>
      </c>
      <c r="I41" s="760"/>
      <c r="J41" s="760"/>
      <c r="K41" s="17"/>
      <c r="L41" s="17"/>
      <c r="M41" s="17"/>
      <c r="P41" s="134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M41" s="144"/>
      <c r="AN41" s="93"/>
      <c r="AO41" s="17"/>
      <c r="AP41" s="104"/>
      <c r="AQ41" s="102"/>
      <c r="AR41" s="170"/>
      <c r="AT41" s="102"/>
      <c r="AY41" s="102"/>
      <c r="AZ41" s="102"/>
      <c r="BA41" s="102"/>
    </row>
    <row r="42" spans="1:53" ht="15.75">
      <c r="A42" s="81"/>
      <c r="B42" s="761" t="s">
        <v>365</v>
      </c>
      <c r="C42" s="762"/>
      <c r="D42" s="762"/>
      <c r="E42" s="750" t="s">
        <v>388</v>
      </c>
      <c r="F42" s="751"/>
      <c r="G42" s="751"/>
      <c r="H42" s="750" t="s">
        <v>367</v>
      </c>
      <c r="I42" s="751"/>
      <c r="J42" s="752"/>
      <c r="K42" s="154"/>
      <c r="L42" s="154"/>
      <c r="M42" s="17"/>
      <c r="P42" s="134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M42" s="127"/>
      <c r="AN42" s="17"/>
      <c r="AP42" s="131"/>
      <c r="AQ42" s="17"/>
      <c r="AR42" s="131"/>
      <c r="AS42" s="131"/>
      <c r="AY42" s="102"/>
      <c r="AZ42" s="102"/>
      <c r="BA42" s="102"/>
    </row>
    <row r="43" spans="1:53" ht="13.5" thickBot="1">
      <c r="A43" s="92"/>
      <c r="B43" s="763"/>
      <c r="C43" s="764"/>
      <c r="D43" s="764"/>
      <c r="E43" s="765">
        <f>+F28</f>
        <v>2.620412244990651</v>
      </c>
      <c r="F43" s="766"/>
      <c r="G43" s="767"/>
      <c r="H43" s="421">
        <f>+O28*F28/D28</f>
        <v>3.6133753827171637</v>
      </c>
      <c r="I43" s="747"/>
      <c r="J43" s="747"/>
      <c r="K43" s="92"/>
      <c r="L43" s="92"/>
      <c r="M43" s="92"/>
      <c r="P43" s="134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M43" s="127"/>
      <c r="AN43" s="17"/>
      <c r="AP43" s="131"/>
      <c r="AQ43" s="17"/>
      <c r="AR43" s="131"/>
      <c r="AS43" s="131"/>
      <c r="AY43" s="102"/>
      <c r="AZ43" s="102"/>
      <c r="BA43" s="104"/>
    </row>
    <row r="44" spans="1:53" ht="12.75">
      <c r="A44" s="92"/>
      <c r="C44" s="81"/>
      <c r="D44" s="81"/>
      <c r="E44" s="81"/>
      <c r="F44" s="154"/>
      <c r="G44" s="81"/>
      <c r="H44" s="81"/>
      <c r="I44" s="154"/>
      <c r="K44" s="17"/>
      <c r="L44" s="17"/>
      <c r="M44" s="17"/>
      <c r="AM44" s="127"/>
      <c r="AN44" s="17"/>
      <c r="AP44" s="83"/>
      <c r="AQ44" s="17"/>
      <c r="AR44" s="131"/>
      <c r="AS44" s="131"/>
      <c r="AY44" s="17"/>
      <c r="AZ44" s="127"/>
      <c r="BA44" s="74"/>
    </row>
    <row r="45" spans="1:13" ht="12.75">
      <c r="A45" s="17"/>
      <c r="B45" s="17"/>
      <c r="C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51"/>
      <c r="D46" s="171"/>
      <c r="E46" s="172"/>
      <c r="F46" s="151"/>
      <c r="G46" s="171"/>
      <c r="H46" s="172"/>
      <c r="I46" s="151"/>
      <c r="J46" s="171"/>
      <c r="K46" s="151"/>
      <c r="L46" s="171"/>
      <c r="M46" s="172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12.75">
      <c r="A49" s="70"/>
      <c r="B49" s="70"/>
      <c r="C49" s="70"/>
      <c r="D49" s="146"/>
      <c r="E49" s="70"/>
      <c r="F49" s="70"/>
      <c r="G49" s="154"/>
      <c r="I49" s="70"/>
      <c r="J49" s="146"/>
      <c r="K49" s="70"/>
      <c r="L49" s="146"/>
      <c r="M49" s="17"/>
    </row>
    <row r="50" spans="1:13" ht="12.75">
      <c r="A50" s="161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2.75">
      <c r="A51" s="161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2.75">
      <c r="A52" s="144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2.75">
      <c r="A53" s="161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2.75">
      <c r="A54" s="161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2.75">
      <c r="A55" s="161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4" ht="12.75">
      <c r="A56" s="13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3:13" ht="12.75">
      <c r="C57" s="83"/>
      <c r="D57" s="83"/>
      <c r="E57" s="83"/>
      <c r="F57" s="83"/>
      <c r="G57" s="17"/>
      <c r="H57" s="83"/>
      <c r="I57" s="83"/>
      <c r="J57" s="83"/>
      <c r="K57" s="17"/>
      <c r="L57" s="83"/>
      <c r="M57" s="83"/>
    </row>
    <row r="58" spans="1:7" ht="12.75">
      <c r="A58" s="102"/>
      <c r="B58" s="17"/>
      <c r="C58" s="17"/>
      <c r="D58" s="17"/>
      <c r="E58" s="17"/>
      <c r="F58" s="17"/>
      <c r="G58" s="17"/>
    </row>
    <row r="60" spans="1:13" ht="12.7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3" ht="12.75">
      <c r="A61" s="81"/>
      <c r="B61" s="81"/>
      <c r="C61" s="81"/>
      <c r="E61" s="154"/>
      <c r="F61" s="17"/>
      <c r="G61" s="17"/>
      <c r="H61" s="17"/>
      <c r="I61" s="154"/>
      <c r="J61" s="17"/>
      <c r="K61" s="17"/>
      <c r="L61" s="17"/>
      <c r="M61" s="17"/>
    </row>
    <row r="62" spans="1:13" ht="12.75">
      <c r="A62" s="92"/>
      <c r="B62" s="92"/>
      <c r="C62" s="92"/>
      <c r="D62" s="9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1" ht="12.75">
      <c r="A63" s="140"/>
      <c r="B63" s="140"/>
      <c r="C63" s="140"/>
      <c r="D63" s="140"/>
      <c r="E63" s="154"/>
      <c r="I63" s="154"/>
      <c r="J63" s="81"/>
      <c r="K63" s="81"/>
    </row>
    <row r="64" spans="1:13" ht="12.75">
      <c r="A64" s="93"/>
      <c r="B64" s="93"/>
      <c r="C64" s="93"/>
      <c r="E64" s="83"/>
      <c r="F64" s="17"/>
      <c r="G64" s="17"/>
      <c r="H64" s="17"/>
      <c r="I64" s="41"/>
      <c r="J64" s="41"/>
      <c r="K64" s="41"/>
      <c r="L64" s="41"/>
      <c r="M64" s="41"/>
    </row>
    <row r="65" spans="1:13" ht="12.75">
      <c r="A65" s="93"/>
      <c r="B65" s="93"/>
      <c r="C65" s="93"/>
      <c r="E65" s="83"/>
      <c r="F65" s="17"/>
      <c r="G65" s="17"/>
      <c r="H65" s="17"/>
      <c r="I65" s="41"/>
      <c r="J65" s="41"/>
      <c r="K65" s="41"/>
      <c r="L65" s="41"/>
      <c r="M65" s="41"/>
    </row>
    <row r="66" spans="1:13" ht="12.75">
      <c r="A66" s="144"/>
      <c r="B66" s="93"/>
      <c r="C66" s="93"/>
      <c r="E66" s="83"/>
      <c r="F66" s="17"/>
      <c r="G66" s="17"/>
      <c r="H66" s="17"/>
      <c r="I66" s="41"/>
      <c r="J66" s="41"/>
      <c r="K66" s="41"/>
      <c r="L66" s="41"/>
      <c r="M66" s="41"/>
    </row>
    <row r="67" spans="1:13" ht="12.75">
      <c r="A67" s="93"/>
      <c r="B67" s="93"/>
      <c r="C67" s="93"/>
      <c r="E67" s="83"/>
      <c r="F67" s="17"/>
      <c r="G67" s="17"/>
      <c r="H67" s="17"/>
      <c r="I67" s="41"/>
      <c r="J67" s="41"/>
      <c r="K67" s="41"/>
      <c r="L67" s="41"/>
      <c r="M67" s="41"/>
    </row>
    <row r="68" spans="1:14" ht="12.75">
      <c r="A68" s="13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73" spans="1:13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2.75">
      <c r="A74" s="91"/>
      <c r="B74" s="91"/>
      <c r="C74" s="91"/>
      <c r="D74" s="92"/>
      <c r="E74" s="92"/>
      <c r="F74" s="92"/>
      <c r="G74" s="92"/>
      <c r="I74" s="92"/>
      <c r="J74" s="92"/>
      <c r="K74" s="92"/>
      <c r="L74" s="92"/>
      <c r="M74" s="92"/>
    </row>
    <row r="75" spans="1:13" ht="12.75">
      <c r="A75" s="91"/>
      <c r="B75" s="91"/>
      <c r="C75" s="91"/>
      <c r="D75" s="81"/>
      <c r="G75" s="81"/>
      <c r="H75" s="81"/>
      <c r="I75" s="81"/>
      <c r="J75" s="92"/>
      <c r="K75" s="92"/>
      <c r="L75" s="81"/>
      <c r="M75" s="81"/>
    </row>
    <row r="76" spans="1:13" ht="12.75">
      <c r="A76" s="93"/>
      <c r="B76" s="93"/>
      <c r="C76" s="93"/>
      <c r="D76" s="83"/>
      <c r="E76" s="17"/>
      <c r="F76" s="17"/>
      <c r="G76" s="83"/>
      <c r="H76" s="17"/>
      <c r="I76" s="17"/>
      <c r="J76" s="17"/>
      <c r="K76" s="17"/>
      <c r="L76" s="41"/>
      <c r="M76" s="41"/>
    </row>
    <row r="77" spans="1:13" ht="12.75">
      <c r="A77" s="93"/>
      <c r="B77" s="93"/>
      <c r="C77" s="93"/>
      <c r="D77" s="83"/>
      <c r="E77" s="17"/>
      <c r="F77" s="17"/>
      <c r="G77" s="83"/>
      <c r="H77" s="17"/>
      <c r="I77" s="17"/>
      <c r="J77" s="17"/>
      <c r="K77" s="17"/>
      <c r="L77" s="41"/>
      <c r="M77" s="41"/>
    </row>
    <row r="78" spans="1:13" ht="12.75">
      <c r="A78" s="93"/>
      <c r="B78" s="93"/>
      <c r="C78" s="93"/>
      <c r="D78" s="83"/>
      <c r="E78" s="17"/>
      <c r="F78" s="17"/>
      <c r="G78" s="83"/>
      <c r="H78" s="17"/>
      <c r="I78" s="17"/>
      <c r="J78" s="17"/>
      <c r="K78" s="17"/>
      <c r="L78" s="41"/>
      <c r="M78" s="41"/>
    </row>
  </sheetData>
  <sheetProtection/>
  <mergeCells count="64">
    <mergeCell ref="B42:D43"/>
    <mergeCell ref="E42:G42"/>
    <mergeCell ref="H42:J42"/>
    <mergeCell ref="E43:G43"/>
    <mergeCell ref="H43:J43"/>
    <mergeCell ref="B40:D41"/>
    <mergeCell ref="E40:G40"/>
    <mergeCell ref="H40:J40"/>
    <mergeCell ref="E41:G41"/>
    <mergeCell ref="H41:J41"/>
    <mergeCell ref="B37:D37"/>
    <mergeCell ref="E37:G37"/>
    <mergeCell ref="H37:J37"/>
    <mergeCell ref="B38:D39"/>
    <mergeCell ref="E38:G38"/>
    <mergeCell ref="H38:J38"/>
    <mergeCell ref="E39:G39"/>
    <mergeCell ref="H39:J39"/>
    <mergeCell ref="B24:C24"/>
    <mergeCell ref="B25:C25"/>
    <mergeCell ref="B26:C26"/>
    <mergeCell ref="B27:C27"/>
    <mergeCell ref="B28:C28"/>
    <mergeCell ref="B34:J35"/>
    <mergeCell ref="B16:C16"/>
    <mergeCell ref="B17:C17"/>
    <mergeCell ref="B36:D36"/>
    <mergeCell ref="E36:G36"/>
    <mergeCell ref="H36:J36"/>
    <mergeCell ref="B19:O19"/>
    <mergeCell ref="B20:C20"/>
    <mergeCell ref="B21:C21"/>
    <mergeCell ref="B22:C22"/>
    <mergeCell ref="B23:C23"/>
    <mergeCell ref="B18:C18"/>
    <mergeCell ref="M8:M9"/>
    <mergeCell ref="N8:N9"/>
    <mergeCell ref="O8:O9"/>
    <mergeCell ref="B10:O10"/>
    <mergeCell ref="B11:C11"/>
    <mergeCell ref="B12:C12"/>
    <mergeCell ref="B13:C13"/>
    <mergeCell ref="B14:C14"/>
    <mergeCell ref="B15:C15"/>
    <mergeCell ref="M6:M7"/>
    <mergeCell ref="N6:N7"/>
    <mergeCell ref="O6:O7"/>
    <mergeCell ref="D8:D9"/>
    <mergeCell ref="E8:E9"/>
    <mergeCell ref="F8:F9"/>
    <mergeCell ref="I8:I9"/>
    <mergeCell ref="J8:J9"/>
    <mergeCell ref="K8:K9"/>
    <mergeCell ref="L8:L9"/>
    <mergeCell ref="B3:O4"/>
    <mergeCell ref="B5:C5"/>
    <mergeCell ref="B6:C9"/>
    <mergeCell ref="D6:F7"/>
    <mergeCell ref="G6:G9"/>
    <mergeCell ref="H6:H9"/>
    <mergeCell ref="I6:I7"/>
    <mergeCell ref="J6:J7"/>
    <mergeCell ref="K6:K7"/>
    <mergeCell ref="L6:L7"/>
  </mergeCells>
  <dataValidations count="1">
    <dataValidation type="list" allowBlank="1" showInputMessage="1" showErrorMessage="1" sqref="AO41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HSM rural two lane spreadsheet with Oregon calibration</dc:title>
  <dc:subject>Highway Safety</dc:subject>
  <dc:creator>Karen Dixon</dc:creator>
  <cp:keywords>HSM, Rural, 2 lane</cp:keywords>
  <dc:description>Prepared for HSM Training -- NCHRP 17-38</dc:description>
  <cp:lastModifiedBy>Alyssa Rash</cp:lastModifiedBy>
  <cp:lastPrinted>2015-12-28T15:34:12Z</cp:lastPrinted>
  <dcterms:created xsi:type="dcterms:W3CDTF">2009-11-22T21:24:43Z</dcterms:created>
  <dcterms:modified xsi:type="dcterms:W3CDTF">2016-12-22T17:57:28Z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Move to V4">
    <vt:lpwstr/>
  </property>
  <property fmtid="{D5CDD505-2E9C-101B-9397-08002B2CF9AE}" pid="8" name="display_urn:schemas-microsoft-com:office:office#Editor">
    <vt:lpwstr>KOURTNEY  LARGENT</vt:lpwstr>
  </property>
  <property fmtid="{D5CDD505-2E9C-101B-9397-08002B2CF9AE}" pid="9" name="display_urn:schemas-microsoft-com:office:office#Author">
    <vt:lpwstr>KOURTNEY  LARGENT</vt:lpwstr>
  </property>
</Properties>
</file>