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firstSheet="1" activeTab="1"/>
  </bookViews>
  <sheets>
    <sheet name="Instructions" sheetId="1" r:id="rId1"/>
    <sheet name="Segment1" sheetId="2" r:id="rId2"/>
    <sheet name="Segment2" sheetId="3" r:id="rId3"/>
    <sheet name="Segment Tables" sheetId="4" r:id="rId4"/>
    <sheet name="Intersection1" sheetId="5" r:id="rId5"/>
    <sheet name="Intersection2" sheetId="6" r:id="rId6"/>
    <sheet name="Intersection Tables" sheetId="7" r:id="rId7"/>
    <sheet name="Urban Site Total" sheetId="8" r:id="rId8"/>
    <sheet name="Urban Project Total" sheetId="9" r:id="rId9"/>
    <sheet name="Construction - do not delete" sheetId="10" r:id="rId10"/>
  </sheets>
  <definedNames>
    <definedName name="CRumble">'Construction - do not delete'!$H$17:$H$18</definedName>
    <definedName name="Differ">'Construction - do not delete'!$L$29:$L$30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IType2">'Construction - do not delete'!$F$71:$F$74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>'Construction - do not delete'!$B$4:$B$10</definedName>
    <definedName name="MWidth">'Construction - do not delete'!$D$37:$D$46</definedName>
    <definedName name="Not_Present">#REF!</definedName>
    <definedName name="OffsetFO">'Construction - do not delete'!$L$55:$L$61</definedName>
    <definedName name="OnStreet">'Construction - do not delete'!$J$55:$J$58</definedName>
    <definedName name="OnStreetType">'Construction - do not delete'!$J$55:$J$59</definedName>
    <definedName name="Phasing">'Construction - do not delete'!$H$71:$H$74</definedName>
    <definedName name="Phasing2">'Construction - do not delete'!$L$71:$L$75</definedName>
    <definedName name="PLane">'Construction - do not delete'!$J$17:$J$18</definedName>
    <definedName name="PLane2">'Construction - do not delete'!$J$17:$J$19</definedName>
    <definedName name="Posted">'Construction - do not delete'!$N$55:$N$56</definedName>
    <definedName name="PresOrNot">'Construction - do not delete'!$H$55:$H$56</definedName>
    <definedName name="_xlnm.Print_Area" localSheetId="4">'Intersection1'!$A$1:$N$186</definedName>
    <definedName name="_xlnm.Print_Area" localSheetId="5">'Intersection2'!$A$1:$N$186</definedName>
    <definedName name="_xlnm.Print_Area" localSheetId="1">'Segment1'!$A$1:$N$188</definedName>
    <definedName name="_xlnm.Print_Area" localSheetId="2">'Segment2'!$A$1:$N$188</definedName>
    <definedName name="_xlnm.Print_Area" localSheetId="8">'Urban Project Total'!$B$2:$O$69</definedName>
    <definedName name="_xlnm.Print_Area" localSheetId="7">'Urban Site Total'!$A$1:$L$71</definedName>
    <definedName name="Pspeed">'Construction - do not delete'!$N$54</definedName>
    <definedName name="RApproach">'Construction - do not delete'!$H$29:$H$33</definedName>
    <definedName name="RHR">'Construction - do not delete'!$F$4:$F$10</definedName>
    <definedName name="RType">'Construction - do not delete'!$D$55:$D$59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Slope">'Construction - do not delete'!$H$37:$H$41</definedName>
    <definedName name="SType">'Construction - do not delete'!$D$17:$D$20</definedName>
    <definedName name="SWidth">'Construction - do not delete'!$D$4:$D$12</definedName>
    <definedName name="TLanes">'Construction - do not delete'!$D$71:$D$75</definedName>
    <definedName name="TWLTL">'Construction - do not delete'!$F$23:$F$24</definedName>
    <definedName name="UMedian">'Construction - do not delete'!$F$56:$F$66</definedName>
    <definedName name="UMedian2">'Construction - do not delete'!$F$56:$F$66</definedName>
    <definedName name="UMedWidth">'Construction - do not delete'!$F$55:$F$66</definedName>
    <definedName name="UnsigApproach">'Construction - do not delete'!$J$71:$J$73</definedName>
  </definedNames>
  <calcPr fullCalcOnLoad="1"/>
</workbook>
</file>

<file path=xl/sharedStrings.xml><?xml version="1.0" encoding="utf-8"?>
<sst xmlns="http://schemas.openxmlformats.org/spreadsheetml/2006/main" count="2551" uniqueCount="723">
  <si>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</si>
  <si>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</si>
  <si>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</si>
  <si>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</si>
  <si>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</si>
  <si>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</si>
  <si>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</si>
  <si>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</si>
  <si>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</si>
  <si>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</si>
  <si>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</si>
  <si>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</si>
  <si>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</si>
  <si>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</si>
  <si>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</si>
  <si>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</si>
  <si>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</si>
  <si>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</si>
  <si>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</si>
  <si>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</si>
  <si>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</si>
  <si>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</si>
  <si>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</si>
  <si>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</si>
  <si>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</si>
  <si>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</si>
  <si>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</si>
  <si>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</si>
  <si>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</si>
  <si>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</si>
  <si>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</si>
  <si>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</si>
  <si>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</si>
  <si>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</si>
  <si>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</si>
  <si>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</si>
  <si>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</si>
  <si>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</si>
  <si>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</si>
  <si>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</si>
  <si>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t>Angle collision</t>
  </si>
  <si>
    <t>Head-on collision</t>
  </si>
  <si>
    <t>Rear-end collision</t>
  </si>
  <si>
    <t>Crash severity level</t>
  </si>
  <si>
    <t>Predicted average crash frequency (crashes/year)</t>
  </si>
  <si>
    <t>Shoulder Type</t>
  </si>
  <si>
    <t>Lane Width</t>
  </si>
  <si>
    <t>TWLTL</t>
  </si>
  <si>
    <t>Lighting</t>
  </si>
  <si>
    <t>HSM-Provided Values</t>
  </si>
  <si>
    <t>Locally-Derived Values</t>
  </si>
  <si>
    <t>OSU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</si>
  <si>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</si>
  <si>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</si>
  <si>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</si>
  <si>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</si>
  <si>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</si>
  <si>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</si>
  <si>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</si>
  <si>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</si>
  <si>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</si>
  <si>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</si>
  <si>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</si>
  <si>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</si>
  <si>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</si>
  <si>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</si>
  <si>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</si>
  <si>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Present (1 lane)</t>
  </si>
  <si>
    <t>Present (2 lanes)</t>
  </si>
  <si>
    <t>Local</t>
  </si>
  <si>
    <t>Yes</t>
  </si>
  <si>
    <t>No</t>
  </si>
  <si>
    <t>Locally-Derived Values?</t>
  </si>
  <si>
    <t>Intersection</t>
  </si>
  <si>
    <t>Intersection lighting (present/not present)</t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</si>
  <si>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</si>
  <si>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</si>
  <si>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</si>
  <si>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</si>
  <si>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</si>
  <si>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</si>
  <si>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</si>
  <si>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</si>
  <si>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</si>
  <si>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</si>
  <si>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</si>
  <si>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t>Median width (ft) - for divided only</t>
  </si>
  <si>
    <t>CMF for Median Width</t>
  </si>
  <si>
    <t>(1)*(2)*(3)*(4)*(5)</t>
  </si>
  <si>
    <t>SPF Coefficients</t>
  </si>
  <si>
    <t>a</t>
  </si>
  <si>
    <t>b</t>
  </si>
  <si>
    <t>Mwidth</t>
  </si>
  <si>
    <t>Divided</t>
  </si>
  <si>
    <t>Undivided</t>
  </si>
  <si>
    <t>Division</t>
  </si>
  <si>
    <t>Sideswipe</t>
  </si>
  <si>
    <t>Other</t>
  </si>
  <si>
    <t>PDO</t>
  </si>
  <si>
    <t>Sslope</t>
  </si>
  <si>
    <t>1:2 or Steeper</t>
  </si>
  <si>
    <t>1:4</t>
  </si>
  <si>
    <t>1:5</t>
  </si>
  <si>
    <t>1:6</t>
  </si>
  <si>
    <t>1:7 or Flatter</t>
  </si>
  <si>
    <t>4U</t>
  </si>
  <si>
    <t>Shld2</t>
  </si>
  <si>
    <t>CMF</t>
  </si>
  <si>
    <t>4D</t>
  </si>
  <si>
    <r>
      <t>Calibration Factor, C</t>
    </r>
    <r>
      <rPr>
        <b/>
        <vertAlign val="subscript"/>
        <sz val="10"/>
        <rFont val="Arial"/>
        <family val="2"/>
      </rPr>
      <t>i</t>
    </r>
  </si>
  <si>
    <t>Iapproach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</si>
  <si>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</si>
  <si>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</si>
  <si>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</si>
  <si>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</si>
  <si>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</si>
  <si>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ROADWAY SEGMENTS</t>
  </si>
  <si>
    <t>INTERSECTIONS</t>
  </si>
  <si>
    <t>Segment 3</t>
  </si>
  <si>
    <t>Segment 4</t>
  </si>
  <si>
    <t>Intersection 3</t>
  </si>
  <si>
    <t>Intersection 4</t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</si>
  <si>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</si>
  <si>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</si>
  <si>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</si>
  <si>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</si>
  <si>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</si>
  <si>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</si>
  <si>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</si>
  <si>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</si>
  <si>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</si>
  <si>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</si>
  <si>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</si>
  <si>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</si>
  <si>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</si>
  <si>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t>Equation A-5 from Part C Appendix</t>
  </si>
  <si>
    <t>Equation   A-4 from Part C Appendix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</si>
  <si>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</si>
  <si>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</si>
  <si>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</si>
  <si>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</si>
  <si>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</si>
  <si>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</si>
  <si>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</si>
  <si>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</si>
  <si>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</si>
  <si>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</si>
  <si>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</si>
  <si>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This spreadsheet has been developed to demonstrate the predictive models</t>
  </si>
  <si>
    <t>The content was developed for training purposes and all users should</t>
  </si>
  <si>
    <t>verify that the answers they obtain with these worksheets correctly</t>
  </si>
  <si>
    <t>represent their target analysis.</t>
  </si>
  <si>
    <t>The page tabs shown at the bottom of this file represent the various analysis</t>
  </si>
  <si>
    <t>that can be performed using this spreadsheet tool and the HSM predictive</t>
  </si>
  <si>
    <t>methods. A user can evaluate an individual road segment or intersection as</t>
  </si>
  <si>
    <t>well as analyze multiple road segments and intersections. If more than one</t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</si>
  <si>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</si>
  <si>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</si>
  <si>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</si>
  <si>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</si>
  <si>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</si>
  <si>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</si>
  <si>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</si>
  <si>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</si>
  <si>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 xml:space="preserve">Analysis for project-specific EB analysis using </t>
  </si>
  <si>
    <t>Analysis for site-specific EB analysis using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</si>
  <si>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</si>
  <si>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</si>
  <si>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</si>
  <si>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</si>
  <si>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</si>
  <si>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</si>
  <si>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</si>
  <si>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</si>
  <si>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identify locations where input data is required.  In some cases,</t>
  </si>
  <si>
    <t>the shaded cells require the user to input specific numbers. In</t>
  </si>
  <si>
    <t>other cases the input is restricted to a select set of options</t>
  </si>
  <si>
    <t>included in pull-down lists. The respective color coding is as</t>
  </si>
  <si>
    <t>follows:</t>
  </si>
  <si>
    <t>Color Used</t>
  </si>
  <si>
    <t>Type of Information Required from User</t>
  </si>
  <si>
    <t>Required input information as identified</t>
  </si>
  <si>
    <t>in the HSM.</t>
  </si>
  <si>
    <t xml:space="preserve">Input data required from the user but </t>
  </si>
  <si>
    <t>restricted to options provided in pull-down</t>
  </si>
  <si>
    <t>boxes.</t>
  </si>
  <si>
    <t>Optional input information that can be used</t>
  </si>
  <si>
    <t>to supplement the analysis if this information</t>
  </si>
  <si>
    <t>is available.  This optional input information</t>
  </si>
  <si>
    <t>is reserved for locally-derived crash information.</t>
  </si>
  <si>
    <t>If the analyst elects to use this option so as</t>
  </si>
  <si>
    <t>to improve analysis for local crash distribution</t>
  </si>
  <si>
    <t>using locally derive crash information.  The</t>
  </si>
  <si>
    <t>worksheets will then use the local values</t>
  </si>
  <si>
    <t>instead of the HSM default values.</t>
  </si>
  <si>
    <t>KKD</t>
  </si>
  <si>
    <t>SH 123</t>
  </si>
  <si>
    <t>MP 0.0 to MP 1.5</t>
  </si>
  <si>
    <t>Anywhere, USA</t>
  </si>
  <si>
    <t>The worksheets include three specific color options to help users</t>
  </si>
  <si>
    <t>Worksheet 1A -- General Information and Input Data for Urban and Suburban Roadway Segments</t>
  </si>
  <si>
    <t>Roadway type (2U, 3T, 4U, 4D, ST)</t>
  </si>
  <si>
    <t>Type of on-street parking (none/parallel/angle)</t>
  </si>
  <si>
    <t>Proportion of curb length with on-street parking</t>
  </si>
  <si>
    <t>Lighting (present / not present)</t>
  </si>
  <si>
    <t>Auto speed enforcement (present / not present)</t>
  </si>
  <si>
    <t>Major commercial driveways (number)</t>
  </si>
  <si>
    <t>Minor commercial driveways (number)</t>
  </si>
  <si>
    <t>Major industrial / institutional driveways (number)</t>
  </si>
  <si>
    <t>Minor industrial / institutional driveways (number)</t>
  </si>
  <si>
    <t>Major residential driveways (number)</t>
  </si>
  <si>
    <t>Minor residential driveways (number)</t>
  </si>
  <si>
    <t>Other driveways (number)</t>
  </si>
  <si>
    <t>Speed Category</t>
  </si>
  <si>
    <t>Roadside fixed object density (fixed objects / mi)</t>
  </si>
  <si>
    <t>Urban / Suburban Fields:</t>
  </si>
  <si>
    <t>Rtype</t>
  </si>
  <si>
    <t>3T</t>
  </si>
  <si>
    <t>2U</t>
  </si>
  <si>
    <t>UMedWidth</t>
  </si>
  <si>
    <t>PresOrNot</t>
  </si>
  <si>
    <t>None</t>
  </si>
  <si>
    <t>Worksheet 1B -- Crash Modification Factors for Urban and Suburban Roadway Segments</t>
  </si>
  <si>
    <t>CMF for On-Street Parking</t>
  </si>
  <si>
    <t>CMF 1r</t>
  </si>
  <si>
    <t>from Equation 12-32</t>
  </si>
  <si>
    <t>Type of Parking and Land Use</t>
  </si>
  <si>
    <t>Parallel Parking</t>
  </si>
  <si>
    <t>Residential/  Other</t>
  </si>
  <si>
    <t>Commercial or Industrial/ Institutional</t>
  </si>
  <si>
    <t>Angle Parking</t>
  </si>
  <si>
    <t>Road Type</t>
  </si>
  <si>
    <t>5T</t>
  </si>
  <si>
    <t>Parallel (Residential)</t>
  </si>
  <si>
    <t>Parallel (Comm/Ind)</t>
  </si>
  <si>
    <t>Angle (Residential)</t>
  </si>
  <si>
    <t>Angle (Comm/Ind)</t>
  </si>
  <si>
    <t>OnStreetType</t>
  </si>
  <si>
    <t>CMF for Roadside Fixed Objects</t>
  </si>
  <si>
    <t>CMF 2r</t>
  </si>
  <si>
    <t>from Equation 12-33</t>
  </si>
  <si>
    <t>Offset to fixed objects</t>
  </si>
  <si>
    <r>
      <t>(O</t>
    </r>
    <r>
      <rPr>
        <b/>
        <vertAlign val="subscript"/>
        <sz val="10"/>
        <rFont val="Arial"/>
        <family val="2"/>
      </rPr>
      <t>fo</t>
    </r>
    <r>
      <rPr>
        <b/>
        <sz val="10"/>
        <rFont val="Arial"/>
        <family val="2"/>
      </rPr>
      <t>) (ft)</t>
    </r>
  </si>
  <si>
    <t>Fixed-Object Offset Factor</t>
  </si>
  <si>
    <r>
      <t>(f</t>
    </r>
    <r>
      <rPr>
        <b/>
        <vertAlign val="subscript"/>
        <sz val="10"/>
        <rFont val="Arial"/>
        <family val="2"/>
      </rPr>
      <t>offset</t>
    </r>
    <r>
      <rPr>
        <b/>
        <sz val="10"/>
        <rFont val="Arial"/>
        <family val="2"/>
      </rPr>
      <t>)</t>
    </r>
  </si>
  <si>
    <t>OffsetFO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</si>
  <si>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30</t>
    </r>
  </si>
  <si>
    <r>
      <rPr>
        <sz val="10"/>
        <rFont val="Calibri"/>
        <family val="2"/>
      </rPr>
      <t xml:space="preserve">≥ </t>
    </r>
    <r>
      <rPr>
        <sz val="10"/>
        <rFont val="Arial"/>
        <family val="0"/>
      </rPr>
      <t>30</t>
    </r>
  </si>
  <si>
    <r>
      <t>Proportion of Fixed-Object Collisions (p</t>
    </r>
    <r>
      <rPr>
        <b/>
        <vertAlign val="subscript"/>
        <sz val="10"/>
        <rFont val="Arial"/>
        <family val="2"/>
      </rPr>
      <t>fo</t>
    </r>
    <r>
      <rPr>
        <b/>
        <sz val="10"/>
        <rFont val="Arial"/>
        <family val="2"/>
      </rPr>
      <t>)</t>
    </r>
  </si>
  <si>
    <t>CMF 3r</t>
  </si>
  <si>
    <t>Median Width (ft)</t>
  </si>
  <si>
    <t>CMF 4r</t>
  </si>
  <si>
    <t>from Equation 12-34</t>
  </si>
  <si>
    <t>Proportion of Total Nighttime Crashes by Severity Level</t>
  </si>
  <si>
    <r>
      <t>Fatal and Injury (p</t>
    </r>
    <r>
      <rPr>
        <b/>
        <vertAlign val="subscript"/>
        <sz val="10"/>
        <rFont val="Arial"/>
        <family val="2"/>
      </rPr>
      <t>inr</t>
    </r>
    <r>
      <rPr>
        <b/>
        <sz val="10"/>
        <rFont val="Arial"/>
        <family val="2"/>
      </rPr>
      <t>)</t>
    </r>
  </si>
  <si>
    <r>
      <t>PDO (p</t>
    </r>
    <r>
      <rPr>
        <b/>
        <vertAlign val="subscript"/>
        <sz val="10"/>
        <rFont val="Arial"/>
        <family val="2"/>
      </rPr>
      <t>pnr</t>
    </r>
    <r>
      <rPr>
        <b/>
        <sz val="10"/>
        <rFont val="Arial"/>
        <family val="2"/>
      </rPr>
      <t>)</t>
    </r>
  </si>
  <si>
    <t>Proportion of Crashes that Occur at Night</t>
  </si>
  <si>
    <r>
      <t>(p</t>
    </r>
    <r>
      <rPr>
        <b/>
        <vertAlign val="subscript"/>
        <sz val="10"/>
        <rFont val="Arial"/>
        <family val="2"/>
      </rPr>
      <t>nr</t>
    </r>
    <r>
      <rPr>
        <b/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</si>
  <si>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inr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</si>
  <si>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>pnr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</si>
  <si>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>nr</t>
    </r>
    <r>
      <rPr>
        <sz val="10"/>
        <rFont val="Arial"/>
        <family val="2"/>
      </rPr>
      <t>:</t>
    </r>
  </si>
  <si>
    <t>CMF 5r</t>
  </si>
  <si>
    <t>from Section 12.7.1</t>
  </si>
  <si>
    <t>Worksheet 1C -- Multiple-Vehicle Nondriveway Collisions by Severity Level for Urban and Suburban Roadway Segments</t>
  </si>
  <si>
    <r>
      <t>Initial N</t>
    </r>
    <r>
      <rPr>
        <b/>
        <vertAlign val="subscript"/>
        <sz val="10"/>
        <rFont val="Arial"/>
        <family val="2"/>
      </rPr>
      <t>brmv</t>
    </r>
  </si>
  <si>
    <t>Proportion of Total Crashes</t>
  </si>
  <si>
    <r>
      <t>Adjusted N</t>
    </r>
    <r>
      <rPr>
        <b/>
        <vertAlign val="subscript"/>
        <sz val="10"/>
        <rFont val="Arial"/>
        <family val="2"/>
      </rPr>
      <t>brmv</t>
    </r>
  </si>
  <si>
    <r>
      <t>Predicted N</t>
    </r>
    <r>
      <rPr>
        <b/>
        <vertAlign val="subscript"/>
        <sz val="10"/>
        <rFont val="Arial"/>
        <family val="2"/>
      </rPr>
      <t>brmv</t>
    </r>
  </si>
  <si>
    <t>from Equation 12-10</t>
  </si>
  <si>
    <r>
      <t>(4)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>*(5)</t>
    </r>
  </si>
  <si>
    <t>(6) from Worksheet 1B</t>
  </si>
  <si>
    <t>(6)*(7)*(8)</t>
  </si>
  <si>
    <r>
      <t>(4)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>/((4)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>+(4)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>)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</si>
  <si>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>-(5)</t>
    </r>
    <r>
      <rPr>
        <vertAlign val="subscript"/>
        <sz val="10"/>
        <rFont val="Arial"/>
        <family val="2"/>
      </rPr>
      <t>FI</t>
    </r>
  </si>
  <si>
    <t>Coefficients use in Eqn. 12-10</t>
  </si>
  <si>
    <t>Overdispersion    parameter     (k)</t>
  </si>
  <si>
    <t>Road type</t>
  </si>
  <si>
    <t>(a)</t>
  </si>
  <si>
    <t>(b)</t>
  </si>
  <si>
    <t>Intercept</t>
  </si>
  <si>
    <t>AADT</t>
  </si>
  <si>
    <t>Total crashes</t>
  </si>
  <si>
    <t>Fatal-and-injury crashes</t>
  </si>
  <si>
    <t>Property-damage-only crashes</t>
  </si>
  <si>
    <t>Worksheet 1D -- Multiple-Vehicle Nondriveway Collisions by Collision Type for Urban and Suburban Roadway Segments</t>
  </si>
  <si>
    <r>
      <t xml:space="preserve">Predicted N </t>
    </r>
    <r>
      <rPr>
        <b/>
        <i/>
        <vertAlign val="subscript"/>
        <sz val="10"/>
        <rFont val="Arial"/>
        <family val="2"/>
      </rPr>
      <t>brmv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</si>
  <si>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r>
      <t xml:space="preserve">Predicted N </t>
    </r>
    <r>
      <rPr>
        <b/>
        <i/>
        <sz val="6"/>
        <rFont val="Arial"/>
        <family val="2"/>
      </rPr>
      <t>brmv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</si>
  <si>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</t>
    </r>
  </si>
  <si>
    <r>
      <t xml:space="preserve">Predicted N </t>
    </r>
    <r>
      <rPr>
        <b/>
        <i/>
        <sz val="6"/>
        <rFont val="Arial"/>
        <family val="2"/>
      </rPr>
      <t>brmv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</si>
  <si>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</t>
    </r>
  </si>
  <si>
    <r>
      <t>(9)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</t>
    </r>
  </si>
  <si>
    <r>
      <t>(2)*(3)</t>
    </r>
    <r>
      <rPr>
        <vertAlign val="subscript"/>
        <sz val="10"/>
        <rFont val="Arial"/>
        <family val="2"/>
      </rPr>
      <t>FI</t>
    </r>
  </si>
  <si>
    <r>
      <t>(4)*(5)</t>
    </r>
    <r>
      <rPr>
        <vertAlign val="subscript"/>
        <sz val="10"/>
        <rFont val="Arial"/>
        <family val="2"/>
      </rPr>
      <t>PDO</t>
    </r>
  </si>
  <si>
    <t>(3)+(5)</t>
  </si>
  <si>
    <t>Sideswipe, same direction</t>
  </si>
  <si>
    <t>Sideswipe, opposite direction</t>
  </si>
  <si>
    <t>Proportion of crashes by severity level for specific road types</t>
  </si>
  <si>
    <t>FI</t>
  </si>
  <si>
    <t>Source: HSIS data for Washington (2002-2006)</t>
  </si>
  <si>
    <t>Other multiple-vehicle collision</t>
  </si>
  <si>
    <r>
      <t xml:space="preserve">Proportion of Collision Type </t>
    </r>
    <r>
      <rPr>
        <b/>
        <vertAlign val="subscript"/>
        <sz val="10"/>
        <rFont val="Arial"/>
        <family val="2"/>
      </rPr>
      <t>(PDO)</t>
    </r>
  </si>
  <si>
    <t>Worksheet 1E -- Single-Vehicle Collisions by Severity Level for Urban and Suburban Roadway Segments</t>
  </si>
  <si>
    <r>
      <t>Initial N</t>
    </r>
    <r>
      <rPr>
        <b/>
        <vertAlign val="subscript"/>
        <sz val="10"/>
        <rFont val="Arial"/>
        <family val="2"/>
      </rPr>
      <t>brsv</t>
    </r>
  </si>
  <si>
    <t>from Equation 12-13</t>
  </si>
  <si>
    <r>
      <t>Adjusted N</t>
    </r>
    <r>
      <rPr>
        <b/>
        <vertAlign val="subscript"/>
        <sz val="10"/>
        <rFont val="Arial"/>
        <family val="2"/>
      </rPr>
      <t>brsv</t>
    </r>
  </si>
  <si>
    <t>Coefficients use in Eqn. 12-11</t>
  </si>
  <si>
    <r>
      <t>Predicted N</t>
    </r>
    <r>
      <rPr>
        <b/>
        <vertAlign val="subscript"/>
        <sz val="10"/>
        <rFont val="Arial"/>
        <family val="2"/>
      </rPr>
      <t>brsv</t>
    </r>
  </si>
  <si>
    <t>Worksheet 1F -- Single-Vehicle Collisions by Collision Type for Urban and Suburban Roadway Segments</t>
  </si>
  <si>
    <t>Collision with animal</t>
  </si>
  <si>
    <t>Collision with fixed object</t>
  </si>
  <si>
    <t>Collision with other object</t>
  </si>
  <si>
    <t>Other single-vehicle collision</t>
  </si>
  <si>
    <r>
      <t xml:space="preserve">Predicted N </t>
    </r>
    <r>
      <rPr>
        <b/>
        <i/>
        <sz val="6"/>
        <rFont val="Arial"/>
        <family val="2"/>
      </rPr>
      <t>brsv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</si>
  <si>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1E</t>
    </r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</si>
  <si>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1E</t>
    </r>
  </si>
  <si>
    <r>
      <t xml:space="preserve">Predicted N </t>
    </r>
    <r>
      <rPr>
        <b/>
        <i/>
        <vertAlign val="subscript"/>
        <sz val="10"/>
        <rFont val="Arial"/>
        <family val="2"/>
      </rPr>
      <t>brsv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</si>
  <si>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r>
      <t>(9)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1E</t>
    </r>
  </si>
  <si>
    <r>
      <t xml:space="preserve">Predicted N </t>
    </r>
    <r>
      <rPr>
        <b/>
        <i/>
        <sz val="6"/>
        <rFont val="Arial"/>
        <family val="2"/>
      </rPr>
      <t>brsv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</si>
  <si>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t>Worksheet 1G -- Multiple-Vehicle Driveway-Related Collisions by Driveway Type for Urban and Suburban Roadway Segments</t>
  </si>
  <si>
    <t xml:space="preserve">Driveway Type </t>
  </si>
  <si>
    <t>Overdispersion parameter, k</t>
  </si>
  <si>
    <t>Coefficient for traffic adjustment, t</t>
  </si>
  <si>
    <r>
      <t>Crashes per driveway per year, N</t>
    </r>
    <r>
      <rPr>
        <b/>
        <vertAlign val="subscript"/>
        <sz val="10"/>
        <rFont val="Arial"/>
        <family val="2"/>
      </rPr>
      <t>j</t>
    </r>
  </si>
  <si>
    <r>
      <t>Initial N</t>
    </r>
    <r>
      <rPr>
        <b/>
        <vertAlign val="subscript"/>
        <sz val="10"/>
        <rFont val="Arial"/>
        <family val="2"/>
      </rPr>
      <t>brdwy</t>
    </r>
  </si>
  <si>
    <r>
      <t xml:space="preserve">  Number of driveways,   n</t>
    </r>
    <r>
      <rPr>
        <b/>
        <vertAlign val="subscript"/>
        <sz val="10"/>
        <rFont val="Arial"/>
        <family val="2"/>
      </rPr>
      <t>j</t>
    </r>
  </si>
  <si>
    <t>Equation 12-16</t>
  </si>
  <si>
    <r>
      <t>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* 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* (AADT/15,000)</t>
    </r>
    <r>
      <rPr>
        <vertAlign val="superscript"/>
        <sz val="10"/>
        <rFont val="Arial"/>
        <family val="2"/>
      </rPr>
      <t>t</t>
    </r>
  </si>
  <si>
    <t>Major commercial</t>
  </si>
  <si>
    <t>Minor commercial</t>
  </si>
  <si>
    <t>Major industrial/institutional</t>
  </si>
  <si>
    <t>Minor industrial/institutional</t>
  </si>
  <si>
    <t>Major residential</t>
  </si>
  <si>
    <t>Minor residential</t>
  </si>
  <si>
    <t>Worksheet 1H -- Multiple-Vehicle Driveway-Related Collisions by Severity Level for Urban and Suburban Roadway Segments</t>
  </si>
  <si>
    <r>
      <t>Proportion of total crashes (f</t>
    </r>
    <r>
      <rPr>
        <b/>
        <vertAlign val="subscript"/>
        <sz val="10"/>
        <rFont val="Arial"/>
        <family val="2"/>
      </rPr>
      <t>dwy</t>
    </r>
    <r>
      <rPr>
        <b/>
        <sz val="10"/>
        <rFont val="Arial"/>
        <family val="2"/>
      </rPr>
      <t>)</t>
    </r>
  </si>
  <si>
    <r>
      <t>Adjusted N</t>
    </r>
    <r>
      <rPr>
        <b/>
        <vertAlign val="subscript"/>
        <sz val="10"/>
        <rFont val="Arial"/>
        <family val="2"/>
      </rPr>
      <t>brdwy</t>
    </r>
  </si>
  <si>
    <r>
      <t>Calibration factor, C</t>
    </r>
    <r>
      <rPr>
        <b/>
        <vertAlign val="subscript"/>
        <sz val="10"/>
        <rFont val="Arial"/>
        <family val="2"/>
      </rPr>
      <t>r</t>
    </r>
  </si>
  <si>
    <r>
      <t>Predicted N</t>
    </r>
    <r>
      <rPr>
        <b/>
        <vertAlign val="subscript"/>
        <sz val="10"/>
        <rFont val="Arial"/>
        <family val="2"/>
      </rPr>
      <t>brdwy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</si>
  <si>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from Worksheet 1G</t>
    </r>
  </si>
  <si>
    <r>
      <t>(2)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* (3)</t>
    </r>
  </si>
  <si>
    <t>(4)*(5)*(6)</t>
  </si>
  <si>
    <t>Worksheet 1I -- Vehicle-Pedestrian Collisions for Urban and Suburban Roadway Segments</t>
  </si>
  <si>
    <r>
      <t>Predicted N</t>
    </r>
    <r>
      <rPr>
        <b/>
        <vertAlign val="subscript"/>
        <sz val="10"/>
        <rFont val="Arial"/>
        <family val="2"/>
      </rPr>
      <t>pedr</t>
    </r>
  </si>
  <si>
    <t>(5)*(6)*(7)</t>
  </si>
  <si>
    <r>
      <t>f</t>
    </r>
    <r>
      <rPr>
        <b/>
        <vertAlign val="subscript"/>
        <sz val="10"/>
        <rFont val="Arial"/>
        <family val="2"/>
      </rPr>
      <t>biker</t>
    </r>
  </si>
  <si>
    <r>
      <t>Predicted N</t>
    </r>
    <r>
      <rPr>
        <b/>
        <vertAlign val="subscript"/>
        <sz val="10"/>
        <rFont val="Arial"/>
        <family val="2"/>
      </rPr>
      <t>br</t>
    </r>
  </si>
  <si>
    <t>(9) from Worksheet 1C</t>
  </si>
  <si>
    <t>(9) from Worksheet 1E</t>
  </si>
  <si>
    <t>(7) from Worksheet 1H</t>
  </si>
  <si>
    <t>(2)+(3)+(4)</t>
  </si>
  <si>
    <t>Worksheet 1J -- Vehicle-Bicycle Collisions for Urban and Suburban Roadway Segments</t>
  </si>
  <si>
    <r>
      <t>f</t>
    </r>
    <r>
      <rPr>
        <b/>
        <vertAlign val="subscript"/>
        <sz val="10"/>
        <rFont val="Arial"/>
        <family val="2"/>
      </rPr>
      <t>pedr</t>
    </r>
  </si>
  <si>
    <t>Worksheet 1K -- Crash Severity Distribution for Urban and Suburban Roadway Segments</t>
  </si>
  <si>
    <t>(3) from Worksheet 1D and 1F;</t>
  </si>
  <si>
    <t>(8) from Worksheet 1I and 1J</t>
  </si>
  <si>
    <t>(5) from Worksheet 1D and 1F; and</t>
  </si>
  <si>
    <t>(7) from Worksheet 1H; and</t>
  </si>
  <si>
    <t>(6) from Worksheet 1D and 1F;</t>
  </si>
  <si>
    <t>MULTIPLE-VEHICLE</t>
  </si>
  <si>
    <t>SINGLE-VEHICLE</t>
  </si>
  <si>
    <t>Rear-end collisions (from Worksheet 1D)</t>
  </si>
  <si>
    <t>Head-on collisions (from Worksheet 1D)</t>
  </si>
  <si>
    <t>Angle collisions (from Worksheet 1D)</t>
  </si>
  <si>
    <t>Sideswipe, same direction (from Worksheet 1D)</t>
  </si>
  <si>
    <t>Sideswipe, opposite direction (from Worksheet 1D)</t>
  </si>
  <si>
    <t>Driveway-related collisions (from Worksheet 1H)</t>
  </si>
  <si>
    <t>Other multiple-vehicle collision (from Worksheet 1D)</t>
  </si>
  <si>
    <t>Subtotal</t>
  </si>
  <si>
    <t>Collision with animal (from Worksheet 1F)</t>
  </si>
  <si>
    <t>Collision with fixed object (from Worksheet 1F)</t>
  </si>
  <si>
    <t>Collision with other object (from Worksheet 1F)</t>
  </si>
  <si>
    <t>Other single-vehicle collision (from Worksheet 1F)</t>
  </si>
  <si>
    <t>Collision with pedestrian (from Worksheet 1I)</t>
  </si>
  <si>
    <t>Collision with bicycle (from Worksheet 1J)</t>
  </si>
  <si>
    <t>Worksheet 1L -- Summary Results for Urban and Suburban Roadway Segments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</si>
  <si>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</t>
    </r>
    <r>
      <rPr>
        <b/>
        <sz val="10"/>
        <rFont val="Arial"/>
        <family val="2"/>
      </rPr>
      <t xml:space="preserve"> (crashes/year)</t>
    </r>
  </si>
  <si>
    <t>Roadway segment length, L (mi)</t>
  </si>
  <si>
    <t>Crash rate (crashes/mi/year)</t>
  </si>
  <si>
    <t>(Total) from Worksheet 1K</t>
  </si>
  <si>
    <t>(2) / (3)</t>
  </si>
  <si>
    <t>Driveway type (j)</t>
  </si>
  <si>
    <r>
      <t>Number of driveway-related collisions per driveway per year (N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)</t>
    </r>
  </si>
  <si>
    <t>Major industrial / industrial</t>
  </si>
  <si>
    <t>Minor industrial / institutional</t>
  </si>
  <si>
    <t>Regression coefficient for AADT (t)</t>
  </si>
  <si>
    <t>All driveways</t>
  </si>
  <si>
    <t>Overdispersion parameter (k)</t>
  </si>
  <si>
    <r>
      <t>Proportion of fatal-and-injury crashes (f</t>
    </r>
    <r>
      <rPr>
        <b/>
        <vertAlign val="subscript"/>
        <sz val="10"/>
        <rFont val="Arial"/>
        <family val="2"/>
      </rPr>
      <t>dwy</t>
    </r>
    <r>
      <rPr>
        <b/>
        <sz val="10"/>
        <rFont val="Arial"/>
        <family val="2"/>
      </rPr>
      <t>)</t>
    </r>
  </si>
  <si>
    <t>Proportion of property-damage-only crashes</t>
  </si>
  <si>
    <t>Coefficients for specific roadway types</t>
  </si>
  <si>
    <t>Note: Includes only unsignalized driveways; signalized driveways are analyzed as signalized intersections. Majjor driveways serve 50 or more parking spaces; minor driveways serve less thanh 50 parking spaces.</t>
  </si>
  <si>
    <t>Posted Speed 30 mph or Lower</t>
  </si>
  <si>
    <t>Posted Speed Greater than 30 mph</t>
  </si>
  <si>
    <t>Posted</t>
  </si>
  <si>
    <r>
      <t>Pedestrian Crash Adjustment Factor (f</t>
    </r>
    <r>
      <rPr>
        <b/>
        <vertAlign val="subscript"/>
        <sz val="10"/>
        <rFont val="Arial"/>
        <family val="2"/>
      </rPr>
      <t>pedr</t>
    </r>
    <r>
      <rPr>
        <b/>
        <sz val="10"/>
        <rFont val="Arial"/>
        <family val="2"/>
      </rPr>
      <t>)</t>
    </r>
  </si>
  <si>
    <r>
      <t>Bicycle Crash Adjustment Factor (f</t>
    </r>
    <r>
      <rPr>
        <b/>
        <vertAlign val="subscript"/>
        <sz val="10"/>
        <rFont val="Arial"/>
        <family val="2"/>
      </rPr>
      <t>biker</t>
    </r>
    <r>
      <rPr>
        <b/>
        <sz val="10"/>
        <rFont val="Arial"/>
        <family val="2"/>
      </rPr>
      <t>)</t>
    </r>
  </si>
  <si>
    <t>Note:  These factors apply to the methodology for predicting total crashes (all seerity levels combined). All pedestrian collisions resulting from this adjustment factor are treated as fatal-and-injury crashes and none as property-damage-only crashes.  Source:  HSIS data for Washington (2002-2006)</t>
  </si>
  <si>
    <t>Note:  These factors apply to the methodology for predicting total crashes (all seerity levels combined). All bicycle collisions resulting from this adjustment factor are treated as fatal-and-injury crashes and none as property-damage-only crashes.  Source:  HSIS data for Washington (2002-2006)</t>
  </si>
  <si>
    <t>Note:  Values from 2 to 30 can be estimated using the following equation:</t>
  </si>
  <si>
    <r>
      <t>y=0.3566 x</t>
    </r>
    <r>
      <rPr>
        <vertAlign val="superscript"/>
        <sz val="10"/>
        <rFont val="Arial"/>
        <family val="2"/>
      </rPr>
      <t>-0.614</t>
    </r>
  </si>
  <si>
    <r>
      <t>f</t>
    </r>
    <r>
      <rPr>
        <vertAlign val="subscript"/>
        <sz val="10"/>
        <rFont val="Arial"/>
        <family val="2"/>
      </rPr>
      <t>offset</t>
    </r>
  </si>
  <si>
    <t>Offset to roadside fixed objects (ft) [If greater than 30 or Not Present, input 30]</t>
  </si>
  <si>
    <r>
      <t>Calculated CMF</t>
    </r>
    <r>
      <rPr>
        <vertAlign val="subscript"/>
        <sz val="10"/>
        <rFont val="Arial"/>
        <family val="2"/>
      </rPr>
      <t>2r</t>
    </r>
  </si>
  <si>
    <r>
      <t>Adjusted CMF</t>
    </r>
    <r>
      <rPr>
        <vertAlign val="subscript"/>
        <sz val="10"/>
        <rFont val="Arial"/>
        <family val="2"/>
      </rPr>
      <t>2r</t>
    </r>
  </si>
  <si>
    <t>Worksheet 2A -- General Information and Input Data for Urban and Suburban Arterial Intersections</t>
  </si>
  <si>
    <t>Intersection type (3ST, 3SG, 4ST, 4SG)</t>
  </si>
  <si>
    <r>
      <t xml:space="preserve">AADT 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0"/>
      </rPr>
      <t xml:space="preserve"> (veh/day)</t>
    </r>
  </si>
  <si>
    <r>
      <t xml:space="preserve">AADT 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0"/>
      </rPr>
      <t xml:space="preserve"> (veh/day)</t>
    </r>
  </si>
  <si>
    <r>
      <t>Calibration factor, C</t>
    </r>
    <r>
      <rPr>
        <vertAlign val="subscript"/>
        <sz val="10"/>
        <rFont val="Arial"/>
        <family val="2"/>
      </rPr>
      <t>i</t>
    </r>
  </si>
  <si>
    <t>Data for unsignalized intersections only:</t>
  </si>
  <si>
    <t>Number of alcohol sales establishments within 300 m (1,000 ft) of the intersection</t>
  </si>
  <si>
    <t>Schools within 300 m (1,000 ft) of the intersection (present/not present)</t>
  </si>
  <si>
    <t>Number of bus stops within 300 m (1,000 ft) of the intersection</t>
  </si>
  <si>
    <r>
      <t>Maximum number of lanes crossed by a pedestrian (n</t>
    </r>
    <r>
      <rPr>
        <vertAlign val="subscript"/>
        <sz val="10"/>
        <rFont val="Arial"/>
        <family val="2"/>
      </rPr>
      <t>lanesx</t>
    </r>
    <r>
      <rPr>
        <sz val="10"/>
        <rFont val="Arial"/>
        <family val="2"/>
      </rPr>
      <t>)</t>
    </r>
  </si>
  <si>
    <t>Intersection red light cameras (present/not present)</t>
  </si>
  <si>
    <t>Permissive</t>
  </si>
  <si>
    <t>Tlanes</t>
  </si>
  <si>
    <t>Worksheet 2B -- Crash Modification Factors for Urban and Suburban Arterial Intersections</t>
  </si>
  <si>
    <t>CMF 1i</t>
  </si>
  <si>
    <t>CMF for Left-Turn Signal Phasing</t>
  </si>
  <si>
    <t>CMF 2i</t>
  </si>
  <si>
    <t>CMF 3i</t>
  </si>
  <si>
    <t>CMF for Right Turn on Red</t>
  </si>
  <si>
    <t>CMF 4i</t>
  </si>
  <si>
    <t>from Equation 12-35</t>
  </si>
  <si>
    <t>CMF 5i</t>
  </si>
  <si>
    <t>from Equation 12-36</t>
  </si>
  <si>
    <t>CMF 6i</t>
  </si>
  <si>
    <t>from Equation 12-37</t>
  </si>
  <si>
    <t>CMF for Red Light Cameras</t>
  </si>
  <si>
    <r>
      <t xml:space="preserve">CMF </t>
    </r>
    <r>
      <rPr>
        <i/>
        <vertAlign val="subscript"/>
        <sz val="10"/>
        <rFont val="Arial"/>
        <family val="2"/>
      </rPr>
      <t>COMB</t>
    </r>
  </si>
  <si>
    <t>(1)*(2)*(3)*(4)*(5)*(6)</t>
  </si>
  <si>
    <t>Worksheet 2C -- Multiple-Vehicle Collisions by Severity Level for Urban and Suburban Arterial Intersections</t>
  </si>
  <si>
    <r>
      <t>Initial N</t>
    </r>
    <r>
      <rPr>
        <b/>
        <vertAlign val="subscript"/>
        <sz val="10"/>
        <rFont val="Arial"/>
        <family val="2"/>
      </rPr>
      <t>bimv</t>
    </r>
  </si>
  <si>
    <t>c</t>
  </si>
  <si>
    <r>
      <t>Adjusted N</t>
    </r>
    <r>
      <rPr>
        <b/>
        <vertAlign val="subscript"/>
        <sz val="10"/>
        <rFont val="Arial"/>
        <family val="2"/>
      </rPr>
      <t>bimv</t>
    </r>
  </si>
  <si>
    <r>
      <t>Predicted N</t>
    </r>
    <r>
      <rPr>
        <b/>
        <vertAlign val="subscript"/>
        <sz val="10"/>
        <rFont val="Arial"/>
        <family val="2"/>
      </rPr>
      <t>bimv</t>
    </r>
  </si>
  <si>
    <t>Worksheet 2D -- Multiple-Vehicle Collisions by Collision Type for Urban and Suburban Arterial Intersections</t>
  </si>
  <si>
    <r>
      <t xml:space="preserve">Predicted N </t>
    </r>
    <r>
      <rPr>
        <b/>
        <i/>
        <sz val="6"/>
        <rFont val="Arial"/>
        <family val="2"/>
      </rPr>
      <t>bimv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</si>
  <si>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</si>
  <si>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Predicted N </t>
    </r>
    <r>
      <rPr>
        <b/>
        <i/>
        <sz val="6"/>
        <rFont val="Arial"/>
        <family val="2"/>
      </rPr>
      <t>bimv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</si>
  <si>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 xml:space="preserve">Predicted N </t>
    </r>
    <r>
      <rPr>
        <b/>
        <i/>
        <vertAlign val="subscript"/>
        <sz val="10"/>
        <rFont val="Arial"/>
        <family val="2"/>
      </rPr>
      <t>bimv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</si>
  <si>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t>Worksheet 2E -- Single-Vehicle Collisions by Severity Level for Urban and Suburban Arterial Intersections</t>
  </si>
  <si>
    <r>
      <t>Initial N</t>
    </r>
    <r>
      <rPr>
        <b/>
        <vertAlign val="subscript"/>
        <sz val="10"/>
        <rFont val="Arial"/>
        <family val="2"/>
      </rPr>
      <t>bisv</t>
    </r>
  </si>
  <si>
    <t>(7) from Worksheet 2B</t>
  </si>
  <si>
    <r>
      <t>Predicted N</t>
    </r>
    <r>
      <rPr>
        <b/>
        <vertAlign val="subscript"/>
        <sz val="10"/>
        <rFont val="Arial"/>
        <family val="2"/>
      </rPr>
      <t>bisv</t>
    </r>
  </si>
  <si>
    <t>Worksheet 2F -- Single-Vehicle Collisions by Collision Type for Urban and Suburban Arterial Intersections</t>
  </si>
  <si>
    <t>Collision with parked vehicle</t>
  </si>
  <si>
    <t>Single-vehicle noncollision</t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</si>
  <si>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</si>
  <si>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r>
      <t>(9)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2E</t>
    </r>
  </si>
  <si>
    <r>
      <t>(9)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2E</t>
    </r>
  </si>
  <si>
    <r>
      <t xml:space="preserve">Predicted N </t>
    </r>
    <r>
      <rPr>
        <b/>
        <i/>
        <vertAlign val="subscript"/>
        <sz val="10"/>
        <rFont val="Arial"/>
        <family val="2"/>
      </rPr>
      <t>bisv</t>
    </r>
    <r>
      <rPr>
        <b/>
        <vertAlign val="subscript"/>
        <sz val="10"/>
        <rFont val="Arial"/>
        <family val="2"/>
      </rPr>
      <t xml:space="preserve"> (TOTAL) </t>
    </r>
    <r>
      <rPr>
        <b/>
        <sz val="10"/>
        <rFont val="Arial"/>
        <family val="2"/>
      </rPr>
      <t>(crashes/year)</t>
    </r>
  </si>
  <si>
    <r>
      <t>Predicted N</t>
    </r>
    <r>
      <rPr>
        <b/>
        <i/>
        <sz val="10"/>
        <rFont val="Arial"/>
        <family val="2"/>
      </rPr>
      <t xml:space="preserve"> </t>
    </r>
    <r>
      <rPr>
        <b/>
        <i/>
        <sz val="6"/>
        <rFont val="Arial"/>
        <family val="2"/>
      </rPr>
      <t>bisv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</si>
  <si>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 xml:space="preserve">Predicted N </t>
    </r>
    <r>
      <rPr>
        <b/>
        <i/>
        <sz val="6"/>
        <rFont val="Arial"/>
        <family val="2"/>
      </rPr>
      <t>bisv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</si>
  <si>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Worksheet 2G -- Vehicle-Pedestrian Collisions for Urban and Suburban Arterial Stop-Controlled Intersections</t>
  </si>
  <si>
    <t>(9) from Worksheet 2C</t>
  </si>
  <si>
    <t>(9) from Worksheet 2E</t>
  </si>
  <si>
    <r>
      <t>Predicted N</t>
    </r>
    <r>
      <rPr>
        <b/>
        <vertAlign val="subscript"/>
        <sz val="10"/>
        <rFont val="Arial"/>
        <family val="2"/>
      </rPr>
      <t>bi</t>
    </r>
  </si>
  <si>
    <r>
      <t>(2)</t>
    </r>
    <r>
      <rPr>
        <sz val="10"/>
        <rFont val="Arial"/>
        <family val="0"/>
      </rPr>
      <t xml:space="preserve"> + (3)</t>
    </r>
  </si>
  <si>
    <r>
      <t>f</t>
    </r>
    <r>
      <rPr>
        <b/>
        <i/>
        <vertAlign val="subscript"/>
        <sz val="10"/>
        <rFont val="Arial"/>
        <family val="2"/>
      </rPr>
      <t>pedi</t>
    </r>
  </si>
  <si>
    <r>
      <t>Calibration factor, C</t>
    </r>
    <r>
      <rPr>
        <b/>
        <vertAlign val="subscript"/>
        <sz val="10"/>
        <rFont val="Arial"/>
        <family val="2"/>
      </rPr>
      <t>i</t>
    </r>
  </si>
  <si>
    <r>
      <t>Predicted N</t>
    </r>
    <r>
      <rPr>
        <b/>
        <vertAlign val="subscript"/>
        <sz val="10"/>
        <rFont val="Arial"/>
        <family val="2"/>
      </rPr>
      <t>pedi</t>
    </r>
  </si>
  <si>
    <t>Worksheet 2H -- Crash Modification Factors for Vehicle-Pedestrian Collisions for Urban and Suburban Arterial Signalized Intersections</t>
  </si>
  <si>
    <t>CMF for Bus Stops</t>
  </si>
  <si>
    <t>CMF for Schools</t>
  </si>
  <si>
    <t>CMF for Alcohol Sales Establishments</t>
  </si>
  <si>
    <r>
      <t>CMF</t>
    </r>
    <r>
      <rPr>
        <vertAlign val="subscript"/>
        <sz val="10"/>
        <rFont val="Arial"/>
        <family val="2"/>
      </rPr>
      <t>1p</t>
    </r>
  </si>
  <si>
    <r>
      <t>CMF</t>
    </r>
    <r>
      <rPr>
        <vertAlign val="subscript"/>
        <sz val="10"/>
        <rFont val="Arial"/>
        <family val="2"/>
      </rPr>
      <t>2p</t>
    </r>
  </si>
  <si>
    <r>
      <t>CMF</t>
    </r>
    <r>
      <rPr>
        <vertAlign val="subscript"/>
        <sz val="10"/>
        <rFont val="Arial"/>
        <family val="2"/>
      </rPr>
      <t>3p</t>
    </r>
  </si>
  <si>
    <t>(1)*(2)*(3)</t>
  </si>
  <si>
    <t>Worksheet 2I -- Vehicle-Pedestrian Collisions for Urban and Suburban Arterial Signalized Intersections</t>
  </si>
  <si>
    <t>d</t>
  </si>
  <si>
    <t>e</t>
  </si>
  <si>
    <r>
      <t>N</t>
    </r>
    <r>
      <rPr>
        <b/>
        <i/>
        <vertAlign val="subscript"/>
        <sz val="10"/>
        <rFont val="Arial"/>
        <family val="2"/>
      </rPr>
      <t>pedbase</t>
    </r>
  </si>
  <si>
    <t>(4) from Worksheet 2H</t>
  </si>
  <si>
    <r>
      <t>f</t>
    </r>
    <r>
      <rPr>
        <b/>
        <i/>
        <vertAlign val="subscript"/>
        <sz val="10"/>
        <rFont val="Arial"/>
        <family val="2"/>
      </rPr>
      <t>bikei</t>
    </r>
  </si>
  <si>
    <t>Worksheet 2K -- Crash Severity Distribution for Urban and Suburban Arterial Intersections</t>
  </si>
  <si>
    <t>(3) from Worksheet 2D and 2F;</t>
  </si>
  <si>
    <t>(7) from 2G or 2I and 2J</t>
  </si>
  <si>
    <t>(5) from Worksheet 2D and 2F</t>
  </si>
  <si>
    <t>(6) from Worksheet 2D and 2F;</t>
  </si>
  <si>
    <t>Rear-end collisions (from Worksheet 2D)</t>
  </si>
  <si>
    <t>Head-on collisions (from Worksheet 2D)</t>
  </si>
  <si>
    <t>Angle collisions (from Worksheet 2D)</t>
  </si>
  <si>
    <t>Sideswipe (from Worksheet 2D)</t>
  </si>
  <si>
    <t>Other multiple-vehicle collision (from Worksheet 2D)</t>
  </si>
  <si>
    <t>Collision with parked vehicle (from Worksheet 2F)</t>
  </si>
  <si>
    <t>Collision with animal (from Worksheet 2F)</t>
  </si>
  <si>
    <t>Collision with fixed object (from Worksheet 2F)</t>
  </si>
  <si>
    <t>Collision with other object (from Worksheet 2F)</t>
  </si>
  <si>
    <t>Other single-vehicle collision (from Worksheet 2F)</t>
  </si>
  <si>
    <t>Single-vehicle noncollision (from Worksheet 2F)</t>
  </si>
  <si>
    <t>Collision with pedestrian (from Worksheet 2G or 2I)</t>
  </si>
  <si>
    <t>Collision with bicycle (from Worksheet 2J)</t>
  </si>
  <si>
    <t>Worksheet 2L -- Summary Results for Urban and Suburban Arterial Intersections</t>
  </si>
  <si>
    <r>
      <t>Predicted average crash frequency, N</t>
    </r>
    <r>
      <rPr>
        <b/>
        <i/>
        <vertAlign val="subscript"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(crashes/year)</t>
    </r>
  </si>
  <si>
    <t>(Total) from Worksheet 2K</t>
  </si>
  <si>
    <t>Tables Affiliated with SPF Computation:</t>
  </si>
  <si>
    <t>(c)</t>
  </si>
  <si>
    <t>Intersection type</t>
  </si>
  <si>
    <r>
      <t>AADT</t>
    </r>
    <r>
      <rPr>
        <b/>
        <vertAlign val="subscript"/>
        <sz val="10"/>
        <rFont val="Arial"/>
        <family val="2"/>
      </rPr>
      <t>maj</t>
    </r>
  </si>
  <si>
    <r>
      <t>AADT</t>
    </r>
    <r>
      <rPr>
        <b/>
        <vertAlign val="subscript"/>
        <sz val="10"/>
        <rFont val="Arial"/>
        <family val="2"/>
      </rPr>
      <t>min</t>
    </r>
  </si>
  <si>
    <t>Coefficients use in Eqn. 12-21</t>
  </si>
  <si>
    <t>3SG</t>
  </si>
  <si>
    <t>Coefficients use in Eqn. 12-24</t>
  </si>
  <si>
    <t>Note:  Where no models are available, Equations 12-27 is used.</t>
  </si>
  <si>
    <t>Equation 12-27:</t>
  </si>
  <si>
    <t>Nbisv(FI) = Nbisv(TOTAL) x fbisv</t>
  </si>
  <si>
    <t>Coefficients use in Eqn. 12-29</t>
  </si>
  <si>
    <r>
      <t>AADT</t>
    </r>
    <r>
      <rPr>
        <b/>
        <vertAlign val="subscript"/>
        <sz val="10"/>
        <rFont val="Arial"/>
        <family val="2"/>
      </rPr>
      <t>tot</t>
    </r>
  </si>
  <si>
    <r>
      <t>AADT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/AADT</t>
    </r>
    <r>
      <rPr>
        <b/>
        <vertAlign val="subscript"/>
        <sz val="10"/>
        <rFont val="Arial"/>
        <family val="2"/>
      </rPr>
      <t>maj</t>
    </r>
  </si>
  <si>
    <t>(d)</t>
  </si>
  <si>
    <t>PedVol</t>
  </si>
  <si>
    <t>(e)</t>
  </si>
  <si>
    <r>
      <t>n</t>
    </r>
    <r>
      <rPr>
        <b/>
        <vertAlign val="subscript"/>
        <sz val="10"/>
        <rFont val="Arial"/>
        <family val="2"/>
      </rPr>
      <t>lanesx</t>
    </r>
  </si>
  <si>
    <t>Proportion of crashes by severity level for specific intersection types</t>
  </si>
  <si>
    <t>Tables Affiliated with Crash Statistics:</t>
  </si>
  <si>
    <t>Noncollision</t>
  </si>
  <si>
    <t>Intersection Type</t>
  </si>
  <si>
    <r>
      <t>Proportion of crashes that occur at night, p</t>
    </r>
    <r>
      <rPr>
        <b/>
        <vertAlign val="subscript"/>
        <sz val="10"/>
        <rFont val="Arial"/>
        <family val="2"/>
      </rPr>
      <t>ni</t>
    </r>
  </si>
  <si>
    <t>Tables Affiliated with Crash Modification Factors:</t>
  </si>
  <si>
    <t>Intersection traffic control</t>
  </si>
  <si>
    <r>
      <t>Minor-road STOP control</t>
    </r>
    <r>
      <rPr>
        <vertAlign val="superscript"/>
        <sz val="10"/>
        <rFont val="Arial"/>
        <family val="2"/>
      </rPr>
      <t>b</t>
    </r>
  </si>
  <si>
    <t>Traffic signal</t>
  </si>
  <si>
    <r>
      <t>Minor-road STOP control</t>
    </r>
    <r>
      <rPr>
        <vertAlign val="superscript"/>
        <sz val="10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</si>
  <si>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STOP-controlled approaches are not considered in determining the number of approaches with left-turn lanes.</t>
    </r>
  </si>
  <si>
    <r>
      <t xml:space="preserve">b </t>
    </r>
    <r>
      <rPr>
        <sz val="8"/>
        <rFont val="Arial"/>
        <family val="2"/>
      </rPr>
      <t>Stop signs present on minor-road approaches only.</t>
    </r>
  </si>
  <si>
    <t>Two approaches</t>
  </si>
  <si>
    <t xml:space="preserve"> One  approach</t>
  </si>
  <si>
    <t>Three approaches</t>
  </si>
  <si>
    <t>Four approaches</t>
  </si>
  <si>
    <r>
      <t xml:space="preserve">Number of approaches with left-turn lanes </t>
    </r>
    <r>
      <rPr>
        <b/>
        <vertAlign val="superscript"/>
        <sz val="10"/>
        <rFont val="Arial"/>
        <family val="2"/>
      </rPr>
      <t>a</t>
    </r>
  </si>
  <si>
    <r>
      <t xml:space="preserve">Number of approaches with right-turn lanes </t>
    </r>
    <r>
      <rPr>
        <b/>
        <vertAlign val="superscript"/>
        <sz val="10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</si>
  <si>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STOP-controlled approaches are not considered in determining the number of approaches with right-turn lanes.</t>
    </r>
  </si>
  <si>
    <t>Itype2</t>
  </si>
  <si>
    <t>Phasing</t>
  </si>
  <si>
    <t>Protected</t>
  </si>
  <si>
    <t>Protected / Permissive</t>
  </si>
  <si>
    <t>Permissive / Protected</t>
  </si>
  <si>
    <t>Data for signalized intersections only:</t>
  </si>
  <si>
    <t>Number of major-road approaches with left-turn lanes (0,1,2)</t>
  </si>
  <si>
    <t>Number of major-road approaches with right-turn lanes (0,1,2)</t>
  </si>
  <si>
    <t>UnsigApproach</t>
  </si>
  <si>
    <t>Phasing2</t>
  </si>
  <si>
    <t>Not Applicable</t>
  </si>
  <si>
    <t>Type of left-turn signal phasing for Leg #4 (if applicable)</t>
  </si>
  <si>
    <t>Type of left-turn signal phasing for Leg #3</t>
  </si>
  <si>
    <t>Type of left-turn signal phasing for Leg #1</t>
  </si>
  <si>
    <t>Type of left-turn signal phasing for Leg #2</t>
  </si>
  <si>
    <r>
      <t>Calculations for CMF</t>
    </r>
    <r>
      <rPr>
        <b/>
        <u val="single"/>
        <vertAlign val="subscript"/>
        <sz val="10"/>
        <rFont val="Arial"/>
        <family val="2"/>
      </rPr>
      <t>2i</t>
    </r>
  </si>
  <si>
    <t>Leg #1 CMF:</t>
  </si>
  <si>
    <t>Leg #2 CMF:</t>
  </si>
  <si>
    <t>Leg #3 CMF:</t>
  </si>
  <si>
    <t>Leg #4 CMF:</t>
  </si>
  <si>
    <t>Composite Value:</t>
  </si>
  <si>
    <t>Number of approaches with right-turn lanes (0,1,2,3,4) [for 3SG, use maximum value of 3]</t>
  </si>
  <si>
    <t>Number of approaches with left-turn signal phasing [for 3SG, use maximum value of 3]</t>
  </si>
  <si>
    <t>Number of approaches with left-turn lanes (0,1,2,3,4) [for 3SG, use maximum value of 3]</t>
  </si>
  <si>
    <t>Number of approaches with right-turn-on-red prohibited [for 3SG, use maximum value of 3]</t>
  </si>
  <si>
    <r>
      <t>Calculations for CMF</t>
    </r>
    <r>
      <rPr>
        <b/>
        <u val="single"/>
        <vertAlign val="subscript"/>
        <sz val="10"/>
        <rFont val="Arial"/>
        <family val="2"/>
      </rPr>
      <t>6i</t>
    </r>
  </si>
  <si>
    <r>
      <t>p</t>
    </r>
    <r>
      <rPr>
        <vertAlign val="subscript"/>
        <sz val="10"/>
        <rFont val="Arial"/>
        <family val="2"/>
      </rPr>
      <t xml:space="preserve">ramv(FI) 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</si>
  <si>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 xml:space="preserve">ramv(PDO) </t>
    </r>
    <r>
      <rPr>
        <sz val="10"/>
        <rFont val="Arial"/>
        <family val="2"/>
      </rPr>
      <t>:</t>
    </r>
  </si>
  <si>
    <r>
      <t>N</t>
    </r>
    <r>
      <rPr>
        <vertAlign val="subscript"/>
        <sz val="10"/>
        <rFont val="Arial"/>
        <family val="2"/>
      </rPr>
      <t>bimv(FI)</t>
    </r>
    <r>
      <rPr>
        <sz val="10"/>
        <rFont val="Arial"/>
        <family val="2"/>
      </rPr>
      <t xml:space="preserve"> :</t>
    </r>
  </si>
  <si>
    <r>
      <t>N</t>
    </r>
    <r>
      <rPr>
        <vertAlign val="subscript"/>
        <sz val="10"/>
        <rFont val="Arial"/>
        <family val="2"/>
      </rPr>
      <t>bimv(PDO)</t>
    </r>
    <r>
      <rPr>
        <sz val="10"/>
        <rFont val="Arial"/>
        <family val="2"/>
      </rPr>
      <t xml:space="preserve"> :</t>
    </r>
  </si>
  <si>
    <r>
      <t>N</t>
    </r>
    <r>
      <rPr>
        <vertAlign val="subscript"/>
        <sz val="10"/>
        <rFont val="Arial"/>
        <family val="2"/>
      </rPr>
      <t>bisv</t>
    </r>
    <r>
      <rPr>
        <sz val="10"/>
        <rFont val="Arial"/>
        <family val="2"/>
      </rPr>
      <t xml:space="preserve"> :</t>
    </r>
  </si>
  <si>
    <r>
      <t>p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:</t>
    </r>
  </si>
  <si>
    <r>
      <t>p</t>
    </r>
    <r>
      <rPr>
        <vertAlign val="subscript"/>
        <sz val="10"/>
        <rFont val="Arial"/>
        <family val="2"/>
      </rPr>
      <t xml:space="preserve">remv(FI) 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</si>
  <si>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 xml:space="preserve">remv(PDO) </t>
    </r>
    <r>
      <rPr>
        <sz val="10"/>
        <rFont val="Arial"/>
        <family val="2"/>
      </rPr>
      <t>:</t>
    </r>
  </si>
  <si>
    <r>
      <t>p</t>
    </r>
    <r>
      <rPr>
        <vertAlign val="subscript"/>
        <sz val="10"/>
        <rFont val="Arial"/>
        <family val="2"/>
      </rPr>
      <t>re</t>
    </r>
    <r>
      <rPr>
        <sz val="10"/>
        <rFont val="Arial"/>
        <family val="2"/>
      </rPr>
      <t xml:space="preserve"> :</t>
    </r>
  </si>
  <si>
    <r>
      <t>CMF</t>
    </r>
    <r>
      <rPr>
        <vertAlign val="subscript"/>
        <sz val="10"/>
        <rFont val="Arial"/>
        <family val="2"/>
      </rPr>
      <t>6i</t>
    </r>
    <r>
      <rPr>
        <sz val="10"/>
        <rFont val="Arial"/>
        <family val="2"/>
      </rPr>
      <t xml:space="preserve"> :</t>
    </r>
  </si>
  <si>
    <t>from Equation 12-21</t>
  </si>
  <si>
    <t>from Eqn. 12-24; (FI) from Eqn. 12-24 or 12-27</t>
  </si>
  <si>
    <t>from Equation 12-29</t>
  </si>
  <si>
    <t>Segment 2</t>
  </si>
  <si>
    <t>Segment 1</t>
  </si>
  <si>
    <t>Collision type / Site type</t>
  </si>
  <si>
    <t>Multiple-vehicle nondriveway</t>
  </si>
  <si>
    <t>Single-vehicle</t>
  </si>
  <si>
    <t>Multiple-vehicle driveway-related</t>
  </si>
  <si>
    <t>Worksheet 3A -- Predicted Crashes by Severity and Site Type and Observed Crashes Using the Site-Specific EB Method for Urban and Suburban Arterials</t>
  </si>
  <si>
    <t>Multiple-vehicle</t>
  </si>
  <si>
    <t>Worksheet 3B -- Predicted Pedestrian and Bicycle Crashes for Urban and Suburban Arterials</t>
  </si>
  <si>
    <t>Site Type</t>
  </si>
  <si>
    <r>
      <t>N</t>
    </r>
    <r>
      <rPr>
        <b/>
        <vertAlign val="subscript"/>
        <sz val="10"/>
        <rFont val="Arial"/>
        <family val="2"/>
      </rPr>
      <t>ped</t>
    </r>
  </si>
  <si>
    <r>
      <t>N</t>
    </r>
    <r>
      <rPr>
        <b/>
        <vertAlign val="subscript"/>
        <sz val="10"/>
        <rFont val="Arial"/>
        <family val="2"/>
      </rPr>
      <t>bike</t>
    </r>
  </si>
  <si>
    <r>
      <t>Predicted N</t>
    </r>
    <r>
      <rPr>
        <b/>
        <vertAlign val="subscript"/>
        <sz val="10"/>
        <rFont val="Arial"/>
        <family val="2"/>
      </rPr>
      <t>biker</t>
    </r>
  </si>
  <si>
    <t>Worksheet 3C -- Site-Specific EB Method Summary Results for Urban and Suburban Arterials</t>
  </si>
  <si>
    <r>
      <t xml:space="preserve">N </t>
    </r>
    <r>
      <rPr>
        <b/>
        <vertAlign val="subscript"/>
        <sz val="10"/>
        <rFont val="Arial"/>
        <family val="2"/>
      </rPr>
      <t>ped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</si>
  <si>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3B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</si>
  <si>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3B</t>
    </r>
  </si>
  <si>
    <r>
      <t xml:space="preserve">N </t>
    </r>
    <r>
      <rPr>
        <b/>
        <vertAlign val="subscript"/>
        <sz val="10"/>
        <rFont val="Arial"/>
        <family val="2"/>
      </rPr>
      <t>bike</t>
    </r>
  </si>
  <si>
    <r>
      <t xml:space="preserve">N </t>
    </r>
    <r>
      <rPr>
        <b/>
        <vertAlign val="subscript"/>
        <sz val="10"/>
        <rFont val="Arial"/>
        <family val="2"/>
      </rPr>
      <t>expected (VEHICLE)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</si>
  <si>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</si>
  <si>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(5)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</si>
  <si>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(3)+(4)+(5)</t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</si>
  <si>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Worksheet 3A</t>
    </r>
  </si>
  <si>
    <t>Worksheet 4A -- Predicted Crashes by Collision and Site Type and Observed Crashes Using the Project-Level EB Method for Urban and Suburban Arterials</t>
  </si>
  <si>
    <t>Predicted crashes</t>
  </si>
  <si>
    <r>
      <t xml:space="preserve">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 (FI)</t>
    </r>
  </si>
  <si>
    <r>
      <t>N</t>
    </r>
    <r>
      <rPr>
        <b/>
        <vertAlign val="subscript"/>
        <sz val="10"/>
        <rFont val="Arial"/>
        <family val="2"/>
      </rPr>
      <t>predicted w0</t>
    </r>
  </si>
  <si>
    <r>
      <t>N</t>
    </r>
    <r>
      <rPr>
        <b/>
        <vertAlign val="subscript"/>
        <sz val="10"/>
        <rFont val="Arial"/>
        <family val="2"/>
      </rPr>
      <t>predicted w1</t>
    </r>
  </si>
  <si>
    <r>
      <t>N</t>
    </r>
    <r>
      <rPr>
        <b/>
        <vertAlign val="subscript"/>
        <sz val="10"/>
        <rFont val="Arial"/>
        <family val="2"/>
      </rPr>
      <t>expected/comb</t>
    </r>
  </si>
  <si>
    <t xml:space="preserve">  Equation     A-14</t>
  </si>
  <si>
    <t>Worksheet 4B -- Predicted Pedestrian and Bicycle Crashes for Urban and Suburban Arterials</t>
  </si>
  <si>
    <t>Worksheet 4C -- Project-Specific EB Method Summary Results for Urban and Suburban Arterials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</si>
  <si>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4B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</si>
  <si>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4B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</si>
  <si>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Worksheet 4A</t>
    </r>
  </si>
  <si>
    <t>MP 1.5 to MP 2.25</t>
  </si>
  <si>
    <t>Calculations for CMF for Roadside Fixed Objects</t>
  </si>
  <si>
    <t>Nighttime crash Proportion for CMF for Lighting</t>
  </si>
  <si>
    <t>for urban and suburban arterials as contained in the new Highway Safety Manual.</t>
  </si>
  <si>
    <t>segment type requires analysis, the user should create a blank worksheet</t>
  </si>
  <si>
    <t>and then copy the contents of the associated sheet into the blank sheet</t>
  </si>
  <si>
    <t>and name the worksheet accordingly.</t>
  </si>
  <si>
    <t>Analysis for the urban and suburban arterial segment</t>
  </si>
  <si>
    <t xml:space="preserve">analysis. The associated HSM worksheets are </t>
  </si>
  <si>
    <t>1K, and 1L.</t>
  </si>
  <si>
    <t>Worksheets 1A, 1B, 1C, 1D, 1E, 1F, 1G, 1H, 1I, 1J,</t>
  </si>
  <si>
    <t>segment for analysis.</t>
  </si>
  <si>
    <t>Segment Tables</t>
  </si>
  <si>
    <t>Tables used for the segment analysis.  Includes</t>
  </si>
  <si>
    <t>Intersection1</t>
  </si>
  <si>
    <t>Analysis for the urban and suburban arterial intersection</t>
  </si>
  <si>
    <t>analysis. The associated worksheets are Worksheets</t>
  </si>
  <si>
    <t>2A, 2B, 2C, 2D, 2E, 2F, 2G, 2H, 2I, 2J, 2K, and 2L.</t>
  </si>
  <si>
    <t>Worksheets specific to STOP control or traffic signals</t>
  </si>
  <si>
    <t>intersection type selected for analysis.</t>
  </si>
  <si>
    <t>may be blank if they do not apply to the specific</t>
  </si>
  <si>
    <t>Intersection2</t>
  </si>
  <si>
    <t xml:space="preserve">Duplicate copy of Intersection1 demonstrating a second </t>
  </si>
  <si>
    <t>intersection type for analysis.</t>
  </si>
  <si>
    <t xml:space="preserve">Duplicate copy of Segment1 demonstrating a second </t>
  </si>
  <si>
    <t>Intersection Tables</t>
  </si>
  <si>
    <t>Tables used for the intersection analysis.  Includes</t>
  </si>
  <si>
    <t>Urban Site Total</t>
  </si>
  <si>
    <t>results from the urban segment and intersection</t>
  </si>
  <si>
    <t>worksheets.  This analysis can be performed if</t>
  </si>
  <si>
    <t>the analyst knows the exact location of historic</t>
  </si>
  <si>
    <t>crashes within the study limits. The associated</t>
  </si>
  <si>
    <t>HSM worksheets are Worksheets 3A, 3B, and 3C.</t>
  </si>
  <si>
    <t>Urban Project Total</t>
  </si>
  <si>
    <t>results from the segment and intersection worksheets.</t>
  </si>
  <si>
    <t>This analysis can be performed if the analyst has</t>
  </si>
  <si>
    <t>historic crash data, but does not know the exact</t>
  </si>
  <si>
    <t xml:space="preserve">location within the project limits at which the </t>
  </si>
  <si>
    <t>crashes occurred. The associated HSM worksheets</t>
  </si>
  <si>
    <t>are Worksheets 4A, 4B, and 4C.</t>
  </si>
  <si>
    <t>Construction - do not delete</t>
  </si>
  <si>
    <t>derived input also include a pull-down box</t>
  </si>
  <si>
    <t>where the analyst should indicate he or she is</t>
  </si>
  <si>
    <t>Highway Safety Manual 1st Edition, Volume 2, Chapter 12-- Predictive Method for Urban and Suburban Arterials -- Analysis Spreadsheet Summary</t>
  </si>
  <si>
    <t>Table 12-3: SPF Coefficients for Multiple-Vehicle Nondriveway Collisions on Roadway Segments</t>
  </si>
  <si>
    <t>Note:  HSM-Provided values based on HSIS data for Washington (2002-2006)</t>
  </si>
  <si>
    <t>Table 12-4: Distribution of Multiple-Vehicle Nondriveway Collisions for Roadway Segments by Manner of Collision Type</t>
  </si>
  <si>
    <t>Table 12-5: SPF Coefficients for Single-Vehicle Collisions on Roadway Segments</t>
  </si>
  <si>
    <t>Table 12-6: Distribution of Single-Vehicle Collisions for Roadway Segments by Collision Type</t>
  </si>
  <si>
    <t>Table 12-7: SPF Coefficients for Multiple-Vehicle Driveway Related Collisions</t>
  </si>
  <si>
    <t>Table 12-8: Pedestrian Crash Adjustment Factor for Roadway Segments</t>
  </si>
  <si>
    <t>Table 12-9: Bicycle Crash Adjustment Factor for Roadway Segments</t>
  </si>
  <si>
    <t>Table 12-10: SPF Coefficients for Multiple-Vehicle Collisions at Intersections</t>
  </si>
  <si>
    <t>Note:  HSM-Provided values based on HSIS data for California (2002-2006)</t>
  </si>
  <si>
    <t>Table 12-11: Distribution of Multiple-Vehicle Collisions for Intersections by Collision Type</t>
  </si>
  <si>
    <t>Table 12-12: SPF Coefficients for Single-Vehicle Crashes at Intersections</t>
  </si>
  <si>
    <t>Source: HSM-Provided values base on HSIS data for California (2002-2006)</t>
  </si>
  <si>
    <t>Table 12-13: Distribution of Single-Vehicle Crashes for Intersections by Collision Type</t>
  </si>
  <si>
    <t>Table 12-14: SPF for Vehicle-Pedestrian Collisions at Signalized Intersections</t>
  </si>
  <si>
    <r>
      <t>Table 12-19: Values of f</t>
    </r>
    <r>
      <rPr>
        <b/>
        <vertAlign val="subscript"/>
        <sz val="10"/>
        <rFont val="Arial"/>
        <family val="2"/>
      </rPr>
      <t>pk</t>
    </r>
    <r>
      <rPr>
        <b/>
        <sz val="10"/>
        <rFont val="Arial"/>
        <family val="2"/>
      </rPr>
      <t xml:space="preserve"> Used in Determing the CMF for On-Street Parking</t>
    </r>
  </si>
  <si>
    <t>Table 12-20: Fixed-Object Offset Factor</t>
  </si>
  <si>
    <t>Table 12-21: Proportion of Fixed-Object Collisions</t>
  </si>
  <si>
    <r>
      <t>Table 12-22: CMFs for Median Widths on Divided Roadway Segments without a Median Barrier (CMF</t>
    </r>
    <r>
      <rPr>
        <b/>
        <vertAlign val="subscript"/>
        <sz val="10"/>
        <rFont val="Arial"/>
        <family val="2"/>
      </rPr>
      <t>3r</t>
    </r>
    <r>
      <rPr>
        <b/>
        <sz val="10"/>
        <rFont val="Arial"/>
        <family val="2"/>
      </rPr>
      <t>)</t>
    </r>
  </si>
  <si>
    <t>Table 12-23: Nighttime Crash Proportions for Unlighted Roadway Segments</t>
  </si>
  <si>
    <r>
      <t>Table 12-24: Crash Modification Factor (CMF</t>
    </r>
    <r>
      <rPr>
        <b/>
        <vertAlign val="subscript"/>
        <sz val="10"/>
        <rFont val="Arial"/>
        <family val="2"/>
      </rPr>
      <t>1i</t>
    </r>
    <r>
      <rPr>
        <b/>
        <sz val="10"/>
        <rFont val="Arial"/>
        <family val="2"/>
      </rPr>
      <t>) for Installation of Left-Turn Lanes on Intersection Approaches</t>
    </r>
  </si>
  <si>
    <r>
      <t>Table 12-26: Crash Modification Factor (CMF</t>
    </r>
    <r>
      <rPr>
        <b/>
        <vertAlign val="subscript"/>
        <sz val="10"/>
        <rFont val="Arial"/>
        <family val="2"/>
      </rPr>
      <t>3i</t>
    </r>
    <r>
      <rPr>
        <b/>
        <sz val="10"/>
        <rFont val="Arial"/>
        <family val="2"/>
      </rPr>
      <t>) for Installation of Right-Turn Lanes on Intersection Approaches</t>
    </r>
  </si>
  <si>
    <t>Table 12-27: Nighttime Crash Proportions for Unlighted Intersections</t>
  </si>
  <si>
    <t>from Table 12-22</t>
  </si>
  <si>
    <t>from Table 12-3</t>
  </si>
  <si>
    <t>from Table 12-4</t>
  </si>
  <si>
    <t>from Table 12-5</t>
  </si>
  <si>
    <t>from Table 12-6</t>
  </si>
  <si>
    <t>from Table 12-7</t>
  </si>
  <si>
    <t>from Table 12-8</t>
  </si>
  <si>
    <t>from Table 12-9</t>
  </si>
  <si>
    <t>Sum of all pedestrian crossing volumes  (PedVol) -- Signalized intersections only</t>
  </si>
  <si>
    <t>from Table 12-24</t>
  </si>
  <si>
    <t>from Table 12-25</t>
  </si>
  <si>
    <t>from Table 12-26</t>
  </si>
  <si>
    <t>from Table 12-10</t>
  </si>
  <si>
    <t>from Table 12-11</t>
  </si>
  <si>
    <t>from Table 12-12</t>
  </si>
  <si>
    <t>from Table 12-13</t>
  </si>
  <si>
    <t>from Table 12-16</t>
  </si>
  <si>
    <t>from Table 12-28</t>
  </si>
  <si>
    <t>from Table 12-29</t>
  </si>
  <si>
    <t>from Table 12-30</t>
  </si>
  <si>
    <t>from Table 12-14</t>
  </si>
  <si>
    <t>from Table 12-17</t>
  </si>
  <si>
    <t>Main St at 3rd Avenue</t>
  </si>
  <si>
    <t>Main St at 4th Avenue</t>
  </si>
  <si>
    <r>
      <t xml:space="preserve">N </t>
    </r>
    <r>
      <rPr>
        <b/>
        <vertAlign val="subscript"/>
        <sz val="10"/>
        <rFont val="Arial"/>
        <family val="2"/>
      </rPr>
      <t>expected (vehicle)</t>
    </r>
  </si>
  <si>
    <t>Tables 12-3, 12-4, 12-5, 12-6, 12-7, 12-8, 12-9,</t>
  </si>
  <si>
    <t>12-19, 12-20, 12-21, and 12-23.</t>
  </si>
  <si>
    <t>Tables 12-10, 12-11, 12-12, 12-13, 12-14, 12-24,</t>
  </si>
  <si>
    <t>12-26, and 12-27.</t>
  </si>
  <si>
    <t>trends, each of the Tables with the locally-</t>
  </si>
  <si>
    <t>Worksheet 2J -- Vehicle-Bicycle Collisions for Urban and Suburban Arterial Intersections</t>
  </si>
  <si>
    <t>(veh/day)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</si>
  <si>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</si>
  <si>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Predicted N</t>
    </r>
    <r>
      <rPr>
        <b/>
        <i/>
        <vertAlign val="subscript"/>
        <sz val="10"/>
        <rFont val="Arial"/>
        <family val="2"/>
      </rPr>
      <t>pedi</t>
    </r>
  </si>
  <si>
    <r>
      <t>Predicted N</t>
    </r>
    <r>
      <rPr>
        <b/>
        <vertAlign val="subscript"/>
        <sz val="10"/>
        <rFont val="Arial"/>
        <family val="2"/>
      </rPr>
      <t>bikei</t>
    </r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</si>
  <si>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</si>
  <si>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</si>
  <si>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</si>
  <si>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</si>
  <si>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</si>
  <si>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</si>
  <si>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</si>
  <si>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</si>
  <si>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Locally-Derived Values (Oregon)</t>
  </si>
  <si>
    <t>Cr</t>
  </si>
  <si>
    <t>Oregon Calibration Factor- Auto filled based on roadway type</t>
  </si>
  <si>
    <t>Oregon Calibration Factor- Auto filled based on intersection type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</si>
</sst>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  <numFmt numFmtId="169" formatCode="0.00000"/>
    <numFmt numFmtId="170" formatCode="0.00000000000000"/>
    <numFmt numFmtId="171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i/>
      <vertAlign val="subscript"/>
      <sz val="10"/>
      <name val="Arial"/>
      <family val="2"/>
    </font>
    <font>
      <u val="single"/>
      <sz val="10"/>
      <name val="Arial"/>
      <family val="2"/>
    </font>
    <font>
      <b/>
      <u val="single"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ck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/>
      <top style="thick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top"/>
    </xf>
    <xf numFmtId="164" fontId="0" fillId="0" borderId="13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2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 vertical="top"/>
    </xf>
    <xf numFmtId="168" fontId="0" fillId="0" borderId="11" xfId="0" applyNumberFormat="1" applyFill="1" applyBorder="1" applyAlignment="1">
      <alignment vertical="top"/>
    </xf>
    <xf numFmtId="168" fontId="0" fillId="0" borderId="17" xfId="0" applyNumberFormat="1" applyFill="1" applyBorder="1" applyAlignment="1">
      <alignment/>
    </xf>
    <xf numFmtId="168" fontId="0" fillId="0" borderId="19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 vertical="center"/>
    </xf>
    <xf numFmtId="168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8" xfId="0" applyNumberFormat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 quotePrefix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2" fontId="0" fillId="0" borderId="2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164" fontId="0" fillId="0" borderId="13" xfId="0" applyNumberFormat="1" applyFont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 quotePrefix="1">
      <alignment horizontal="center"/>
    </xf>
    <xf numFmtId="2" fontId="0" fillId="0" borderId="12" xfId="0" applyNumberFormat="1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left"/>
    </xf>
    <xf numFmtId="2" fontId="0" fillId="0" borderId="11" xfId="0" applyNumberFormat="1" applyFont="1" applyBorder="1" applyAlignment="1" quotePrefix="1">
      <alignment horizontal="center"/>
    </xf>
    <xf numFmtId="2" fontId="0" fillId="0" borderId="12" xfId="0" applyNumberFormat="1" applyFont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2" fontId="0" fillId="0" borderId="13" xfId="0" applyNumberFormat="1" applyFont="1" applyBorder="1" applyAlignment="1" quotePrefix="1">
      <alignment horizontal="center"/>
    </xf>
    <xf numFmtId="164" fontId="0" fillId="0" borderId="2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0" fillId="0" borderId="11" xfId="0" applyNumberFormat="1" applyFill="1" applyBorder="1" applyAlignment="1" quotePrefix="1">
      <alignment horizontal="center"/>
    </xf>
    <xf numFmtId="164" fontId="0" fillId="0" borderId="12" xfId="0" applyNumberFormat="1" applyFill="1" applyBorder="1" applyAlignment="1">
      <alignment/>
    </xf>
    <xf numFmtId="164" fontId="0" fillId="0" borderId="30" xfId="0" applyNumberFormat="1" applyFill="1" applyBorder="1" applyAlignment="1" quotePrefix="1">
      <alignment horizontal="center"/>
    </xf>
    <xf numFmtId="164" fontId="0" fillId="0" borderId="31" xfId="0" applyNumberFormat="1" applyFill="1" applyBorder="1" applyAlignment="1">
      <alignment/>
    </xf>
    <xf numFmtId="164" fontId="0" fillId="0" borderId="12" xfId="0" applyNumberFormat="1" applyFill="1" applyBorder="1" applyAlignment="1" quotePrefix="1">
      <alignment horizontal="center"/>
    </xf>
    <xf numFmtId="164" fontId="0" fillId="0" borderId="19" xfId="0" applyNumberFormat="1" applyFill="1" applyBorder="1" applyAlignment="1" quotePrefix="1">
      <alignment horizontal="center"/>
    </xf>
    <xf numFmtId="164" fontId="0" fillId="0" borderId="20" xfId="0" applyNumberForma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20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8" xfId="0" applyFill="1" applyBorder="1" applyAlignment="1">
      <alignment/>
    </xf>
    <xf numFmtId="164" fontId="0" fillId="35" borderId="11" xfId="0" applyNumberFormat="1" applyFont="1" applyFill="1" applyBorder="1" applyAlignment="1">
      <alignment horizontal="center" wrapText="1"/>
    </xf>
    <xf numFmtId="164" fontId="0" fillId="35" borderId="12" xfId="0" applyNumberFormat="1" applyFont="1" applyFill="1" applyBorder="1" applyAlignment="1">
      <alignment horizontal="center" wrapText="1"/>
    </xf>
    <xf numFmtId="164" fontId="0" fillId="35" borderId="11" xfId="0" applyNumberFormat="1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4" fontId="0" fillId="35" borderId="11" xfId="0" applyNumberFormat="1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0" fontId="0" fillId="33" borderId="11" xfId="0" applyFill="1" applyBorder="1" applyAlignment="1" quotePrefix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3" xfId="0" applyFill="1" applyBorder="1" applyAlignment="1" quotePrefix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36" borderId="32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left"/>
    </xf>
    <xf numFmtId="3" fontId="0" fillId="36" borderId="34" xfId="0" applyNumberFormat="1" applyFill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37" xfId="0" applyBorder="1" applyAlignment="1" quotePrefix="1">
      <alignment horizontal="center"/>
    </xf>
    <xf numFmtId="0" fontId="0" fillId="0" borderId="10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0" fillId="0" borderId="3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7" xfId="0" applyFont="1" applyBorder="1" applyAlignment="1" quotePrefix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 vertical="top" wrapText="1"/>
    </xf>
    <xf numFmtId="2" fontId="0" fillId="0" borderId="24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2" xfId="0" applyBorder="1" applyAlignment="1" quotePrefix="1">
      <alignment horizontal="center"/>
    </xf>
    <xf numFmtId="0" fontId="0" fillId="33" borderId="23" xfId="0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165" fontId="0" fillId="33" borderId="36" xfId="0" applyNumberForma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0" borderId="29" xfId="0" applyFont="1" applyBorder="1" applyAlignment="1" quotePrefix="1">
      <alignment horizontal="center"/>
    </xf>
    <xf numFmtId="0" fontId="0" fillId="34" borderId="29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0" borderId="23" xfId="0" applyBorder="1" applyAlignment="1" quotePrefix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2" fontId="0" fillId="0" borderId="45" xfId="0" applyNumberFormat="1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45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2" fontId="0" fillId="0" borderId="4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7" xfId="0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3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0" fillId="0" borderId="25" xfId="0" applyNumberForma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3" fillId="0" borderId="15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7" xfId="0" applyBorder="1" applyAlignment="1" quotePrefix="1">
      <alignment horizontal="center"/>
    </xf>
    <xf numFmtId="0" fontId="0" fillId="0" borderId="48" xfId="0" applyBorder="1" applyAlignment="1">
      <alignment/>
    </xf>
    <xf numFmtId="164" fontId="0" fillId="0" borderId="49" xfId="0" applyNumberFormat="1" applyFont="1" applyFill="1" applyBorder="1" applyAlignment="1" quotePrefix="1">
      <alignment horizontal="center"/>
    </xf>
    <xf numFmtId="0" fontId="0" fillId="0" borderId="50" xfId="0" applyBorder="1" applyAlignment="1">
      <alignment horizontal="center"/>
    </xf>
    <xf numFmtId="164" fontId="0" fillId="0" borderId="50" xfId="0" applyNumberFormat="1" applyFont="1" applyFill="1" applyBorder="1" applyAlignment="1" quotePrefix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4" xfId="0" applyFont="1" applyBorder="1" applyAlignment="1" quotePrefix="1">
      <alignment horizontal="center"/>
    </xf>
    <xf numFmtId="0" fontId="0" fillId="0" borderId="25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9" xfId="0" applyFont="1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64" fontId="0" fillId="0" borderId="1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 wrapText="1"/>
    </xf>
    <xf numFmtId="0" fontId="0" fillId="0" borderId="48" xfId="0" applyFont="1" applyBorder="1" applyAlignment="1" quotePrefix="1">
      <alignment horizontal="center"/>
    </xf>
    <xf numFmtId="0" fontId="0" fillId="0" borderId="49" xfId="0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6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5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5" xfId="0" applyNumberFormat="1" applyFill="1" applyBorder="1" applyAlignment="1">
      <alignment horizontal="center"/>
    </xf>
    <xf numFmtId="164" fontId="0" fillId="35" borderId="24" xfId="0" applyNumberFormat="1" applyFill="1" applyBorder="1" applyAlignment="1">
      <alignment horizontal="center"/>
    </xf>
    <xf numFmtId="164" fontId="0" fillId="35" borderId="25" xfId="0" applyNumberFormat="1" applyFill="1" applyBorder="1" applyAlignment="1">
      <alignment horizontal="center"/>
    </xf>
    <xf numFmtId="164" fontId="0" fillId="35" borderId="42" xfId="0" applyNumberFormat="1" applyFill="1" applyBorder="1" applyAlignment="1">
      <alignment horizontal="center"/>
    </xf>
    <xf numFmtId="164" fontId="2" fillId="0" borderId="50" xfId="0" applyNumberFormat="1" applyFont="1" applyBorder="1" applyAlignment="1">
      <alignment horizontal="left" vertical="top" wrapText="1"/>
    </xf>
    <xf numFmtId="0" fontId="0" fillId="0" borderId="5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35" borderId="12" xfId="0" applyNumberFormat="1" applyFill="1" applyBorder="1" applyAlignment="1">
      <alignment horizontal="center"/>
    </xf>
    <xf numFmtId="164" fontId="0" fillId="35" borderId="26" xfId="0" applyNumberForma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26" xfId="0" applyFont="1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64" fontId="0" fillId="35" borderId="11" xfId="0" applyNumberFormat="1" applyFill="1" applyBorder="1" applyAlignment="1">
      <alignment horizontal="center" vertical="top"/>
    </xf>
    <xf numFmtId="164" fontId="0" fillId="35" borderId="12" xfId="0" applyNumberForma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0" fillId="0" borderId="25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164" fontId="0" fillId="35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1" fontId="0" fillId="0" borderId="26" xfId="0" applyNumberForma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35" borderId="12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left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54" xfId="0" applyBorder="1" applyAlignment="1">
      <alignment wrapText="1"/>
    </xf>
    <xf numFmtId="0" fontId="0" fillId="0" borderId="5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0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66" fontId="3" fillId="0" borderId="11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166" fontId="3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164" fontId="0" fillId="35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26" xfId="0" applyBorder="1" applyAlignment="1">
      <alignment wrapText="1"/>
    </xf>
    <xf numFmtId="0" fontId="0" fillId="34" borderId="11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3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/>
    </xf>
    <xf numFmtId="0" fontId="2" fillId="0" borderId="5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24" xfId="0" applyNumberFormat="1" applyFont="1" applyBorder="1" applyAlignment="1" quotePrefix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3" xfId="0" applyFont="1" applyFill="1" applyBorder="1" applyAlignment="1">
      <alignment horizontal="left" indent="3"/>
    </xf>
    <xf numFmtId="0" fontId="0" fillId="0" borderId="23" xfId="0" applyBorder="1" applyAlignment="1">
      <alignment horizontal="left" indent="3"/>
    </xf>
    <xf numFmtId="0" fontId="0" fillId="0" borderId="26" xfId="0" applyBorder="1" applyAlignment="1">
      <alignment horizontal="left" indent="3"/>
    </xf>
    <xf numFmtId="0" fontId="0" fillId="0" borderId="12" xfId="0" applyFont="1" applyFill="1" applyBorder="1" applyAlignment="1" quotePrefix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168" fontId="0" fillId="0" borderId="12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0" xfId="0" applyFont="1" applyBorder="1" applyAlignment="1" quotePrefix="1">
      <alignment horizontal="center"/>
    </xf>
    <xf numFmtId="0" fontId="0" fillId="0" borderId="47" xfId="0" applyBorder="1" applyAlignment="1">
      <alignment/>
    </xf>
    <xf numFmtId="0" fontId="0" fillId="0" borderId="49" xfId="0" applyBorder="1" applyAlignment="1" quotePrefix="1">
      <alignment horizontal="center"/>
    </xf>
    <xf numFmtId="2" fontId="3" fillId="0" borderId="29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0" fillId="0" borderId="25" xfId="0" applyNumberFormat="1" applyFill="1" applyBorder="1" applyAlignment="1">
      <alignment/>
    </xf>
    <xf numFmtId="0" fontId="0" fillId="0" borderId="43" xfId="0" applyFont="1" applyBorder="1" applyAlignment="1">
      <alignment horizontal="left" indent="3"/>
    </xf>
    <xf numFmtId="0" fontId="0" fillId="0" borderId="43" xfId="0" applyBorder="1" applyAlignment="1">
      <alignment horizontal="left" indent="3"/>
    </xf>
    <xf numFmtId="0" fontId="0" fillId="0" borderId="44" xfId="0" applyBorder="1" applyAlignment="1">
      <alignment horizontal="left" indent="3"/>
    </xf>
    <xf numFmtId="1" fontId="0" fillId="0" borderId="45" xfId="0" applyNumberFormat="1" applyBorder="1" applyAlignment="1">
      <alignment horizontal="center"/>
    </xf>
    <xf numFmtId="1" fontId="0" fillId="0" borderId="44" xfId="0" applyNumberFormat="1" applyBorder="1" applyAlignment="1">
      <alignment/>
    </xf>
    <xf numFmtId="1" fontId="0" fillId="33" borderId="45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/>
    </xf>
    <xf numFmtId="0" fontId="0" fillId="0" borderId="23" xfId="0" applyFont="1" applyBorder="1" applyAlignment="1">
      <alignment horizontal="left" indent="3"/>
    </xf>
    <xf numFmtId="2" fontId="0" fillId="0" borderId="12" xfId="0" applyNumberFormat="1" applyBorder="1" applyAlignment="1" quotePrefix="1">
      <alignment horizontal="center"/>
    </xf>
    <xf numFmtId="2" fontId="0" fillId="0" borderId="26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/>
    </xf>
    <xf numFmtId="0" fontId="0" fillId="0" borderId="56" xfId="0" applyBorder="1" applyAlignment="1">
      <alignment/>
    </xf>
    <xf numFmtId="0" fontId="0" fillId="34" borderId="29" xfId="0" applyFont="1" applyFill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3" fontId="0" fillId="33" borderId="35" xfId="0" applyNumberFormat="1" applyFill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37" xfId="0" applyFont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4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left"/>
    </xf>
    <xf numFmtId="0" fontId="18" fillId="0" borderId="35" xfId="0" applyFont="1" applyBorder="1" applyAlignment="1">
      <alignment horizontal="left"/>
    </xf>
    <xf numFmtId="166" fontId="0" fillId="0" borderId="4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36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22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41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3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0" fillId="0" borderId="27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37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71" fontId="0" fillId="0" borderId="12" xfId="0" applyNumberFormat="1" applyFill="1" applyBorder="1" applyAlignment="1">
      <alignment horizontal="center" vertical="center"/>
    </xf>
    <xf numFmtId="171" fontId="0" fillId="0" borderId="23" xfId="0" applyNumberForma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23" xfId="0" applyNumberFormat="1" applyFont="1" applyFill="1" applyBorder="1" applyAlignment="1">
      <alignment horizontal="center"/>
    </xf>
    <xf numFmtId="171" fontId="0" fillId="0" borderId="24" xfId="0" applyNumberFormat="1" applyFill="1" applyBorder="1" applyAlignment="1">
      <alignment horizontal="center" vertical="center"/>
    </xf>
    <xf numFmtId="171" fontId="0" fillId="0" borderId="25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5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58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6" fontId="0" fillId="0" borderId="12" xfId="0" applyNumberFormat="1" applyFill="1" applyBorder="1" applyAlignment="1">
      <alignment horizontal="center" vertical="center"/>
    </xf>
    <xf numFmtId="166" fontId="0" fillId="0" borderId="26" xfId="0" applyNumberForma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3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6" ht="12.75">
      <c r="B2" s="252" t="s">
        <v>652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4" spans="2:11" ht="12.75">
      <c r="B4" s="116" t="s">
        <v>159</v>
      </c>
      <c r="K4" s="116" t="s">
        <v>173</v>
      </c>
    </row>
    <row r="6" spans="2:11" ht="12.75">
      <c r="B6" s="26" t="s">
        <v>148</v>
      </c>
      <c r="K6" s="26" t="s">
        <v>199</v>
      </c>
    </row>
    <row r="7" spans="2:11" ht="12.75">
      <c r="B7" s="26" t="s">
        <v>612</v>
      </c>
      <c r="K7" s="26" t="s">
        <v>174</v>
      </c>
    </row>
    <row r="8" spans="2:11" ht="12.75">
      <c r="B8" s="26" t="s">
        <v>149</v>
      </c>
      <c r="K8" s="26" t="s">
        <v>175</v>
      </c>
    </row>
    <row r="9" spans="2:11" ht="12.75">
      <c r="B9" s="26" t="s">
        <v>150</v>
      </c>
      <c r="K9" s="26" t="s">
        <v>176</v>
      </c>
    </row>
    <row r="10" spans="2:11" ht="12.75">
      <c r="B10" s="26" t="s">
        <v>151</v>
      </c>
      <c r="K10" s="26" t="s">
        <v>177</v>
      </c>
    </row>
    <row r="11" ht="12.75">
      <c r="K11" s="26" t="s">
        <v>178</v>
      </c>
    </row>
    <row r="13" spans="2:13" ht="12.75">
      <c r="B13" s="26" t="s">
        <v>152</v>
      </c>
      <c r="K13" s="116" t="s">
        <v>179</v>
      </c>
      <c r="M13" s="116" t="s">
        <v>180</v>
      </c>
    </row>
    <row r="14" ht="12.75">
      <c r="B14" s="26" t="s">
        <v>153</v>
      </c>
    </row>
    <row r="15" spans="2:13" ht="12.75">
      <c r="B15" s="26" t="s">
        <v>154</v>
      </c>
      <c r="K15" s="221"/>
      <c r="M15" s="26" t="s">
        <v>181</v>
      </c>
    </row>
    <row r="16" spans="2:13" ht="12.75">
      <c r="B16" s="26" t="s">
        <v>155</v>
      </c>
      <c r="K16" s="222"/>
      <c r="M16" s="26" t="s">
        <v>182</v>
      </c>
    </row>
    <row r="17" ht="12.75">
      <c r="B17" s="26" t="s">
        <v>613</v>
      </c>
    </row>
    <row r="18" spans="2:13" ht="12.75">
      <c r="B18" s="26" t="s">
        <v>614</v>
      </c>
      <c r="K18" s="223"/>
      <c r="M18" s="26" t="s">
        <v>183</v>
      </c>
    </row>
    <row r="19" spans="2:13" ht="12.75">
      <c r="B19" s="26" t="s">
        <v>615</v>
      </c>
      <c r="K19" s="224"/>
      <c r="M19" s="26" t="s">
        <v>184</v>
      </c>
    </row>
    <row r="20" spans="2:13" ht="12.75">
      <c r="B20" s="26"/>
      <c r="M20" s="26" t="s">
        <v>185</v>
      </c>
    </row>
    <row r="21" ht="12.75">
      <c r="B21" s="26" t="s">
        <v>156</v>
      </c>
    </row>
    <row r="22" spans="11:13" ht="12.75">
      <c r="K22" s="225"/>
      <c r="M22" s="26" t="s">
        <v>186</v>
      </c>
    </row>
    <row r="23" spans="11:13" ht="12.75">
      <c r="K23" s="226"/>
      <c r="M23" s="26" t="s">
        <v>187</v>
      </c>
    </row>
    <row r="24" spans="2:13" ht="12.75">
      <c r="B24" s="116" t="s">
        <v>157</v>
      </c>
      <c r="E24" s="117" t="s">
        <v>158</v>
      </c>
      <c r="M24" s="26" t="s">
        <v>188</v>
      </c>
    </row>
    <row r="25" ht="12.75">
      <c r="M25" s="26" t="s">
        <v>189</v>
      </c>
    </row>
    <row r="26" spans="2:13" ht="12.75">
      <c r="B26" s="26" t="s">
        <v>160</v>
      </c>
      <c r="E26" s="26" t="s">
        <v>161</v>
      </c>
      <c r="M26" s="26" t="s">
        <v>190</v>
      </c>
    </row>
    <row r="27" spans="5:13" ht="12.75">
      <c r="E27" s="26" t="s">
        <v>162</v>
      </c>
      <c r="M27" s="26" t="s">
        <v>191</v>
      </c>
    </row>
    <row r="28" spans="5:13" ht="12.75">
      <c r="E28" s="26" t="s">
        <v>163</v>
      </c>
      <c r="M28" s="26" t="s">
        <v>705</v>
      </c>
    </row>
    <row r="29" ht="12.75">
      <c r="M29" s="26" t="s">
        <v>650</v>
      </c>
    </row>
    <row r="30" spans="2:13" ht="12.75">
      <c r="B30" s="26" t="s">
        <v>575</v>
      </c>
      <c r="E30" s="26" t="s">
        <v>616</v>
      </c>
      <c r="M30" s="26" t="s">
        <v>651</v>
      </c>
    </row>
    <row r="31" spans="5:13" ht="12.75">
      <c r="E31" s="26" t="s">
        <v>617</v>
      </c>
      <c r="M31" s="26" t="s">
        <v>192</v>
      </c>
    </row>
    <row r="32" spans="5:13" ht="12.75">
      <c r="E32" s="26" t="s">
        <v>619</v>
      </c>
      <c r="M32" s="26" t="s">
        <v>193</v>
      </c>
    </row>
    <row r="33" spans="5:13" ht="12.75">
      <c r="E33" s="26" t="s">
        <v>618</v>
      </c>
      <c r="M33" s="26" t="s">
        <v>194</v>
      </c>
    </row>
    <row r="35" spans="2:5" ht="12.75">
      <c r="B35" s="26" t="s">
        <v>574</v>
      </c>
      <c r="E35" s="26" t="s">
        <v>633</v>
      </c>
    </row>
    <row r="36" ht="12.75">
      <c r="E36" s="26" t="s">
        <v>620</v>
      </c>
    </row>
    <row r="37" spans="5:13" ht="12.75">
      <c r="E37" s="26"/>
      <c r="K37" s="251" t="s">
        <v>711</v>
      </c>
      <c r="L37" s="251"/>
      <c r="M37" s="251"/>
    </row>
    <row r="38" spans="2:12" ht="12.75">
      <c r="B38" s="26" t="s">
        <v>621</v>
      </c>
      <c r="E38" s="26" t="s">
        <v>622</v>
      </c>
      <c r="L38" t="s">
        <v>712</v>
      </c>
    </row>
    <row r="39" spans="5:12" ht="12.75">
      <c r="E39" s="26" t="s">
        <v>701</v>
      </c>
      <c r="L39" t="s">
        <v>713</v>
      </c>
    </row>
    <row r="40" spans="5:12" ht="12.75">
      <c r="E40" s="26" t="s">
        <v>702</v>
      </c>
      <c r="L40" t="s">
        <v>714</v>
      </c>
    </row>
    <row r="41" spans="5:12" ht="12.75">
      <c r="E41" s="26"/>
      <c r="L41" t="s">
        <v>715</v>
      </c>
    </row>
    <row r="42" ht="12.75">
      <c r="L42" t="s">
        <v>716</v>
      </c>
    </row>
    <row r="43" spans="2:5" ht="12.75">
      <c r="B43" s="26" t="s">
        <v>623</v>
      </c>
      <c r="E43" s="26" t="s">
        <v>624</v>
      </c>
    </row>
    <row r="44" spans="5:12" ht="12.75">
      <c r="E44" s="26" t="s">
        <v>625</v>
      </c>
      <c r="L44" t="s">
        <v>717</v>
      </c>
    </row>
    <row r="45" spans="5:12" ht="12.75">
      <c r="E45" s="26" t="s">
        <v>626</v>
      </c>
      <c r="L45" t="s">
        <v>718</v>
      </c>
    </row>
    <row r="46" ht="12.75">
      <c r="E46" s="26" t="s">
        <v>627</v>
      </c>
    </row>
    <row r="47" ht="12.75">
      <c r="E47" s="26" t="s">
        <v>629</v>
      </c>
    </row>
    <row r="48" ht="12.75">
      <c r="E48" s="26" t="s">
        <v>628</v>
      </c>
    </row>
    <row r="49" ht="12.75">
      <c r="E49" s="26"/>
    </row>
    <row r="50" spans="2:5" ht="12.75">
      <c r="B50" s="26" t="s">
        <v>630</v>
      </c>
      <c r="E50" s="26" t="s">
        <v>631</v>
      </c>
    </row>
    <row r="51" ht="12.75">
      <c r="E51" s="26" t="s">
        <v>632</v>
      </c>
    </row>
    <row r="52" ht="12.75">
      <c r="E52" s="26"/>
    </row>
    <row r="53" spans="2:5" ht="12.75">
      <c r="B53" s="26" t="s">
        <v>634</v>
      </c>
      <c r="E53" s="26" t="s">
        <v>635</v>
      </c>
    </row>
    <row r="54" ht="12.75">
      <c r="E54" s="26" t="s">
        <v>703</v>
      </c>
    </row>
    <row r="55" ht="12.75">
      <c r="E55" s="26" t="s">
        <v>704</v>
      </c>
    </row>
    <row r="56" ht="12.75">
      <c r="E56" s="26"/>
    </row>
    <row r="57" spans="2:5" ht="12.75">
      <c r="B57" s="26" t="s">
        <v>636</v>
      </c>
      <c r="E57" s="26" t="s">
        <v>165</v>
      </c>
    </row>
    <row r="58" ht="12.75">
      <c r="E58" s="26" t="s">
        <v>637</v>
      </c>
    </row>
    <row r="59" ht="12.75">
      <c r="E59" s="26" t="s">
        <v>638</v>
      </c>
    </row>
    <row r="60" ht="12.75">
      <c r="E60" s="26" t="s">
        <v>639</v>
      </c>
    </row>
    <row r="61" ht="12.75">
      <c r="E61" s="26" t="s">
        <v>640</v>
      </c>
    </row>
    <row r="62" ht="12.75">
      <c r="E62" s="26" t="s">
        <v>641</v>
      </c>
    </row>
    <row r="64" spans="2:5" ht="12.75">
      <c r="B64" s="26" t="s">
        <v>642</v>
      </c>
      <c r="E64" s="26" t="s">
        <v>164</v>
      </c>
    </row>
    <row r="65" ht="12.75">
      <c r="E65" s="26" t="s">
        <v>643</v>
      </c>
    </row>
    <row r="66" ht="12.75">
      <c r="E66" s="26" t="s">
        <v>644</v>
      </c>
    </row>
    <row r="67" ht="12.75">
      <c r="E67" s="26" t="s">
        <v>645</v>
      </c>
    </row>
    <row r="68" ht="12.75">
      <c r="E68" s="26" t="s">
        <v>646</v>
      </c>
    </row>
    <row r="69" ht="12.75">
      <c r="E69" s="26" t="s">
        <v>647</v>
      </c>
    </row>
    <row r="70" ht="12.75">
      <c r="E70" s="26" t="s">
        <v>648</v>
      </c>
    </row>
    <row r="72" spans="2:5" ht="12.75">
      <c r="B72" s="26" t="s">
        <v>649</v>
      </c>
      <c r="E72" s="26" t="s">
        <v>166</v>
      </c>
    </row>
    <row r="73" ht="12.75">
      <c r="E73" s="26" t="s">
        <v>167</v>
      </c>
    </row>
    <row r="74" ht="12.75">
      <c r="E74" s="26" t="s">
        <v>168</v>
      </c>
    </row>
    <row r="75" ht="12.75">
      <c r="E75" s="26" t="s">
        <v>169</v>
      </c>
    </row>
    <row r="76" ht="12.75">
      <c r="E76" s="26" t="s">
        <v>170</v>
      </c>
    </row>
    <row r="77" ht="12.75">
      <c r="E77" s="26" t="s">
        <v>171</v>
      </c>
    </row>
    <row r="78" ht="12.75">
      <c r="E78" s="26" t="s">
        <v>172</v>
      </c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75"/>
  <sheetViews>
    <sheetView zoomScalePageLayoutView="0" workbookViewId="0" topLeftCell="A31">
      <selection activeCell="G79" sqref="G79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0.8515625" style="0" customWidth="1"/>
    <col min="8" max="8" width="20.00390625" style="0" bestFit="1" customWidth="1"/>
    <col min="10" max="10" width="17.8515625" style="0" customWidth="1"/>
    <col min="12" max="12" width="20.00390625" style="0" bestFit="1" customWidth="1"/>
  </cols>
  <sheetData>
    <row r="3" spans="2:6" ht="12.75">
      <c r="B3" s="8" t="s">
        <v>46</v>
      </c>
      <c r="D3" s="8" t="s">
        <v>53</v>
      </c>
      <c r="F3" s="5" t="s">
        <v>54</v>
      </c>
    </row>
    <row r="4" spans="2:6" ht="12.75">
      <c r="B4" s="9">
        <v>9</v>
      </c>
      <c r="D4" s="9">
        <v>0</v>
      </c>
      <c r="F4" s="1">
        <v>1</v>
      </c>
    </row>
    <row r="5" spans="2:6" ht="12.75">
      <c r="B5" s="9">
        <v>9.5</v>
      </c>
      <c r="D5" s="9">
        <v>1</v>
      </c>
      <c r="F5" s="1">
        <v>2</v>
      </c>
    </row>
    <row r="6" spans="2:6" ht="12.75">
      <c r="B6" s="9">
        <v>10</v>
      </c>
      <c r="D6" s="9">
        <v>2</v>
      </c>
      <c r="F6" s="1">
        <v>3</v>
      </c>
    </row>
    <row r="7" spans="2:6" ht="12.75">
      <c r="B7" s="9">
        <v>10.5</v>
      </c>
      <c r="D7" s="9">
        <v>3</v>
      </c>
      <c r="F7" s="1">
        <v>4</v>
      </c>
    </row>
    <row r="8" spans="2:6" ht="12.75">
      <c r="B8" s="9">
        <v>11</v>
      </c>
      <c r="D8" s="9">
        <v>4</v>
      </c>
      <c r="F8" s="1">
        <v>5</v>
      </c>
    </row>
    <row r="9" spans="2:6" ht="12.75">
      <c r="B9" s="9">
        <v>11.5</v>
      </c>
      <c r="D9" s="9">
        <v>5</v>
      </c>
      <c r="F9" s="1">
        <v>6</v>
      </c>
    </row>
    <row r="10" spans="2:6" ht="12.75">
      <c r="B10" s="9">
        <v>12</v>
      </c>
      <c r="D10" s="9">
        <v>6</v>
      </c>
      <c r="F10" s="1">
        <v>7</v>
      </c>
    </row>
    <row r="11" ht="12.75">
      <c r="D11" s="9">
        <v>7</v>
      </c>
    </row>
    <row r="12" ht="12.75">
      <c r="D12" s="9">
        <v>8</v>
      </c>
    </row>
    <row r="15" spans="8:12" ht="12.75">
      <c r="H15" s="5" t="s">
        <v>62</v>
      </c>
      <c r="J15" s="5" t="s">
        <v>64</v>
      </c>
      <c r="L15" s="5" t="s">
        <v>69</v>
      </c>
    </row>
    <row r="16" spans="4:12" ht="12.75">
      <c r="D16" s="5" t="s">
        <v>45</v>
      </c>
      <c r="F16" s="5" t="s">
        <v>59</v>
      </c>
      <c r="H16" s="5" t="s">
        <v>63</v>
      </c>
      <c r="J16" s="5" t="s">
        <v>65</v>
      </c>
      <c r="L16" s="27" t="s">
        <v>70</v>
      </c>
    </row>
    <row r="17" spans="4:12" ht="12.75">
      <c r="D17" s="9" t="s">
        <v>55</v>
      </c>
      <c r="F17" s="9" t="s">
        <v>60</v>
      </c>
      <c r="H17" s="9" t="s">
        <v>60</v>
      </c>
      <c r="J17" s="9" t="s">
        <v>60</v>
      </c>
      <c r="L17" s="27" t="s">
        <v>71</v>
      </c>
    </row>
    <row r="18" spans="4:10" ht="12.75">
      <c r="D18" s="9" t="s">
        <v>56</v>
      </c>
      <c r="F18" s="9" t="s">
        <v>61</v>
      </c>
      <c r="H18" s="9" t="s">
        <v>61</v>
      </c>
      <c r="J18" s="9" t="s">
        <v>67</v>
      </c>
    </row>
    <row r="19" spans="4:10" ht="12.75">
      <c r="D19" s="27" t="s">
        <v>57</v>
      </c>
      <c r="J19" s="9" t="s">
        <v>68</v>
      </c>
    </row>
    <row r="20" ht="12.75">
      <c r="D20" s="9" t="s">
        <v>58</v>
      </c>
    </row>
    <row r="22" spans="6:10" ht="12.75">
      <c r="F22" s="5" t="s">
        <v>47</v>
      </c>
      <c r="H22" s="5" t="s">
        <v>48</v>
      </c>
      <c r="J22" s="5" t="s">
        <v>66</v>
      </c>
    </row>
    <row r="23" spans="6:10" ht="12.75">
      <c r="F23" s="9" t="s">
        <v>60</v>
      </c>
      <c r="H23" s="9" t="s">
        <v>60</v>
      </c>
      <c r="J23" s="9" t="s">
        <v>60</v>
      </c>
    </row>
    <row r="24" spans="6:10" ht="12.75">
      <c r="F24" s="9" t="s">
        <v>61</v>
      </c>
      <c r="H24" s="9" t="s">
        <v>61</v>
      </c>
      <c r="J24" s="9" t="s">
        <v>61</v>
      </c>
    </row>
    <row r="28" spans="4:12" ht="12.75">
      <c r="D28" s="27" t="s">
        <v>75</v>
      </c>
      <c r="F28" s="27" t="s">
        <v>79</v>
      </c>
      <c r="H28" s="27" t="s">
        <v>80</v>
      </c>
      <c r="J28" s="27" t="s">
        <v>81</v>
      </c>
      <c r="L28" s="5" t="s">
        <v>85</v>
      </c>
    </row>
    <row r="29" spans="4:12" ht="12.75">
      <c r="D29" s="27" t="s">
        <v>76</v>
      </c>
      <c r="F29" s="1">
        <v>0</v>
      </c>
      <c r="H29" s="1">
        <v>0</v>
      </c>
      <c r="J29" s="27" t="s">
        <v>60</v>
      </c>
      <c r="L29" s="27" t="s">
        <v>70</v>
      </c>
    </row>
    <row r="30" spans="4:12" ht="12.75">
      <c r="D30" s="27" t="s">
        <v>77</v>
      </c>
      <c r="F30" s="1">
        <v>1</v>
      </c>
      <c r="H30" s="1">
        <v>1</v>
      </c>
      <c r="J30" s="27" t="s">
        <v>61</v>
      </c>
      <c r="L30" s="27" t="s">
        <v>71</v>
      </c>
    </row>
    <row r="31" spans="4:8" ht="12.75">
      <c r="D31" s="27" t="s">
        <v>78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2" ht="12.75">
      <c r="D36" s="5" t="s">
        <v>92</v>
      </c>
      <c r="F36" s="5" t="s">
        <v>95</v>
      </c>
      <c r="H36" s="5" t="s">
        <v>99</v>
      </c>
      <c r="J36" s="5" t="s">
        <v>106</v>
      </c>
      <c r="L36" s="5" t="s">
        <v>110</v>
      </c>
    </row>
    <row r="37" spans="4:12" ht="12.75">
      <c r="D37" s="1">
        <v>10</v>
      </c>
      <c r="F37" s="27" t="s">
        <v>93</v>
      </c>
      <c r="H37" s="27" t="s">
        <v>100</v>
      </c>
      <c r="J37" s="9">
        <v>0</v>
      </c>
      <c r="L37" s="1">
        <v>0</v>
      </c>
    </row>
    <row r="38" spans="4:12" ht="12.75">
      <c r="D38" s="1">
        <v>20</v>
      </c>
      <c r="F38" s="27" t="s">
        <v>94</v>
      </c>
      <c r="H38" s="82" t="s">
        <v>101</v>
      </c>
      <c r="J38" s="9">
        <v>1</v>
      </c>
      <c r="L38" s="1">
        <v>1</v>
      </c>
    </row>
    <row r="39" spans="4:12" ht="12.75">
      <c r="D39" s="1">
        <v>30</v>
      </c>
      <c r="F39" s="1"/>
      <c r="H39" s="83" t="s">
        <v>102</v>
      </c>
      <c r="J39" s="9">
        <v>2</v>
      </c>
      <c r="L39" s="1">
        <v>2</v>
      </c>
    </row>
    <row r="40" spans="4:10" ht="12.75">
      <c r="D40" s="1">
        <v>40</v>
      </c>
      <c r="F40" s="1"/>
      <c r="H40" s="83" t="s">
        <v>103</v>
      </c>
      <c r="J40" s="9">
        <v>3</v>
      </c>
    </row>
    <row r="41" spans="4:10" ht="12.75">
      <c r="D41" s="1">
        <v>50</v>
      </c>
      <c r="F41" s="1"/>
      <c r="H41" s="83" t="s">
        <v>104</v>
      </c>
      <c r="J41" s="9">
        <v>4</v>
      </c>
    </row>
    <row r="42" spans="4:10" ht="12.75">
      <c r="D42" s="1">
        <v>60</v>
      </c>
      <c r="F42" s="1"/>
      <c r="J42" s="9">
        <v>5</v>
      </c>
    </row>
    <row r="43" spans="4:10" ht="12.75">
      <c r="D43" s="1">
        <v>70</v>
      </c>
      <c r="F43" s="1"/>
      <c r="J43" s="9">
        <v>6</v>
      </c>
    </row>
    <row r="44" spans="4:10" ht="12.75">
      <c r="D44" s="1">
        <v>80</v>
      </c>
      <c r="F44" s="1"/>
      <c r="J44" s="9">
        <v>7</v>
      </c>
    </row>
    <row r="45" spans="4:10" ht="12.75">
      <c r="D45" s="1">
        <v>90</v>
      </c>
      <c r="F45" s="1"/>
      <c r="J45" s="9">
        <v>8</v>
      </c>
    </row>
    <row r="46" spans="4:10" ht="12.75">
      <c r="D46" s="1">
        <v>100</v>
      </c>
      <c r="J46" s="27">
        <v>9</v>
      </c>
    </row>
    <row r="47" ht="12.75">
      <c r="J47" s="27">
        <v>10</v>
      </c>
    </row>
    <row r="51" ht="12.75">
      <c r="D51" s="116" t="s">
        <v>215</v>
      </c>
    </row>
    <row r="54" spans="4:14" ht="12.75">
      <c r="D54" s="5" t="s">
        <v>216</v>
      </c>
      <c r="E54" t="s">
        <v>720</v>
      </c>
      <c r="F54" s="5" t="s">
        <v>219</v>
      </c>
      <c r="H54" s="5" t="s">
        <v>220</v>
      </c>
      <c r="J54" s="5" t="s">
        <v>237</v>
      </c>
      <c r="L54" s="5" t="s">
        <v>245</v>
      </c>
      <c r="N54" s="8" t="s">
        <v>393</v>
      </c>
    </row>
    <row r="55" spans="4:14" ht="12.75">
      <c r="D55" s="27" t="s">
        <v>218</v>
      </c>
      <c r="E55">
        <v>0.62</v>
      </c>
      <c r="F55" s="27" t="s">
        <v>60</v>
      </c>
      <c r="H55" s="9" t="s">
        <v>60</v>
      </c>
      <c r="J55" s="27" t="s">
        <v>221</v>
      </c>
      <c r="L55" s="1">
        <v>2</v>
      </c>
      <c r="N55" t="s">
        <v>391</v>
      </c>
    </row>
    <row r="56" spans="4:14" ht="12.75">
      <c r="D56" s="27" t="s">
        <v>217</v>
      </c>
      <c r="E56">
        <v>0.81</v>
      </c>
      <c r="F56" s="1">
        <v>10</v>
      </c>
      <c r="H56" s="9" t="s">
        <v>61</v>
      </c>
      <c r="J56" s="27" t="s">
        <v>233</v>
      </c>
      <c r="L56" s="1">
        <v>5</v>
      </c>
      <c r="N56" t="s">
        <v>392</v>
      </c>
    </row>
    <row r="57" spans="4:12" ht="12.75">
      <c r="D57" s="27" t="s">
        <v>105</v>
      </c>
      <c r="E57">
        <v>0.63</v>
      </c>
      <c r="F57" s="1">
        <v>15</v>
      </c>
      <c r="J57" s="26" t="s">
        <v>234</v>
      </c>
      <c r="L57" s="1">
        <v>10</v>
      </c>
    </row>
    <row r="58" spans="4:12" ht="12.75">
      <c r="D58" s="27" t="s">
        <v>108</v>
      </c>
      <c r="E58">
        <v>0.64</v>
      </c>
      <c r="F58" s="1">
        <v>20</v>
      </c>
      <c r="J58" s="27" t="s">
        <v>235</v>
      </c>
      <c r="L58" s="1">
        <v>15</v>
      </c>
    </row>
    <row r="59" spans="4:12" ht="12.75">
      <c r="D59" s="27" t="s">
        <v>232</v>
      </c>
      <c r="E59">
        <v>0.64</v>
      </c>
      <c r="F59" s="1">
        <v>30</v>
      </c>
      <c r="J59" s="27" t="s">
        <v>236</v>
      </c>
      <c r="L59" s="1">
        <v>20</v>
      </c>
    </row>
    <row r="60" spans="6:12" ht="12.75">
      <c r="F60" s="1">
        <v>40</v>
      </c>
      <c r="L60" s="1">
        <v>25</v>
      </c>
    </row>
    <row r="61" spans="6:12" ht="12.75">
      <c r="F61" s="1">
        <v>50</v>
      </c>
      <c r="L61" s="27" t="s">
        <v>246</v>
      </c>
    </row>
    <row r="62" ht="12.75">
      <c r="F62" s="1">
        <v>60</v>
      </c>
    </row>
    <row r="63" ht="12.75">
      <c r="F63" s="1">
        <v>70</v>
      </c>
    </row>
    <row r="64" ht="12.75">
      <c r="F64" s="1">
        <v>80</v>
      </c>
    </row>
    <row r="65" ht="12.75">
      <c r="F65" s="1">
        <v>90</v>
      </c>
    </row>
    <row r="66" ht="12.75">
      <c r="F66" s="1">
        <v>100</v>
      </c>
    </row>
    <row r="70" spans="4:12" ht="12.75">
      <c r="D70" s="5" t="s">
        <v>416</v>
      </c>
      <c r="F70" s="5" t="s">
        <v>535</v>
      </c>
      <c r="G70" t="s">
        <v>720</v>
      </c>
      <c r="H70" s="5" t="s">
        <v>536</v>
      </c>
      <c r="J70" s="5" t="s">
        <v>543</v>
      </c>
      <c r="L70" s="5" t="s">
        <v>544</v>
      </c>
    </row>
    <row r="71" spans="4:12" ht="12.75">
      <c r="D71" s="1">
        <v>0</v>
      </c>
      <c r="F71" s="27" t="s">
        <v>76</v>
      </c>
      <c r="G71">
        <v>0.35</v>
      </c>
      <c r="H71" s="26" t="s">
        <v>415</v>
      </c>
      <c r="J71" s="1">
        <v>0</v>
      </c>
      <c r="L71" s="26" t="s">
        <v>545</v>
      </c>
    </row>
    <row r="72" spans="4:12" ht="12.75">
      <c r="D72" s="1">
        <v>1</v>
      </c>
      <c r="F72" s="27" t="s">
        <v>504</v>
      </c>
      <c r="G72">
        <v>0.73</v>
      </c>
      <c r="H72" s="26" t="s">
        <v>537</v>
      </c>
      <c r="J72" s="1">
        <v>1</v>
      </c>
      <c r="L72" s="26" t="s">
        <v>415</v>
      </c>
    </row>
    <row r="73" spans="4:12" ht="12.75">
      <c r="D73" s="1">
        <v>2</v>
      </c>
      <c r="F73" s="27" t="s">
        <v>77</v>
      </c>
      <c r="G73">
        <v>0.45</v>
      </c>
      <c r="H73" s="26" t="s">
        <v>538</v>
      </c>
      <c r="J73" s="1">
        <v>2</v>
      </c>
      <c r="L73" s="26" t="s">
        <v>537</v>
      </c>
    </row>
    <row r="74" spans="4:12" ht="12.75">
      <c r="D74" s="1">
        <v>3</v>
      </c>
      <c r="F74" s="27" t="s">
        <v>78</v>
      </c>
      <c r="G74">
        <v>1.05</v>
      </c>
      <c r="H74" s="26" t="s">
        <v>539</v>
      </c>
      <c r="L74" s="26" t="s">
        <v>538</v>
      </c>
    </row>
    <row r="75" spans="4:12" ht="12.75">
      <c r="D75" s="1">
        <v>4</v>
      </c>
      <c r="L75" s="26" t="s">
        <v>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87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8" max="8" width="12.140625" style="0" customWidth="1"/>
    <col min="9" max="9" width="11.00390625" style="0" customWidth="1"/>
    <col min="11" max="11" width="11.7109375" style="0" customWidth="1"/>
    <col min="12" max="12" width="13.7109375" style="0" customWidth="1"/>
    <col min="13" max="13" width="12.28125" style="0" customWidth="1"/>
    <col min="14" max="15" width="11.28125" style="0" customWidth="1"/>
    <col min="16" max="16" width="24.421875" style="0" customWidth="1"/>
    <col min="17" max="17" width="22.57421875" style="0" customWidth="1"/>
    <col min="18" max="18" width="15.8515625" style="0" customWidth="1"/>
    <col min="19" max="20" width="16.28125" style="158" customWidth="1"/>
    <col min="21" max="21" width="15.8515625" style="158" customWidth="1"/>
    <col min="22" max="22" width="18.00390625" style="158" customWidth="1"/>
    <col min="23" max="23" width="14.7109375" style="158" customWidth="1"/>
    <col min="24" max="24" width="16.28125" style="158" customWidth="1"/>
    <col min="25" max="25" width="14.7109375" style="158" customWidth="1"/>
    <col min="26" max="26" width="18.140625" style="158" customWidth="1"/>
    <col min="27" max="33" width="14.7109375" style="158" customWidth="1"/>
    <col min="34" max="34" width="14.421875" style="158" customWidth="1"/>
    <col min="35" max="36" width="14.7109375" style="158" customWidth="1"/>
    <col min="37" max="37" width="11.57421875" style="158" customWidth="1"/>
    <col min="38" max="38" width="9.140625" style="158" customWidth="1"/>
    <col min="40" max="40" width="11.28125" style="0" customWidth="1"/>
    <col min="41" max="41" width="11.00390625" style="0" customWidth="1"/>
    <col min="42" max="42" width="12.00390625" style="0" customWidth="1"/>
    <col min="43" max="43" width="13.28125" style="0" customWidth="1"/>
    <col min="44" max="44" width="10.28125" style="0" customWidth="1"/>
    <col min="45" max="45" width="11.7109375" style="0" customWidth="1"/>
    <col min="46" max="46" width="10.7109375" style="0" customWidth="1"/>
    <col min="47" max="47" width="13.28125" style="0" customWidth="1"/>
    <col min="48" max="48" width="10.00390625" style="0" customWidth="1"/>
    <col min="49" max="49" width="13.28125" style="0" customWidth="1"/>
    <col min="54" max="54" width="12.140625" style="0" customWidth="1"/>
    <col min="55" max="55" width="12.57421875" style="0" customWidth="1"/>
    <col min="56" max="57" width="12.28125" style="0" customWidth="1"/>
    <col min="60" max="60" width="10.140625" style="0" customWidth="1"/>
  </cols>
  <sheetData>
    <row r="1" spans="39:79" ht="13.5" thickBot="1">
      <c r="AM1" s="6"/>
      <c r="AP1" s="25"/>
      <c r="AV1" s="7"/>
      <c r="BA1" s="15"/>
      <c r="BB1" s="15"/>
      <c r="BC1" s="15"/>
      <c r="BD1" s="15"/>
      <c r="BE1" s="15"/>
      <c r="BF1" s="15"/>
      <c r="BG1" s="29"/>
      <c r="BH1" s="29"/>
      <c r="BI1" s="15"/>
      <c r="BJ1" s="15"/>
      <c r="BK1" s="15"/>
      <c r="BL1" s="15"/>
      <c r="BM1" s="15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</row>
    <row r="2" spans="1:79" ht="12.75" customHeight="1" thickBot="1" thickTop="1">
      <c r="A2" s="285" t="s">
        <v>200</v>
      </c>
      <c r="B2" s="323"/>
      <c r="C2" s="323"/>
      <c r="D2" s="323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15"/>
      <c r="P2" s="15"/>
      <c r="BL2" s="15"/>
      <c r="BM2" s="15"/>
      <c r="BN2" s="45"/>
      <c r="BO2" s="45"/>
      <c r="BP2" s="45"/>
      <c r="BQ2" s="45"/>
      <c r="BR2" s="29"/>
      <c r="BS2" s="29"/>
      <c r="BT2" s="29"/>
      <c r="BU2" s="29"/>
      <c r="BV2" s="45"/>
      <c r="BW2" s="45"/>
      <c r="BX2" s="45"/>
      <c r="BY2" s="45"/>
      <c r="BZ2" s="45"/>
      <c r="CA2" s="29"/>
    </row>
    <row r="3" spans="1:79" ht="12.75">
      <c r="A3" s="378" t="s">
        <v>0</v>
      </c>
      <c r="B3" s="379"/>
      <c r="C3" s="379"/>
      <c r="D3" s="379"/>
      <c r="E3" s="379"/>
      <c r="F3" s="379"/>
      <c r="G3" s="380"/>
      <c r="H3" s="381" t="s">
        <v>8</v>
      </c>
      <c r="I3" s="382"/>
      <c r="J3" s="382"/>
      <c r="K3" s="382"/>
      <c r="L3" s="382"/>
      <c r="M3" s="382"/>
      <c r="N3" s="382"/>
      <c r="O3" s="25"/>
      <c r="P3" s="25"/>
      <c r="T3" s="158" t="s">
        <v>610</v>
      </c>
      <c r="Y3" s="158" t="s">
        <v>611</v>
      </c>
      <c r="BL3" s="15"/>
      <c r="BM3" s="15"/>
      <c r="BN3" s="45"/>
      <c r="BO3" s="45"/>
      <c r="BP3" s="45"/>
      <c r="BQ3" s="45"/>
      <c r="BR3" s="29"/>
      <c r="BS3" s="29"/>
      <c r="BT3" s="29"/>
      <c r="BU3" s="29"/>
      <c r="BV3" s="45"/>
      <c r="BW3" s="45"/>
      <c r="BX3" s="45"/>
      <c r="BY3" s="45"/>
      <c r="BZ3" s="45"/>
      <c r="CA3" s="29"/>
    </row>
    <row r="4" spans="1:79" ht="12.75" customHeight="1">
      <c r="A4" s="391" t="s">
        <v>1</v>
      </c>
      <c r="B4" s="391"/>
      <c r="C4" s="391"/>
      <c r="D4" s="20"/>
      <c r="E4" s="392" t="s">
        <v>195</v>
      </c>
      <c r="F4" s="393"/>
      <c r="G4" s="394"/>
      <c r="H4" s="395" t="s">
        <v>9</v>
      </c>
      <c r="I4" s="391"/>
      <c r="J4" s="396"/>
      <c r="K4" s="392" t="s">
        <v>196</v>
      </c>
      <c r="L4" s="393"/>
      <c r="M4" s="393"/>
      <c r="N4" s="393"/>
      <c r="O4" s="29"/>
      <c r="P4" s="29"/>
      <c r="BL4" s="15"/>
      <c r="BM4" s="15"/>
      <c r="BN4" s="45"/>
      <c r="BO4" s="45"/>
      <c r="BP4" s="45"/>
      <c r="BQ4" s="45"/>
      <c r="BR4" s="29"/>
      <c r="BS4" s="29"/>
      <c r="BT4" s="29"/>
      <c r="BU4" s="29"/>
      <c r="BV4" s="46"/>
      <c r="BW4" s="46"/>
      <c r="BX4" s="45"/>
      <c r="BY4" s="45"/>
      <c r="BZ4" s="45"/>
      <c r="CA4" s="29"/>
    </row>
    <row r="5" spans="1:79" ht="15.75">
      <c r="A5" s="383" t="s">
        <v>2</v>
      </c>
      <c r="B5" s="383"/>
      <c r="C5" s="383"/>
      <c r="D5" s="16"/>
      <c r="E5" s="384" t="s">
        <v>51</v>
      </c>
      <c r="F5" s="385"/>
      <c r="G5" s="386"/>
      <c r="H5" s="387" t="s">
        <v>10</v>
      </c>
      <c r="I5" s="388"/>
      <c r="J5" s="389"/>
      <c r="K5" s="390" t="s">
        <v>197</v>
      </c>
      <c r="L5" s="385"/>
      <c r="M5" s="385"/>
      <c r="N5" s="385"/>
      <c r="O5" s="159"/>
      <c r="P5" s="159"/>
      <c r="T5" s="54" t="s">
        <v>400</v>
      </c>
      <c r="U5"/>
      <c r="V5" s="56">
        <f>POWER($J$26,-0.614)*0.3566</f>
        <v>0.11868517407424205</v>
      </c>
      <c r="Y5"/>
      <c r="Z5"/>
      <c r="AA5"/>
      <c r="BL5" s="15"/>
      <c r="BM5" s="15"/>
      <c r="BN5" s="45"/>
      <c r="BO5" s="45"/>
      <c r="BP5" s="45"/>
      <c r="BQ5" s="45"/>
      <c r="BR5" s="45"/>
      <c r="BS5" s="45"/>
      <c r="BT5" s="29"/>
      <c r="BU5" s="29"/>
      <c r="BV5" s="46"/>
      <c r="BW5" s="46"/>
      <c r="BX5" s="45"/>
      <c r="BY5" s="45"/>
      <c r="BZ5" s="45"/>
      <c r="CA5" s="29"/>
    </row>
    <row r="6" spans="1:79" ht="15.75">
      <c r="A6" s="383" t="s">
        <v>3</v>
      </c>
      <c r="B6" s="383"/>
      <c r="C6" s="383"/>
      <c r="D6" s="16"/>
      <c r="E6" s="397">
        <v>40262</v>
      </c>
      <c r="F6" s="385"/>
      <c r="G6" s="386"/>
      <c r="H6" s="387" t="s">
        <v>11</v>
      </c>
      <c r="I6" s="388"/>
      <c r="J6" s="389"/>
      <c r="K6" s="390" t="s">
        <v>198</v>
      </c>
      <c r="L6" s="385"/>
      <c r="M6" s="385"/>
      <c r="N6" s="385"/>
      <c r="O6" s="159"/>
      <c r="P6" s="159"/>
      <c r="T6" s="134"/>
      <c r="U6" s="134"/>
      <c r="V6" s="134"/>
      <c r="Y6" s="145" t="s">
        <v>258</v>
      </c>
      <c r="Z6" s="56">
        <f>IF('Segment Tables'!$C$122="No",(VLOOKUP($J$9,'Segment Tables'!$A$124:$M$128,4,FALSE)),(VLOOKUP($J$9,'Segment Tables'!$A$124:$M$128,9,FALSE)))</f>
        <v>0.8</v>
      </c>
      <c r="AA6" s="28"/>
      <c r="BL6" s="15"/>
      <c r="BM6" s="15"/>
      <c r="BN6" s="28"/>
      <c r="BO6" s="28"/>
      <c r="BP6" s="28"/>
      <c r="BQ6" s="28"/>
      <c r="BR6" s="28"/>
      <c r="BS6" s="28"/>
      <c r="BT6" s="29"/>
      <c r="BU6" s="29"/>
      <c r="BV6" s="32"/>
      <c r="BW6" s="25"/>
      <c r="BX6" s="28"/>
      <c r="BY6" s="28"/>
      <c r="BZ6" s="28"/>
      <c r="CA6" s="29"/>
    </row>
    <row r="7" spans="1:79" ht="12.75">
      <c r="A7" s="402"/>
      <c r="B7" s="402"/>
      <c r="C7" s="402"/>
      <c r="D7" s="23"/>
      <c r="E7" s="387"/>
      <c r="F7" s="388"/>
      <c r="G7" s="389"/>
      <c r="H7" s="387" t="s">
        <v>12</v>
      </c>
      <c r="I7" s="388"/>
      <c r="J7" s="389"/>
      <c r="K7" s="403">
        <v>2010</v>
      </c>
      <c r="L7" s="404"/>
      <c r="M7" s="404"/>
      <c r="N7" s="404"/>
      <c r="O7" s="29"/>
      <c r="P7" s="29"/>
      <c r="T7" s="134"/>
      <c r="U7" s="134"/>
      <c r="V7" s="134"/>
      <c r="Y7"/>
      <c r="Z7"/>
      <c r="AA7"/>
      <c r="BL7" s="15"/>
      <c r="BM7" s="15"/>
      <c r="BN7" s="28"/>
      <c r="BO7" s="28"/>
      <c r="BP7" s="28"/>
      <c r="BQ7" s="28"/>
      <c r="BR7" s="28"/>
      <c r="BS7" s="28"/>
      <c r="BT7" s="29"/>
      <c r="BU7" s="29"/>
      <c r="BV7" s="25"/>
      <c r="BW7" s="25"/>
      <c r="BX7" s="28"/>
      <c r="BY7" s="28"/>
      <c r="BZ7" s="28"/>
      <c r="CA7" s="29"/>
    </row>
    <row r="8" spans="1:79" ht="15.75">
      <c r="A8" s="398" t="s">
        <v>4</v>
      </c>
      <c r="B8" s="399"/>
      <c r="C8" s="399"/>
      <c r="D8" s="399"/>
      <c r="E8" s="399"/>
      <c r="F8" s="399"/>
      <c r="G8" s="400"/>
      <c r="H8" s="401" t="s">
        <v>13</v>
      </c>
      <c r="I8" s="400"/>
      <c r="J8" s="401" t="s">
        <v>15</v>
      </c>
      <c r="K8" s="399"/>
      <c r="L8" s="399"/>
      <c r="M8" s="399"/>
      <c r="N8" s="399"/>
      <c r="O8" s="29"/>
      <c r="P8" s="29"/>
      <c r="T8" s="31" t="s">
        <v>402</v>
      </c>
      <c r="U8"/>
      <c r="V8" s="57">
        <f>$V$5*$J$25*(IF('Segment Tables'!$C$108="No",(VLOOKUP($J$9,'Segment Tables'!$A$110:$G$114,4,FALSE)),(VLOOKUP($J$9,'Segment Tables'!$A$110:$G$114,6,FALSE))))+(1-(IF('Segment Tables'!$C$108="No",(VLOOKUP($J$9,'Segment Tables'!$A$110:$G$114,4,FALSE)),(VLOOKUP($J$9,'Segment Tables'!$A$110:$G$114,6,FALSE)))))</f>
        <v>1.006726662666727</v>
      </c>
      <c r="Y8" s="145" t="s">
        <v>259</v>
      </c>
      <c r="Z8" s="56">
        <f>IF('Segment Tables'!$C$122="No",(VLOOKUP($J$9,'Segment Tables'!$A$124:$M$128,6,FALSE)),(VLOOKUP($J$9,'Segment Tables'!$A$124:$M$128,11,FALSE)))</f>
        <v>0.2</v>
      </c>
      <c r="AA8"/>
      <c r="BL8" s="15"/>
      <c r="BM8" s="15"/>
      <c r="BN8" s="28"/>
      <c r="BO8" s="28"/>
      <c r="BP8" s="28"/>
      <c r="BQ8" s="28"/>
      <c r="BR8" s="28"/>
      <c r="BS8" s="28"/>
      <c r="BT8" s="29"/>
      <c r="BU8" s="29"/>
      <c r="BV8" s="32"/>
      <c r="BW8" s="25"/>
      <c r="BX8" s="28"/>
      <c r="BY8" s="28"/>
      <c r="BZ8" s="28"/>
      <c r="CA8" s="29"/>
    </row>
    <row r="9" spans="1:79" ht="12.75">
      <c r="A9" s="367" t="s">
        <v>201</v>
      </c>
      <c r="B9" s="368"/>
      <c r="C9" s="368"/>
      <c r="D9" s="368"/>
      <c r="E9" s="368"/>
      <c r="F9" s="368"/>
      <c r="G9" s="299"/>
      <c r="H9" s="406" t="s">
        <v>14</v>
      </c>
      <c r="I9" s="396"/>
      <c r="J9" s="407" t="s">
        <v>108</v>
      </c>
      <c r="K9" s="408"/>
      <c r="L9" s="408"/>
      <c r="M9" s="408"/>
      <c r="N9" s="408"/>
      <c r="O9" s="29"/>
      <c r="P9" t="str">
        <f>IF($J$9="2U","Two-lane undivided arterials",IF($J$9="3T","Three-lane arterials including a center two-way left-turn lane (TWLTL)",IF($J$9="4U","Four-lane undivided arterials",IF($J$9="4D","Four-lane divided arterials (i.e., including a raised or depressed median)","Five-lane arterials including a center two-way left-turn lane (TWLTL)"))))</f>
        <v>Four-lane divided arterials (i.e., including a raised or depressed median)</v>
      </c>
      <c r="T9" s="45"/>
      <c r="U9" s="45"/>
      <c r="V9" s="45"/>
      <c r="Y9"/>
      <c r="Z9"/>
      <c r="AA9"/>
      <c r="BL9" s="15"/>
      <c r="BM9" s="15"/>
      <c r="BN9" s="28"/>
      <c r="BO9" s="28"/>
      <c r="BP9" s="28"/>
      <c r="BQ9" s="28"/>
      <c r="BR9" s="28"/>
      <c r="BS9" s="28"/>
      <c r="BT9" s="29"/>
      <c r="BU9" s="29"/>
      <c r="BV9" s="25"/>
      <c r="BW9" s="25"/>
      <c r="BX9" s="28"/>
      <c r="BY9" s="28"/>
      <c r="BZ9" s="28"/>
      <c r="CA9" s="29"/>
    </row>
    <row r="10" spans="1:79" ht="16.5" thickBot="1">
      <c r="A10" s="368" t="s">
        <v>5</v>
      </c>
      <c r="B10" s="368"/>
      <c r="C10" s="368"/>
      <c r="D10" s="368"/>
      <c r="E10" s="391"/>
      <c r="F10" s="391"/>
      <c r="G10" s="396"/>
      <c r="H10" s="371" t="s">
        <v>14</v>
      </c>
      <c r="I10" s="299"/>
      <c r="J10" s="405">
        <v>1.5</v>
      </c>
      <c r="K10" s="393"/>
      <c r="L10" s="393"/>
      <c r="M10" s="393"/>
      <c r="N10" s="393"/>
      <c r="O10" s="29"/>
      <c r="P10" s="29"/>
      <c r="T10" s="31" t="s">
        <v>403</v>
      </c>
      <c r="U10" s="45"/>
      <c r="V10" s="57">
        <f>IF(+V8&lt;1,1,V8)</f>
        <v>1.006726662666727</v>
      </c>
      <c r="Y10" s="145" t="s">
        <v>260</v>
      </c>
      <c r="Z10" s="56">
        <f>IF('Segment Tables'!$C$122="No",(VLOOKUP($J$9,'Segment Tables'!$A$124:$M$128,7,FALSE)),(VLOOKUP($J$9,'Segment Tables'!$A$124:$M$128,12,FALSE)))</f>
        <v>0.225</v>
      </c>
      <c r="AA10"/>
      <c r="BL10" s="15"/>
      <c r="BM10" s="15"/>
      <c r="BN10" s="29"/>
      <c r="BO10" s="29"/>
      <c r="BP10" s="29"/>
      <c r="BQ10" s="29"/>
      <c r="BR10" s="29"/>
      <c r="BS10" s="29"/>
      <c r="BT10" s="29"/>
      <c r="BU10" s="29"/>
      <c r="BV10" s="32"/>
      <c r="BW10" s="25"/>
      <c r="BX10" s="28"/>
      <c r="BY10" s="28"/>
      <c r="BZ10" s="28"/>
      <c r="CA10" s="29"/>
    </row>
    <row r="11" spans="1:79" ht="16.5" thickBot="1">
      <c r="A11" s="368" t="s">
        <v>6</v>
      </c>
      <c r="B11" s="368"/>
      <c r="C11" s="368"/>
      <c r="D11" s="368"/>
      <c r="E11" s="248" t="s">
        <v>708</v>
      </c>
      <c r="F11" s="250">
        <f>IF($J$9="2U",32600,IF($J$9="3T",32900,IF($J$9="4U",40100,IF($J$9="4D",66000,53800))))</f>
        <v>66000</v>
      </c>
      <c r="G11" s="249" t="s">
        <v>707</v>
      </c>
      <c r="H11" s="409" t="s">
        <v>14</v>
      </c>
      <c r="I11" s="299"/>
      <c r="J11" s="410">
        <v>11000</v>
      </c>
      <c r="K11" s="411"/>
      <c r="L11" s="411"/>
      <c r="M11" s="411"/>
      <c r="N11" s="411"/>
      <c r="O11" s="160" t="str">
        <f>IF(J11&gt;F11,"AADT out of range","AADT OK")</f>
        <v>AADT OK</v>
      </c>
      <c r="P11" s="160"/>
      <c r="T11" s="29"/>
      <c r="U11" s="45"/>
      <c r="V11" s="45"/>
      <c r="Y11"/>
      <c r="Z11"/>
      <c r="AA11"/>
      <c r="BL11" s="15"/>
      <c r="BM11" s="15"/>
      <c r="BN11" s="29"/>
      <c r="BO11" s="29"/>
      <c r="BP11" s="29"/>
      <c r="BQ11" s="29"/>
      <c r="BR11" s="29"/>
      <c r="BS11" s="29"/>
      <c r="BT11" s="29"/>
      <c r="BU11" s="29"/>
      <c r="BV11" s="25"/>
      <c r="BW11" s="25"/>
      <c r="BX11" s="28"/>
      <c r="BY11" s="28"/>
      <c r="BZ11" s="28"/>
      <c r="CA11" s="29"/>
    </row>
    <row r="12" spans="1:79" ht="12.75">
      <c r="A12" s="368" t="s">
        <v>202</v>
      </c>
      <c r="B12" s="368"/>
      <c r="C12" s="368"/>
      <c r="D12" s="368"/>
      <c r="E12" s="402"/>
      <c r="F12" s="402"/>
      <c r="G12" s="412"/>
      <c r="H12" s="377" t="s">
        <v>221</v>
      </c>
      <c r="I12" s="299"/>
      <c r="J12" s="413" t="s">
        <v>234</v>
      </c>
      <c r="K12" s="414"/>
      <c r="L12" s="414"/>
      <c r="M12" s="414"/>
      <c r="N12" s="414"/>
      <c r="O12" s="25"/>
      <c r="P12" s="25"/>
      <c r="BL12" s="15"/>
      <c r="BM12" s="15"/>
      <c r="BN12" s="29"/>
      <c r="BO12" s="29"/>
      <c r="BP12" s="29"/>
      <c r="BQ12" s="29"/>
      <c r="BR12" s="29"/>
      <c r="BS12" s="29"/>
      <c r="BT12" s="29"/>
      <c r="BU12" s="29"/>
      <c r="BV12" s="32"/>
      <c r="BW12" s="25"/>
      <c r="BX12" s="28"/>
      <c r="BY12" s="28"/>
      <c r="BZ12" s="28"/>
      <c r="CA12" s="29"/>
    </row>
    <row r="13" spans="1:79" ht="12.75">
      <c r="A13" s="367" t="s">
        <v>203</v>
      </c>
      <c r="B13" s="368"/>
      <c r="C13" s="368"/>
      <c r="D13" s="368"/>
      <c r="E13" s="368"/>
      <c r="F13" s="368"/>
      <c r="G13" s="299"/>
      <c r="H13" s="371" t="s">
        <v>14</v>
      </c>
      <c r="I13" s="299"/>
      <c r="J13" s="253">
        <v>0.66</v>
      </c>
      <c r="K13" s="254"/>
      <c r="L13" s="254"/>
      <c r="M13" s="254"/>
      <c r="N13" s="254"/>
      <c r="O13" s="29"/>
      <c r="P13" s="29"/>
      <c r="BL13" s="15"/>
      <c r="BM13" s="15"/>
      <c r="BN13" s="29"/>
      <c r="BO13" s="29"/>
      <c r="BP13" s="29"/>
      <c r="BQ13" s="29"/>
      <c r="BR13" s="29"/>
      <c r="BS13" s="29"/>
      <c r="BT13" s="29"/>
      <c r="BU13" s="29"/>
      <c r="BV13" s="84"/>
      <c r="BW13" s="79"/>
      <c r="BX13" s="79"/>
      <c r="BY13" s="79"/>
      <c r="BZ13" s="79"/>
      <c r="CA13" s="29"/>
    </row>
    <row r="14" spans="1:79" ht="12.75">
      <c r="A14" s="367" t="s">
        <v>86</v>
      </c>
      <c r="B14" s="368"/>
      <c r="C14" s="368"/>
      <c r="D14" s="368"/>
      <c r="E14" s="368"/>
      <c r="F14" s="368"/>
      <c r="G14" s="299"/>
      <c r="H14" s="416">
        <v>15</v>
      </c>
      <c r="I14" s="299"/>
      <c r="J14" s="417" t="s">
        <v>60</v>
      </c>
      <c r="K14" s="418"/>
      <c r="L14" s="418"/>
      <c r="M14" s="418"/>
      <c r="N14" s="418"/>
      <c r="O14" s="29"/>
      <c r="P14" s="29"/>
      <c r="BL14" s="15"/>
      <c r="BM14" s="15"/>
      <c r="BN14" s="29"/>
      <c r="BO14" s="29"/>
      <c r="BP14" s="29"/>
      <c r="BQ14" s="29"/>
      <c r="BR14" s="29"/>
      <c r="BS14" s="29"/>
      <c r="BT14" s="29"/>
      <c r="BU14" s="29"/>
      <c r="BV14" s="79"/>
      <c r="BW14" s="79"/>
      <c r="BX14" s="79"/>
      <c r="BY14" s="79"/>
      <c r="BZ14" s="79"/>
      <c r="CA14" s="29"/>
    </row>
    <row r="15" spans="1:79" ht="12.75">
      <c r="A15" s="367" t="s">
        <v>204</v>
      </c>
      <c r="B15" s="368"/>
      <c r="C15" s="368"/>
      <c r="D15" s="368"/>
      <c r="E15" s="368"/>
      <c r="F15" s="368"/>
      <c r="G15" s="299"/>
      <c r="H15" s="377" t="s">
        <v>60</v>
      </c>
      <c r="I15" s="315"/>
      <c r="J15" s="414" t="s">
        <v>61</v>
      </c>
      <c r="K15" s="414"/>
      <c r="L15" s="414"/>
      <c r="M15" s="414"/>
      <c r="N15" s="414"/>
      <c r="O15" s="25"/>
      <c r="P15" s="25"/>
      <c r="BL15" s="15"/>
      <c r="BM15" s="15"/>
      <c r="BN15" s="29"/>
      <c r="BO15" s="29"/>
      <c r="BP15" s="29"/>
      <c r="BQ15" s="29"/>
      <c r="BR15" s="29"/>
      <c r="BS15" s="29"/>
      <c r="BT15" s="29"/>
      <c r="BU15" s="29"/>
      <c r="BV15" s="79"/>
      <c r="BW15" s="79"/>
      <c r="BX15" s="79"/>
      <c r="BY15" s="79"/>
      <c r="BZ15" s="79"/>
      <c r="CA15" s="29"/>
    </row>
    <row r="16" spans="1:72" ht="12.75">
      <c r="A16" s="367" t="s">
        <v>205</v>
      </c>
      <c r="B16" s="368"/>
      <c r="C16" s="368"/>
      <c r="D16" s="368"/>
      <c r="E16" s="368"/>
      <c r="F16" s="368"/>
      <c r="G16" s="299"/>
      <c r="H16" s="377" t="s">
        <v>60</v>
      </c>
      <c r="I16" s="315"/>
      <c r="J16" s="414" t="s">
        <v>60</v>
      </c>
      <c r="K16" s="414"/>
      <c r="L16" s="414"/>
      <c r="M16" s="414"/>
      <c r="N16" s="414"/>
      <c r="O16" s="25"/>
      <c r="P16" s="25"/>
      <c r="BL16" s="28"/>
      <c r="BM16" s="29"/>
      <c r="BN16" s="29"/>
      <c r="BO16" s="29"/>
      <c r="BP16" s="29"/>
      <c r="BQ16" s="29"/>
      <c r="BR16" s="29"/>
      <c r="BS16" s="29"/>
      <c r="BT16" s="29"/>
    </row>
    <row r="17" spans="1:72" ht="12.75">
      <c r="A17" s="367" t="s">
        <v>206</v>
      </c>
      <c r="B17" s="368"/>
      <c r="C17" s="368"/>
      <c r="D17" s="368"/>
      <c r="E17" s="368"/>
      <c r="F17" s="368"/>
      <c r="G17" s="299"/>
      <c r="H17" s="371" t="s">
        <v>14</v>
      </c>
      <c r="I17" s="299"/>
      <c r="J17" s="253">
        <v>0</v>
      </c>
      <c r="K17" s="254"/>
      <c r="L17" s="254"/>
      <c r="M17" s="254"/>
      <c r="N17" s="254"/>
      <c r="O17" s="29"/>
      <c r="P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16" ht="12.75">
      <c r="A18" s="367" t="s">
        <v>207</v>
      </c>
      <c r="B18" s="368"/>
      <c r="C18" s="368"/>
      <c r="D18" s="368"/>
      <c r="E18" s="368"/>
      <c r="F18" s="368"/>
      <c r="G18" s="299"/>
      <c r="H18" s="371" t="s">
        <v>14</v>
      </c>
      <c r="I18" s="299"/>
      <c r="J18" s="253">
        <v>10</v>
      </c>
      <c r="K18" s="254"/>
      <c r="L18" s="254"/>
      <c r="M18" s="254"/>
      <c r="N18" s="254"/>
      <c r="O18" s="29"/>
      <c r="P18" s="29"/>
    </row>
    <row r="19" spans="1:16" ht="12.75">
      <c r="A19" s="367" t="s">
        <v>208</v>
      </c>
      <c r="B19" s="368"/>
      <c r="C19" s="368"/>
      <c r="D19" s="368"/>
      <c r="E19" s="368"/>
      <c r="F19" s="368"/>
      <c r="G19" s="299"/>
      <c r="H19" s="371" t="s">
        <v>14</v>
      </c>
      <c r="I19" s="299"/>
      <c r="J19" s="253">
        <v>0</v>
      </c>
      <c r="K19" s="254"/>
      <c r="L19" s="254"/>
      <c r="M19" s="254"/>
      <c r="N19" s="254"/>
      <c r="O19" s="10"/>
      <c r="P19" s="10"/>
    </row>
    <row r="20" spans="1:16" ht="12.75" customHeight="1">
      <c r="A20" s="367" t="s">
        <v>209</v>
      </c>
      <c r="B20" s="368"/>
      <c r="C20" s="368"/>
      <c r="D20" s="368"/>
      <c r="E20" s="368"/>
      <c r="F20" s="368"/>
      <c r="G20" s="299"/>
      <c r="H20" s="371" t="s">
        <v>14</v>
      </c>
      <c r="I20" s="299"/>
      <c r="J20" s="253">
        <v>3</v>
      </c>
      <c r="K20" s="254"/>
      <c r="L20" s="254"/>
      <c r="M20" s="254"/>
      <c r="N20" s="254"/>
      <c r="O20" s="29"/>
      <c r="P20" s="29"/>
    </row>
    <row r="21" spans="1:16" ht="12.75">
      <c r="A21" s="415" t="s">
        <v>210</v>
      </c>
      <c r="B21" s="368"/>
      <c r="C21" s="368"/>
      <c r="D21" s="368"/>
      <c r="E21" s="368"/>
      <c r="F21" s="368"/>
      <c r="G21" s="299"/>
      <c r="H21" s="371" t="s">
        <v>14</v>
      </c>
      <c r="I21" s="299"/>
      <c r="J21" s="253">
        <v>2</v>
      </c>
      <c r="K21" s="254"/>
      <c r="L21" s="254"/>
      <c r="M21" s="254"/>
      <c r="N21" s="254"/>
      <c r="O21" s="29"/>
      <c r="P21" s="29"/>
    </row>
    <row r="22" spans="1:16" ht="12.75">
      <c r="A22" s="367" t="s">
        <v>211</v>
      </c>
      <c r="B22" s="368"/>
      <c r="C22" s="368"/>
      <c r="D22" s="368"/>
      <c r="E22" s="368"/>
      <c r="F22" s="368"/>
      <c r="G22" s="299"/>
      <c r="H22" s="371" t="s">
        <v>14</v>
      </c>
      <c r="I22" s="299"/>
      <c r="J22" s="253">
        <v>15</v>
      </c>
      <c r="K22" s="254"/>
      <c r="L22" s="254"/>
      <c r="M22" s="254"/>
      <c r="N22" s="254"/>
      <c r="O22" s="10"/>
      <c r="P22" s="10"/>
    </row>
    <row r="23" spans="1:16" ht="12.75">
      <c r="A23" s="367" t="s">
        <v>212</v>
      </c>
      <c r="B23" s="368"/>
      <c r="C23" s="368"/>
      <c r="D23" s="368"/>
      <c r="E23" s="368"/>
      <c r="F23" s="368"/>
      <c r="G23" s="299"/>
      <c r="H23" s="371" t="s">
        <v>14</v>
      </c>
      <c r="I23" s="299"/>
      <c r="J23" s="253">
        <v>0</v>
      </c>
      <c r="K23" s="254"/>
      <c r="L23" s="254"/>
      <c r="M23" s="254"/>
      <c r="N23" s="254"/>
      <c r="O23" s="10"/>
      <c r="P23" s="10"/>
    </row>
    <row r="24" spans="1:16" ht="12.75">
      <c r="A24" s="367" t="s">
        <v>213</v>
      </c>
      <c r="B24" s="368"/>
      <c r="C24" s="368"/>
      <c r="D24" s="368"/>
      <c r="E24" s="368"/>
      <c r="F24" s="368"/>
      <c r="G24" s="299"/>
      <c r="H24" s="371" t="s">
        <v>14</v>
      </c>
      <c r="I24" s="299"/>
      <c r="J24" s="413" t="s">
        <v>392</v>
      </c>
      <c r="K24" s="414"/>
      <c r="L24" s="414"/>
      <c r="M24" s="414"/>
      <c r="N24" s="414"/>
      <c r="O24" s="10"/>
      <c r="P24" s="10"/>
    </row>
    <row r="25" spans="1:16" ht="12.75">
      <c r="A25" s="367" t="s">
        <v>214</v>
      </c>
      <c r="B25" s="368"/>
      <c r="C25" s="368"/>
      <c r="D25" s="368"/>
      <c r="E25" s="368"/>
      <c r="F25" s="368"/>
      <c r="G25" s="299"/>
      <c r="H25" s="377">
        <v>0</v>
      </c>
      <c r="I25" s="315"/>
      <c r="J25" s="253">
        <v>10</v>
      </c>
      <c r="K25" s="372"/>
      <c r="L25" s="372"/>
      <c r="M25" s="372"/>
      <c r="N25" s="372"/>
      <c r="O25" s="25"/>
      <c r="P25" s="25"/>
    </row>
    <row r="26" spans="1:16" ht="12.75">
      <c r="A26" s="367" t="s">
        <v>401</v>
      </c>
      <c r="B26" s="368"/>
      <c r="C26" s="368"/>
      <c r="D26" s="368"/>
      <c r="E26" s="368"/>
      <c r="F26" s="368"/>
      <c r="G26" s="299"/>
      <c r="H26" s="377">
        <v>30</v>
      </c>
      <c r="I26" s="315"/>
      <c r="J26" s="253">
        <v>6</v>
      </c>
      <c r="K26" s="372"/>
      <c r="L26" s="372"/>
      <c r="M26" s="372"/>
      <c r="N26" s="372"/>
      <c r="O26" s="25"/>
      <c r="P26" s="25"/>
    </row>
    <row r="27" spans="1:16" ht="13.5" thickBot="1">
      <c r="A27" s="369" t="s">
        <v>7</v>
      </c>
      <c r="B27" s="369"/>
      <c r="C27" s="369"/>
      <c r="D27" s="369"/>
      <c r="E27" s="369"/>
      <c r="F27" s="369"/>
      <c r="G27" s="370"/>
      <c r="H27" s="419">
        <v>1</v>
      </c>
      <c r="I27" s="420"/>
      <c r="J27" s="421">
        <f>VLOOKUP(J9,'Construction - do not delete'!D55:E59,2,FALSE)</f>
        <v>0.64</v>
      </c>
      <c r="K27" s="422"/>
      <c r="L27" s="422"/>
      <c r="M27" s="422"/>
      <c r="N27" s="422"/>
      <c r="O27" s="29" t="s">
        <v>721</v>
      </c>
      <c r="P27" s="29"/>
    </row>
    <row r="28" spans="1:16" ht="13.5" thickTop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0"/>
      <c r="P28" s="10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0"/>
      <c r="P29" s="10"/>
    </row>
    <row r="30" ht="13.5" thickBot="1"/>
    <row r="31" spans="1:16" ht="14.25" thickBot="1" thickTop="1">
      <c r="A31" s="285" t="s">
        <v>222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149"/>
      <c r="P31" s="149"/>
    </row>
    <row r="32" spans="1:16" ht="12.75">
      <c r="A32" s="280" t="s">
        <v>16</v>
      </c>
      <c r="B32" s="281"/>
      <c r="C32" s="313" t="s">
        <v>17</v>
      </c>
      <c r="D32" s="313"/>
      <c r="E32" s="281"/>
      <c r="F32" s="313" t="s">
        <v>18</v>
      </c>
      <c r="G32" s="281"/>
      <c r="H32" s="313" t="s">
        <v>19</v>
      </c>
      <c r="I32" s="281"/>
      <c r="J32" s="313" t="s">
        <v>20</v>
      </c>
      <c r="K32" s="281"/>
      <c r="L32" s="281"/>
      <c r="M32" s="313" t="s">
        <v>21</v>
      </c>
      <c r="N32" s="316"/>
      <c r="O32" s="15"/>
      <c r="P32" s="15"/>
    </row>
    <row r="33" spans="1:16" ht="12.75">
      <c r="A33" s="432" t="s">
        <v>223</v>
      </c>
      <c r="B33" s="426"/>
      <c r="C33" s="373" t="s">
        <v>238</v>
      </c>
      <c r="D33" s="373"/>
      <c r="E33" s="426"/>
      <c r="F33" s="373" t="s">
        <v>87</v>
      </c>
      <c r="G33" s="426"/>
      <c r="H33" s="428" t="s">
        <v>29</v>
      </c>
      <c r="I33" s="426"/>
      <c r="J33" s="428" t="s">
        <v>30</v>
      </c>
      <c r="K33" s="426"/>
      <c r="L33" s="426"/>
      <c r="M33" s="373" t="s">
        <v>84</v>
      </c>
      <c r="N33" s="374"/>
      <c r="O33" s="17"/>
      <c r="P33" s="17"/>
    </row>
    <row r="34" spans="1:16" ht="12.75">
      <c r="A34" s="433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6"/>
      <c r="O34" s="17"/>
      <c r="P34" s="17"/>
    </row>
    <row r="35" spans="1:65" ht="12.75">
      <c r="A35" s="431" t="s">
        <v>224</v>
      </c>
      <c r="B35" s="295"/>
      <c r="C35" s="363" t="s">
        <v>239</v>
      </c>
      <c r="D35" s="363"/>
      <c r="E35" s="295"/>
      <c r="F35" s="363" t="s">
        <v>249</v>
      </c>
      <c r="G35" s="295"/>
      <c r="H35" s="363" t="s">
        <v>251</v>
      </c>
      <c r="I35" s="295"/>
      <c r="J35" s="363" t="s">
        <v>261</v>
      </c>
      <c r="K35" s="295"/>
      <c r="L35" s="295"/>
      <c r="M35" s="363" t="s">
        <v>31</v>
      </c>
      <c r="N35" s="322"/>
      <c r="O35" s="15"/>
      <c r="P35" s="15"/>
      <c r="BL35" s="29"/>
      <c r="BM35" s="29"/>
    </row>
    <row r="36" spans="1:65" ht="12.75">
      <c r="A36" s="429" t="s">
        <v>225</v>
      </c>
      <c r="B36" s="274"/>
      <c r="C36" s="430" t="s">
        <v>240</v>
      </c>
      <c r="D36" s="430"/>
      <c r="E36" s="274"/>
      <c r="F36" s="430" t="s">
        <v>676</v>
      </c>
      <c r="G36" s="295"/>
      <c r="H36" s="430" t="s">
        <v>252</v>
      </c>
      <c r="I36" s="274"/>
      <c r="J36" s="430" t="s">
        <v>262</v>
      </c>
      <c r="K36" s="295"/>
      <c r="L36" s="295"/>
      <c r="M36" s="364" t="s">
        <v>88</v>
      </c>
      <c r="N36" s="322"/>
      <c r="O36" s="15"/>
      <c r="P36" s="15"/>
      <c r="BL36" s="45"/>
      <c r="BM36" s="45"/>
    </row>
    <row r="37" spans="1:65" ht="13.5" thickBot="1">
      <c r="A37" s="423">
        <f>1+$J$13*(IF($J$12="None",1,(IF($J$12="Parallel (Residential)",VLOOKUP($J$9,'Segment Tables'!$W$9:$AA$13,2,FALSE),(IF($J$12="Parallel (Comm/Ind)",VLOOKUP($J$9,'Segment Tables'!$W$9:$AA$13,3,FALSE),(IF($J$12="Angle (Residential)",(VLOOKUP($J$9,'Segment Tables'!$W$9:$AA$13,4,FALSE)),(VLOOKUP($J$9,'Segment Tables'!$W$9:$AA$13,5,FALSE)))))))))-1)</f>
        <v>1.46794</v>
      </c>
      <c r="B37" s="424"/>
      <c r="C37" s="365">
        <f>$V$10</f>
        <v>1.006726662666727</v>
      </c>
      <c r="D37" s="425"/>
      <c r="E37" s="424"/>
      <c r="F37" s="365">
        <f>IF(J14="Not Present",1,IF(J9="2U",1,(IF(J9="4U",1,(VLOOKUP(J14,'Segment Tables'!W41:Y51,3,FALSE))))))</f>
        <v>1</v>
      </c>
      <c r="G37" s="438"/>
      <c r="H37" s="365">
        <f>IF($J$15="Present",(1-($Z$10*(1-(0.72*$Z$6)-(0.83*$Z$8)))),1)</f>
        <v>0.94195</v>
      </c>
      <c r="I37" s="438"/>
      <c r="J37" s="365">
        <f>IF($J$16="Present",0.95,1)</f>
        <v>1</v>
      </c>
      <c r="K37" s="423"/>
      <c r="L37" s="438"/>
      <c r="M37" s="365">
        <f>$A$37*$C$37*$F$37*$H$37*$J$37</f>
        <v>1.392027214920826</v>
      </c>
      <c r="N37" s="366"/>
      <c r="O37" s="25"/>
      <c r="P37" s="25"/>
      <c r="BL37" s="25"/>
      <c r="BM37" s="25"/>
    </row>
    <row r="38" spans="64:65" ht="12.75">
      <c r="BL38" s="45"/>
      <c r="BM38" s="29"/>
    </row>
    <row r="39" spans="3:65" ht="12.75">
      <c r="C39" s="427"/>
      <c r="D39" s="379"/>
      <c r="E39" s="379"/>
      <c r="BL39" s="45"/>
      <c r="BM39" s="29"/>
    </row>
    <row r="40" spans="8:65" ht="13.5" thickBot="1">
      <c r="H40" s="28"/>
      <c r="I40" s="28"/>
      <c r="BL40" s="46"/>
      <c r="BM40" s="29"/>
    </row>
    <row r="41" spans="1:65" ht="14.25" thickBot="1" thickTop="1">
      <c r="A41" s="285" t="s">
        <v>263</v>
      </c>
      <c r="B41" s="323"/>
      <c r="C41" s="323"/>
      <c r="D41" s="323"/>
      <c r="E41" s="323"/>
      <c r="F41" s="323"/>
      <c r="G41" s="323"/>
      <c r="H41" s="323"/>
      <c r="I41" s="323"/>
      <c r="J41" s="360"/>
      <c r="K41" s="360"/>
      <c r="L41" s="360"/>
      <c r="M41" s="360"/>
      <c r="N41" s="360"/>
      <c r="O41" s="15"/>
      <c r="P41" s="15"/>
      <c r="BL41" s="30"/>
      <c r="BM41" s="29"/>
    </row>
    <row r="42" spans="1:65" ht="12.75">
      <c r="A42" s="280" t="s">
        <v>16</v>
      </c>
      <c r="B42" s="281"/>
      <c r="C42" s="271" t="s">
        <v>17</v>
      </c>
      <c r="D42" s="361"/>
      <c r="E42" s="313" t="s">
        <v>18</v>
      </c>
      <c r="F42" s="281"/>
      <c r="G42" s="313" t="s">
        <v>19</v>
      </c>
      <c r="H42" s="281"/>
      <c r="I42" s="313" t="s">
        <v>20</v>
      </c>
      <c r="J42" s="281"/>
      <c r="K42" s="2" t="s">
        <v>21</v>
      </c>
      <c r="L42" s="123" t="s">
        <v>22</v>
      </c>
      <c r="M42" s="123" t="s">
        <v>23</v>
      </c>
      <c r="N42" s="146" t="s">
        <v>24</v>
      </c>
      <c r="O42" s="150"/>
      <c r="P42" s="150"/>
      <c r="BL42" s="29"/>
      <c r="BM42" s="29"/>
    </row>
    <row r="43" spans="1:65" ht="12.75">
      <c r="A43" s="434" t="s">
        <v>32</v>
      </c>
      <c r="B43" s="435"/>
      <c r="C43" s="357" t="s">
        <v>89</v>
      </c>
      <c r="D43" s="358"/>
      <c r="E43" s="302" t="s">
        <v>33</v>
      </c>
      <c r="F43" s="318"/>
      <c r="G43" s="359" t="s">
        <v>264</v>
      </c>
      <c r="H43" s="359"/>
      <c r="I43" s="302" t="s">
        <v>265</v>
      </c>
      <c r="J43" s="358"/>
      <c r="K43" s="359" t="s">
        <v>266</v>
      </c>
      <c r="L43" s="302" t="s">
        <v>34</v>
      </c>
      <c r="M43" s="302" t="s">
        <v>7</v>
      </c>
      <c r="N43" s="319" t="s">
        <v>267</v>
      </c>
      <c r="O43" s="151"/>
      <c r="P43" s="151"/>
      <c r="BL43" s="29"/>
      <c r="BM43" s="29"/>
    </row>
    <row r="44" spans="1:16" ht="12.75">
      <c r="A44" s="436"/>
      <c r="B44" s="436"/>
      <c r="C44" s="318"/>
      <c r="D44" s="318"/>
      <c r="E44" s="318"/>
      <c r="F44" s="318"/>
      <c r="G44" s="318"/>
      <c r="H44" s="318"/>
      <c r="I44" s="358"/>
      <c r="J44" s="358"/>
      <c r="K44" s="317"/>
      <c r="L44" s="317"/>
      <c r="M44" s="317"/>
      <c r="N44" s="319"/>
      <c r="O44" s="151"/>
      <c r="P44" s="151"/>
    </row>
    <row r="45" spans="1:16" ht="12.75">
      <c r="A45" s="436"/>
      <c r="B45" s="436"/>
      <c r="C45" s="273" t="s">
        <v>677</v>
      </c>
      <c r="D45" s="274"/>
      <c r="E45" s="312" t="s">
        <v>677</v>
      </c>
      <c r="F45" s="362"/>
      <c r="G45" s="312" t="s">
        <v>268</v>
      </c>
      <c r="H45" s="362"/>
      <c r="I45" s="358"/>
      <c r="J45" s="358"/>
      <c r="K45" s="312" t="s">
        <v>269</v>
      </c>
      <c r="L45" s="348" t="s">
        <v>270</v>
      </c>
      <c r="M45" s="318"/>
      <c r="N45" s="265" t="s">
        <v>271</v>
      </c>
      <c r="O45" s="152"/>
      <c r="P45" s="152"/>
    </row>
    <row r="46" spans="1:16" ht="12.75">
      <c r="A46" s="437"/>
      <c r="B46" s="437"/>
      <c r="C46" s="125" t="s">
        <v>90</v>
      </c>
      <c r="D46" s="125" t="s">
        <v>91</v>
      </c>
      <c r="E46" s="318"/>
      <c r="F46" s="318"/>
      <c r="G46" s="318"/>
      <c r="H46" s="318"/>
      <c r="I46" s="358"/>
      <c r="J46" s="358"/>
      <c r="K46" s="283"/>
      <c r="L46" s="317"/>
      <c r="M46" s="318"/>
      <c r="N46" s="349"/>
      <c r="O46" s="153"/>
      <c r="P46" s="153"/>
    </row>
    <row r="47" spans="1:16" ht="12.75">
      <c r="A47" s="299" t="s">
        <v>35</v>
      </c>
      <c r="B47" s="322"/>
      <c r="C47" s="12">
        <f>VLOOKUP($J$9,'Segment Tables'!$A$8:$D$12,2,FALSE)</f>
        <v>-12.34</v>
      </c>
      <c r="D47" s="12">
        <f>VLOOKUP($J$9,'Segment Tables'!$A$8:$D$12,3,FALSE)</f>
        <v>1.36</v>
      </c>
      <c r="E47" s="350">
        <f>VLOOKUP($J$9,'Segment Tables'!$A$8:$D$12,4,FALSE)</f>
        <v>1.32</v>
      </c>
      <c r="F47" s="351"/>
      <c r="G47" s="278">
        <f>EXP($C47+($D47*LN($J$11))+LN($J$10))</f>
        <v>2.0567968768752114</v>
      </c>
      <c r="H47" s="279"/>
      <c r="I47" s="278">
        <v>1</v>
      </c>
      <c r="J47" s="279"/>
      <c r="K47" s="3">
        <f>G47*I47</f>
        <v>2.0567968768752114</v>
      </c>
      <c r="L47" s="12">
        <f>+M37</f>
        <v>1.392027214920826</v>
      </c>
      <c r="M47" s="12">
        <f>+$J$27</f>
        <v>0.64</v>
      </c>
      <c r="N47" s="128">
        <f>+K47*L47*M47</f>
        <v>1.8323950260316502</v>
      </c>
      <c r="O47" s="22"/>
      <c r="P47" s="22"/>
    </row>
    <row r="48" spans="1:16" ht="15.75">
      <c r="A48" s="343" t="s">
        <v>36</v>
      </c>
      <c r="B48" s="343"/>
      <c r="C48" s="327">
        <f>VLOOKUP($J$9,'Segment Tables'!$A$14:$D$18,2,FALSE)</f>
        <v>-12.76</v>
      </c>
      <c r="D48" s="327">
        <f>VLOOKUP($J$9,'Segment Tables'!$A$14:$D$18,3,FALSE)</f>
        <v>1.28</v>
      </c>
      <c r="E48" s="337">
        <f>VLOOKUP($J$9,'Segment Tables'!$A$14:$D$18,4,FALSE)</f>
        <v>1.31</v>
      </c>
      <c r="F48" s="338"/>
      <c r="G48" s="329">
        <f>EXP($C48+($D48*LN($J$11))+LN($J$10))</f>
        <v>0.6419132008423716</v>
      </c>
      <c r="H48" s="341"/>
      <c r="I48" s="273" t="s">
        <v>272</v>
      </c>
      <c r="J48" s="274"/>
      <c r="K48" s="325">
        <f>G47*I49</f>
        <v>0.6027663310068063</v>
      </c>
      <c r="L48" s="327">
        <f>+M37</f>
        <v>1.392027214920826</v>
      </c>
      <c r="M48" s="327">
        <f>+$J$27</f>
        <v>0.64</v>
      </c>
      <c r="N48" s="329">
        <f>+K48*L48*M48</f>
        <v>0.5370029676796475</v>
      </c>
      <c r="O48" s="22"/>
      <c r="P48" s="22"/>
    </row>
    <row r="49" spans="1:16" ht="12.75">
      <c r="A49" s="344"/>
      <c r="B49" s="344"/>
      <c r="C49" s="332"/>
      <c r="D49" s="332"/>
      <c r="E49" s="345"/>
      <c r="F49" s="346"/>
      <c r="G49" s="333"/>
      <c r="H49" s="347"/>
      <c r="I49" s="278">
        <f>G48/(G48+G50)</f>
        <v>0.2930606992765173</v>
      </c>
      <c r="J49" s="279"/>
      <c r="K49" s="331"/>
      <c r="L49" s="332"/>
      <c r="M49" s="332"/>
      <c r="N49" s="333"/>
      <c r="O49" s="22"/>
      <c r="P49" s="22"/>
    </row>
    <row r="50" spans="1:16" ht="15.75">
      <c r="A50" s="284" t="s">
        <v>37</v>
      </c>
      <c r="B50" s="334"/>
      <c r="C50" s="327">
        <f>VLOOKUP($J$9,'Segment Tables'!$A$20:$D$24,2,FALSE)</f>
        <v>-12.81</v>
      </c>
      <c r="D50" s="327">
        <f>VLOOKUP($J$9,'Segment Tables'!$A$20:$D$24,3,FALSE)</f>
        <v>1.38</v>
      </c>
      <c r="E50" s="337">
        <f>VLOOKUP($J$9,'Segment Tables'!$A$20:$D$24,4,FALSE)</f>
        <v>1.34</v>
      </c>
      <c r="F50" s="338"/>
      <c r="G50" s="329">
        <f>EXP($C50+($D50*LN($J$11))+LN($J$10))</f>
        <v>1.54846306737466</v>
      </c>
      <c r="H50" s="341"/>
      <c r="I50" s="273" t="s">
        <v>273</v>
      </c>
      <c r="J50" s="274"/>
      <c r="K50" s="325">
        <f>G47*I51</f>
        <v>1.4540305458684053</v>
      </c>
      <c r="L50" s="327">
        <f>+M37</f>
        <v>1.392027214920826</v>
      </c>
      <c r="M50" s="327">
        <f>+$J$27</f>
        <v>0.64</v>
      </c>
      <c r="N50" s="329">
        <f>+K50*L50*M50</f>
        <v>1.2953920583520029</v>
      </c>
      <c r="O50" s="22"/>
      <c r="P50" s="22"/>
    </row>
    <row r="51" spans="1:16" ht="13.5" thickBot="1">
      <c r="A51" s="335"/>
      <c r="B51" s="336"/>
      <c r="C51" s="328"/>
      <c r="D51" s="328"/>
      <c r="E51" s="339"/>
      <c r="F51" s="340"/>
      <c r="G51" s="330"/>
      <c r="H51" s="342"/>
      <c r="I51" s="288">
        <f>I47-I49</f>
        <v>0.7069393007234828</v>
      </c>
      <c r="J51" s="289"/>
      <c r="K51" s="326"/>
      <c r="L51" s="328"/>
      <c r="M51" s="328"/>
      <c r="N51" s="330"/>
      <c r="O51" s="29"/>
      <c r="P51" s="29"/>
    </row>
    <row r="52" spans="3:16" ht="14.25" customHeight="1">
      <c r="C52" s="29"/>
      <c r="D52" s="29"/>
      <c r="E52" s="29"/>
      <c r="F52" s="43"/>
      <c r="G52" s="25"/>
      <c r="H52" s="29"/>
      <c r="I52" s="29"/>
      <c r="J52" s="29"/>
      <c r="K52" s="29"/>
      <c r="L52" s="29"/>
      <c r="M52" s="43"/>
      <c r="N52" s="29"/>
      <c r="O52" s="29"/>
      <c r="P52" s="29"/>
    </row>
    <row r="53" spans="3:16" ht="12.75">
      <c r="C53" s="173"/>
      <c r="D53" s="25"/>
      <c r="E53" s="137"/>
      <c r="F53" s="1"/>
      <c r="G53" s="29"/>
      <c r="H53" s="29"/>
      <c r="I53" s="29"/>
      <c r="J53" s="53"/>
      <c r="K53" s="25"/>
      <c r="L53" s="29"/>
      <c r="M53" s="29"/>
      <c r="N53" s="29"/>
      <c r="O53" s="29"/>
      <c r="P53" s="29"/>
    </row>
    <row r="54" spans="3:16" ht="13.5" thickBot="1">
      <c r="C54" s="149"/>
      <c r="D54" s="53"/>
      <c r="E54" s="53"/>
      <c r="F54" s="54"/>
      <c r="G54" s="36"/>
      <c r="H54" s="29"/>
      <c r="I54" s="29"/>
      <c r="J54" s="25"/>
      <c r="K54" s="25"/>
      <c r="L54" s="29"/>
      <c r="M54" s="53"/>
      <c r="N54" s="25"/>
      <c r="O54" s="25"/>
      <c r="P54" s="25"/>
    </row>
    <row r="55" spans="1:16" ht="14.25" thickBot="1" thickTop="1">
      <c r="A55" s="285" t="s">
        <v>284</v>
      </c>
      <c r="B55" s="323"/>
      <c r="C55" s="323"/>
      <c r="D55" s="323"/>
      <c r="E55" s="323"/>
      <c r="F55" s="323"/>
      <c r="G55" s="323"/>
      <c r="H55" s="323"/>
      <c r="I55" s="324"/>
      <c r="J55" s="324"/>
      <c r="K55" s="324"/>
      <c r="L55" s="324"/>
      <c r="M55" s="324"/>
      <c r="N55" s="324"/>
      <c r="O55" s="34"/>
      <c r="P55" s="34"/>
    </row>
    <row r="56" spans="1:16" ht="12.75">
      <c r="A56" s="280" t="s">
        <v>16</v>
      </c>
      <c r="B56" s="281"/>
      <c r="C56" s="281"/>
      <c r="D56" s="313" t="s">
        <v>17</v>
      </c>
      <c r="E56" s="314"/>
      <c r="F56" s="313" t="s">
        <v>18</v>
      </c>
      <c r="G56" s="313"/>
      <c r="H56" s="270" t="s">
        <v>19</v>
      </c>
      <c r="I56" s="314"/>
      <c r="J56" s="313" t="s">
        <v>20</v>
      </c>
      <c r="K56" s="313"/>
      <c r="L56" s="270" t="s">
        <v>21</v>
      </c>
      <c r="M56" s="314"/>
      <c r="N56" s="316"/>
      <c r="O56" s="34"/>
      <c r="P56" s="34"/>
    </row>
    <row r="57" spans="1:16" ht="12.75">
      <c r="A57" s="439" t="s">
        <v>38</v>
      </c>
      <c r="B57" s="302"/>
      <c r="C57" s="295"/>
      <c r="D57" s="302" t="s">
        <v>39</v>
      </c>
      <c r="E57" s="274"/>
      <c r="F57" s="302" t="s">
        <v>286</v>
      </c>
      <c r="G57" s="302"/>
      <c r="H57" s="302" t="s">
        <v>300</v>
      </c>
      <c r="I57" s="274"/>
      <c r="J57" s="302" t="s">
        <v>288</v>
      </c>
      <c r="K57" s="302"/>
      <c r="L57" s="272" t="s">
        <v>285</v>
      </c>
      <c r="M57" s="272"/>
      <c r="N57" s="303"/>
      <c r="O57" s="34"/>
      <c r="P57" s="34"/>
    </row>
    <row r="58" spans="1:16" ht="12.75">
      <c r="A58" s="439"/>
      <c r="B58" s="302"/>
      <c r="C58" s="295"/>
      <c r="D58" s="274"/>
      <c r="E58" s="274"/>
      <c r="F58" s="274"/>
      <c r="G58" s="274"/>
      <c r="H58" s="274"/>
      <c r="I58" s="274"/>
      <c r="J58" s="274"/>
      <c r="K58" s="274"/>
      <c r="L58" s="304"/>
      <c r="M58" s="304"/>
      <c r="N58" s="303"/>
      <c r="O58" s="25"/>
      <c r="P58" s="25"/>
    </row>
    <row r="59" spans="1:16" ht="12.75">
      <c r="A59" s="315"/>
      <c r="B59" s="274"/>
      <c r="C59" s="295"/>
      <c r="D59" s="274"/>
      <c r="E59" s="274"/>
      <c r="F59" s="274"/>
      <c r="G59" s="274"/>
      <c r="H59" s="274"/>
      <c r="I59" s="274"/>
      <c r="J59" s="274"/>
      <c r="K59" s="274"/>
      <c r="L59" s="304"/>
      <c r="M59" s="304"/>
      <c r="N59" s="303"/>
      <c r="O59" s="34"/>
      <c r="P59" s="34"/>
    </row>
    <row r="60" spans="1:16" ht="12.75">
      <c r="A60" s="315"/>
      <c r="B60" s="274"/>
      <c r="C60" s="295"/>
      <c r="D60" s="312" t="s">
        <v>678</v>
      </c>
      <c r="E60" s="295"/>
      <c r="F60" s="320" t="s">
        <v>287</v>
      </c>
      <c r="G60" s="321"/>
      <c r="H60" s="312" t="s">
        <v>678</v>
      </c>
      <c r="I60" s="295"/>
      <c r="J60" s="320" t="s">
        <v>289</v>
      </c>
      <c r="K60" s="321"/>
      <c r="L60" s="320" t="s">
        <v>290</v>
      </c>
      <c r="M60" s="321"/>
      <c r="N60" s="322"/>
      <c r="O60" s="44"/>
      <c r="P60" s="44"/>
    </row>
    <row r="61" spans="1:14" ht="12.75">
      <c r="A61" s="315"/>
      <c r="B61" s="274"/>
      <c r="C61" s="295"/>
      <c r="D61" s="274"/>
      <c r="E61" s="295"/>
      <c r="F61" s="274"/>
      <c r="G61" s="274"/>
      <c r="H61" s="274"/>
      <c r="I61" s="295"/>
      <c r="J61" s="274"/>
      <c r="K61" s="274"/>
      <c r="L61" s="274"/>
      <c r="M61" s="274"/>
      <c r="N61" s="322"/>
    </row>
    <row r="62" spans="1:16" ht="12.75">
      <c r="A62" s="299" t="s">
        <v>35</v>
      </c>
      <c r="B62" s="295"/>
      <c r="C62" s="295"/>
      <c r="D62" s="292">
        <v>1</v>
      </c>
      <c r="E62" s="292"/>
      <c r="F62" s="293">
        <f>+N48</f>
        <v>0.5370029676796475</v>
      </c>
      <c r="G62" s="300"/>
      <c r="H62" s="292">
        <v>1</v>
      </c>
      <c r="I62" s="292"/>
      <c r="J62" s="278">
        <f>+N50</f>
        <v>1.2953920583520029</v>
      </c>
      <c r="K62" s="315"/>
      <c r="L62" s="293">
        <f>+N47</f>
        <v>1.8323950260316502</v>
      </c>
      <c r="M62" s="301"/>
      <c r="N62" s="301"/>
      <c r="O62" s="29"/>
      <c r="P62" s="29"/>
    </row>
    <row r="63" spans="1:16" ht="15.75">
      <c r="A63" s="299"/>
      <c r="B63" s="295"/>
      <c r="C63" s="295"/>
      <c r="D63" s="295"/>
      <c r="E63" s="295"/>
      <c r="F63" s="296" t="s">
        <v>291</v>
      </c>
      <c r="G63" s="274"/>
      <c r="H63" s="295"/>
      <c r="I63" s="295"/>
      <c r="J63" s="296" t="s">
        <v>292</v>
      </c>
      <c r="K63" s="274"/>
      <c r="L63" s="296" t="s">
        <v>293</v>
      </c>
      <c r="M63" s="274"/>
      <c r="N63" s="297"/>
      <c r="O63" s="24"/>
      <c r="P63" s="24"/>
    </row>
    <row r="64" spans="1:16" ht="12.75">
      <c r="A64" s="298" t="s">
        <v>42</v>
      </c>
      <c r="B64" s="295"/>
      <c r="C64" s="295"/>
      <c r="D64" s="278">
        <f>IF('Segment Tables'!$B$30="No",HLOOKUP($J$9,'Segment Tables'!$C$32:$L$39,3,FALSE),HLOOKUP($J$9,'Segment Tables'!$C$42:$L$49,3,FALSE))</f>
        <v>0.783</v>
      </c>
      <c r="E64" s="279"/>
      <c r="F64" s="278">
        <f aca="true" t="shared" si="0" ref="F64:F69">+$F$62*$D64</f>
        <v>0.42047332369316404</v>
      </c>
      <c r="G64" s="279"/>
      <c r="H64" s="278">
        <f>IF('Segment Tables'!$B$30="No",IF($J$9="2U",'Segment Tables'!D34,IF($J$9="3T",'Segment Tables'!F34,IF($J$9="4U",'Segment Tables'!H34,IF($J$9="4D",'Segment Tables'!J34,'Segment Tables'!L34)))),IF($J$9="2U",'Segment Tables'!D44,IF($J$9="3T",'Segment Tables'!F44,IF($J$9="4U",'Segment Tables'!H44,IF($J$9="4D",'Segment Tables'!J44,'Segment Tables'!L44)))))</f>
        <v>0.646</v>
      </c>
      <c r="I64" s="279"/>
      <c r="J64" s="278">
        <f aca="true" t="shared" si="1" ref="J64:J69">+$J$62*H64</f>
        <v>0.8368232696953939</v>
      </c>
      <c r="K64" s="279"/>
      <c r="L64" s="292">
        <f aca="true" t="shared" si="2" ref="L64:L69">+F64+J64</f>
        <v>1.257296593388558</v>
      </c>
      <c r="M64" s="292"/>
      <c r="N64" s="293"/>
      <c r="O64" s="24"/>
      <c r="P64" s="24"/>
    </row>
    <row r="65" spans="1:16" ht="12.75">
      <c r="A65" s="294" t="s">
        <v>41</v>
      </c>
      <c r="B65" s="295"/>
      <c r="C65" s="295"/>
      <c r="D65" s="278">
        <f>IF('Segment Tables'!$B$30="No",HLOOKUP($J$9,'Segment Tables'!$C$32:$L$39,4,FALSE),HLOOKUP($J$9,'Segment Tables'!$C$42:$L$49,4,FALSE))</f>
        <v>0.006</v>
      </c>
      <c r="E65" s="279"/>
      <c r="F65" s="278">
        <f t="shared" si="0"/>
        <v>0.003222017806077885</v>
      </c>
      <c r="G65" s="279"/>
      <c r="H65" s="278">
        <f>IF('Segment Tables'!$B$30="No",IF($J$9="2U",'Segment Tables'!D35,IF($J$9="3T",'Segment Tables'!F35,IF($J$9="4U",'Segment Tables'!H35,IF($J$9="4D",'Segment Tables'!J35,'Segment Tables'!L35)))),IF($J$9="2U",'Segment Tables'!D45,IF($J$9="3T",'Segment Tables'!F45,IF($J$9="4U",'Segment Tables'!H45,IF($J$9="4D",'Segment Tables'!J45,'Segment Tables'!L45)))))</f>
        <v>0</v>
      </c>
      <c r="I65" s="279"/>
      <c r="J65" s="278">
        <f t="shared" si="1"/>
        <v>0</v>
      </c>
      <c r="K65" s="279"/>
      <c r="L65" s="292">
        <f t="shared" si="2"/>
        <v>0.003222017806077885</v>
      </c>
      <c r="M65" s="292"/>
      <c r="N65" s="293"/>
      <c r="O65" s="154"/>
      <c r="P65" s="154"/>
    </row>
    <row r="66" spans="1:16" ht="12.75">
      <c r="A66" s="294" t="s">
        <v>40</v>
      </c>
      <c r="B66" s="295"/>
      <c r="C66" s="295"/>
      <c r="D66" s="278">
        <f>IF('Segment Tables'!$B$30="No",HLOOKUP($J$9,'Segment Tables'!$C$32:$L$39,5,FALSE),HLOOKUP($J$9,'Segment Tables'!$C$42:$L$49,5,FALSE))</f>
        <v>0.019</v>
      </c>
      <c r="E66" s="279"/>
      <c r="F66" s="278">
        <f t="shared" si="0"/>
        <v>0.010203056385913302</v>
      </c>
      <c r="G66" s="279"/>
      <c r="H66" s="278">
        <f>IF('Segment Tables'!$B$30="No",IF($J$9="2U",'Segment Tables'!D36,IF($J$9="3T",'Segment Tables'!F36,IF($J$9="4U",'Segment Tables'!H36,IF($J$9="4D",'Segment Tables'!J36,'Segment Tables'!L36)))),IF($J$9="2U",'Segment Tables'!D46,IF($J$9="3T",'Segment Tables'!F46,IF($J$9="4U",'Segment Tables'!H46,IF($J$9="4D",'Segment Tables'!J46,'Segment Tables'!L46)))))</f>
        <v>0.008</v>
      </c>
      <c r="I66" s="279"/>
      <c r="J66" s="278">
        <f t="shared" si="1"/>
        <v>0.010363136466816024</v>
      </c>
      <c r="K66" s="279"/>
      <c r="L66" s="292">
        <f t="shared" si="2"/>
        <v>0.020566192852729325</v>
      </c>
      <c r="M66" s="292"/>
      <c r="N66" s="293"/>
      <c r="O66" s="24"/>
      <c r="P66" s="24"/>
    </row>
    <row r="67" spans="1:16" ht="12.75">
      <c r="A67" s="294" t="s">
        <v>294</v>
      </c>
      <c r="B67" s="295"/>
      <c r="C67" s="295"/>
      <c r="D67" s="278">
        <f>IF('Segment Tables'!$B$30="No",HLOOKUP($J$9,'Segment Tables'!$C$32:$L$39,6,FALSE),HLOOKUP($J$9,'Segment Tables'!$C$42:$L$49,6,FALSE))</f>
        <v>0.038</v>
      </c>
      <c r="E67" s="279"/>
      <c r="F67" s="278">
        <f t="shared" si="0"/>
        <v>0.020406112771826603</v>
      </c>
      <c r="G67" s="279"/>
      <c r="H67" s="278">
        <f>IF('Segment Tables'!$B$30="No",IF($J$9="2U",'Segment Tables'!D37,IF($J$9="3T",'Segment Tables'!F37,IF($J$9="4U",'Segment Tables'!H37,IF($J$9="4D",'Segment Tables'!J37,'Segment Tables'!L37)))),IF($J$9="2U",'Segment Tables'!D47,IF($J$9="3T",'Segment Tables'!F47,IF($J$9="4U",'Segment Tables'!H47,IF($J$9="4D",'Segment Tables'!J47,'Segment Tables'!L47)))))</f>
        <v>0.142</v>
      </c>
      <c r="I67" s="279"/>
      <c r="J67" s="278">
        <f t="shared" si="1"/>
        <v>0.18394567228598438</v>
      </c>
      <c r="K67" s="279"/>
      <c r="L67" s="292">
        <f t="shared" si="2"/>
        <v>0.204351785057811</v>
      </c>
      <c r="M67" s="292"/>
      <c r="N67" s="293"/>
      <c r="O67" s="24"/>
      <c r="P67" s="24"/>
    </row>
    <row r="68" spans="1:16" ht="12.75">
      <c r="A68" s="294" t="s">
        <v>295</v>
      </c>
      <c r="B68" s="295"/>
      <c r="C68" s="295"/>
      <c r="D68" s="278">
        <f>IF('Segment Tables'!$B$30="No",HLOOKUP($J$9,'Segment Tables'!$C$32:$L$39,7,FALSE),HLOOKUP($J$9,'Segment Tables'!$C$42:$L$49,7,FALSE))</f>
        <v>0.013</v>
      </c>
      <c r="E68" s="279"/>
      <c r="F68" s="278">
        <f t="shared" si="0"/>
        <v>0.006981038579835417</v>
      </c>
      <c r="G68" s="279"/>
      <c r="H68" s="278">
        <f>IF('Segment Tables'!$B$30="No",IF($J$9="2U",'Segment Tables'!D38,IF($J$9="3T",'Segment Tables'!F38,IF($J$9="4U",'Segment Tables'!H38,IF($J$9="4D",'Segment Tables'!J38,'Segment Tables'!L38)))),IF($J$9="2U",'Segment Tables'!D48,IF($J$9="3T",'Segment Tables'!F48,IF($J$9="4U",'Segment Tables'!H48,IF($J$9="4D",'Segment Tables'!J48,'Segment Tables'!L48)))))</f>
        <v>0.004</v>
      </c>
      <c r="I68" s="279"/>
      <c r="J68" s="278">
        <f t="shared" si="1"/>
        <v>0.005181568233408012</v>
      </c>
      <c r="K68" s="279"/>
      <c r="L68" s="292">
        <f t="shared" si="2"/>
        <v>0.012162606813243429</v>
      </c>
      <c r="M68" s="292"/>
      <c r="N68" s="293"/>
      <c r="O68" s="155"/>
      <c r="P68" s="155"/>
    </row>
    <row r="69" spans="1:16" ht="13.5" thickBot="1">
      <c r="A69" s="286" t="s">
        <v>299</v>
      </c>
      <c r="B69" s="287"/>
      <c r="C69" s="287"/>
      <c r="D69" s="288">
        <f>IF('Segment Tables'!$B$30="No",HLOOKUP($J$9,'Segment Tables'!$C$32:$L$39,8,FALSE),HLOOKUP($J$9,'Segment Tables'!$C$42:$L$49,8,FALSE))</f>
        <v>0.14</v>
      </c>
      <c r="E69" s="289"/>
      <c r="F69" s="288">
        <f t="shared" si="0"/>
        <v>0.07518041547515066</v>
      </c>
      <c r="G69" s="289"/>
      <c r="H69" s="288">
        <f>IF('Segment Tables'!$B$30="No",IF($J$9="2U",'Segment Tables'!D39,IF($J$9="3T",'Segment Tables'!F39,IF($J$9="4U",'Segment Tables'!H39,IF($J$9="4D",'Segment Tables'!J39,'Segment Tables'!L39)))),IF($J$9="2U",'Segment Tables'!D49,IF($J$9="3T",'Segment Tables'!F49,IF($J$9="4U",'Segment Tables'!H49,IF($J$9="4D",'Segment Tables'!J49,'Segment Tables'!L49)))))</f>
        <v>0.2</v>
      </c>
      <c r="I69" s="289"/>
      <c r="J69" s="288">
        <f t="shared" si="1"/>
        <v>0.2590784116704006</v>
      </c>
      <c r="K69" s="289"/>
      <c r="L69" s="290">
        <f t="shared" si="2"/>
        <v>0.3342588271455512</v>
      </c>
      <c r="M69" s="290"/>
      <c r="N69" s="291"/>
      <c r="O69" s="24"/>
      <c r="P69" s="24"/>
    </row>
    <row r="70" spans="1:16" ht="12.75">
      <c r="A70" s="15"/>
      <c r="B70" s="1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156"/>
      <c r="O70" s="156"/>
      <c r="P70" s="156"/>
    </row>
    <row r="71" spans="1:16" ht="12.75">
      <c r="A71" s="28"/>
      <c r="B71" s="28"/>
      <c r="C71" s="28"/>
      <c r="D71" s="53"/>
      <c r="E71" s="28"/>
      <c r="F71" s="28"/>
      <c r="G71" s="150"/>
      <c r="H71" s="15"/>
      <c r="I71" s="28"/>
      <c r="J71" s="53"/>
      <c r="K71" s="24"/>
      <c r="L71" s="28"/>
      <c r="M71" s="53"/>
      <c r="N71" s="24"/>
      <c r="O71" s="24"/>
      <c r="P71" s="24"/>
    </row>
    <row r="72" spans="1:16" ht="13.5" thickBot="1">
      <c r="A72" s="28"/>
      <c r="B72" s="28"/>
      <c r="C72" s="28"/>
      <c r="D72" s="53"/>
      <c r="E72" s="28"/>
      <c r="F72" s="28"/>
      <c r="G72" s="150"/>
      <c r="H72" s="15"/>
      <c r="I72" s="28"/>
      <c r="J72" s="53"/>
      <c r="K72" s="24"/>
      <c r="L72" s="28"/>
      <c r="M72" s="53"/>
      <c r="N72" s="24"/>
      <c r="O72" s="24"/>
      <c r="P72" s="24"/>
    </row>
    <row r="73" spans="1:16" ht="14.25" thickBot="1" thickTop="1">
      <c r="A73" s="285" t="s">
        <v>301</v>
      </c>
      <c r="B73" s="323"/>
      <c r="C73" s="323"/>
      <c r="D73" s="323"/>
      <c r="E73" s="323"/>
      <c r="F73" s="323"/>
      <c r="G73" s="323"/>
      <c r="H73" s="323"/>
      <c r="I73" s="323"/>
      <c r="J73" s="360"/>
      <c r="K73" s="360"/>
      <c r="L73" s="360"/>
      <c r="M73" s="360"/>
      <c r="N73" s="360"/>
      <c r="O73" s="24"/>
      <c r="P73" s="24"/>
    </row>
    <row r="74" spans="1:16" ht="13.5" customHeight="1">
      <c r="A74" s="280" t="s">
        <v>16</v>
      </c>
      <c r="B74" s="281"/>
      <c r="C74" s="271" t="s">
        <v>17</v>
      </c>
      <c r="D74" s="361"/>
      <c r="E74" s="313" t="s">
        <v>18</v>
      </c>
      <c r="F74" s="281"/>
      <c r="G74" s="313" t="s">
        <v>19</v>
      </c>
      <c r="H74" s="281"/>
      <c r="I74" s="313" t="s">
        <v>20</v>
      </c>
      <c r="J74" s="281"/>
      <c r="K74" s="2" t="s">
        <v>21</v>
      </c>
      <c r="L74" s="123" t="s">
        <v>22</v>
      </c>
      <c r="M74" s="123" t="s">
        <v>23</v>
      </c>
      <c r="N74" s="146" t="s">
        <v>24</v>
      </c>
      <c r="O74" s="24"/>
      <c r="P74" s="24"/>
    </row>
    <row r="75" spans="1:16" ht="12.75">
      <c r="A75" s="305" t="s">
        <v>32</v>
      </c>
      <c r="B75" s="352"/>
      <c r="C75" s="357" t="s">
        <v>89</v>
      </c>
      <c r="D75" s="358"/>
      <c r="E75" s="302" t="s">
        <v>33</v>
      </c>
      <c r="F75" s="318"/>
      <c r="G75" s="359" t="s">
        <v>302</v>
      </c>
      <c r="H75" s="359"/>
      <c r="I75" s="302" t="s">
        <v>265</v>
      </c>
      <c r="J75" s="358"/>
      <c r="K75" s="359" t="s">
        <v>304</v>
      </c>
      <c r="L75" s="302" t="s">
        <v>34</v>
      </c>
      <c r="M75" s="302" t="s">
        <v>7</v>
      </c>
      <c r="N75" s="319" t="s">
        <v>306</v>
      </c>
      <c r="O75" s="24"/>
      <c r="P75" s="24"/>
    </row>
    <row r="76" spans="1:16" ht="12.75">
      <c r="A76" s="353"/>
      <c r="B76" s="354"/>
      <c r="C76" s="318"/>
      <c r="D76" s="318"/>
      <c r="E76" s="318"/>
      <c r="F76" s="318"/>
      <c r="G76" s="318"/>
      <c r="H76" s="318"/>
      <c r="I76" s="358"/>
      <c r="J76" s="358"/>
      <c r="K76" s="317"/>
      <c r="L76" s="317"/>
      <c r="M76" s="317"/>
      <c r="N76" s="319"/>
      <c r="O76" s="24"/>
      <c r="P76" s="24"/>
    </row>
    <row r="77" spans="1:16" ht="12.75">
      <c r="A77" s="353"/>
      <c r="B77" s="354"/>
      <c r="C77" s="273" t="s">
        <v>679</v>
      </c>
      <c r="D77" s="274"/>
      <c r="E77" s="312" t="s">
        <v>679</v>
      </c>
      <c r="F77" s="362"/>
      <c r="G77" s="312" t="s">
        <v>303</v>
      </c>
      <c r="H77" s="362"/>
      <c r="I77" s="358"/>
      <c r="J77" s="358"/>
      <c r="K77" s="312" t="s">
        <v>269</v>
      </c>
      <c r="L77" s="348" t="s">
        <v>270</v>
      </c>
      <c r="M77" s="318"/>
      <c r="N77" s="265" t="s">
        <v>271</v>
      </c>
      <c r="O77" s="24"/>
      <c r="P77" s="24"/>
    </row>
    <row r="78" spans="1:16" ht="12.75">
      <c r="A78" s="355"/>
      <c r="B78" s="356"/>
      <c r="C78" s="125" t="s">
        <v>90</v>
      </c>
      <c r="D78" s="125" t="s">
        <v>91</v>
      </c>
      <c r="E78" s="318"/>
      <c r="F78" s="318"/>
      <c r="G78" s="318"/>
      <c r="H78" s="318"/>
      <c r="I78" s="358"/>
      <c r="J78" s="358"/>
      <c r="K78" s="283"/>
      <c r="L78" s="317"/>
      <c r="M78" s="318"/>
      <c r="N78" s="349"/>
      <c r="O78" s="24"/>
      <c r="P78" s="24"/>
    </row>
    <row r="79" spans="1:16" ht="12.75">
      <c r="A79" s="299" t="s">
        <v>35</v>
      </c>
      <c r="B79" s="322"/>
      <c r="C79" s="12">
        <f>VLOOKUP($J$9,'Segment Tables'!$G$8:$J$12,2,FALSE)</f>
        <v>-5.05</v>
      </c>
      <c r="D79" s="12">
        <f>VLOOKUP($J$9,'Segment Tables'!$G$8:$J$12,3,FALSE)</f>
        <v>0.47</v>
      </c>
      <c r="E79" s="350">
        <f>VLOOKUP($J$9,'Segment Tables'!$G$8:$J$12,4,FALSE)</f>
        <v>0.86</v>
      </c>
      <c r="F79" s="351"/>
      <c r="G79" s="278">
        <f>EXP($C79+($D79*LN($J$11))+LN($J$10))</f>
        <v>0.7627086774832362</v>
      </c>
      <c r="H79" s="279"/>
      <c r="I79" s="278">
        <v>1</v>
      </c>
      <c r="J79" s="279"/>
      <c r="K79" s="3">
        <f>$G$79*I79</f>
        <v>0.7627086774832362</v>
      </c>
      <c r="L79" s="12">
        <f>+$M$37</f>
        <v>1.392027214920826</v>
      </c>
      <c r="M79" s="12">
        <f>+$J$27</f>
        <v>0.64</v>
      </c>
      <c r="N79" s="128">
        <f>+K79*L79*M79</f>
        <v>0.6794951911122789</v>
      </c>
      <c r="O79" s="156"/>
      <c r="P79" s="156"/>
    </row>
    <row r="80" spans="1:16" ht="15.75">
      <c r="A80" s="343" t="s">
        <v>36</v>
      </c>
      <c r="B80" s="343"/>
      <c r="C80" s="327">
        <f>VLOOKUP($J$9,'Segment Tables'!$G$14:$J$18,2,FALSE)</f>
        <v>-8.71</v>
      </c>
      <c r="D80" s="327">
        <f>VLOOKUP($J$9,'Segment Tables'!$G$14:$J$18,3,FALSE)</f>
        <v>0.66</v>
      </c>
      <c r="E80" s="337">
        <f>VLOOKUP($J$9,'Segment Tables'!$G$14:$J$18,4,FALSE)</f>
        <v>0.28</v>
      </c>
      <c r="F80" s="338"/>
      <c r="G80" s="329">
        <f>EXP($C80+($D80*LN($J$11))+LN($J$10))</f>
        <v>0.11500202665160907</v>
      </c>
      <c r="H80" s="341"/>
      <c r="I80" s="273" t="s">
        <v>272</v>
      </c>
      <c r="J80" s="274"/>
      <c r="K80" s="325">
        <f>$G$79*I81</f>
        <v>0.11624535434630115</v>
      </c>
      <c r="L80" s="327">
        <f>+$M$37</f>
        <v>1.392027214920826</v>
      </c>
      <c r="M80" s="327">
        <f>+$J$27</f>
        <v>0.64</v>
      </c>
      <c r="N80" s="329">
        <f>+K80*L80*M80</f>
        <v>0.10356268598922631</v>
      </c>
      <c r="O80" s="156"/>
      <c r="P80" s="156"/>
    </row>
    <row r="81" spans="1:16" ht="12.75">
      <c r="A81" s="344"/>
      <c r="B81" s="344"/>
      <c r="C81" s="332"/>
      <c r="D81" s="332"/>
      <c r="E81" s="345"/>
      <c r="F81" s="346"/>
      <c r="G81" s="333"/>
      <c r="H81" s="347"/>
      <c r="I81" s="278">
        <f>G80/(G80+G82)</f>
        <v>0.1524112125351506</v>
      </c>
      <c r="J81" s="279"/>
      <c r="K81" s="331"/>
      <c r="L81" s="332"/>
      <c r="M81" s="332"/>
      <c r="N81" s="333"/>
      <c r="O81" s="156"/>
      <c r="P81" s="156"/>
    </row>
    <row r="82" spans="1:16" ht="15.75">
      <c r="A82" s="284" t="s">
        <v>37</v>
      </c>
      <c r="B82" s="334"/>
      <c r="C82" s="327">
        <f>VLOOKUP($J$9,'Segment Tables'!$G$20:$J$24,2,FALSE)</f>
        <v>-5.04</v>
      </c>
      <c r="D82" s="327">
        <f>VLOOKUP($J$9,'Segment Tables'!$G$20:$J$24,3,FALSE)</f>
        <v>0.45</v>
      </c>
      <c r="E82" s="337">
        <f>VLOOKUP($J$9,'Segment Tables'!$G$20:$J$24,4,FALSE)</f>
        <v>1.06</v>
      </c>
      <c r="F82" s="338"/>
      <c r="G82" s="329">
        <f>EXP($C82+($D82*LN($J$11))+LN($J$10))</f>
        <v>0.6395489328133065</v>
      </c>
      <c r="H82" s="341"/>
      <c r="I82" s="273" t="s">
        <v>273</v>
      </c>
      <c r="J82" s="274"/>
      <c r="K82" s="325">
        <f>$G$79*I83</f>
        <v>0.646463323136935</v>
      </c>
      <c r="L82" s="327">
        <f>+$M$37</f>
        <v>1.392027214920826</v>
      </c>
      <c r="M82" s="327">
        <f>+$J$27</f>
        <v>0.64</v>
      </c>
      <c r="N82" s="329">
        <f>+K82*L82*M82</f>
        <v>0.5759325051230525</v>
      </c>
      <c r="O82" s="156"/>
      <c r="P82" s="156"/>
    </row>
    <row r="83" spans="1:16" ht="13.5" thickBot="1">
      <c r="A83" s="335"/>
      <c r="B83" s="336"/>
      <c r="C83" s="328"/>
      <c r="D83" s="328"/>
      <c r="E83" s="339"/>
      <c r="F83" s="340"/>
      <c r="G83" s="330"/>
      <c r="H83" s="342"/>
      <c r="I83" s="288">
        <f>I79-I81</f>
        <v>0.8475887874648493</v>
      </c>
      <c r="J83" s="289"/>
      <c r="K83" s="326"/>
      <c r="L83" s="328"/>
      <c r="M83" s="328"/>
      <c r="N83" s="330"/>
      <c r="O83" s="156"/>
      <c r="P83" s="156"/>
    </row>
    <row r="84" spans="1:16" ht="12.75">
      <c r="A84" s="15"/>
      <c r="B84" s="1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56"/>
      <c r="O84" s="156"/>
      <c r="P84" s="156"/>
    </row>
    <row r="85" spans="1:16" ht="12.75">
      <c r="A85" s="15"/>
      <c r="B85" s="1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56"/>
      <c r="O85" s="156"/>
      <c r="P85" s="156"/>
    </row>
    <row r="86" spans="1:16" ht="13.5" thickBot="1">
      <c r="A86" s="15"/>
      <c r="B86" s="1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156"/>
      <c r="O86" s="156"/>
      <c r="P86" s="156"/>
    </row>
    <row r="87" spans="1:16" ht="14.25" thickBot="1" thickTop="1">
      <c r="A87" s="285" t="s">
        <v>307</v>
      </c>
      <c r="B87" s="323"/>
      <c r="C87" s="323"/>
      <c r="D87" s="323"/>
      <c r="E87" s="323"/>
      <c r="F87" s="323"/>
      <c r="G87" s="323"/>
      <c r="H87" s="323"/>
      <c r="I87" s="324"/>
      <c r="J87" s="324"/>
      <c r="K87" s="324"/>
      <c r="L87" s="324"/>
      <c r="M87" s="324"/>
      <c r="N87" s="324"/>
      <c r="O87" s="156"/>
      <c r="P87" s="156"/>
    </row>
    <row r="88" spans="1:16" ht="12.75">
      <c r="A88" s="280" t="s">
        <v>16</v>
      </c>
      <c r="B88" s="281"/>
      <c r="C88" s="281"/>
      <c r="D88" s="313" t="s">
        <v>17</v>
      </c>
      <c r="E88" s="314"/>
      <c r="F88" s="313" t="s">
        <v>18</v>
      </c>
      <c r="G88" s="313"/>
      <c r="H88" s="270" t="s">
        <v>19</v>
      </c>
      <c r="I88" s="314"/>
      <c r="J88" s="313" t="s">
        <v>20</v>
      </c>
      <c r="K88" s="313"/>
      <c r="L88" s="270" t="s">
        <v>21</v>
      </c>
      <c r="M88" s="314"/>
      <c r="N88" s="316"/>
      <c r="O88" s="156"/>
      <c r="P88" s="156"/>
    </row>
    <row r="89" spans="1:16" ht="12.75">
      <c r="A89" s="305" t="s">
        <v>38</v>
      </c>
      <c r="B89" s="305"/>
      <c r="C89" s="306"/>
      <c r="D89" s="302" t="s">
        <v>39</v>
      </c>
      <c r="E89" s="274"/>
      <c r="F89" s="302" t="s">
        <v>312</v>
      </c>
      <c r="G89" s="302"/>
      <c r="H89" s="302" t="s">
        <v>300</v>
      </c>
      <c r="I89" s="274"/>
      <c r="J89" s="302" t="s">
        <v>317</v>
      </c>
      <c r="K89" s="302"/>
      <c r="L89" s="272" t="s">
        <v>315</v>
      </c>
      <c r="M89" s="272"/>
      <c r="N89" s="303"/>
      <c r="O89" s="156"/>
      <c r="P89" s="156"/>
    </row>
    <row r="90" spans="1:16" ht="12.75">
      <c r="A90" s="307"/>
      <c r="B90" s="307"/>
      <c r="C90" s="308"/>
      <c r="D90" s="274"/>
      <c r="E90" s="274"/>
      <c r="F90" s="274"/>
      <c r="G90" s="274"/>
      <c r="H90" s="274"/>
      <c r="I90" s="274"/>
      <c r="J90" s="274"/>
      <c r="K90" s="274"/>
      <c r="L90" s="304"/>
      <c r="M90" s="304"/>
      <c r="N90" s="303"/>
      <c r="O90" s="156"/>
      <c r="P90" s="156"/>
    </row>
    <row r="91" spans="1:16" ht="12.75">
      <c r="A91" s="309"/>
      <c r="B91" s="309"/>
      <c r="C91" s="308"/>
      <c r="D91" s="274"/>
      <c r="E91" s="274"/>
      <c r="F91" s="274"/>
      <c r="G91" s="274"/>
      <c r="H91" s="274"/>
      <c r="I91" s="274"/>
      <c r="J91" s="274"/>
      <c r="K91" s="274"/>
      <c r="L91" s="304"/>
      <c r="M91" s="304"/>
      <c r="N91" s="303"/>
      <c r="O91" s="156"/>
      <c r="P91" s="156"/>
    </row>
    <row r="92" spans="1:16" ht="12.75">
      <c r="A92" s="309"/>
      <c r="B92" s="309"/>
      <c r="C92" s="308"/>
      <c r="D92" s="312" t="s">
        <v>680</v>
      </c>
      <c r="E92" s="295"/>
      <c r="F92" s="320" t="s">
        <v>313</v>
      </c>
      <c r="G92" s="321"/>
      <c r="H92" s="312" t="s">
        <v>680</v>
      </c>
      <c r="I92" s="295"/>
      <c r="J92" s="320" t="s">
        <v>314</v>
      </c>
      <c r="K92" s="321"/>
      <c r="L92" s="320" t="s">
        <v>316</v>
      </c>
      <c r="M92" s="321"/>
      <c r="N92" s="322"/>
      <c r="O92" s="156"/>
      <c r="P92" s="156"/>
    </row>
    <row r="93" spans="1:16" ht="12.75">
      <c r="A93" s="310"/>
      <c r="B93" s="310"/>
      <c r="C93" s="311"/>
      <c r="D93" s="274"/>
      <c r="E93" s="295"/>
      <c r="F93" s="274"/>
      <c r="G93" s="274"/>
      <c r="H93" s="274"/>
      <c r="I93" s="295"/>
      <c r="J93" s="274"/>
      <c r="K93" s="274"/>
      <c r="L93" s="274"/>
      <c r="M93" s="274"/>
      <c r="N93" s="322"/>
      <c r="O93" s="156"/>
      <c r="P93" s="156"/>
    </row>
    <row r="94" spans="1:16" ht="12.75">
      <c r="A94" s="299" t="s">
        <v>35</v>
      </c>
      <c r="B94" s="295"/>
      <c r="C94" s="295"/>
      <c r="D94" s="292">
        <v>1</v>
      </c>
      <c r="E94" s="292"/>
      <c r="F94" s="293">
        <f>+N80</f>
        <v>0.10356268598922631</v>
      </c>
      <c r="G94" s="300"/>
      <c r="H94" s="292">
        <v>1</v>
      </c>
      <c r="I94" s="292"/>
      <c r="J94" s="278">
        <f>+N82</f>
        <v>0.5759325051230525</v>
      </c>
      <c r="K94" s="315"/>
      <c r="L94" s="293">
        <f>+N79</f>
        <v>0.6794951911122789</v>
      </c>
      <c r="M94" s="301"/>
      <c r="N94" s="301"/>
      <c r="O94" s="156"/>
      <c r="P94" s="156"/>
    </row>
    <row r="95" spans="1:16" ht="15.75">
      <c r="A95" s="299"/>
      <c r="B95" s="295"/>
      <c r="C95" s="295"/>
      <c r="D95" s="295"/>
      <c r="E95" s="295"/>
      <c r="F95" s="296" t="s">
        <v>291</v>
      </c>
      <c r="G95" s="274"/>
      <c r="H95" s="295"/>
      <c r="I95" s="295"/>
      <c r="J95" s="296" t="s">
        <v>292</v>
      </c>
      <c r="K95" s="274"/>
      <c r="L95" s="296" t="s">
        <v>293</v>
      </c>
      <c r="M95" s="274"/>
      <c r="N95" s="297"/>
      <c r="O95" s="156"/>
      <c r="P95" s="156"/>
    </row>
    <row r="96" spans="1:16" ht="12.75">
      <c r="A96" s="298" t="s">
        <v>308</v>
      </c>
      <c r="B96" s="295"/>
      <c r="C96" s="295"/>
      <c r="D96" s="278">
        <f>IF('Segment Tables'!$B$55="No",HLOOKUP($J$9,'Segment Tables'!$C$57:$L$62,3,FALSE),HLOOKUP($J$9,'Segment Tables'!$C$65:$L$70,3,FALSE))</f>
        <v>0</v>
      </c>
      <c r="E96" s="279"/>
      <c r="F96" s="278">
        <f>+$F$94*$D96</f>
        <v>0</v>
      </c>
      <c r="G96" s="279"/>
      <c r="H96" s="278">
        <f>IF('Segment Tables'!$B$55="No",IF($J$9="2U",'Segment Tables'!D59,IF($J$9="3T",'Segment Tables'!F59,IF($J$9="4U",'Segment Tables'!H59,IF($J$9="4D",'Segment Tables'!J59,'Segment Tables'!L59)))),IF($J$9="2U",'Segment Tables'!D67,IF($J$9="3T",'Segment Tables'!F67,IF($J$9="4U",'Segment Tables'!H67,IF($J$9="4D",'Segment Tables'!J67,'Segment Tables'!L67)))))</f>
        <v>0.077</v>
      </c>
      <c r="I96" s="279"/>
      <c r="J96" s="278">
        <f>+$J$94*H96</f>
        <v>0.04434680289447504</v>
      </c>
      <c r="K96" s="279"/>
      <c r="L96" s="292">
        <f>+F96+J96</f>
        <v>0.04434680289447504</v>
      </c>
      <c r="M96" s="292"/>
      <c r="N96" s="293"/>
      <c r="O96" s="156"/>
      <c r="P96" s="156"/>
    </row>
    <row r="97" spans="1:16" ht="12.75">
      <c r="A97" s="294" t="s">
        <v>309</v>
      </c>
      <c r="B97" s="295"/>
      <c r="C97" s="295"/>
      <c r="D97" s="278">
        <f>IF('Segment Tables'!$B$55="No",HLOOKUP($J$9,'Segment Tables'!$C$57:$L$62,4,FALSE),HLOOKUP($J$9,'Segment Tables'!$C$65:$L$70,4,FALSE))</f>
        <v>0.4</v>
      </c>
      <c r="E97" s="279"/>
      <c r="F97" s="278">
        <f>+$F$94*$D97</f>
        <v>0.04142507439569053</v>
      </c>
      <c r="G97" s="279"/>
      <c r="H97" s="278">
        <f>IF('Segment Tables'!$B$55="No",IF($J$9="2U",'Segment Tables'!D60,IF($J$9="3T",'Segment Tables'!F60,IF($J$9="4U",'Segment Tables'!H60,IF($J$9="4D",'Segment Tables'!J60,'Segment Tables'!L60)))),IF($J$9="2U",'Segment Tables'!D68,IF($J$9="3T",'Segment Tables'!F68,IF($J$9="4U",'Segment Tables'!H68,IF($J$9="4D",'Segment Tables'!J68,'Segment Tables'!L68)))))</f>
        <v>0.846</v>
      </c>
      <c r="I97" s="279"/>
      <c r="J97" s="278">
        <f>+$J$94*H97</f>
        <v>0.4872388993341024</v>
      </c>
      <c r="K97" s="279"/>
      <c r="L97" s="292">
        <f>+F97+J97</f>
        <v>0.5286639737297929</v>
      </c>
      <c r="M97" s="292"/>
      <c r="N97" s="293"/>
      <c r="O97" s="156"/>
      <c r="P97" s="156"/>
    </row>
    <row r="98" spans="1:16" ht="12.75">
      <c r="A98" s="294" t="s">
        <v>310</v>
      </c>
      <c r="B98" s="295"/>
      <c r="C98" s="295"/>
      <c r="D98" s="278">
        <f>IF('Segment Tables'!$B$55="No",HLOOKUP($J$9,'Segment Tables'!$C$57:$L$62,5,FALSE),HLOOKUP($J$9,'Segment Tables'!$C$65:$L$70,5,FALSE))</f>
        <v>0</v>
      </c>
      <c r="E98" s="279"/>
      <c r="F98" s="278">
        <f>+$F$94*$D98</f>
        <v>0</v>
      </c>
      <c r="G98" s="279"/>
      <c r="H98" s="278">
        <f>IF('Segment Tables'!$B$55="No",IF($J$9="2U",'Segment Tables'!D61,IF($J$9="3T",'Segment Tables'!F61,IF($J$9="4U",'Segment Tables'!H61,IF($J$9="4D",'Segment Tables'!J61,'Segment Tables'!L61)))),IF($J$9="2U",'Segment Tables'!D69,IF($J$9="3T",'Segment Tables'!F69,IF($J$9="4U",'Segment Tables'!H69,IF($J$9="4D",'Segment Tables'!J69,'Segment Tables'!L69)))))</f>
        <v>0</v>
      </c>
      <c r="I98" s="279"/>
      <c r="J98" s="278">
        <f>+$J$94*H98</f>
        <v>0</v>
      </c>
      <c r="K98" s="279"/>
      <c r="L98" s="292">
        <f>+F98+J98</f>
        <v>0</v>
      </c>
      <c r="M98" s="292"/>
      <c r="N98" s="293"/>
      <c r="O98" s="156"/>
      <c r="P98" s="156"/>
    </row>
    <row r="99" spans="1:16" ht="13.5" thickBot="1">
      <c r="A99" s="286" t="s">
        <v>311</v>
      </c>
      <c r="B99" s="287"/>
      <c r="C99" s="287"/>
      <c r="D99" s="288">
        <f>IF('Segment Tables'!$B$55="No",HLOOKUP($J$9,'Segment Tables'!$C$57:$L$62,6,FALSE),HLOOKUP($J$9,'Segment Tables'!$C$65:$L$70,6,FALSE))</f>
        <v>0.6</v>
      </c>
      <c r="E99" s="289"/>
      <c r="F99" s="288">
        <f>+$F$94*$D99</f>
        <v>0.062137611593535785</v>
      </c>
      <c r="G99" s="289"/>
      <c r="H99" s="288">
        <f>IF('Segment Tables'!$B$55="No",IF($J$9="2U",'Segment Tables'!D62,IF($J$9="3T",'Segment Tables'!F62,IF($J$9="4U",'Segment Tables'!H62,IF($J$9="4D",'Segment Tables'!J62,'Segment Tables'!L62)))),IF($J$9="2U",'Segment Tables'!D70,IF($J$9="3T",'Segment Tables'!F70,IF($J$9="4U",'Segment Tables'!H70,IF($J$9="4D",'Segment Tables'!J70,'Segment Tables'!L70)))))</f>
        <v>0.077</v>
      </c>
      <c r="I99" s="289"/>
      <c r="J99" s="288">
        <f>+$J$94*H99</f>
        <v>0.04434680289447504</v>
      </c>
      <c r="K99" s="289"/>
      <c r="L99" s="290">
        <f>+F99+J99</f>
        <v>0.10648441448801083</v>
      </c>
      <c r="M99" s="290"/>
      <c r="N99" s="291"/>
      <c r="O99" s="156"/>
      <c r="P99" s="156"/>
    </row>
    <row r="100" spans="1:16" ht="12.75">
      <c r="A100" s="15"/>
      <c r="B100" s="1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56"/>
      <c r="O100" s="156"/>
      <c r="P100" s="156"/>
    </row>
    <row r="101" spans="1:16" ht="12.75">
      <c r="A101" s="15"/>
      <c r="B101" s="1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56"/>
      <c r="O101" s="156"/>
      <c r="P101" s="156"/>
    </row>
    <row r="102" spans="1:16" ht="13.5" thickBot="1">
      <c r="A102" s="15"/>
      <c r="B102" s="1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56"/>
      <c r="O102" s="156"/>
      <c r="P102" s="156"/>
    </row>
    <row r="103" spans="1:16" ht="14.25" thickBot="1" thickTop="1">
      <c r="A103" s="285" t="s">
        <v>318</v>
      </c>
      <c r="B103" s="323"/>
      <c r="C103" s="323"/>
      <c r="D103" s="323"/>
      <c r="E103" s="323"/>
      <c r="F103" s="323"/>
      <c r="G103" s="323"/>
      <c r="H103" s="323"/>
      <c r="I103" s="324"/>
      <c r="J103" s="324"/>
      <c r="K103" s="324"/>
      <c r="L103" s="324"/>
      <c r="M103" s="324"/>
      <c r="N103" s="324"/>
      <c r="O103" s="156"/>
      <c r="P103" s="156"/>
    </row>
    <row r="104" spans="1:16" ht="12.75">
      <c r="A104" s="464" t="s">
        <v>16</v>
      </c>
      <c r="B104" s="465"/>
      <c r="C104" s="465"/>
      <c r="D104" s="466" t="s">
        <v>17</v>
      </c>
      <c r="E104" s="467"/>
      <c r="F104" s="468" t="s">
        <v>18</v>
      </c>
      <c r="G104" s="467"/>
      <c r="H104" s="468" t="s">
        <v>19</v>
      </c>
      <c r="I104" s="472"/>
      <c r="J104" s="468" t="s">
        <v>20</v>
      </c>
      <c r="K104" s="472"/>
      <c r="L104" s="472"/>
      <c r="M104" s="468" t="s">
        <v>21</v>
      </c>
      <c r="N104" s="467"/>
      <c r="O104" s="156"/>
      <c r="P104" s="156"/>
    </row>
    <row r="105" spans="1:16" ht="12.75">
      <c r="A105" s="456" t="s">
        <v>319</v>
      </c>
      <c r="B105" s="457"/>
      <c r="C105" s="457"/>
      <c r="D105" s="450" t="s">
        <v>324</v>
      </c>
      <c r="E105" s="450"/>
      <c r="F105" s="450" t="s">
        <v>322</v>
      </c>
      <c r="G105" s="450"/>
      <c r="H105" s="450" t="s">
        <v>321</v>
      </c>
      <c r="I105" s="450"/>
      <c r="J105" s="450" t="s">
        <v>323</v>
      </c>
      <c r="K105" s="450"/>
      <c r="L105" s="450"/>
      <c r="M105" s="450" t="s">
        <v>320</v>
      </c>
      <c r="N105" s="259"/>
      <c r="O105" s="65"/>
      <c r="P105" s="65"/>
    </row>
    <row r="106" spans="1:16" ht="12.75">
      <c r="A106" s="458"/>
      <c r="B106" s="459"/>
      <c r="C106" s="459"/>
      <c r="D106" s="451"/>
      <c r="E106" s="451"/>
      <c r="F106" s="471"/>
      <c r="G106" s="471"/>
      <c r="H106" s="471"/>
      <c r="I106" s="471"/>
      <c r="J106" s="471"/>
      <c r="K106" s="471"/>
      <c r="L106" s="471"/>
      <c r="M106" s="471"/>
      <c r="N106" s="261"/>
      <c r="O106" s="15"/>
      <c r="P106" s="15"/>
    </row>
    <row r="107" spans="1:16" ht="12.75">
      <c r="A107" s="458"/>
      <c r="B107" s="459"/>
      <c r="C107" s="459"/>
      <c r="D107" s="451"/>
      <c r="E107" s="451"/>
      <c r="F107" s="447" t="s">
        <v>681</v>
      </c>
      <c r="G107" s="448"/>
      <c r="H107" s="447" t="s">
        <v>681</v>
      </c>
      <c r="I107" s="448"/>
      <c r="J107" s="452" t="s">
        <v>325</v>
      </c>
      <c r="K107" s="453"/>
      <c r="L107" s="453"/>
      <c r="M107" s="469" t="s">
        <v>681</v>
      </c>
      <c r="N107" s="470"/>
      <c r="O107" s="15"/>
      <c r="P107" s="15"/>
    </row>
    <row r="108" spans="1:16" ht="15.75">
      <c r="A108" s="460"/>
      <c r="B108" s="461"/>
      <c r="C108" s="461"/>
      <c r="D108" s="449"/>
      <c r="E108" s="449"/>
      <c r="F108" s="449"/>
      <c r="G108" s="449"/>
      <c r="H108" s="449"/>
      <c r="I108" s="449"/>
      <c r="J108" s="446" t="s">
        <v>326</v>
      </c>
      <c r="K108" s="304"/>
      <c r="L108" s="304"/>
      <c r="M108" s="332"/>
      <c r="N108" s="345"/>
      <c r="O108" s="52"/>
      <c r="P108" s="52"/>
    </row>
    <row r="109" spans="1:16" ht="12.75">
      <c r="A109" s="462" t="s">
        <v>327</v>
      </c>
      <c r="B109" s="463"/>
      <c r="C109" s="463"/>
      <c r="D109" s="442">
        <f aca="true" t="shared" si="3" ref="D109:D115">+J17</f>
        <v>0</v>
      </c>
      <c r="E109" s="442"/>
      <c r="F109" s="455">
        <f>HLOOKUP($J$9,'Segment Tables'!$P$5:$T$13,3,FALSE)</f>
        <v>0.033</v>
      </c>
      <c r="G109" s="455"/>
      <c r="H109" s="455">
        <f>HLOOKUP($J$9,'Segment Tables'!$P$5:$T$21,11,FALSE)</f>
        <v>1.106</v>
      </c>
      <c r="I109" s="455"/>
      <c r="J109" s="454">
        <f aca="true" t="shared" si="4" ref="J109:J115">POWER(($J$11/15000),H109)*D109*F109</f>
        <v>0</v>
      </c>
      <c r="K109" s="455"/>
      <c r="L109" s="455"/>
      <c r="M109" s="478" t="s">
        <v>14</v>
      </c>
      <c r="N109" s="479"/>
      <c r="O109" s="24"/>
      <c r="P109" s="24"/>
    </row>
    <row r="110" spans="1:16" ht="12.75">
      <c r="A110" s="443" t="s">
        <v>328</v>
      </c>
      <c r="B110" s="444"/>
      <c r="C110" s="444"/>
      <c r="D110" s="442">
        <f t="shared" si="3"/>
        <v>10</v>
      </c>
      <c r="E110" s="442"/>
      <c r="F110" s="455">
        <f>HLOOKUP($J$9,'Segment Tables'!$P$5:$T$13,4,FALSE)</f>
        <v>0.011</v>
      </c>
      <c r="G110" s="455"/>
      <c r="H110" s="455">
        <f>HLOOKUP($J$9,'Segment Tables'!$P$5:$T$21,11,FALSE)</f>
        <v>1.106</v>
      </c>
      <c r="I110" s="455"/>
      <c r="J110" s="454">
        <f t="shared" si="4"/>
        <v>0.07805775606765335</v>
      </c>
      <c r="K110" s="455"/>
      <c r="L110" s="455"/>
      <c r="M110" s="480"/>
      <c r="N110" s="481"/>
      <c r="O110" s="136"/>
      <c r="P110" s="136"/>
    </row>
    <row r="111" spans="1:16" ht="12.75">
      <c r="A111" s="445" t="s">
        <v>329</v>
      </c>
      <c r="B111" s="444"/>
      <c r="C111" s="444"/>
      <c r="D111" s="442">
        <f t="shared" si="3"/>
        <v>0</v>
      </c>
      <c r="E111" s="442"/>
      <c r="F111" s="455">
        <f>HLOOKUP($J$9,'Segment Tables'!$P$5:$T$13,5,FALSE)</f>
        <v>0.036</v>
      </c>
      <c r="G111" s="455"/>
      <c r="H111" s="455">
        <f>HLOOKUP($J$9,'Segment Tables'!$P$5:$T$21,11,FALSE)</f>
        <v>1.106</v>
      </c>
      <c r="I111" s="455"/>
      <c r="J111" s="454">
        <f t="shared" si="4"/>
        <v>0</v>
      </c>
      <c r="K111" s="455"/>
      <c r="L111" s="455"/>
      <c r="M111" s="480"/>
      <c r="N111" s="481"/>
      <c r="O111" s="24"/>
      <c r="P111" s="24"/>
    </row>
    <row r="112" spans="1:16" ht="12.75">
      <c r="A112" s="298" t="s">
        <v>330</v>
      </c>
      <c r="B112" s="440"/>
      <c r="C112" s="440"/>
      <c r="D112" s="442">
        <f t="shared" si="3"/>
        <v>3</v>
      </c>
      <c r="E112" s="442"/>
      <c r="F112" s="455">
        <f>HLOOKUP($J$9,'Segment Tables'!$P$5:$T$13,6,FALSE)</f>
        <v>0.005</v>
      </c>
      <c r="G112" s="455"/>
      <c r="H112" s="455">
        <f>HLOOKUP($J$9,'Segment Tables'!$P$5:$T$21,11,FALSE)</f>
        <v>1.106</v>
      </c>
      <c r="I112" s="455"/>
      <c r="J112" s="454">
        <f t="shared" si="4"/>
        <v>0.01064423946377091</v>
      </c>
      <c r="K112" s="455"/>
      <c r="L112" s="455"/>
      <c r="M112" s="480"/>
      <c r="N112" s="481"/>
      <c r="O112" s="157"/>
      <c r="P112" s="157"/>
    </row>
    <row r="113" spans="1:16" ht="12.75">
      <c r="A113" s="298" t="s">
        <v>331</v>
      </c>
      <c r="B113" s="440"/>
      <c r="C113" s="440"/>
      <c r="D113" s="442">
        <f t="shared" si="3"/>
        <v>2</v>
      </c>
      <c r="E113" s="442"/>
      <c r="F113" s="455">
        <f>HLOOKUP($J$9,'Segment Tables'!$P$5:$T$13,7,FALSE)</f>
        <v>0.018</v>
      </c>
      <c r="G113" s="455"/>
      <c r="H113" s="455">
        <f>HLOOKUP($J$9,'Segment Tables'!$P$5:$T$21,11,FALSE)</f>
        <v>1.106</v>
      </c>
      <c r="I113" s="455"/>
      <c r="J113" s="454">
        <f t="shared" si="4"/>
        <v>0.025546174713050183</v>
      </c>
      <c r="K113" s="455"/>
      <c r="L113" s="455"/>
      <c r="M113" s="480"/>
      <c r="N113" s="481"/>
      <c r="O113" s="157"/>
      <c r="P113" s="157"/>
    </row>
    <row r="114" spans="1:16" ht="12.75">
      <c r="A114" s="298" t="s">
        <v>332</v>
      </c>
      <c r="B114" s="440"/>
      <c r="C114" s="440"/>
      <c r="D114" s="442">
        <f t="shared" si="3"/>
        <v>15</v>
      </c>
      <c r="E114" s="442"/>
      <c r="F114" s="455">
        <f>HLOOKUP($J$9,'Segment Tables'!$P$5:$T$13,8,FALSE)</f>
        <v>0.003</v>
      </c>
      <c r="G114" s="455"/>
      <c r="H114" s="455">
        <f>HLOOKUP($J$9,'Segment Tables'!$P$5:$T$21,11,FALSE)</f>
        <v>1.106</v>
      </c>
      <c r="I114" s="455"/>
      <c r="J114" s="454">
        <f t="shared" si="4"/>
        <v>0.03193271839131273</v>
      </c>
      <c r="K114" s="455"/>
      <c r="L114" s="455"/>
      <c r="M114" s="480"/>
      <c r="N114" s="481"/>
      <c r="O114" s="157"/>
      <c r="P114" s="157"/>
    </row>
    <row r="115" spans="1:16" ht="12.75">
      <c r="A115" s="298" t="s">
        <v>97</v>
      </c>
      <c r="B115" s="440"/>
      <c r="C115" s="440"/>
      <c r="D115" s="442">
        <f t="shared" si="3"/>
        <v>0</v>
      </c>
      <c r="E115" s="442"/>
      <c r="F115" s="455">
        <f>HLOOKUP($J$9,'Segment Tables'!$P$5:$T$13,9,FALSE)</f>
        <v>0.005</v>
      </c>
      <c r="G115" s="455"/>
      <c r="H115" s="455">
        <f>HLOOKUP($J$9,'Segment Tables'!$P$5:$T$21,11,FALSE)</f>
        <v>1.106</v>
      </c>
      <c r="I115" s="455"/>
      <c r="J115" s="454">
        <f t="shared" si="4"/>
        <v>0</v>
      </c>
      <c r="K115" s="455"/>
      <c r="L115" s="455"/>
      <c r="M115" s="482"/>
      <c r="N115" s="483"/>
      <c r="O115" s="157"/>
      <c r="P115" s="157"/>
    </row>
    <row r="116" spans="1:16" ht="13.5" thickBot="1">
      <c r="A116" s="286" t="s">
        <v>35</v>
      </c>
      <c r="B116" s="441"/>
      <c r="C116" s="441"/>
      <c r="D116" s="473" t="s">
        <v>14</v>
      </c>
      <c r="E116" s="474"/>
      <c r="F116" s="473" t="s">
        <v>14</v>
      </c>
      <c r="G116" s="474"/>
      <c r="H116" s="473" t="s">
        <v>14</v>
      </c>
      <c r="I116" s="474"/>
      <c r="J116" s="475">
        <f>SUM(J109:L115)</f>
        <v>0.14618088863578715</v>
      </c>
      <c r="K116" s="476"/>
      <c r="L116" s="476"/>
      <c r="M116" s="267">
        <f>HLOOKUP($J$9,'Segment Tables'!$P$5:$T$21,13,FALSE)</f>
        <v>1.39</v>
      </c>
      <c r="N116" s="477"/>
      <c r="O116" s="65"/>
      <c r="P116" s="65"/>
    </row>
    <row r="117" spans="1:1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3.5" thickBo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4.25" thickBot="1" thickTop="1">
      <c r="A120" s="285" t="s">
        <v>333</v>
      </c>
      <c r="B120" s="323"/>
      <c r="C120" s="323"/>
      <c r="D120" s="323"/>
      <c r="E120" s="323"/>
      <c r="F120" s="323"/>
      <c r="G120" s="323"/>
      <c r="H120" s="323"/>
      <c r="I120" s="324"/>
      <c r="J120" s="324"/>
      <c r="K120" s="324"/>
      <c r="L120" s="324"/>
      <c r="M120" s="324"/>
      <c r="N120" s="324"/>
    </row>
    <row r="121" spans="1:14" ht="12.75">
      <c r="A121" s="280" t="s">
        <v>16</v>
      </c>
      <c r="B121" s="281"/>
      <c r="C121" s="281"/>
      <c r="D121" s="270" t="s">
        <v>17</v>
      </c>
      <c r="E121" s="270"/>
      <c r="F121" s="270" t="s">
        <v>18</v>
      </c>
      <c r="G121" s="270"/>
      <c r="H121" s="123" t="s">
        <v>19</v>
      </c>
      <c r="I121" s="270" t="s">
        <v>20</v>
      </c>
      <c r="J121" s="270"/>
      <c r="K121" s="270" t="s">
        <v>21</v>
      </c>
      <c r="L121" s="270"/>
      <c r="M121" s="270" t="s">
        <v>22</v>
      </c>
      <c r="N121" s="271"/>
    </row>
    <row r="122" spans="1:14" ht="12.75">
      <c r="A122" s="282" t="s">
        <v>32</v>
      </c>
      <c r="B122" s="283"/>
      <c r="C122" s="283"/>
      <c r="D122" s="485" t="s">
        <v>323</v>
      </c>
      <c r="E122" s="485"/>
      <c r="F122" s="272" t="s">
        <v>334</v>
      </c>
      <c r="G122" s="272"/>
      <c r="H122" s="272" t="s">
        <v>335</v>
      </c>
      <c r="I122" s="272" t="s">
        <v>34</v>
      </c>
      <c r="J122" s="272"/>
      <c r="K122" s="272" t="s">
        <v>336</v>
      </c>
      <c r="L122" s="272"/>
      <c r="M122" s="272" t="s">
        <v>337</v>
      </c>
      <c r="N122" s="484"/>
    </row>
    <row r="123" spans="1:14" ht="12.75">
      <c r="A123" s="284"/>
      <c r="B123" s="283"/>
      <c r="C123" s="283"/>
      <c r="D123" s="485"/>
      <c r="E123" s="485"/>
      <c r="F123" s="272"/>
      <c r="G123" s="272"/>
      <c r="H123" s="272"/>
      <c r="I123" s="272"/>
      <c r="J123" s="272"/>
      <c r="K123" s="272"/>
      <c r="L123" s="272"/>
      <c r="M123" s="272"/>
      <c r="N123" s="484"/>
    </row>
    <row r="124" spans="1:14" ht="12.75">
      <c r="A124" s="284"/>
      <c r="B124" s="283"/>
      <c r="C124" s="283"/>
      <c r="D124" s="312" t="s">
        <v>338</v>
      </c>
      <c r="E124" s="362"/>
      <c r="F124" s="312" t="s">
        <v>681</v>
      </c>
      <c r="G124" s="362"/>
      <c r="H124" s="312" t="s">
        <v>339</v>
      </c>
      <c r="I124" s="312" t="s">
        <v>270</v>
      </c>
      <c r="J124" s="362"/>
      <c r="K124" s="362"/>
      <c r="L124" s="362"/>
      <c r="M124" s="312" t="s">
        <v>340</v>
      </c>
      <c r="N124" s="349"/>
    </row>
    <row r="125" spans="1:14" ht="14.25" customHeight="1">
      <c r="A125" s="284"/>
      <c r="B125" s="283"/>
      <c r="C125" s="283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49"/>
    </row>
    <row r="126" spans="1:14" ht="12.75">
      <c r="A126" s="275" t="s">
        <v>35</v>
      </c>
      <c r="B126" s="276"/>
      <c r="C126" s="276"/>
      <c r="D126" s="278">
        <f>+J116</f>
        <v>0.14618088863578715</v>
      </c>
      <c r="E126" s="315"/>
      <c r="F126" s="455">
        <v>1</v>
      </c>
      <c r="G126" s="455"/>
      <c r="H126" s="3">
        <f>+$D$126*F126</f>
        <v>0.14618088863578715</v>
      </c>
      <c r="I126" s="488">
        <f>+$M$37</f>
        <v>1.392027214920826</v>
      </c>
      <c r="J126" s="315"/>
      <c r="K126" s="488">
        <f>+$J$27</f>
        <v>0.64</v>
      </c>
      <c r="L126" s="315"/>
      <c r="M126" s="278">
        <f>+H126*I126*K126</f>
        <v>0.13023217618068877</v>
      </c>
      <c r="N126" s="486"/>
    </row>
    <row r="127" spans="1:14" ht="12.75">
      <c r="A127" s="275" t="s">
        <v>140</v>
      </c>
      <c r="B127" s="276"/>
      <c r="C127" s="276"/>
      <c r="D127" s="487" t="s">
        <v>14</v>
      </c>
      <c r="E127" s="315"/>
      <c r="F127" s="455">
        <f>HLOOKUP($J$9,'Segment Tables'!$P$5:$T$21,15,FALSE)</f>
        <v>0.284</v>
      </c>
      <c r="G127" s="455"/>
      <c r="H127" s="3">
        <f>+$D$126*F127</f>
        <v>0.04151537237256355</v>
      </c>
      <c r="I127" s="488">
        <f>+$M$37</f>
        <v>1.392027214920826</v>
      </c>
      <c r="J127" s="315"/>
      <c r="K127" s="488">
        <f>+$J$27</f>
        <v>0.64</v>
      </c>
      <c r="L127" s="315"/>
      <c r="M127" s="278">
        <f>+H127*I127*K127</f>
        <v>0.036985938035315614</v>
      </c>
      <c r="N127" s="486"/>
    </row>
    <row r="128" spans="1:14" ht="13.5" thickBot="1">
      <c r="A128" s="255" t="s">
        <v>141</v>
      </c>
      <c r="B128" s="256"/>
      <c r="C128" s="256"/>
      <c r="D128" s="473" t="s">
        <v>14</v>
      </c>
      <c r="E128" s="474"/>
      <c r="F128" s="475">
        <f>HLOOKUP($J$9,'Segment Tables'!$P$5:$T$21,17,FALSE)</f>
        <v>0.716</v>
      </c>
      <c r="G128" s="475"/>
      <c r="H128" s="51">
        <f>+$D$126*F128</f>
        <v>0.1046655162632236</v>
      </c>
      <c r="I128" s="477">
        <f>+$M$37</f>
        <v>1.392027214920826</v>
      </c>
      <c r="J128" s="474"/>
      <c r="K128" s="477">
        <f>+$J$27</f>
        <v>0.64</v>
      </c>
      <c r="L128" s="474"/>
      <c r="M128" s="288">
        <f>+H128*I128*K128</f>
        <v>0.09324623814537315</v>
      </c>
      <c r="N128" s="489"/>
    </row>
    <row r="131" ht="13.5" thickBot="1"/>
    <row r="132" spans="1:14" ht="14.25" thickBot="1" thickTop="1">
      <c r="A132" s="285" t="s">
        <v>341</v>
      </c>
      <c r="B132" s="323"/>
      <c r="C132" s="323"/>
      <c r="D132" s="323"/>
      <c r="E132" s="323"/>
      <c r="F132" s="323"/>
      <c r="G132" s="323"/>
      <c r="H132" s="323"/>
      <c r="I132" s="324"/>
      <c r="J132" s="324"/>
      <c r="K132" s="324"/>
      <c r="L132" s="324"/>
      <c r="M132" s="324"/>
      <c r="N132" s="324"/>
    </row>
    <row r="133" spans="1:14" ht="12.75">
      <c r="A133" s="361" t="s">
        <v>16</v>
      </c>
      <c r="B133" s="270"/>
      <c r="C133" s="270" t="s">
        <v>17</v>
      </c>
      <c r="D133" s="270"/>
      <c r="E133" s="270" t="s">
        <v>18</v>
      </c>
      <c r="F133" s="270"/>
      <c r="G133" s="270" t="s">
        <v>19</v>
      </c>
      <c r="H133" s="270"/>
      <c r="I133" s="270" t="s">
        <v>20</v>
      </c>
      <c r="J133" s="270"/>
      <c r="K133" s="123" t="s">
        <v>21</v>
      </c>
      <c r="L133" s="123" t="s">
        <v>22</v>
      </c>
      <c r="M133" s="270" t="s">
        <v>23</v>
      </c>
      <c r="N133" s="271"/>
    </row>
    <row r="134" spans="1:14" ht="15.75" customHeight="1">
      <c r="A134" s="282" t="s">
        <v>32</v>
      </c>
      <c r="B134" s="491"/>
      <c r="C134" s="490" t="s">
        <v>267</v>
      </c>
      <c r="D134" s="490"/>
      <c r="E134" s="490" t="s">
        <v>306</v>
      </c>
      <c r="F134" s="490"/>
      <c r="G134" s="490" t="s">
        <v>337</v>
      </c>
      <c r="H134" s="490"/>
      <c r="I134" s="490" t="s">
        <v>345</v>
      </c>
      <c r="J134" s="490"/>
      <c r="K134" s="21" t="s">
        <v>351</v>
      </c>
      <c r="L134" s="272" t="s">
        <v>336</v>
      </c>
      <c r="M134" s="272" t="s">
        <v>342</v>
      </c>
      <c r="N134" s="349"/>
    </row>
    <row r="135" spans="1:14" ht="12.75">
      <c r="A135" s="282"/>
      <c r="B135" s="491"/>
      <c r="C135" s="312" t="s">
        <v>346</v>
      </c>
      <c r="D135" s="362"/>
      <c r="E135" s="312" t="s">
        <v>347</v>
      </c>
      <c r="F135" s="362"/>
      <c r="G135" s="312" t="s">
        <v>348</v>
      </c>
      <c r="H135" s="312"/>
      <c r="I135" s="312" t="s">
        <v>349</v>
      </c>
      <c r="J135" s="362"/>
      <c r="K135" s="312" t="s">
        <v>682</v>
      </c>
      <c r="L135" s="362"/>
      <c r="M135" s="312" t="s">
        <v>343</v>
      </c>
      <c r="N135" s="265"/>
    </row>
    <row r="136" spans="1:14" ht="12.75">
      <c r="A136" s="282"/>
      <c r="B136" s="491"/>
      <c r="C136" s="362"/>
      <c r="D136" s="362"/>
      <c r="E136" s="362"/>
      <c r="F136" s="362"/>
      <c r="G136" s="312"/>
      <c r="H136" s="312"/>
      <c r="I136" s="362"/>
      <c r="J136" s="362"/>
      <c r="K136" s="362"/>
      <c r="L136" s="362"/>
      <c r="M136" s="362"/>
      <c r="N136" s="349"/>
    </row>
    <row r="137" spans="1:14" ht="12.75">
      <c r="A137" s="492" t="s">
        <v>35</v>
      </c>
      <c r="B137" s="295"/>
      <c r="C137" s="278">
        <f>+$N$47</f>
        <v>1.8323950260316502</v>
      </c>
      <c r="D137" s="315"/>
      <c r="E137" s="278">
        <f>+$N$79</f>
        <v>0.6794951911122789</v>
      </c>
      <c r="F137" s="315"/>
      <c r="G137" s="278">
        <f>+$M$126</f>
        <v>0.13023217618068877</v>
      </c>
      <c r="H137" s="315"/>
      <c r="I137" s="278">
        <f>+C137+E137+G137</f>
        <v>2.6421223933246174</v>
      </c>
      <c r="J137" s="315"/>
      <c r="K137" s="120">
        <f>IF('Segment Tables'!$B$76="No",(IF($J$24="Posted Speed 30 mph or Lower",VLOOKUP($J$9,'Segment Tables'!$A$79:$J$83,3,FALSE),VLOOKUP($J$9,'Segment Tables'!$A$79:$J$83,5,FALSE))),(IF($J$24="Posted Speed 30 mph or Lower",VLOOKUP($J$9,'Segment Tables'!$A$79:$J$83,7,FALSE),VLOOKUP($J$9,'Segment Tables'!$A$79:$J$83,9,FALSE))))</f>
        <v>0.013</v>
      </c>
      <c r="L137" s="189">
        <f>+$J$27</f>
        <v>0.64</v>
      </c>
      <c r="M137" s="495">
        <f>+$I$137*$K$137*$L$137</f>
        <v>0.021982458312460817</v>
      </c>
      <c r="N137" s="496"/>
    </row>
    <row r="138" spans="1:14" ht="13.5" thickBot="1">
      <c r="A138" s="493" t="s">
        <v>140</v>
      </c>
      <c r="B138" s="287"/>
      <c r="C138" s="494" t="s">
        <v>14</v>
      </c>
      <c r="D138" s="476"/>
      <c r="E138" s="494" t="s">
        <v>14</v>
      </c>
      <c r="F138" s="476"/>
      <c r="G138" s="494" t="s">
        <v>14</v>
      </c>
      <c r="H138" s="476"/>
      <c r="I138" s="494" t="s">
        <v>14</v>
      </c>
      <c r="J138" s="476"/>
      <c r="K138" s="180" t="s">
        <v>14</v>
      </c>
      <c r="L138" s="190">
        <f>+$J$27</f>
        <v>0.64</v>
      </c>
      <c r="M138" s="497">
        <f>+$I$137*$K$137*$L$137</f>
        <v>0.021982458312460817</v>
      </c>
      <c r="N138" s="498"/>
    </row>
    <row r="141" ht="13.5" thickBot="1"/>
    <row r="142" spans="1:14" ht="14.25" thickBot="1" thickTop="1">
      <c r="A142" s="285" t="s">
        <v>350</v>
      </c>
      <c r="B142" s="323"/>
      <c r="C142" s="323"/>
      <c r="D142" s="323"/>
      <c r="E142" s="323"/>
      <c r="F142" s="323"/>
      <c r="G142" s="323"/>
      <c r="H142" s="323"/>
      <c r="I142" s="324"/>
      <c r="J142" s="324"/>
      <c r="K142" s="324"/>
      <c r="L142" s="324"/>
      <c r="M142" s="324"/>
      <c r="N142" s="324"/>
    </row>
    <row r="143" spans="1:14" ht="12.75">
      <c r="A143" s="361" t="s">
        <v>16</v>
      </c>
      <c r="B143" s="270"/>
      <c r="C143" s="270" t="s">
        <v>17</v>
      </c>
      <c r="D143" s="270"/>
      <c r="E143" s="270" t="s">
        <v>18</v>
      </c>
      <c r="F143" s="270"/>
      <c r="G143" s="270" t="s">
        <v>19</v>
      </c>
      <c r="H143" s="270"/>
      <c r="I143" s="270" t="s">
        <v>20</v>
      </c>
      <c r="J143" s="270"/>
      <c r="K143" s="123" t="s">
        <v>21</v>
      </c>
      <c r="L143" s="123" t="s">
        <v>22</v>
      </c>
      <c r="M143" s="270" t="s">
        <v>23</v>
      </c>
      <c r="N143" s="271"/>
    </row>
    <row r="144" spans="1:14" ht="14.25">
      <c r="A144" s="282" t="s">
        <v>32</v>
      </c>
      <c r="B144" s="491"/>
      <c r="C144" s="490" t="s">
        <v>267</v>
      </c>
      <c r="D144" s="490"/>
      <c r="E144" s="490" t="s">
        <v>306</v>
      </c>
      <c r="F144" s="490"/>
      <c r="G144" s="490" t="s">
        <v>337</v>
      </c>
      <c r="H144" s="490"/>
      <c r="I144" s="490" t="s">
        <v>345</v>
      </c>
      <c r="J144" s="490"/>
      <c r="K144" s="21" t="s">
        <v>344</v>
      </c>
      <c r="L144" s="272" t="s">
        <v>336</v>
      </c>
      <c r="M144" s="272" t="s">
        <v>586</v>
      </c>
      <c r="N144" s="349"/>
    </row>
    <row r="145" spans="1:14" ht="12.75">
      <c r="A145" s="282"/>
      <c r="B145" s="491"/>
      <c r="C145" s="312" t="s">
        <v>346</v>
      </c>
      <c r="D145" s="362"/>
      <c r="E145" s="312" t="s">
        <v>347</v>
      </c>
      <c r="F145" s="362"/>
      <c r="G145" s="312" t="s">
        <v>348</v>
      </c>
      <c r="H145" s="312"/>
      <c r="I145" s="312" t="s">
        <v>349</v>
      </c>
      <c r="J145" s="362"/>
      <c r="K145" s="312" t="s">
        <v>683</v>
      </c>
      <c r="L145" s="362"/>
      <c r="M145" s="312" t="s">
        <v>343</v>
      </c>
      <c r="N145" s="265"/>
    </row>
    <row r="146" spans="1:14" ht="12.75">
      <c r="A146" s="282"/>
      <c r="B146" s="491"/>
      <c r="C146" s="362"/>
      <c r="D146" s="362"/>
      <c r="E146" s="362"/>
      <c r="F146" s="362"/>
      <c r="G146" s="312"/>
      <c r="H146" s="312"/>
      <c r="I146" s="362"/>
      <c r="J146" s="362"/>
      <c r="K146" s="362"/>
      <c r="L146" s="362"/>
      <c r="M146" s="362"/>
      <c r="N146" s="349"/>
    </row>
    <row r="147" spans="1:14" ht="12.75">
      <c r="A147" s="492" t="s">
        <v>35</v>
      </c>
      <c r="B147" s="295"/>
      <c r="C147" s="278">
        <f>+$N$47</f>
        <v>1.8323950260316502</v>
      </c>
      <c r="D147" s="315"/>
      <c r="E147" s="278">
        <f>+$N$79</f>
        <v>0.6794951911122789</v>
      </c>
      <c r="F147" s="315"/>
      <c r="G147" s="278">
        <f>+$M$126</f>
        <v>0.13023217618068877</v>
      </c>
      <c r="H147" s="315"/>
      <c r="I147" s="278">
        <f>+C147+E147+G147</f>
        <v>2.6421223933246174</v>
      </c>
      <c r="J147" s="315"/>
      <c r="K147" s="120">
        <f>IF('Segment Tables'!$B$91="No",(IF($J$24="Posted Speed 30 mph or Lower",VLOOKUP($J$9,'Segment Tables'!$A$94:$J$98,3,FALSE),VLOOKUP($J$9,'Segment Tables'!$A$94:$J$98,5,FALSE))),(IF($J$24="Posted Speed 30 mph or Lower",VLOOKUP($J$9,'Segment Tables'!$A$94:$J$98,7,FALSE),VLOOKUP($J$9,'Segment Tables'!$A$94:$J$98,9,FALSE))))</f>
        <v>0.009</v>
      </c>
      <c r="L147" s="189">
        <f>+$J$27</f>
        <v>0.64</v>
      </c>
      <c r="M147" s="495">
        <f>+$I$147*$K$147*$L$147</f>
        <v>0.015218624985549796</v>
      </c>
      <c r="N147" s="496"/>
    </row>
    <row r="148" spans="1:14" ht="13.5" thickBot="1">
      <c r="A148" s="493" t="s">
        <v>140</v>
      </c>
      <c r="B148" s="287"/>
      <c r="C148" s="494" t="s">
        <v>14</v>
      </c>
      <c r="D148" s="476"/>
      <c r="E148" s="494" t="s">
        <v>14</v>
      </c>
      <c r="F148" s="476"/>
      <c r="G148" s="494" t="s">
        <v>14</v>
      </c>
      <c r="H148" s="476"/>
      <c r="I148" s="494" t="s">
        <v>14</v>
      </c>
      <c r="J148" s="476"/>
      <c r="K148" s="180" t="s">
        <v>14</v>
      </c>
      <c r="L148" s="190">
        <f>+$J$27</f>
        <v>0.64</v>
      </c>
      <c r="M148" s="497">
        <f>+$I$147*$K$147*$L$147</f>
        <v>0.015218624985549796</v>
      </c>
      <c r="N148" s="498"/>
    </row>
    <row r="151" ht="13.5" thickBot="1"/>
    <row r="152" spans="1:14" ht="14.25" thickBot="1" thickTop="1">
      <c r="A152" s="285" t="s">
        <v>352</v>
      </c>
      <c r="B152" s="323"/>
      <c r="C152" s="323"/>
      <c r="D152" s="323"/>
      <c r="E152" s="323"/>
      <c r="F152" s="323"/>
      <c r="G152" s="323"/>
      <c r="H152" s="323"/>
      <c r="I152" s="324"/>
      <c r="J152" s="324"/>
      <c r="K152" s="324"/>
      <c r="L152" s="324"/>
      <c r="M152" s="324"/>
      <c r="N152" s="324"/>
    </row>
    <row r="153" spans="1:14" ht="12.75">
      <c r="A153" s="464" t="s">
        <v>16</v>
      </c>
      <c r="B153" s="465"/>
      <c r="C153" s="465"/>
      <c r="D153" s="465"/>
      <c r="E153" s="465"/>
      <c r="F153" s="499" t="s">
        <v>17</v>
      </c>
      <c r="G153" s="499"/>
      <c r="H153" s="499"/>
      <c r="I153" s="499" t="s">
        <v>18</v>
      </c>
      <c r="J153" s="499"/>
      <c r="K153" s="499"/>
      <c r="L153" s="499" t="s">
        <v>19</v>
      </c>
      <c r="M153" s="499"/>
      <c r="N153" s="500"/>
    </row>
    <row r="154" spans="1:14" ht="12.75">
      <c r="A154" s="523" t="s">
        <v>52</v>
      </c>
      <c r="B154" s="524"/>
      <c r="C154" s="524"/>
      <c r="D154" s="524"/>
      <c r="E154" s="524"/>
      <c r="F154" s="508" t="s">
        <v>140</v>
      </c>
      <c r="G154" s="508"/>
      <c r="H154" s="508"/>
      <c r="I154" s="508" t="s">
        <v>141</v>
      </c>
      <c r="J154" s="508"/>
      <c r="K154" s="508"/>
      <c r="L154" s="508" t="s">
        <v>35</v>
      </c>
      <c r="M154" s="508"/>
      <c r="N154" s="509"/>
    </row>
    <row r="155" spans="1:14" ht="12.75">
      <c r="A155" s="525"/>
      <c r="B155" s="526"/>
      <c r="C155" s="526"/>
      <c r="D155" s="526"/>
      <c r="E155" s="526"/>
      <c r="F155" s="502" t="s">
        <v>353</v>
      </c>
      <c r="G155" s="502"/>
      <c r="H155" s="502"/>
      <c r="I155" s="502" t="s">
        <v>355</v>
      </c>
      <c r="J155" s="502"/>
      <c r="K155" s="502"/>
      <c r="L155" s="502" t="s">
        <v>357</v>
      </c>
      <c r="M155" s="502"/>
      <c r="N155" s="505"/>
    </row>
    <row r="156" spans="1:14" ht="12.75">
      <c r="A156" s="525"/>
      <c r="B156" s="526"/>
      <c r="C156" s="526"/>
      <c r="D156" s="526"/>
      <c r="E156" s="526"/>
      <c r="F156" s="506" t="s">
        <v>356</v>
      </c>
      <c r="G156" s="506"/>
      <c r="H156" s="506"/>
      <c r="I156" s="503" t="s">
        <v>348</v>
      </c>
      <c r="J156" s="503"/>
      <c r="K156" s="503"/>
      <c r="L156" s="506" t="s">
        <v>356</v>
      </c>
      <c r="M156" s="506"/>
      <c r="N156" s="507"/>
    </row>
    <row r="157" spans="1:14" ht="12.75">
      <c r="A157" s="527"/>
      <c r="B157" s="528"/>
      <c r="C157" s="528"/>
      <c r="D157" s="528"/>
      <c r="E157" s="528"/>
      <c r="F157" s="501" t="s">
        <v>354</v>
      </c>
      <c r="G157" s="501"/>
      <c r="H157" s="501"/>
      <c r="I157" s="504"/>
      <c r="J157" s="504"/>
      <c r="K157" s="504"/>
      <c r="L157" s="501" t="s">
        <v>354</v>
      </c>
      <c r="M157" s="501"/>
      <c r="N157" s="533"/>
    </row>
    <row r="158" spans="1:14" ht="12.75">
      <c r="A158" s="510" t="s">
        <v>358</v>
      </c>
      <c r="B158" s="490"/>
      <c r="C158" s="490"/>
      <c r="D158" s="490"/>
      <c r="E158" s="490"/>
      <c r="F158" s="490"/>
      <c r="G158" s="490"/>
      <c r="H158" s="490"/>
      <c r="I158" s="490"/>
      <c r="J158" s="490"/>
      <c r="K158" s="490"/>
      <c r="L158" s="490"/>
      <c r="M158" s="490"/>
      <c r="N158" s="511"/>
    </row>
    <row r="159" spans="1:14" ht="12.75">
      <c r="A159" s="275" t="s">
        <v>360</v>
      </c>
      <c r="B159" s="512"/>
      <c r="C159" s="512"/>
      <c r="D159" s="512"/>
      <c r="E159" s="512"/>
      <c r="F159" s="455">
        <f>+F64</f>
        <v>0.42047332369316404</v>
      </c>
      <c r="G159" s="274"/>
      <c r="H159" s="274"/>
      <c r="I159" s="455">
        <f>+J64</f>
        <v>0.8368232696953939</v>
      </c>
      <c r="J159" s="274"/>
      <c r="K159" s="274"/>
      <c r="L159" s="455">
        <f>+L64</f>
        <v>1.257296593388558</v>
      </c>
      <c r="M159" s="274"/>
      <c r="N159" s="297"/>
    </row>
    <row r="160" spans="1:14" ht="12.75">
      <c r="A160" s="275" t="s">
        <v>361</v>
      </c>
      <c r="B160" s="512"/>
      <c r="C160" s="512"/>
      <c r="D160" s="512"/>
      <c r="E160" s="512"/>
      <c r="F160" s="455">
        <f>+F65</f>
        <v>0.003222017806077885</v>
      </c>
      <c r="G160" s="274"/>
      <c r="H160" s="274"/>
      <c r="I160" s="455">
        <f>+J65</f>
        <v>0</v>
      </c>
      <c r="J160" s="274"/>
      <c r="K160" s="274"/>
      <c r="L160" s="455">
        <f>+L65</f>
        <v>0.003222017806077885</v>
      </c>
      <c r="M160" s="274"/>
      <c r="N160" s="297"/>
    </row>
    <row r="161" spans="1:14" ht="12.75">
      <c r="A161" s="275" t="s">
        <v>362</v>
      </c>
      <c r="B161" s="512"/>
      <c r="C161" s="512"/>
      <c r="D161" s="512"/>
      <c r="E161" s="512"/>
      <c r="F161" s="455">
        <f>+F66</f>
        <v>0.010203056385913302</v>
      </c>
      <c r="G161" s="274"/>
      <c r="H161" s="274"/>
      <c r="I161" s="455">
        <f>+J66</f>
        <v>0.010363136466816024</v>
      </c>
      <c r="J161" s="274"/>
      <c r="K161" s="274"/>
      <c r="L161" s="455">
        <f>+L66</f>
        <v>0.020566192852729325</v>
      </c>
      <c r="M161" s="274"/>
      <c r="N161" s="297"/>
    </row>
    <row r="162" spans="1:14" ht="12.75">
      <c r="A162" s="513" t="s">
        <v>363</v>
      </c>
      <c r="B162" s="514"/>
      <c r="C162" s="514"/>
      <c r="D162" s="514"/>
      <c r="E162" s="514"/>
      <c r="F162" s="455">
        <f>+F67</f>
        <v>0.020406112771826603</v>
      </c>
      <c r="G162" s="274"/>
      <c r="H162" s="274"/>
      <c r="I162" s="455">
        <f>+J67</f>
        <v>0.18394567228598438</v>
      </c>
      <c r="J162" s="274"/>
      <c r="K162" s="274"/>
      <c r="L162" s="455">
        <f>+L67</f>
        <v>0.204351785057811</v>
      </c>
      <c r="M162" s="274"/>
      <c r="N162" s="297"/>
    </row>
    <row r="163" spans="1:14" ht="12.75">
      <c r="A163" s="513" t="s">
        <v>364</v>
      </c>
      <c r="B163" s="514"/>
      <c r="C163" s="514"/>
      <c r="D163" s="514"/>
      <c r="E163" s="514"/>
      <c r="F163" s="455">
        <f>+F68</f>
        <v>0.006981038579835417</v>
      </c>
      <c r="G163" s="274"/>
      <c r="H163" s="274"/>
      <c r="I163" s="455">
        <f>+J68</f>
        <v>0.005181568233408012</v>
      </c>
      <c r="J163" s="274"/>
      <c r="K163" s="274"/>
      <c r="L163" s="455">
        <f>+L68</f>
        <v>0.012162606813243429</v>
      </c>
      <c r="M163" s="274"/>
      <c r="N163" s="297"/>
    </row>
    <row r="164" spans="1:14" ht="12.75">
      <c r="A164" s="513" t="s">
        <v>365</v>
      </c>
      <c r="B164" s="514"/>
      <c r="C164" s="514"/>
      <c r="D164" s="514"/>
      <c r="E164" s="514"/>
      <c r="F164" s="455">
        <f>+M127</f>
        <v>0.036985938035315614</v>
      </c>
      <c r="G164" s="274"/>
      <c r="H164" s="274"/>
      <c r="I164" s="455">
        <f>+M128</f>
        <v>0.09324623814537315</v>
      </c>
      <c r="J164" s="274"/>
      <c r="K164" s="274"/>
      <c r="L164" s="455">
        <f>+M126</f>
        <v>0.13023217618068877</v>
      </c>
      <c r="M164" s="274"/>
      <c r="N164" s="297"/>
    </row>
    <row r="165" spans="1:14" ht="12.75">
      <c r="A165" s="513" t="s">
        <v>366</v>
      </c>
      <c r="B165" s="514"/>
      <c r="C165" s="514"/>
      <c r="D165" s="514"/>
      <c r="E165" s="514"/>
      <c r="F165" s="455">
        <f>+F69</f>
        <v>0.07518041547515066</v>
      </c>
      <c r="G165" s="274"/>
      <c r="H165" s="274"/>
      <c r="I165" s="455">
        <f>+J69</f>
        <v>0.2590784116704006</v>
      </c>
      <c r="J165" s="274"/>
      <c r="K165" s="274"/>
      <c r="L165" s="455">
        <f>+L69</f>
        <v>0.3342588271455512</v>
      </c>
      <c r="M165" s="274"/>
      <c r="N165" s="297"/>
    </row>
    <row r="166" spans="1:14" ht="13.5" thickBot="1">
      <c r="A166" s="515" t="s">
        <v>367</v>
      </c>
      <c r="B166" s="516"/>
      <c r="C166" s="516"/>
      <c r="D166" s="516"/>
      <c r="E166" s="516"/>
      <c r="F166" s="517">
        <f>SUM(F159:H165)</f>
        <v>0.5734519027472835</v>
      </c>
      <c r="G166" s="453"/>
      <c r="H166" s="453"/>
      <c r="I166" s="517">
        <f>SUM(I159:K165)</f>
        <v>1.388638296497376</v>
      </c>
      <c r="J166" s="453"/>
      <c r="K166" s="453"/>
      <c r="L166" s="517">
        <f>SUM(L159:N165)</f>
        <v>1.9620901992446598</v>
      </c>
      <c r="M166" s="453"/>
      <c r="N166" s="531"/>
    </row>
    <row r="167" spans="1:14" ht="12.75">
      <c r="A167" s="518" t="s">
        <v>359</v>
      </c>
      <c r="B167" s="519"/>
      <c r="C167" s="519"/>
      <c r="D167" s="519"/>
      <c r="E167" s="519"/>
      <c r="F167" s="519"/>
      <c r="G167" s="519"/>
      <c r="H167" s="519"/>
      <c r="I167" s="519"/>
      <c r="J167" s="519"/>
      <c r="K167" s="519"/>
      <c r="L167" s="519"/>
      <c r="M167" s="519"/>
      <c r="N167" s="520"/>
    </row>
    <row r="168" spans="1:14" ht="12.75">
      <c r="A168" s="513" t="s">
        <v>368</v>
      </c>
      <c r="B168" s="514"/>
      <c r="C168" s="514"/>
      <c r="D168" s="514"/>
      <c r="E168" s="514"/>
      <c r="F168" s="455">
        <f>+F96</f>
        <v>0</v>
      </c>
      <c r="G168" s="274"/>
      <c r="H168" s="274"/>
      <c r="I168" s="455">
        <f>+J96</f>
        <v>0.04434680289447504</v>
      </c>
      <c r="J168" s="274"/>
      <c r="K168" s="274"/>
      <c r="L168" s="455">
        <f>+L96</f>
        <v>0.04434680289447504</v>
      </c>
      <c r="M168" s="274"/>
      <c r="N168" s="297"/>
    </row>
    <row r="169" spans="1:14" ht="12.75">
      <c r="A169" s="513" t="s">
        <v>369</v>
      </c>
      <c r="B169" s="514"/>
      <c r="C169" s="514"/>
      <c r="D169" s="514"/>
      <c r="E169" s="514"/>
      <c r="F169" s="455">
        <f>+F97</f>
        <v>0.04142507439569053</v>
      </c>
      <c r="G169" s="274"/>
      <c r="H169" s="274"/>
      <c r="I169" s="455">
        <f>+J97</f>
        <v>0.4872388993341024</v>
      </c>
      <c r="J169" s="274"/>
      <c r="K169" s="274"/>
      <c r="L169" s="455">
        <f>+L97</f>
        <v>0.5286639737297929</v>
      </c>
      <c r="M169" s="274"/>
      <c r="N169" s="297"/>
    </row>
    <row r="170" spans="1:14" ht="12.75">
      <c r="A170" s="513" t="s">
        <v>370</v>
      </c>
      <c r="B170" s="514"/>
      <c r="C170" s="514"/>
      <c r="D170" s="514"/>
      <c r="E170" s="514"/>
      <c r="F170" s="455">
        <f>+F98</f>
        <v>0</v>
      </c>
      <c r="G170" s="274"/>
      <c r="H170" s="274"/>
      <c r="I170" s="455">
        <f>+J98</f>
        <v>0</v>
      </c>
      <c r="J170" s="274"/>
      <c r="K170" s="274"/>
      <c r="L170" s="455">
        <f>+L98</f>
        <v>0</v>
      </c>
      <c r="M170" s="274"/>
      <c r="N170" s="297"/>
    </row>
    <row r="171" spans="1:14" ht="12.75">
      <c r="A171" s="513" t="s">
        <v>371</v>
      </c>
      <c r="B171" s="514"/>
      <c r="C171" s="514"/>
      <c r="D171" s="514"/>
      <c r="E171" s="514"/>
      <c r="F171" s="455">
        <f>+F99</f>
        <v>0.062137611593535785</v>
      </c>
      <c r="G171" s="274"/>
      <c r="H171" s="274"/>
      <c r="I171" s="455">
        <f>+J99</f>
        <v>0.04434680289447504</v>
      </c>
      <c r="J171" s="274"/>
      <c r="K171" s="274"/>
      <c r="L171" s="455">
        <f>+L99</f>
        <v>0.10648441448801083</v>
      </c>
      <c r="M171" s="274"/>
      <c r="N171" s="297"/>
    </row>
    <row r="172" spans="1:14" ht="12.75">
      <c r="A172" s="513" t="s">
        <v>372</v>
      </c>
      <c r="B172" s="514"/>
      <c r="C172" s="514"/>
      <c r="D172" s="514"/>
      <c r="E172" s="514"/>
      <c r="F172" s="455">
        <f>+M138</f>
        <v>0.021982458312460817</v>
      </c>
      <c r="G172" s="274"/>
      <c r="H172" s="274"/>
      <c r="I172" s="455">
        <v>0</v>
      </c>
      <c r="J172" s="455"/>
      <c r="K172" s="455"/>
      <c r="L172" s="455">
        <f>+M137</f>
        <v>0.021982458312460817</v>
      </c>
      <c r="M172" s="274"/>
      <c r="N172" s="297"/>
    </row>
    <row r="173" spans="1:14" ht="12.75">
      <c r="A173" s="513" t="s">
        <v>373</v>
      </c>
      <c r="B173" s="514"/>
      <c r="C173" s="514"/>
      <c r="D173" s="514"/>
      <c r="E173" s="514"/>
      <c r="F173" s="455">
        <f>+M148</f>
        <v>0.015218624985549796</v>
      </c>
      <c r="G173" s="274"/>
      <c r="H173" s="274"/>
      <c r="I173" s="455">
        <v>0</v>
      </c>
      <c r="J173" s="455"/>
      <c r="K173" s="455"/>
      <c r="L173" s="455">
        <f>+M147</f>
        <v>0.015218624985549796</v>
      </c>
      <c r="M173" s="274"/>
      <c r="N173" s="297"/>
    </row>
    <row r="174" spans="1:14" ht="13.5" thickBot="1">
      <c r="A174" s="515" t="s">
        <v>367</v>
      </c>
      <c r="B174" s="516"/>
      <c r="C174" s="516"/>
      <c r="D174" s="516"/>
      <c r="E174" s="516"/>
      <c r="F174" s="517">
        <f>SUM(F168:H173)</f>
        <v>0.1407637692872369</v>
      </c>
      <c r="G174" s="453"/>
      <c r="H174" s="453"/>
      <c r="I174" s="517">
        <f>SUM(I168:K173)</f>
        <v>0.5759325051230525</v>
      </c>
      <c r="J174" s="453"/>
      <c r="K174" s="453"/>
      <c r="L174" s="517">
        <f>SUM(L168:N173)</f>
        <v>0.7166962744102894</v>
      </c>
      <c r="M174" s="453"/>
      <c r="N174" s="531"/>
    </row>
    <row r="175" spans="1:14" ht="13.5" thickBot="1">
      <c r="A175" s="529" t="s">
        <v>35</v>
      </c>
      <c r="B175" s="530"/>
      <c r="C175" s="530"/>
      <c r="D175" s="530"/>
      <c r="E175" s="530"/>
      <c r="F175" s="521">
        <f>+F166+F174</f>
        <v>0.7142156720345204</v>
      </c>
      <c r="G175" s="522"/>
      <c r="H175" s="522"/>
      <c r="I175" s="521">
        <f>+I166+I174</f>
        <v>1.9645708016204284</v>
      </c>
      <c r="J175" s="522"/>
      <c r="K175" s="522"/>
      <c r="L175" s="521">
        <f>+L166+L174</f>
        <v>2.678786473654949</v>
      </c>
      <c r="M175" s="522"/>
      <c r="N175" s="532"/>
    </row>
    <row r="177" ht="12.75">
      <c r="N177" s="22"/>
    </row>
    <row r="178" ht="13.5" thickBot="1">
      <c r="N178" s="22"/>
    </row>
    <row r="179" spans="2:14" ht="14.25" thickBot="1" thickTop="1">
      <c r="B179" s="285" t="s">
        <v>374</v>
      </c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4"/>
    </row>
    <row r="180" spans="2:14" ht="12.75">
      <c r="B180" s="280" t="s">
        <v>16</v>
      </c>
      <c r="C180" s="281"/>
      <c r="D180" s="281"/>
      <c r="E180" s="270" t="s">
        <v>17</v>
      </c>
      <c r="F180" s="270"/>
      <c r="G180" s="270"/>
      <c r="H180" s="270" t="s">
        <v>18</v>
      </c>
      <c r="I180" s="270"/>
      <c r="J180" s="270"/>
      <c r="K180" s="270" t="s">
        <v>19</v>
      </c>
      <c r="L180" s="270"/>
      <c r="M180" s="271"/>
      <c r="N180" s="22"/>
    </row>
    <row r="181" spans="2:14" ht="15.75" customHeight="1">
      <c r="B181" s="282" t="s">
        <v>32</v>
      </c>
      <c r="C181" s="283"/>
      <c r="D181" s="283"/>
      <c r="E181" s="272" t="s">
        <v>375</v>
      </c>
      <c r="F181" s="272"/>
      <c r="G181" s="272"/>
      <c r="H181" s="272" t="s">
        <v>376</v>
      </c>
      <c r="I181" s="272"/>
      <c r="J181" s="272"/>
      <c r="K181" s="259" t="s">
        <v>377</v>
      </c>
      <c r="L181" s="260"/>
      <c r="M181" s="260"/>
      <c r="N181" s="22"/>
    </row>
    <row r="182" spans="2:13" ht="12.75">
      <c r="B182" s="284"/>
      <c r="C182" s="283"/>
      <c r="D182" s="283"/>
      <c r="E182" s="272"/>
      <c r="F182" s="272"/>
      <c r="G182" s="272"/>
      <c r="H182" s="272"/>
      <c r="I182" s="272"/>
      <c r="J182" s="272"/>
      <c r="K182" s="261"/>
      <c r="L182" s="262"/>
      <c r="M182" s="262"/>
    </row>
    <row r="183" spans="2:13" ht="12.75">
      <c r="B183" s="284"/>
      <c r="C183" s="283"/>
      <c r="D183" s="283"/>
      <c r="E183" s="272"/>
      <c r="F183" s="272"/>
      <c r="G183" s="272"/>
      <c r="H183" s="272"/>
      <c r="I183" s="272"/>
      <c r="J183" s="272"/>
      <c r="K183" s="263"/>
      <c r="L183" s="264"/>
      <c r="M183" s="264"/>
    </row>
    <row r="184" spans="2:13" ht="12.75">
      <c r="B184" s="284"/>
      <c r="C184" s="283"/>
      <c r="D184" s="283"/>
      <c r="E184" s="273" t="s">
        <v>378</v>
      </c>
      <c r="F184" s="274"/>
      <c r="G184" s="274"/>
      <c r="H184" s="272"/>
      <c r="I184" s="272"/>
      <c r="J184" s="272"/>
      <c r="K184" s="265" t="s">
        <v>379</v>
      </c>
      <c r="L184" s="266"/>
      <c r="M184" s="266"/>
    </row>
    <row r="185" spans="2:13" ht="12.75">
      <c r="B185" s="275" t="s">
        <v>35</v>
      </c>
      <c r="C185" s="276"/>
      <c r="D185" s="276"/>
      <c r="E185" s="257">
        <f>+L175</f>
        <v>2.678786473654949</v>
      </c>
      <c r="F185" s="257"/>
      <c r="G185" s="257"/>
      <c r="H185" s="277">
        <f>+$J$10</f>
        <v>1.5</v>
      </c>
      <c r="I185" s="277"/>
      <c r="J185" s="277"/>
      <c r="K185" s="257">
        <f>+E185/H185</f>
        <v>1.7858576491032994</v>
      </c>
      <c r="L185" s="257"/>
      <c r="M185" s="268"/>
    </row>
    <row r="186" spans="2:13" ht="12.75">
      <c r="B186" s="275" t="s">
        <v>140</v>
      </c>
      <c r="C186" s="276"/>
      <c r="D186" s="276"/>
      <c r="E186" s="257">
        <f>+F175</f>
        <v>0.7142156720345204</v>
      </c>
      <c r="F186" s="257"/>
      <c r="G186" s="257"/>
      <c r="H186" s="277">
        <f>+$J$10</f>
        <v>1.5</v>
      </c>
      <c r="I186" s="277"/>
      <c r="J186" s="277"/>
      <c r="K186" s="257">
        <f>+E186/H186</f>
        <v>0.47614378135634694</v>
      </c>
      <c r="L186" s="257"/>
      <c r="M186" s="268"/>
    </row>
    <row r="187" spans="2:13" ht="13.5" thickBot="1">
      <c r="B187" s="255" t="s">
        <v>141</v>
      </c>
      <c r="C187" s="256"/>
      <c r="D187" s="256"/>
      <c r="E187" s="258">
        <f>+I175</f>
        <v>1.9645708016204284</v>
      </c>
      <c r="F187" s="258"/>
      <c r="G187" s="258"/>
      <c r="H187" s="267">
        <f>+$J$10</f>
        <v>1.5</v>
      </c>
      <c r="I187" s="267"/>
      <c r="J187" s="267"/>
      <c r="K187" s="258">
        <f>+E187/H187</f>
        <v>1.3097138677469522</v>
      </c>
      <c r="L187" s="258"/>
      <c r="M187" s="269"/>
    </row>
  </sheetData>
  <sheetProtection/>
  <mergeCells count="592">
    <mergeCell ref="L174:N174"/>
    <mergeCell ref="L175:N175"/>
    <mergeCell ref="J24:N24"/>
    <mergeCell ref="L172:N172"/>
    <mergeCell ref="L173:N173"/>
    <mergeCell ref="L168:N168"/>
    <mergeCell ref="L169:N169"/>
    <mergeCell ref="L170:N170"/>
    <mergeCell ref="L171:N171"/>
    <mergeCell ref="L157:N157"/>
    <mergeCell ref="L166:N166"/>
    <mergeCell ref="A152:N152"/>
    <mergeCell ref="F153:H153"/>
    <mergeCell ref="F175:H175"/>
    <mergeCell ref="I168:K168"/>
    <mergeCell ref="I169:K169"/>
    <mergeCell ref="I170:K170"/>
    <mergeCell ref="I171:K171"/>
    <mergeCell ref="I172:K172"/>
    <mergeCell ref="I174:K174"/>
    <mergeCell ref="I175:K175"/>
    <mergeCell ref="A154:E157"/>
    <mergeCell ref="F168:H168"/>
    <mergeCell ref="F169:H169"/>
    <mergeCell ref="F170:H170"/>
    <mergeCell ref="F171:H171"/>
    <mergeCell ref="F165:H165"/>
    <mergeCell ref="A174:E174"/>
    <mergeCell ref="A175:E175"/>
    <mergeCell ref="F159:H159"/>
    <mergeCell ref="L161:N161"/>
    <mergeCell ref="L162:N162"/>
    <mergeCell ref="L163:N163"/>
    <mergeCell ref="L164:N164"/>
    <mergeCell ref="L165:N165"/>
    <mergeCell ref="I161:K161"/>
    <mergeCell ref="I162:K162"/>
    <mergeCell ref="I163:K163"/>
    <mergeCell ref="I164:K164"/>
    <mergeCell ref="I165:K165"/>
    <mergeCell ref="F160:H160"/>
    <mergeCell ref="F161:H161"/>
    <mergeCell ref="F162:H162"/>
    <mergeCell ref="F163:H163"/>
    <mergeCell ref="F164:H164"/>
    <mergeCell ref="F173:H173"/>
    <mergeCell ref="F166:H166"/>
    <mergeCell ref="F174:H174"/>
    <mergeCell ref="A168:E168"/>
    <mergeCell ref="A169:E169"/>
    <mergeCell ref="A170:E170"/>
    <mergeCell ref="A171:E171"/>
    <mergeCell ref="I166:K166"/>
    <mergeCell ref="A173:E173"/>
    <mergeCell ref="A172:E172"/>
    <mergeCell ref="F172:H172"/>
    <mergeCell ref="A167:N167"/>
    <mergeCell ref="I173:K173"/>
    <mergeCell ref="A161:E161"/>
    <mergeCell ref="A162:E162"/>
    <mergeCell ref="A163:E163"/>
    <mergeCell ref="A164:E164"/>
    <mergeCell ref="A165:E165"/>
    <mergeCell ref="A166:E166"/>
    <mergeCell ref="L154:N154"/>
    <mergeCell ref="A158:N158"/>
    <mergeCell ref="A159:E159"/>
    <mergeCell ref="A160:E160"/>
    <mergeCell ref="L159:N159"/>
    <mergeCell ref="L160:N160"/>
    <mergeCell ref="F155:H155"/>
    <mergeCell ref="F156:H156"/>
    <mergeCell ref="I159:K159"/>
    <mergeCell ref="I160:K160"/>
    <mergeCell ref="I153:K153"/>
    <mergeCell ref="L153:N153"/>
    <mergeCell ref="A153:E153"/>
    <mergeCell ref="F157:H157"/>
    <mergeCell ref="I155:K155"/>
    <mergeCell ref="I156:K157"/>
    <mergeCell ref="L155:N155"/>
    <mergeCell ref="L156:N156"/>
    <mergeCell ref="F154:H154"/>
    <mergeCell ref="I154:K154"/>
    <mergeCell ref="A148:B148"/>
    <mergeCell ref="C148:D148"/>
    <mergeCell ref="E148:F148"/>
    <mergeCell ref="G148:H148"/>
    <mergeCell ref="I148:J148"/>
    <mergeCell ref="M148:N148"/>
    <mergeCell ref="A147:B147"/>
    <mergeCell ref="C147:D147"/>
    <mergeCell ref="E147:F147"/>
    <mergeCell ref="G147:H147"/>
    <mergeCell ref="I147:J147"/>
    <mergeCell ref="M147:N147"/>
    <mergeCell ref="M144:N144"/>
    <mergeCell ref="C145:D146"/>
    <mergeCell ref="E145:F146"/>
    <mergeCell ref="G145:H146"/>
    <mergeCell ref="I145:J146"/>
    <mergeCell ref="K145:K146"/>
    <mergeCell ref="M145:N146"/>
    <mergeCell ref="A144:B146"/>
    <mergeCell ref="C144:D144"/>
    <mergeCell ref="E144:F144"/>
    <mergeCell ref="G144:H144"/>
    <mergeCell ref="I144:J144"/>
    <mergeCell ref="L144:L146"/>
    <mergeCell ref="A142:N142"/>
    <mergeCell ref="A143:B143"/>
    <mergeCell ref="C143:D143"/>
    <mergeCell ref="E143:F143"/>
    <mergeCell ref="G143:H143"/>
    <mergeCell ref="I143:J143"/>
    <mergeCell ref="M143:N143"/>
    <mergeCell ref="G137:H137"/>
    <mergeCell ref="G138:H138"/>
    <mergeCell ref="I137:J137"/>
    <mergeCell ref="I138:J138"/>
    <mergeCell ref="C135:D136"/>
    <mergeCell ref="M137:N137"/>
    <mergeCell ref="M138:N138"/>
    <mergeCell ref="E137:F137"/>
    <mergeCell ref="A134:B136"/>
    <mergeCell ref="A137:B137"/>
    <mergeCell ref="A138:B138"/>
    <mergeCell ref="C137:D137"/>
    <mergeCell ref="C138:D138"/>
    <mergeCell ref="E134:F134"/>
    <mergeCell ref="E135:F136"/>
    <mergeCell ref="C134:D134"/>
    <mergeCell ref="E138:F138"/>
    <mergeCell ref="G134:H134"/>
    <mergeCell ref="I134:J134"/>
    <mergeCell ref="M134:N134"/>
    <mergeCell ref="K135:K136"/>
    <mergeCell ref="L134:L136"/>
    <mergeCell ref="M135:N136"/>
    <mergeCell ref="I135:J136"/>
    <mergeCell ref="G135:H136"/>
    <mergeCell ref="M127:N127"/>
    <mergeCell ref="M128:N128"/>
    <mergeCell ref="A132:N132"/>
    <mergeCell ref="A133:B133"/>
    <mergeCell ref="M133:N133"/>
    <mergeCell ref="C133:D133"/>
    <mergeCell ref="E133:F133"/>
    <mergeCell ref="G133:H133"/>
    <mergeCell ref="I133:J133"/>
    <mergeCell ref="F127:G127"/>
    <mergeCell ref="F128:G128"/>
    <mergeCell ref="I126:J126"/>
    <mergeCell ref="I127:J127"/>
    <mergeCell ref="I128:J128"/>
    <mergeCell ref="K126:L126"/>
    <mergeCell ref="K127:L127"/>
    <mergeCell ref="K128:L128"/>
    <mergeCell ref="A127:C127"/>
    <mergeCell ref="A128:C128"/>
    <mergeCell ref="D126:E126"/>
    <mergeCell ref="D127:E127"/>
    <mergeCell ref="D128:E128"/>
    <mergeCell ref="D124:E125"/>
    <mergeCell ref="A120:N120"/>
    <mergeCell ref="A121:C121"/>
    <mergeCell ref="D121:E121"/>
    <mergeCell ref="F121:G121"/>
    <mergeCell ref="A126:C126"/>
    <mergeCell ref="A122:C125"/>
    <mergeCell ref="D122:E123"/>
    <mergeCell ref="F126:G126"/>
    <mergeCell ref="M126:N126"/>
    <mergeCell ref="F124:G125"/>
    <mergeCell ref="H124:H125"/>
    <mergeCell ref="I124:J125"/>
    <mergeCell ref="K122:L125"/>
    <mergeCell ref="M124:N125"/>
    <mergeCell ref="F122:G123"/>
    <mergeCell ref="H122:H123"/>
    <mergeCell ref="I122:J123"/>
    <mergeCell ref="M122:N123"/>
    <mergeCell ref="H115:I115"/>
    <mergeCell ref="H116:I116"/>
    <mergeCell ref="I121:J121"/>
    <mergeCell ref="K121:L121"/>
    <mergeCell ref="M121:N121"/>
    <mergeCell ref="J115:L115"/>
    <mergeCell ref="J116:L116"/>
    <mergeCell ref="M116:N116"/>
    <mergeCell ref="M109:N115"/>
    <mergeCell ref="J109:L109"/>
    <mergeCell ref="J113:L113"/>
    <mergeCell ref="J114:L114"/>
    <mergeCell ref="H109:I109"/>
    <mergeCell ref="H110:I110"/>
    <mergeCell ref="H111:I111"/>
    <mergeCell ref="H112:I112"/>
    <mergeCell ref="H113:I113"/>
    <mergeCell ref="H114:I114"/>
    <mergeCell ref="J110:L110"/>
    <mergeCell ref="D115:E115"/>
    <mergeCell ref="D116:E116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05:G106"/>
    <mergeCell ref="H104:I104"/>
    <mergeCell ref="J104:L104"/>
    <mergeCell ref="M104:N104"/>
    <mergeCell ref="H105:I106"/>
    <mergeCell ref="J105:L106"/>
    <mergeCell ref="M105:N106"/>
    <mergeCell ref="D104:E104"/>
    <mergeCell ref="F104:G104"/>
    <mergeCell ref="M107:N108"/>
    <mergeCell ref="L64:N64"/>
    <mergeCell ref="L69:N69"/>
    <mergeCell ref="H69:I69"/>
    <mergeCell ref="J64:K64"/>
    <mergeCell ref="J65:K65"/>
    <mergeCell ref="J66:K66"/>
    <mergeCell ref="J67:K67"/>
    <mergeCell ref="J56:K56"/>
    <mergeCell ref="L60:N61"/>
    <mergeCell ref="A105:C108"/>
    <mergeCell ref="A109:C109"/>
    <mergeCell ref="L65:N65"/>
    <mergeCell ref="L66:N66"/>
    <mergeCell ref="L67:N67"/>
    <mergeCell ref="L68:N68"/>
    <mergeCell ref="A103:N103"/>
    <mergeCell ref="A104:C104"/>
    <mergeCell ref="A110:C110"/>
    <mergeCell ref="A111:C111"/>
    <mergeCell ref="A112:C112"/>
    <mergeCell ref="J108:L108"/>
    <mergeCell ref="H107:I108"/>
    <mergeCell ref="F107:G108"/>
    <mergeCell ref="D105:E108"/>
    <mergeCell ref="J107:L107"/>
    <mergeCell ref="J111:L111"/>
    <mergeCell ref="J112:L112"/>
    <mergeCell ref="A114:C114"/>
    <mergeCell ref="A115:C115"/>
    <mergeCell ref="A116:C116"/>
    <mergeCell ref="D109:E109"/>
    <mergeCell ref="D110:E110"/>
    <mergeCell ref="D111:E111"/>
    <mergeCell ref="D112:E112"/>
    <mergeCell ref="A113:C113"/>
    <mergeCell ref="D113:E113"/>
    <mergeCell ref="D114:E114"/>
    <mergeCell ref="J68:K68"/>
    <mergeCell ref="J69:K69"/>
    <mergeCell ref="H63:I63"/>
    <mergeCell ref="H64:I64"/>
    <mergeCell ref="H65:I65"/>
    <mergeCell ref="H66:I66"/>
    <mergeCell ref="H67:I67"/>
    <mergeCell ref="H68:I68"/>
    <mergeCell ref="F65:G65"/>
    <mergeCell ref="F66:G66"/>
    <mergeCell ref="F67:G67"/>
    <mergeCell ref="F68:G68"/>
    <mergeCell ref="F69:G69"/>
    <mergeCell ref="F64:G64"/>
    <mergeCell ref="A68:C68"/>
    <mergeCell ref="A69:C69"/>
    <mergeCell ref="D63:E63"/>
    <mergeCell ref="D64:E64"/>
    <mergeCell ref="D65:E65"/>
    <mergeCell ref="D66:E66"/>
    <mergeCell ref="D67:E67"/>
    <mergeCell ref="D68:E68"/>
    <mergeCell ref="D69:E69"/>
    <mergeCell ref="A50:B51"/>
    <mergeCell ref="I51:J51"/>
    <mergeCell ref="F63:G63"/>
    <mergeCell ref="J63:K63"/>
    <mergeCell ref="L63:N63"/>
    <mergeCell ref="A67:C67"/>
    <mergeCell ref="A64:C64"/>
    <mergeCell ref="A65:C65"/>
    <mergeCell ref="A63:C63"/>
    <mergeCell ref="A66:C66"/>
    <mergeCell ref="D62:E62"/>
    <mergeCell ref="H62:I62"/>
    <mergeCell ref="A62:C62"/>
    <mergeCell ref="F62:G62"/>
    <mergeCell ref="J62:K62"/>
    <mergeCell ref="L62:N62"/>
    <mergeCell ref="A56:C56"/>
    <mergeCell ref="A57:C61"/>
    <mergeCell ref="H57:I59"/>
    <mergeCell ref="J57:K59"/>
    <mergeCell ref="H60:I61"/>
    <mergeCell ref="J60:K61"/>
    <mergeCell ref="F60:G61"/>
    <mergeCell ref="F57:G59"/>
    <mergeCell ref="D57:E59"/>
    <mergeCell ref="D60:E61"/>
    <mergeCell ref="D56:E56"/>
    <mergeCell ref="H56:I56"/>
    <mergeCell ref="L56:N56"/>
    <mergeCell ref="L57:N59"/>
    <mergeCell ref="I50:J50"/>
    <mergeCell ref="G50:H51"/>
    <mergeCell ref="K50:K51"/>
    <mergeCell ref="L50:L51"/>
    <mergeCell ref="A55:N55"/>
    <mergeCell ref="F56:G56"/>
    <mergeCell ref="M50:M51"/>
    <mergeCell ref="N48:N49"/>
    <mergeCell ref="N50:N51"/>
    <mergeCell ref="I48:J48"/>
    <mergeCell ref="I47:J47"/>
    <mergeCell ref="I49:J49"/>
    <mergeCell ref="M48:M49"/>
    <mergeCell ref="J33:L34"/>
    <mergeCell ref="F37:G37"/>
    <mergeCell ref="C42:D42"/>
    <mergeCell ref="G48:H49"/>
    <mergeCell ref="L48:L49"/>
    <mergeCell ref="E45:F46"/>
    <mergeCell ref="G45:H46"/>
    <mergeCell ref="K45:K46"/>
    <mergeCell ref="E48:F49"/>
    <mergeCell ref="E47:F47"/>
    <mergeCell ref="A35:B35"/>
    <mergeCell ref="A33:B34"/>
    <mergeCell ref="C33:E34"/>
    <mergeCell ref="L45:L46"/>
    <mergeCell ref="G47:H47"/>
    <mergeCell ref="K48:K49"/>
    <mergeCell ref="J36:L36"/>
    <mergeCell ref="A43:B46"/>
    <mergeCell ref="H37:I37"/>
    <mergeCell ref="J37:L37"/>
    <mergeCell ref="A37:B37"/>
    <mergeCell ref="C37:E37"/>
    <mergeCell ref="F33:G34"/>
    <mergeCell ref="C39:E39"/>
    <mergeCell ref="H32:I32"/>
    <mergeCell ref="H33:I34"/>
    <mergeCell ref="A36:B36"/>
    <mergeCell ref="C36:E36"/>
    <mergeCell ref="F36:G36"/>
    <mergeCell ref="H36:I36"/>
    <mergeCell ref="A20:G20"/>
    <mergeCell ref="H21:I21"/>
    <mergeCell ref="H22:I22"/>
    <mergeCell ref="J32:L32"/>
    <mergeCell ref="A31:N31"/>
    <mergeCell ref="A32:B32"/>
    <mergeCell ref="C32:E32"/>
    <mergeCell ref="F32:G32"/>
    <mergeCell ref="H27:I27"/>
    <mergeCell ref="J27:N27"/>
    <mergeCell ref="J25:N25"/>
    <mergeCell ref="J21:N21"/>
    <mergeCell ref="J22:N22"/>
    <mergeCell ref="H25:I25"/>
    <mergeCell ref="H20:I20"/>
    <mergeCell ref="A17:G17"/>
    <mergeCell ref="H17:I17"/>
    <mergeCell ref="J17:N17"/>
    <mergeCell ref="A22:G22"/>
    <mergeCell ref="A19:G19"/>
    <mergeCell ref="A21:G21"/>
    <mergeCell ref="A16:G16"/>
    <mergeCell ref="H16:I16"/>
    <mergeCell ref="J16:N16"/>
    <mergeCell ref="A14:G14"/>
    <mergeCell ref="H14:I14"/>
    <mergeCell ref="J14:N14"/>
    <mergeCell ref="A15:G15"/>
    <mergeCell ref="H15:I15"/>
    <mergeCell ref="J15:N15"/>
    <mergeCell ref="J11:N11"/>
    <mergeCell ref="A13:G13"/>
    <mergeCell ref="H13:I13"/>
    <mergeCell ref="J13:N13"/>
    <mergeCell ref="A12:G12"/>
    <mergeCell ref="J12:N12"/>
    <mergeCell ref="A11:D11"/>
    <mergeCell ref="H7:J7"/>
    <mergeCell ref="K7:N7"/>
    <mergeCell ref="A10:G10"/>
    <mergeCell ref="H10:I10"/>
    <mergeCell ref="J10:N10"/>
    <mergeCell ref="H12:I12"/>
    <mergeCell ref="A9:G9"/>
    <mergeCell ref="H9:I9"/>
    <mergeCell ref="J9:N9"/>
    <mergeCell ref="H11:I11"/>
    <mergeCell ref="K4:N4"/>
    <mergeCell ref="H6:J6"/>
    <mergeCell ref="K6:N6"/>
    <mergeCell ref="A6:C6"/>
    <mergeCell ref="E6:G6"/>
    <mergeCell ref="A8:G8"/>
    <mergeCell ref="H8:I8"/>
    <mergeCell ref="J8:N8"/>
    <mergeCell ref="A7:C7"/>
    <mergeCell ref="E7:G7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H26:I26"/>
    <mergeCell ref="A18:G18"/>
    <mergeCell ref="H18:I18"/>
    <mergeCell ref="J18:N18"/>
    <mergeCell ref="A23:G23"/>
    <mergeCell ref="A24:G24"/>
    <mergeCell ref="A25:G25"/>
    <mergeCell ref="J19:N19"/>
    <mergeCell ref="J20:N20"/>
    <mergeCell ref="H19:I19"/>
    <mergeCell ref="H23:I23"/>
    <mergeCell ref="H24:I24"/>
    <mergeCell ref="J26:N26"/>
    <mergeCell ref="A42:B42"/>
    <mergeCell ref="A41:N41"/>
    <mergeCell ref="E42:F42"/>
    <mergeCell ref="G42:H42"/>
    <mergeCell ref="I42:J42"/>
    <mergeCell ref="M32:N32"/>
    <mergeCell ref="M33:N34"/>
    <mergeCell ref="A26:G26"/>
    <mergeCell ref="A27:G27"/>
    <mergeCell ref="C50:C51"/>
    <mergeCell ref="D50:D51"/>
    <mergeCell ref="E50:F51"/>
    <mergeCell ref="K43:K44"/>
    <mergeCell ref="A47:B47"/>
    <mergeCell ref="A48:B49"/>
    <mergeCell ref="C48:C49"/>
    <mergeCell ref="D48:D49"/>
    <mergeCell ref="G43:H44"/>
    <mergeCell ref="I43:J46"/>
    <mergeCell ref="M43:M46"/>
    <mergeCell ref="C45:D45"/>
    <mergeCell ref="E43:F44"/>
    <mergeCell ref="L43:L44"/>
    <mergeCell ref="N45:N46"/>
    <mergeCell ref="M35:N35"/>
    <mergeCell ref="C35:E35"/>
    <mergeCell ref="F35:G35"/>
    <mergeCell ref="H35:I35"/>
    <mergeCell ref="J35:L35"/>
    <mergeCell ref="M36:N36"/>
    <mergeCell ref="M37:N37"/>
    <mergeCell ref="N43:N44"/>
    <mergeCell ref="C43:D44"/>
    <mergeCell ref="I75:J78"/>
    <mergeCell ref="K75:K76"/>
    <mergeCell ref="C77:D77"/>
    <mergeCell ref="E77:F78"/>
    <mergeCell ref="G77:H78"/>
    <mergeCell ref="K77:K78"/>
    <mergeCell ref="A73:N73"/>
    <mergeCell ref="A74:B74"/>
    <mergeCell ref="C74:D74"/>
    <mergeCell ref="E74:F74"/>
    <mergeCell ref="G74:H74"/>
    <mergeCell ref="I74:J74"/>
    <mergeCell ref="L77:L78"/>
    <mergeCell ref="N77:N78"/>
    <mergeCell ref="A79:B79"/>
    <mergeCell ref="E79:F79"/>
    <mergeCell ref="G79:H79"/>
    <mergeCell ref="I79:J79"/>
    <mergeCell ref="A75:B78"/>
    <mergeCell ref="C75:D76"/>
    <mergeCell ref="E75:F76"/>
    <mergeCell ref="G75:H76"/>
    <mergeCell ref="A80:B81"/>
    <mergeCell ref="C80:C81"/>
    <mergeCell ref="D80:D81"/>
    <mergeCell ref="E80:F81"/>
    <mergeCell ref="G80:H81"/>
    <mergeCell ref="I80:J80"/>
    <mergeCell ref="K80:K81"/>
    <mergeCell ref="L80:L81"/>
    <mergeCell ref="M80:M81"/>
    <mergeCell ref="N80:N81"/>
    <mergeCell ref="I81:J81"/>
    <mergeCell ref="A82:B83"/>
    <mergeCell ref="C82:C83"/>
    <mergeCell ref="D82:D83"/>
    <mergeCell ref="E82:F83"/>
    <mergeCell ref="G82:H83"/>
    <mergeCell ref="I82:J82"/>
    <mergeCell ref="K82:K83"/>
    <mergeCell ref="L82:L83"/>
    <mergeCell ref="M82:M83"/>
    <mergeCell ref="N82:N83"/>
    <mergeCell ref="I83:J83"/>
    <mergeCell ref="L88:N88"/>
    <mergeCell ref="L75:L76"/>
    <mergeCell ref="M75:M78"/>
    <mergeCell ref="N75:N76"/>
    <mergeCell ref="F92:G93"/>
    <mergeCell ref="H92:I93"/>
    <mergeCell ref="J92:K93"/>
    <mergeCell ref="L92:N93"/>
    <mergeCell ref="A87:N87"/>
    <mergeCell ref="A88:C88"/>
    <mergeCell ref="D88:E88"/>
    <mergeCell ref="F88:G88"/>
    <mergeCell ref="H88:I88"/>
    <mergeCell ref="J88:K88"/>
    <mergeCell ref="H94:I94"/>
    <mergeCell ref="J94:K94"/>
    <mergeCell ref="L94:N94"/>
    <mergeCell ref="H89:I91"/>
    <mergeCell ref="J89:K91"/>
    <mergeCell ref="L89:N91"/>
    <mergeCell ref="A89:C93"/>
    <mergeCell ref="D89:E91"/>
    <mergeCell ref="F89:G91"/>
    <mergeCell ref="D92:E93"/>
    <mergeCell ref="A95:C95"/>
    <mergeCell ref="D95:E95"/>
    <mergeCell ref="F95:G95"/>
    <mergeCell ref="A94:C94"/>
    <mergeCell ref="D94:E94"/>
    <mergeCell ref="F94:G94"/>
    <mergeCell ref="A98:C98"/>
    <mergeCell ref="H95:I95"/>
    <mergeCell ref="J95:K95"/>
    <mergeCell ref="L95:N95"/>
    <mergeCell ref="A96:C96"/>
    <mergeCell ref="D96:E96"/>
    <mergeCell ref="F96:G96"/>
    <mergeCell ref="H96:I96"/>
    <mergeCell ref="J96:K96"/>
    <mergeCell ref="L96:N96"/>
    <mergeCell ref="A97:C97"/>
    <mergeCell ref="D97:E97"/>
    <mergeCell ref="F97:G97"/>
    <mergeCell ref="H97:I97"/>
    <mergeCell ref="J97:K97"/>
    <mergeCell ref="L97:N97"/>
    <mergeCell ref="H99:I99"/>
    <mergeCell ref="J99:K99"/>
    <mergeCell ref="L99:N99"/>
    <mergeCell ref="H98:I98"/>
    <mergeCell ref="J98:K98"/>
    <mergeCell ref="L98:N98"/>
    <mergeCell ref="D98:E98"/>
    <mergeCell ref="F98:G98"/>
    <mergeCell ref="B180:D180"/>
    <mergeCell ref="B181:D184"/>
    <mergeCell ref="E180:G180"/>
    <mergeCell ref="H180:J180"/>
    <mergeCell ref="B179:M179"/>
    <mergeCell ref="A99:C99"/>
    <mergeCell ref="D99:E99"/>
    <mergeCell ref="F99:G99"/>
    <mergeCell ref="K187:M187"/>
    <mergeCell ref="K180:M180"/>
    <mergeCell ref="E181:G183"/>
    <mergeCell ref="H181:J184"/>
    <mergeCell ref="E184:G184"/>
    <mergeCell ref="B185:D185"/>
    <mergeCell ref="B186:D186"/>
    <mergeCell ref="H185:J185"/>
    <mergeCell ref="H186:J186"/>
    <mergeCell ref="J23:N23"/>
    <mergeCell ref="B187:D187"/>
    <mergeCell ref="E185:G185"/>
    <mergeCell ref="E186:G186"/>
    <mergeCell ref="E187:G187"/>
    <mergeCell ref="K181:M183"/>
    <mergeCell ref="K184:M184"/>
    <mergeCell ref="H187:J187"/>
    <mergeCell ref="K185:M185"/>
    <mergeCell ref="K186:M186"/>
  </mergeCells>
  <conditionalFormatting sqref="J11:N11">
    <cfRule type="cellIs" priority="1" dxfId="0" operator="greaterThan" stopIfTrue="1">
      <formula>$F$11</formula>
    </cfRule>
  </conditionalFormatting>
  <dataValidations count="14">
    <dataValidation type="decimal" allowBlank="1" showInputMessage="1" showErrorMessage="1" sqref="J27:N27 P27">
      <formula1>0</formula1>
      <formula2>10</formula2>
    </dataValidation>
    <dataValidation type="list" allowBlank="1" showInputMessage="1" showErrorMessage="1" sqref="J14:N14 P14">
      <formula1>UMedWidth</formula1>
    </dataValidation>
    <dataValidation type="list" operator="greaterThan" allowBlank="1" showInputMessage="1" showErrorMessage="1" sqref="J9:N9">
      <formula1>RType</formula1>
    </dataValidation>
    <dataValidation type="decimal" operator="greaterThan" allowBlank="1" showInputMessage="1" showErrorMessage="1" sqref="J10:N10 P10">
      <formula1>0</formula1>
    </dataValidation>
    <dataValidation type="decimal" operator="lessThanOrEqual" allowBlank="1" showInputMessage="1" showErrorMessage="1" sqref="J13:N13 P13">
      <formula1>1</formula1>
    </dataValidation>
    <dataValidation type="whole" allowBlank="1" showInputMessage="1" showErrorMessage="1" sqref="J11:N11 P11">
      <formula1>0</formula1>
      <formula2>66000</formula2>
    </dataValidation>
    <dataValidation type="whole" operator="greaterThan" allowBlank="1" showInputMessage="1" showErrorMessage="1" sqref="K7:P7">
      <formula1>1990</formula1>
    </dataValidation>
    <dataValidation type="list" allowBlank="1" showInputMessage="1" showErrorMessage="1" sqref="J15:N16 P15:P16">
      <formula1>PresOrNot</formula1>
    </dataValidation>
    <dataValidation type="list" allowBlank="1" showInputMessage="1" showErrorMessage="1" sqref="J12:N12 P12">
      <formula1>OnStreetType</formula1>
    </dataValidation>
    <dataValidation type="list" allowBlank="1" showInputMessage="1" showErrorMessage="1" sqref="P26">
      <formula1>OffsetFO</formula1>
    </dataValidation>
    <dataValidation type="decimal" operator="greaterThanOrEqual" allowBlank="1" showInputMessage="1" showErrorMessage="1" sqref="J25:N25 P25">
      <formula1>0</formula1>
    </dataValidation>
    <dataValidation type="whole" operator="greaterThanOrEqual" allowBlank="1" showInputMessage="1" showErrorMessage="1" sqref="J17:N23">
      <formula1>0</formula1>
    </dataValidation>
    <dataValidation type="list" allowBlank="1" showInputMessage="1" showErrorMessage="1" sqref="J24:N24">
      <formula1>Posted</formula1>
    </dataValidation>
    <dataValidation type="whole" allowBlank="1" showInputMessage="1" showErrorMessage="1" sqref="J26:N26">
      <formula1>2</formula1>
      <formula2>30</formula2>
    </dataValidation>
  </dataValidations>
  <printOptions/>
  <pageMargins left="0.7" right="0.7" top="0.75" bottom="0.75" header="0.3" footer="0.3"/>
  <pageSetup fitToHeight="4" horizontalDpi="600" verticalDpi="600" orientation="landscape" scale="76" r:id="rId1"/>
  <headerFooter>
    <oddHeader>&amp;CHSM Urban and Suburban Arterial Predictive Method</oddHeader>
    <oddFooter>&amp;R&amp;P</oddFooter>
  </headerFooter>
  <rowBreaks count="2" manualBreakCount="2">
    <brk id="101" max="13" man="1"/>
    <brk id="1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8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8" max="8" width="12.140625" style="0" customWidth="1"/>
    <col min="9" max="9" width="11.00390625" style="0" customWidth="1"/>
    <col min="11" max="11" width="11.7109375" style="0" customWidth="1"/>
    <col min="12" max="12" width="13.7109375" style="0" customWidth="1"/>
    <col min="13" max="13" width="12.28125" style="0" customWidth="1"/>
    <col min="14" max="15" width="11.28125" style="0" customWidth="1"/>
    <col min="16" max="16" width="22.00390625" style="0" customWidth="1"/>
    <col min="17" max="17" width="24.8515625" style="0" customWidth="1"/>
    <col min="18" max="18" width="15.8515625" style="0" customWidth="1"/>
    <col min="19" max="20" width="16.28125" style="158" customWidth="1"/>
    <col min="21" max="21" width="15.8515625" style="158" customWidth="1"/>
    <col min="22" max="22" width="18.00390625" style="158" customWidth="1"/>
    <col min="23" max="23" width="14.7109375" style="158" customWidth="1"/>
    <col min="24" max="24" width="16.28125" style="158" customWidth="1"/>
    <col min="25" max="25" width="14.7109375" style="158" customWidth="1"/>
    <col min="26" max="26" width="18.140625" style="158" customWidth="1"/>
    <col min="27" max="33" width="14.7109375" style="158" customWidth="1"/>
    <col min="34" max="34" width="14.421875" style="158" customWidth="1"/>
    <col min="35" max="36" width="14.7109375" style="158" customWidth="1"/>
    <col min="37" max="37" width="11.57421875" style="158" customWidth="1"/>
    <col min="38" max="38" width="9.140625" style="158" customWidth="1"/>
    <col min="40" max="40" width="11.28125" style="0" customWidth="1"/>
    <col min="41" max="41" width="11.00390625" style="0" customWidth="1"/>
    <col min="42" max="42" width="12.00390625" style="0" customWidth="1"/>
    <col min="43" max="43" width="13.28125" style="0" customWidth="1"/>
    <col min="44" max="44" width="10.28125" style="0" customWidth="1"/>
    <col min="45" max="45" width="11.7109375" style="0" customWidth="1"/>
    <col min="46" max="46" width="10.7109375" style="0" customWidth="1"/>
    <col min="47" max="47" width="13.28125" style="0" customWidth="1"/>
    <col min="48" max="48" width="10.00390625" style="0" customWidth="1"/>
    <col min="49" max="49" width="13.28125" style="0" customWidth="1"/>
    <col min="54" max="54" width="12.140625" style="0" customWidth="1"/>
    <col min="55" max="55" width="12.57421875" style="0" customWidth="1"/>
    <col min="56" max="57" width="12.28125" style="0" customWidth="1"/>
    <col min="60" max="60" width="10.140625" style="0" customWidth="1"/>
  </cols>
  <sheetData>
    <row r="1" spans="39:79" ht="13.5" thickBot="1">
      <c r="AM1" s="6"/>
      <c r="AP1" s="25"/>
      <c r="AV1" s="7"/>
      <c r="BA1" s="15"/>
      <c r="BB1" s="15"/>
      <c r="BC1" s="15"/>
      <c r="BD1" s="15"/>
      <c r="BE1" s="15"/>
      <c r="BF1" s="15"/>
      <c r="BG1" s="29"/>
      <c r="BH1" s="29"/>
      <c r="BI1" s="15"/>
      <c r="BJ1" s="15"/>
      <c r="BK1" s="15"/>
      <c r="BL1" s="15"/>
      <c r="BM1" s="15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</row>
    <row r="2" spans="1:79" ht="12.75" customHeight="1" thickBot="1" thickTop="1">
      <c r="A2" s="285" t="s">
        <v>200</v>
      </c>
      <c r="B2" s="323"/>
      <c r="C2" s="323"/>
      <c r="D2" s="323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15"/>
      <c r="P2" s="15"/>
      <c r="BL2" s="15"/>
      <c r="BM2" s="15"/>
      <c r="BN2" s="45"/>
      <c r="BO2" s="45"/>
      <c r="BP2" s="45"/>
      <c r="BQ2" s="45"/>
      <c r="BR2" s="29"/>
      <c r="BS2" s="29"/>
      <c r="BT2" s="29"/>
      <c r="BU2" s="29"/>
      <c r="BV2" s="45"/>
      <c r="BW2" s="45"/>
      <c r="BX2" s="45"/>
      <c r="BY2" s="45"/>
      <c r="BZ2" s="45"/>
      <c r="CA2" s="29"/>
    </row>
    <row r="3" spans="1:79" ht="12.75">
      <c r="A3" s="378" t="s">
        <v>0</v>
      </c>
      <c r="B3" s="379"/>
      <c r="C3" s="379"/>
      <c r="D3" s="379"/>
      <c r="E3" s="379"/>
      <c r="F3" s="379"/>
      <c r="G3" s="380"/>
      <c r="H3" s="381" t="s">
        <v>8</v>
      </c>
      <c r="I3" s="382"/>
      <c r="J3" s="382"/>
      <c r="K3" s="382"/>
      <c r="L3" s="382"/>
      <c r="M3" s="382"/>
      <c r="N3" s="382"/>
      <c r="O3" s="25"/>
      <c r="P3" s="25"/>
      <c r="T3" s="158" t="s">
        <v>610</v>
      </c>
      <c r="Y3" s="158" t="s">
        <v>611</v>
      </c>
      <c r="BL3" s="15"/>
      <c r="BM3" s="15"/>
      <c r="BN3" s="45"/>
      <c r="BO3" s="45"/>
      <c r="BP3" s="45"/>
      <c r="BQ3" s="45"/>
      <c r="BR3" s="29"/>
      <c r="BS3" s="29"/>
      <c r="BT3" s="29"/>
      <c r="BU3" s="29"/>
      <c r="BV3" s="45"/>
      <c r="BW3" s="45"/>
      <c r="BX3" s="45"/>
      <c r="BY3" s="45"/>
      <c r="BZ3" s="45"/>
      <c r="CA3" s="29"/>
    </row>
    <row r="4" spans="1:79" ht="12.75" customHeight="1">
      <c r="A4" s="391" t="s">
        <v>1</v>
      </c>
      <c r="B4" s="391"/>
      <c r="C4" s="391"/>
      <c r="D4" s="20"/>
      <c r="E4" s="392" t="s">
        <v>195</v>
      </c>
      <c r="F4" s="393"/>
      <c r="G4" s="394"/>
      <c r="H4" s="395" t="s">
        <v>9</v>
      </c>
      <c r="I4" s="391"/>
      <c r="J4" s="396"/>
      <c r="K4" s="392" t="s">
        <v>196</v>
      </c>
      <c r="L4" s="393"/>
      <c r="M4" s="393"/>
      <c r="N4" s="393"/>
      <c r="O4" s="29"/>
      <c r="P4" s="29"/>
      <c r="BL4" s="15"/>
      <c r="BM4" s="15"/>
      <c r="BN4" s="45"/>
      <c r="BO4" s="45"/>
      <c r="BP4" s="45"/>
      <c r="BQ4" s="45"/>
      <c r="BR4" s="29"/>
      <c r="BS4" s="29"/>
      <c r="BT4" s="29"/>
      <c r="BU4" s="29"/>
      <c r="BV4" s="46"/>
      <c r="BW4" s="46"/>
      <c r="BX4" s="45"/>
      <c r="BY4" s="45"/>
      <c r="BZ4" s="45"/>
      <c r="CA4" s="29"/>
    </row>
    <row r="5" spans="1:79" ht="15.75">
      <c r="A5" s="383" t="s">
        <v>2</v>
      </c>
      <c r="B5" s="383"/>
      <c r="C5" s="383"/>
      <c r="D5" s="16"/>
      <c r="E5" s="384" t="s">
        <v>51</v>
      </c>
      <c r="F5" s="385"/>
      <c r="G5" s="386"/>
      <c r="H5" s="387" t="s">
        <v>10</v>
      </c>
      <c r="I5" s="388"/>
      <c r="J5" s="389"/>
      <c r="K5" s="390" t="s">
        <v>609</v>
      </c>
      <c r="L5" s="385"/>
      <c r="M5" s="385"/>
      <c r="N5" s="385"/>
      <c r="O5" s="159"/>
      <c r="P5" s="159"/>
      <c r="T5" s="54" t="s">
        <v>400</v>
      </c>
      <c r="U5"/>
      <c r="V5" s="56">
        <f>POWER($J$26,-0.614)*0.3566</f>
        <v>0.0775468308162412</v>
      </c>
      <c r="Y5"/>
      <c r="Z5"/>
      <c r="AA5"/>
      <c r="BL5" s="15"/>
      <c r="BM5" s="15"/>
      <c r="BN5" s="45"/>
      <c r="BO5" s="45"/>
      <c r="BP5" s="45"/>
      <c r="BQ5" s="45"/>
      <c r="BR5" s="45"/>
      <c r="BS5" s="45"/>
      <c r="BT5" s="29"/>
      <c r="BU5" s="29"/>
      <c r="BV5" s="46"/>
      <c r="BW5" s="46"/>
      <c r="BX5" s="45"/>
      <c r="BY5" s="45"/>
      <c r="BZ5" s="45"/>
      <c r="CA5" s="29"/>
    </row>
    <row r="6" spans="1:79" ht="15.75">
      <c r="A6" s="383" t="s">
        <v>3</v>
      </c>
      <c r="B6" s="383"/>
      <c r="C6" s="383"/>
      <c r="D6" s="16"/>
      <c r="E6" s="397">
        <v>40262</v>
      </c>
      <c r="F6" s="385"/>
      <c r="G6" s="386"/>
      <c r="H6" s="387" t="s">
        <v>11</v>
      </c>
      <c r="I6" s="388"/>
      <c r="J6" s="389"/>
      <c r="K6" s="390" t="s">
        <v>198</v>
      </c>
      <c r="L6" s="385"/>
      <c r="M6" s="385"/>
      <c r="N6" s="385"/>
      <c r="O6" s="159"/>
      <c r="P6" s="159"/>
      <c r="T6" s="134"/>
      <c r="U6" s="134"/>
      <c r="V6" s="134"/>
      <c r="Y6" s="145" t="s">
        <v>258</v>
      </c>
      <c r="Z6" s="56">
        <f>IF('Segment Tables'!$C$122="No",(VLOOKUP($J$9,'Segment Tables'!$A$124:$M$128,4,FALSE)),(VLOOKUP($J$9,'Segment Tables'!$A$124:$M$128,9,FALSE)))</f>
        <v>0.286</v>
      </c>
      <c r="AA6" s="28"/>
      <c r="BL6" s="15"/>
      <c r="BM6" s="15"/>
      <c r="BN6" s="28"/>
      <c r="BO6" s="28"/>
      <c r="BP6" s="28"/>
      <c r="BQ6" s="28"/>
      <c r="BR6" s="28"/>
      <c r="BS6" s="28"/>
      <c r="BT6" s="29"/>
      <c r="BU6" s="29"/>
      <c r="BV6" s="32"/>
      <c r="BW6" s="25"/>
      <c r="BX6" s="28"/>
      <c r="BY6" s="28"/>
      <c r="BZ6" s="28"/>
      <c r="CA6" s="29"/>
    </row>
    <row r="7" spans="1:79" ht="12.75">
      <c r="A7" s="402"/>
      <c r="B7" s="402"/>
      <c r="C7" s="402"/>
      <c r="D7" s="23"/>
      <c r="E7" s="387"/>
      <c r="F7" s="388"/>
      <c r="G7" s="389"/>
      <c r="H7" s="387" t="s">
        <v>12</v>
      </c>
      <c r="I7" s="388"/>
      <c r="J7" s="389"/>
      <c r="K7" s="403">
        <v>2010</v>
      </c>
      <c r="L7" s="404"/>
      <c r="M7" s="404"/>
      <c r="N7" s="404"/>
      <c r="O7" s="29"/>
      <c r="P7" s="29"/>
      <c r="T7" s="134"/>
      <c r="U7" s="134"/>
      <c r="V7" s="134"/>
      <c r="Y7"/>
      <c r="Z7"/>
      <c r="AA7"/>
      <c r="BL7" s="15"/>
      <c r="BM7" s="15"/>
      <c r="BN7" s="28"/>
      <c r="BO7" s="28"/>
      <c r="BP7" s="28"/>
      <c r="BQ7" s="28"/>
      <c r="BR7" s="28"/>
      <c r="BS7" s="28"/>
      <c r="BT7" s="29"/>
      <c r="BU7" s="29"/>
      <c r="BV7" s="25"/>
      <c r="BW7" s="25"/>
      <c r="BX7" s="28"/>
      <c r="BY7" s="28"/>
      <c r="BZ7" s="28"/>
      <c r="CA7" s="29"/>
    </row>
    <row r="8" spans="1:79" ht="15.75">
      <c r="A8" s="398" t="s">
        <v>4</v>
      </c>
      <c r="B8" s="399"/>
      <c r="C8" s="399"/>
      <c r="D8" s="399"/>
      <c r="E8" s="399"/>
      <c r="F8" s="399"/>
      <c r="G8" s="400"/>
      <c r="H8" s="401" t="s">
        <v>13</v>
      </c>
      <c r="I8" s="400"/>
      <c r="J8" s="401" t="s">
        <v>15</v>
      </c>
      <c r="K8" s="399"/>
      <c r="L8" s="399"/>
      <c r="M8" s="399"/>
      <c r="N8" s="399"/>
      <c r="O8" s="29"/>
      <c r="P8" s="29"/>
      <c r="T8" s="31" t="s">
        <v>402</v>
      </c>
      <c r="U8"/>
      <c r="V8" s="57">
        <f>$V$5*$J$25*(IF('Segment Tables'!$C$108="No",(VLOOKUP($J$9,'Segment Tables'!$A$110:$G$114,4,FALSE)),(VLOOKUP($J$9,'Segment Tables'!$A$110:$G$114,6,FALSE))))+(1-(IF('Segment Tables'!$C$108="No",(VLOOKUP($J$9,'Segment Tables'!$A$110:$G$114,4,FALSE)),(VLOOKUP($J$9,'Segment Tables'!$A$110:$G$114,6,FALSE)))))</f>
        <v>1.018731844955044</v>
      </c>
      <c r="Y8" s="145" t="s">
        <v>259</v>
      </c>
      <c r="Z8" s="56">
        <f>IF('Segment Tables'!$C$122="No",(VLOOKUP($J$9,'Segment Tables'!$A$124:$M$128,6,FALSE)),(VLOOKUP($J$9,'Segment Tables'!$A$124:$M$128,11,FALSE)))</f>
        <v>0.714</v>
      </c>
      <c r="AA8"/>
      <c r="BL8" s="15"/>
      <c r="BM8" s="15"/>
      <c r="BN8" s="28"/>
      <c r="BO8" s="28"/>
      <c r="BP8" s="28"/>
      <c r="BQ8" s="28"/>
      <c r="BR8" s="28"/>
      <c r="BS8" s="28"/>
      <c r="BT8" s="29"/>
      <c r="BU8" s="29"/>
      <c r="BV8" s="32"/>
      <c r="BW8" s="25"/>
      <c r="BX8" s="28"/>
      <c r="BY8" s="28"/>
      <c r="BZ8" s="28"/>
      <c r="CA8" s="29"/>
    </row>
    <row r="9" spans="1:79" ht="12.75">
      <c r="A9" s="367" t="s">
        <v>201</v>
      </c>
      <c r="B9" s="368"/>
      <c r="C9" s="368"/>
      <c r="D9" s="368"/>
      <c r="E9" s="368"/>
      <c r="F9" s="368"/>
      <c r="G9" s="299"/>
      <c r="H9" s="406" t="s">
        <v>14</v>
      </c>
      <c r="I9" s="396"/>
      <c r="J9" s="407" t="s">
        <v>217</v>
      </c>
      <c r="K9" s="408"/>
      <c r="L9" s="408"/>
      <c r="M9" s="408"/>
      <c r="N9" s="408"/>
      <c r="O9" s="29"/>
      <c r="P9" t="str">
        <f>IF($J$9="2U","Two-lane undivided arterials",IF($J$9="3T","Three-lane arterials including a center two-way left-turn lane (TWLTL)",IF($J$9="4U","Four-lane undivided arterials",IF($J$9="4D","Four-lane divided arterials (i.e., including a raised or depressed median)","Five-lane arterials including a center two-way left-turn lane (TWLTL)"))))</f>
        <v>Three-lane arterials including a center two-way left-turn lane (TWLTL)</v>
      </c>
      <c r="T9" s="45"/>
      <c r="U9" s="45"/>
      <c r="V9" s="45"/>
      <c r="Y9"/>
      <c r="Z9"/>
      <c r="AA9"/>
      <c r="BL9" s="15"/>
      <c r="BM9" s="15"/>
      <c r="BN9" s="28"/>
      <c r="BO9" s="28"/>
      <c r="BP9" s="28"/>
      <c r="BQ9" s="28"/>
      <c r="BR9" s="28"/>
      <c r="BS9" s="28"/>
      <c r="BT9" s="29"/>
      <c r="BU9" s="29"/>
      <c r="BV9" s="25"/>
      <c r="BW9" s="25"/>
      <c r="BX9" s="28"/>
      <c r="BY9" s="28"/>
      <c r="BZ9" s="28"/>
      <c r="CA9" s="29"/>
    </row>
    <row r="10" spans="1:79" ht="16.5" thickBot="1">
      <c r="A10" s="368" t="s">
        <v>5</v>
      </c>
      <c r="B10" s="368"/>
      <c r="C10" s="368"/>
      <c r="D10" s="368"/>
      <c r="E10" s="368"/>
      <c r="F10" s="368"/>
      <c r="G10" s="299"/>
      <c r="H10" s="371" t="s">
        <v>14</v>
      </c>
      <c r="I10" s="299"/>
      <c r="J10" s="405">
        <v>0.75</v>
      </c>
      <c r="K10" s="393"/>
      <c r="L10" s="393"/>
      <c r="M10" s="393"/>
      <c r="N10" s="393"/>
      <c r="O10" s="29"/>
      <c r="P10" s="29"/>
      <c r="T10" s="31" t="s">
        <v>403</v>
      </c>
      <c r="U10" s="45"/>
      <c r="V10" s="57">
        <f>IF(+V8&lt;1,1,V8)</f>
        <v>1.018731844955044</v>
      </c>
      <c r="Y10" s="145" t="s">
        <v>260</v>
      </c>
      <c r="Z10" s="56">
        <f>IF('Segment Tables'!$C$122="No",(VLOOKUP($J$9,'Segment Tables'!$A$124:$M$128,7,FALSE)),(VLOOKUP($J$9,'Segment Tables'!$A$124:$M$128,12,FALSE)))</f>
        <v>0.118</v>
      </c>
      <c r="AA10"/>
      <c r="BL10" s="15"/>
      <c r="BM10" s="15"/>
      <c r="BN10" s="29"/>
      <c r="BO10" s="29"/>
      <c r="BP10" s="29"/>
      <c r="BQ10" s="29"/>
      <c r="BR10" s="29"/>
      <c r="BS10" s="29"/>
      <c r="BT10" s="29"/>
      <c r="BU10" s="29"/>
      <c r="BV10" s="32"/>
      <c r="BW10" s="25"/>
      <c r="BX10" s="28"/>
      <c r="BY10" s="28"/>
      <c r="BZ10" s="28"/>
      <c r="CA10" s="29"/>
    </row>
    <row r="11" spans="1:79" ht="16.5" thickBot="1">
      <c r="A11" s="368" t="s">
        <v>6</v>
      </c>
      <c r="B11" s="368"/>
      <c r="C11" s="368"/>
      <c r="D11" s="368"/>
      <c r="E11" s="248" t="s">
        <v>708</v>
      </c>
      <c r="F11" s="250">
        <f>IF($J$9="2U",32600,IF($J$9="3T",32900,IF($J$9="4U",40100,IF($J$9="4D",66000,53800))))</f>
        <v>32900</v>
      </c>
      <c r="G11" s="249" t="s">
        <v>707</v>
      </c>
      <c r="H11" s="409" t="s">
        <v>14</v>
      </c>
      <c r="I11" s="299"/>
      <c r="J11" s="410">
        <v>23000</v>
      </c>
      <c r="K11" s="411"/>
      <c r="L11" s="411"/>
      <c r="M11" s="411"/>
      <c r="N11" s="411"/>
      <c r="O11" s="160" t="str">
        <f>IF(J11&gt;F11,"AADT out of range","AADT OK")</f>
        <v>AADT OK</v>
      </c>
      <c r="P11" s="160"/>
      <c r="T11" s="29"/>
      <c r="U11" s="45"/>
      <c r="V11" s="45"/>
      <c r="Y11"/>
      <c r="Z11"/>
      <c r="AA11"/>
      <c r="BL11" s="15"/>
      <c r="BM11" s="15"/>
      <c r="BN11" s="29"/>
      <c r="BO11" s="29"/>
      <c r="BP11" s="29"/>
      <c r="BQ11" s="29"/>
      <c r="BR11" s="29"/>
      <c r="BS11" s="29"/>
      <c r="BT11" s="29"/>
      <c r="BU11" s="29"/>
      <c r="BV11" s="25"/>
      <c r="BW11" s="25"/>
      <c r="BX11" s="28"/>
      <c r="BY11" s="28"/>
      <c r="BZ11" s="28"/>
      <c r="CA11" s="29"/>
    </row>
    <row r="12" spans="1:79" ht="12.75">
      <c r="A12" s="368" t="s">
        <v>202</v>
      </c>
      <c r="B12" s="368"/>
      <c r="C12" s="368"/>
      <c r="D12" s="368"/>
      <c r="E12" s="368"/>
      <c r="F12" s="368"/>
      <c r="G12" s="299"/>
      <c r="H12" s="377" t="s">
        <v>221</v>
      </c>
      <c r="I12" s="299"/>
      <c r="J12" s="413" t="s">
        <v>221</v>
      </c>
      <c r="K12" s="414"/>
      <c r="L12" s="414"/>
      <c r="M12" s="414"/>
      <c r="N12" s="414"/>
      <c r="O12" s="25"/>
      <c r="P12" s="25"/>
      <c r="BL12" s="15"/>
      <c r="BM12" s="15"/>
      <c r="BN12" s="29"/>
      <c r="BO12" s="29"/>
      <c r="BP12" s="29"/>
      <c r="BQ12" s="29"/>
      <c r="BR12" s="29"/>
      <c r="BS12" s="29"/>
      <c r="BT12" s="29"/>
      <c r="BU12" s="29"/>
      <c r="BV12" s="32"/>
      <c r="BW12" s="25"/>
      <c r="BX12" s="28"/>
      <c r="BY12" s="28"/>
      <c r="BZ12" s="28"/>
      <c r="CA12" s="29"/>
    </row>
    <row r="13" spans="1:79" ht="12.75">
      <c r="A13" s="367" t="s">
        <v>203</v>
      </c>
      <c r="B13" s="368"/>
      <c r="C13" s="368"/>
      <c r="D13" s="368"/>
      <c r="E13" s="368"/>
      <c r="F13" s="368"/>
      <c r="G13" s="299"/>
      <c r="H13" s="371" t="s">
        <v>14</v>
      </c>
      <c r="I13" s="299"/>
      <c r="J13" s="253">
        <v>0</v>
      </c>
      <c r="K13" s="254"/>
      <c r="L13" s="254"/>
      <c r="M13" s="254"/>
      <c r="N13" s="254"/>
      <c r="O13" s="29"/>
      <c r="P13" s="29"/>
      <c r="BL13" s="15"/>
      <c r="BM13" s="15"/>
      <c r="BN13" s="29"/>
      <c r="BO13" s="29"/>
      <c r="BP13" s="29"/>
      <c r="BQ13" s="29"/>
      <c r="BR13" s="29"/>
      <c r="BS13" s="29"/>
      <c r="BT13" s="29"/>
      <c r="BU13" s="29"/>
      <c r="BV13" s="84"/>
      <c r="BW13" s="79"/>
      <c r="BX13" s="79"/>
      <c r="BY13" s="79"/>
      <c r="BZ13" s="79"/>
      <c r="CA13" s="29"/>
    </row>
    <row r="14" spans="1:79" ht="12.75">
      <c r="A14" s="367" t="s">
        <v>86</v>
      </c>
      <c r="B14" s="368"/>
      <c r="C14" s="368"/>
      <c r="D14" s="368"/>
      <c r="E14" s="368"/>
      <c r="F14" s="368"/>
      <c r="G14" s="299"/>
      <c r="H14" s="416">
        <v>15</v>
      </c>
      <c r="I14" s="299"/>
      <c r="J14" s="417">
        <v>40</v>
      </c>
      <c r="K14" s="418"/>
      <c r="L14" s="418"/>
      <c r="M14" s="418"/>
      <c r="N14" s="418"/>
      <c r="O14" s="29"/>
      <c r="P14" s="29"/>
      <c r="BL14" s="15"/>
      <c r="BM14" s="15"/>
      <c r="BN14" s="29"/>
      <c r="BO14" s="29"/>
      <c r="BP14" s="29"/>
      <c r="BQ14" s="29"/>
      <c r="BR14" s="29"/>
      <c r="BS14" s="29"/>
      <c r="BT14" s="29"/>
      <c r="BU14" s="29"/>
      <c r="BV14" s="79"/>
      <c r="BW14" s="79"/>
      <c r="BX14" s="79"/>
      <c r="BY14" s="79"/>
      <c r="BZ14" s="79"/>
      <c r="CA14" s="29"/>
    </row>
    <row r="15" spans="1:79" ht="12.75">
      <c r="A15" s="367" t="s">
        <v>204</v>
      </c>
      <c r="B15" s="368"/>
      <c r="C15" s="368"/>
      <c r="D15" s="368"/>
      <c r="E15" s="368"/>
      <c r="F15" s="368"/>
      <c r="G15" s="299"/>
      <c r="H15" s="377" t="s">
        <v>60</v>
      </c>
      <c r="I15" s="315"/>
      <c r="J15" s="414" t="s">
        <v>61</v>
      </c>
      <c r="K15" s="414"/>
      <c r="L15" s="414"/>
      <c r="M15" s="414"/>
      <c r="N15" s="414"/>
      <c r="O15" s="25"/>
      <c r="P15" s="25"/>
      <c r="BL15" s="15"/>
      <c r="BM15" s="15"/>
      <c r="BN15" s="29"/>
      <c r="BO15" s="29"/>
      <c r="BP15" s="29"/>
      <c r="BQ15" s="29"/>
      <c r="BR15" s="29"/>
      <c r="BS15" s="29"/>
      <c r="BT15" s="29"/>
      <c r="BU15" s="29"/>
      <c r="BV15" s="79"/>
      <c r="BW15" s="79"/>
      <c r="BX15" s="79"/>
      <c r="BY15" s="79"/>
      <c r="BZ15" s="79"/>
      <c r="CA15" s="29"/>
    </row>
    <row r="16" spans="1:72" ht="12.75">
      <c r="A16" s="367" t="s">
        <v>205</v>
      </c>
      <c r="B16" s="368"/>
      <c r="C16" s="368"/>
      <c r="D16" s="368"/>
      <c r="E16" s="368"/>
      <c r="F16" s="368"/>
      <c r="G16" s="299"/>
      <c r="H16" s="377" t="s">
        <v>60</v>
      </c>
      <c r="I16" s="315"/>
      <c r="J16" s="414" t="s">
        <v>60</v>
      </c>
      <c r="K16" s="414"/>
      <c r="L16" s="414"/>
      <c r="M16" s="414"/>
      <c r="N16" s="414"/>
      <c r="O16" s="25"/>
      <c r="P16" s="25"/>
      <c r="BL16" s="28"/>
      <c r="BM16" s="29"/>
      <c r="BN16" s="29"/>
      <c r="BO16" s="29"/>
      <c r="BP16" s="29"/>
      <c r="BQ16" s="29"/>
      <c r="BR16" s="29"/>
      <c r="BS16" s="29"/>
      <c r="BT16" s="29"/>
    </row>
    <row r="17" spans="1:72" ht="12.75">
      <c r="A17" s="367" t="s">
        <v>206</v>
      </c>
      <c r="B17" s="368"/>
      <c r="C17" s="368"/>
      <c r="D17" s="368"/>
      <c r="E17" s="368"/>
      <c r="F17" s="368"/>
      <c r="G17" s="299"/>
      <c r="H17" s="371" t="s">
        <v>14</v>
      </c>
      <c r="I17" s="299"/>
      <c r="J17" s="253">
        <v>1</v>
      </c>
      <c r="K17" s="254"/>
      <c r="L17" s="254"/>
      <c r="M17" s="254"/>
      <c r="N17" s="254"/>
      <c r="O17" s="29"/>
      <c r="P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16" ht="12.75">
      <c r="A18" s="367" t="s">
        <v>207</v>
      </c>
      <c r="B18" s="368"/>
      <c r="C18" s="368"/>
      <c r="D18" s="368"/>
      <c r="E18" s="368"/>
      <c r="F18" s="368"/>
      <c r="G18" s="299"/>
      <c r="H18" s="371" t="s">
        <v>14</v>
      </c>
      <c r="I18" s="299"/>
      <c r="J18" s="253">
        <v>4</v>
      </c>
      <c r="K18" s="254"/>
      <c r="L18" s="254"/>
      <c r="M18" s="254"/>
      <c r="N18" s="254"/>
      <c r="O18" s="29"/>
      <c r="P18" s="29"/>
    </row>
    <row r="19" spans="1:16" ht="12.75">
      <c r="A19" s="367" t="s">
        <v>208</v>
      </c>
      <c r="B19" s="368"/>
      <c r="C19" s="368"/>
      <c r="D19" s="368"/>
      <c r="E19" s="368"/>
      <c r="F19" s="368"/>
      <c r="G19" s="299"/>
      <c r="H19" s="371" t="s">
        <v>14</v>
      </c>
      <c r="I19" s="299"/>
      <c r="J19" s="253">
        <v>0</v>
      </c>
      <c r="K19" s="254"/>
      <c r="L19" s="254"/>
      <c r="M19" s="254"/>
      <c r="N19" s="254"/>
      <c r="O19" s="10"/>
      <c r="P19" s="10"/>
    </row>
    <row r="20" spans="1:16" ht="12.75" customHeight="1">
      <c r="A20" s="367" t="s">
        <v>209</v>
      </c>
      <c r="B20" s="368"/>
      <c r="C20" s="368"/>
      <c r="D20" s="368"/>
      <c r="E20" s="368"/>
      <c r="F20" s="368"/>
      <c r="G20" s="299"/>
      <c r="H20" s="371" t="s">
        <v>14</v>
      </c>
      <c r="I20" s="299"/>
      <c r="J20" s="253">
        <v>1</v>
      </c>
      <c r="K20" s="254"/>
      <c r="L20" s="254"/>
      <c r="M20" s="254"/>
      <c r="N20" s="254"/>
      <c r="O20" s="29"/>
      <c r="P20" s="29"/>
    </row>
    <row r="21" spans="1:16" ht="12.75">
      <c r="A21" s="415" t="s">
        <v>210</v>
      </c>
      <c r="B21" s="368"/>
      <c r="C21" s="368"/>
      <c r="D21" s="368"/>
      <c r="E21" s="368"/>
      <c r="F21" s="368"/>
      <c r="G21" s="299"/>
      <c r="H21" s="371" t="s">
        <v>14</v>
      </c>
      <c r="I21" s="299"/>
      <c r="J21" s="253">
        <v>1</v>
      </c>
      <c r="K21" s="254"/>
      <c r="L21" s="254"/>
      <c r="M21" s="254"/>
      <c r="N21" s="254"/>
      <c r="O21" s="29"/>
      <c r="P21" s="29"/>
    </row>
    <row r="22" spans="1:16" ht="12.75">
      <c r="A22" s="367" t="s">
        <v>211</v>
      </c>
      <c r="B22" s="368"/>
      <c r="C22" s="368"/>
      <c r="D22" s="368"/>
      <c r="E22" s="368"/>
      <c r="F22" s="368"/>
      <c r="G22" s="299"/>
      <c r="H22" s="371" t="s">
        <v>14</v>
      </c>
      <c r="I22" s="299"/>
      <c r="J22" s="253">
        <v>1</v>
      </c>
      <c r="K22" s="254"/>
      <c r="L22" s="254"/>
      <c r="M22" s="254"/>
      <c r="N22" s="254"/>
      <c r="O22" s="10"/>
      <c r="P22" s="10"/>
    </row>
    <row r="23" spans="1:16" ht="12.75">
      <c r="A23" s="367" t="s">
        <v>212</v>
      </c>
      <c r="B23" s="368"/>
      <c r="C23" s="368"/>
      <c r="D23" s="368"/>
      <c r="E23" s="368"/>
      <c r="F23" s="368"/>
      <c r="G23" s="299"/>
      <c r="H23" s="371" t="s">
        <v>14</v>
      </c>
      <c r="I23" s="299"/>
      <c r="J23" s="253">
        <v>0</v>
      </c>
      <c r="K23" s="254"/>
      <c r="L23" s="254"/>
      <c r="M23" s="254"/>
      <c r="N23" s="254"/>
      <c r="O23" s="10"/>
      <c r="P23" s="10"/>
    </row>
    <row r="24" spans="1:16" ht="12.75">
      <c r="A24" s="367" t="s">
        <v>213</v>
      </c>
      <c r="B24" s="368"/>
      <c r="C24" s="368"/>
      <c r="D24" s="368"/>
      <c r="E24" s="368"/>
      <c r="F24" s="368"/>
      <c r="G24" s="299"/>
      <c r="H24" s="371" t="s">
        <v>14</v>
      </c>
      <c r="I24" s="299"/>
      <c r="J24" s="413" t="s">
        <v>391</v>
      </c>
      <c r="K24" s="414"/>
      <c r="L24" s="414"/>
      <c r="M24" s="414"/>
      <c r="N24" s="414"/>
      <c r="O24" s="10"/>
      <c r="P24" s="10"/>
    </row>
    <row r="25" spans="1:16" ht="12.75">
      <c r="A25" s="367" t="s">
        <v>214</v>
      </c>
      <c r="B25" s="368"/>
      <c r="C25" s="368"/>
      <c r="D25" s="368"/>
      <c r="E25" s="368"/>
      <c r="F25" s="368"/>
      <c r="G25" s="299"/>
      <c r="H25" s="377">
        <v>0</v>
      </c>
      <c r="I25" s="315"/>
      <c r="J25" s="253">
        <v>20</v>
      </c>
      <c r="K25" s="372"/>
      <c r="L25" s="372"/>
      <c r="M25" s="372"/>
      <c r="N25" s="372"/>
      <c r="O25" s="25"/>
      <c r="P25" s="25"/>
    </row>
    <row r="26" spans="1:16" ht="12.75">
      <c r="A26" s="367" t="s">
        <v>401</v>
      </c>
      <c r="B26" s="368"/>
      <c r="C26" s="368"/>
      <c r="D26" s="368"/>
      <c r="E26" s="368"/>
      <c r="F26" s="368"/>
      <c r="G26" s="299"/>
      <c r="H26" s="377">
        <v>30</v>
      </c>
      <c r="I26" s="315"/>
      <c r="J26" s="253">
        <v>12</v>
      </c>
      <c r="K26" s="372"/>
      <c r="L26" s="372"/>
      <c r="M26" s="372"/>
      <c r="N26" s="372"/>
      <c r="O26" s="25"/>
      <c r="P26" s="25"/>
    </row>
    <row r="27" spans="1:16" ht="13.5" thickBot="1">
      <c r="A27" s="369" t="s">
        <v>7</v>
      </c>
      <c r="B27" s="369"/>
      <c r="C27" s="369"/>
      <c r="D27" s="369"/>
      <c r="E27" s="369"/>
      <c r="F27" s="369"/>
      <c r="G27" s="370"/>
      <c r="H27" s="419">
        <v>1</v>
      </c>
      <c r="I27" s="420"/>
      <c r="J27" s="421">
        <f>VLOOKUP(J9,'Construction - do not delete'!D55:E59,2,FALSE)</f>
        <v>0.81</v>
      </c>
      <c r="K27" s="422"/>
      <c r="L27" s="422"/>
      <c r="M27" s="422"/>
      <c r="N27" s="422"/>
      <c r="O27" s="29" t="s">
        <v>721</v>
      </c>
      <c r="P27" s="29"/>
    </row>
    <row r="28" spans="1:16" ht="13.5" thickTop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0"/>
      <c r="P28" s="10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0"/>
      <c r="P29" s="10"/>
    </row>
    <row r="30" ht="13.5" thickBot="1"/>
    <row r="31" spans="1:16" ht="14.25" thickBot="1" thickTop="1">
      <c r="A31" s="285" t="s">
        <v>222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149"/>
      <c r="P31" s="149"/>
    </row>
    <row r="32" spans="1:16" ht="12.75">
      <c r="A32" s="280" t="s">
        <v>16</v>
      </c>
      <c r="B32" s="281"/>
      <c r="C32" s="313" t="s">
        <v>17</v>
      </c>
      <c r="D32" s="313"/>
      <c r="E32" s="281"/>
      <c r="F32" s="313" t="s">
        <v>18</v>
      </c>
      <c r="G32" s="281"/>
      <c r="H32" s="313" t="s">
        <v>19</v>
      </c>
      <c r="I32" s="281"/>
      <c r="J32" s="313" t="s">
        <v>20</v>
      </c>
      <c r="K32" s="281"/>
      <c r="L32" s="281"/>
      <c r="M32" s="313" t="s">
        <v>21</v>
      </c>
      <c r="N32" s="316"/>
      <c r="O32" s="15"/>
      <c r="P32" s="15"/>
    </row>
    <row r="33" spans="1:16" ht="12.75">
      <c r="A33" s="432" t="s">
        <v>223</v>
      </c>
      <c r="B33" s="426"/>
      <c r="C33" s="373" t="s">
        <v>238</v>
      </c>
      <c r="D33" s="373"/>
      <c r="E33" s="426"/>
      <c r="F33" s="373" t="s">
        <v>87</v>
      </c>
      <c r="G33" s="426"/>
      <c r="H33" s="428" t="s">
        <v>29</v>
      </c>
      <c r="I33" s="426"/>
      <c r="J33" s="428" t="s">
        <v>30</v>
      </c>
      <c r="K33" s="426"/>
      <c r="L33" s="426"/>
      <c r="M33" s="373" t="s">
        <v>84</v>
      </c>
      <c r="N33" s="374"/>
      <c r="O33" s="17"/>
      <c r="P33" s="17"/>
    </row>
    <row r="34" spans="1:16" ht="12.75">
      <c r="A34" s="433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6"/>
      <c r="O34" s="17"/>
      <c r="P34" s="17"/>
    </row>
    <row r="35" spans="1:65" ht="12.75">
      <c r="A35" s="431" t="s">
        <v>224</v>
      </c>
      <c r="B35" s="295"/>
      <c r="C35" s="363" t="s">
        <v>239</v>
      </c>
      <c r="D35" s="363"/>
      <c r="E35" s="295"/>
      <c r="F35" s="363" t="s">
        <v>249</v>
      </c>
      <c r="G35" s="295"/>
      <c r="H35" s="363" t="s">
        <v>251</v>
      </c>
      <c r="I35" s="295"/>
      <c r="J35" s="363" t="s">
        <v>261</v>
      </c>
      <c r="K35" s="295"/>
      <c r="L35" s="295"/>
      <c r="M35" s="363" t="s">
        <v>31</v>
      </c>
      <c r="N35" s="322"/>
      <c r="O35" s="15"/>
      <c r="P35" s="15"/>
      <c r="BL35" s="29"/>
      <c r="BM35" s="29"/>
    </row>
    <row r="36" spans="1:65" ht="12.75">
      <c r="A36" s="429" t="s">
        <v>225</v>
      </c>
      <c r="B36" s="274"/>
      <c r="C36" s="430" t="s">
        <v>240</v>
      </c>
      <c r="D36" s="430"/>
      <c r="E36" s="274"/>
      <c r="F36" s="430" t="s">
        <v>676</v>
      </c>
      <c r="G36" s="295"/>
      <c r="H36" s="430" t="s">
        <v>252</v>
      </c>
      <c r="I36" s="274"/>
      <c r="J36" s="430" t="s">
        <v>262</v>
      </c>
      <c r="K36" s="295"/>
      <c r="L36" s="295"/>
      <c r="M36" s="364" t="s">
        <v>88</v>
      </c>
      <c r="N36" s="322"/>
      <c r="O36" s="15"/>
      <c r="P36" s="15"/>
      <c r="BL36" s="45"/>
      <c r="BM36" s="45"/>
    </row>
    <row r="37" spans="1:65" ht="13.5" thickBot="1">
      <c r="A37" s="423">
        <f>1+$J$13*(IF($J$12="None",1,(IF($J$12="Parallel (Residential)",VLOOKUP($J$9,'Segment Tables'!$W$9:$AA$13,2,FALSE),(IF($J$12="Parallel (Comm/Ind)",VLOOKUP($J$9,'Segment Tables'!$W$9:$AA$13,3,FALSE),(IF($J$12="Angle (Residential)",(VLOOKUP($J$9,'Segment Tables'!$W$9:$AA$13,4,FALSE)),(VLOOKUP($J$9,'Segment Tables'!$W$9:$AA$13,5,FALSE)))))))))-1)</f>
        <v>1</v>
      </c>
      <c r="B37" s="424"/>
      <c r="C37" s="365">
        <f>$V$10</f>
        <v>1.018731844955044</v>
      </c>
      <c r="D37" s="425"/>
      <c r="E37" s="424"/>
      <c r="F37" s="365">
        <f>IF(J14="Not Present",1,IF(J9="2U",1,(IF(J9="4U",1,(VLOOKUP(J14,'Segment Tables'!W41:Y51,3,FALSE))))))</f>
        <v>0.97</v>
      </c>
      <c r="G37" s="438"/>
      <c r="H37" s="365">
        <f>IF($J$15="Present",(1-($Z$10*(1-(0.72*$Z$6)-(0.83*$Z$8)))),1)</f>
        <v>0.97622772</v>
      </c>
      <c r="I37" s="438"/>
      <c r="J37" s="365">
        <f>IF($J$16="Present",0.95,1)</f>
        <v>1</v>
      </c>
      <c r="K37" s="423"/>
      <c r="L37" s="438"/>
      <c r="M37" s="365">
        <f>$A$37*$C$37*$F$37*$H$37*$J$37</f>
        <v>0.9646788383031004</v>
      </c>
      <c r="N37" s="366"/>
      <c r="O37" s="25"/>
      <c r="P37" s="25"/>
      <c r="BL37" s="25"/>
      <c r="BM37" s="25"/>
    </row>
    <row r="38" spans="64:65" ht="12.75">
      <c r="BL38" s="45"/>
      <c r="BM38" s="29"/>
    </row>
    <row r="39" spans="3:65" ht="12.75">
      <c r="C39" s="427"/>
      <c r="D39" s="379"/>
      <c r="E39" s="379"/>
      <c r="BL39" s="45"/>
      <c r="BM39" s="29"/>
    </row>
    <row r="40" spans="8:65" ht="13.5" thickBot="1">
      <c r="H40" s="28"/>
      <c r="I40" s="28"/>
      <c r="BL40" s="46"/>
      <c r="BM40" s="29"/>
    </row>
    <row r="41" spans="1:65" ht="14.25" thickBot="1" thickTop="1">
      <c r="A41" s="285" t="s">
        <v>263</v>
      </c>
      <c r="B41" s="323"/>
      <c r="C41" s="323"/>
      <c r="D41" s="323"/>
      <c r="E41" s="323"/>
      <c r="F41" s="323"/>
      <c r="G41" s="323"/>
      <c r="H41" s="323"/>
      <c r="I41" s="323"/>
      <c r="J41" s="360"/>
      <c r="K41" s="360"/>
      <c r="L41" s="360"/>
      <c r="M41" s="360"/>
      <c r="N41" s="360"/>
      <c r="O41" s="15"/>
      <c r="P41" s="15"/>
      <c r="BL41" s="30"/>
      <c r="BM41" s="29"/>
    </row>
    <row r="42" spans="1:65" ht="12.75">
      <c r="A42" s="280" t="s">
        <v>16</v>
      </c>
      <c r="B42" s="281"/>
      <c r="C42" s="271" t="s">
        <v>17</v>
      </c>
      <c r="D42" s="361"/>
      <c r="E42" s="313" t="s">
        <v>18</v>
      </c>
      <c r="F42" s="281"/>
      <c r="G42" s="313" t="s">
        <v>19</v>
      </c>
      <c r="H42" s="281"/>
      <c r="I42" s="313" t="s">
        <v>20</v>
      </c>
      <c r="J42" s="281"/>
      <c r="K42" s="2" t="s">
        <v>21</v>
      </c>
      <c r="L42" s="123" t="s">
        <v>22</v>
      </c>
      <c r="M42" s="123" t="s">
        <v>23</v>
      </c>
      <c r="N42" s="146" t="s">
        <v>24</v>
      </c>
      <c r="O42" s="150"/>
      <c r="P42" s="150"/>
      <c r="BL42" s="29"/>
      <c r="BM42" s="29"/>
    </row>
    <row r="43" spans="1:65" ht="12.75">
      <c r="A43" s="434" t="s">
        <v>32</v>
      </c>
      <c r="B43" s="435"/>
      <c r="C43" s="357" t="s">
        <v>89</v>
      </c>
      <c r="D43" s="358"/>
      <c r="E43" s="302" t="s">
        <v>33</v>
      </c>
      <c r="F43" s="318"/>
      <c r="G43" s="359" t="s">
        <v>264</v>
      </c>
      <c r="H43" s="359"/>
      <c r="I43" s="302" t="s">
        <v>265</v>
      </c>
      <c r="J43" s="358"/>
      <c r="K43" s="359" t="s">
        <v>266</v>
      </c>
      <c r="L43" s="302" t="s">
        <v>34</v>
      </c>
      <c r="M43" s="302" t="s">
        <v>7</v>
      </c>
      <c r="N43" s="319" t="s">
        <v>267</v>
      </c>
      <c r="O43" s="151"/>
      <c r="P43" s="151"/>
      <c r="BL43" s="29"/>
      <c r="BM43" s="29"/>
    </row>
    <row r="44" spans="1:16" ht="12.75">
      <c r="A44" s="436"/>
      <c r="B44" s="436"/>
      <c r="C44" s="318"/>
      <c r="D44" s="318"/>
      <c r="E44" s="318"/>
      <c r="F44" s="318"/>
      <c r="G44" s="318"/>
      <c r="H44" s="318"/>
      <c r="I44" s="358"/>
      <c r="J44" s="358"/>
      <c r="K44" s="317"/>
      <c r="L44" s="317"/>
      <c r="M44" s="317"/>
      <c r="N44" s="319"/>
      <c r="O44" s="151"/>
      <c r="P44" s="151"/>
    </row>
    <row r="45" spans="1:16" ht="12.75">
      <c r="A45" s="436"/>
      <c r="B45" s="436"/>
      <c r="C45" s="273" t="s">
        <v>677</v>
      </c>
      <c r="D45" s="274"/>
      <c r="E45" s="312" t="s">
        <v>677</v>
      </c>
      <c r="F45" s="362"/>
      <c r="G45" s="312" t="s">
        <v>268</v>
      </c>
      <c r="H45" s="362"/>
      <c r="I45" s="358"/>
      <c r="J45" s="358"/>
      <c r="K45" s="312" t="s">
        <v>269</v>
      </c>
      <c r="L45" s="348" t="s">
        <v>270</v>
      </c>
      <c r="M45" s="318"/>
      <c r="N45" s="265" t="s">
        <v>271</v>
      </c>
      <c r="O45" s="152"/>
      <c r="P45" s="152"/>
    </row>
    <row r="46" spans="1:16" ht="12.75">
      <c r="A46" s="437"/>
      <c r="B46" s="437"/>
      <c r="C46" s="125" t="s">
        <v>90</v>
      </c>
      <c r="D46" s="125" t="s">
        <v>91</v>
      </c>
      <c r="E46" s="318"/>
      <c r="F46" s="318"/>
      <c r="G46" s="318"/>
      <c r="H46" s="318"/>
      <c r="I46" s="358"/>
      <c r="J46" s="358"/>
      <c r="K46" s="283"/>
      <c r="L46" s="317"/>
      <c r="M46" s="318"/>
      <c r="N46" s="349"/>
      <c r="O46" s="153"/>
      <c r="P46" s="153"/>
    </row>
    <row r="47" spans="1:16" ht="12.75">
      <c r="A47" s="299" t="s">
        <v>35</v>
      </c>
      <c r="B47" s="322"/>
      <c r="C47" s="12">
        <f>VLOOKUP($J$9,'Segment Tables'!$A$8:$D$12,2,FALSE)</f>
        <v>-12.4</v>
      </c>
      <c r="D47" s="12">
        <f>VLOOKUP($J$9,'Segment Tables'!$A$8:$D$12,3,FALSE)</f>
        <v>1.41</v>
      </c>
      <c r="E47" s="350">
        <f>VLOOKUP($J$9,'Segment Tables'!$A$8:$D$12,4,FALSE)</f>
        <v>0.66</v>
      </c>
      <c r="F47" s="351"/>
      <c r="G47" s="278">
        <f>EXP($C47+($D47*LN($J$11))+LN($J$10))</f>
        <v>4.363610082683989</v>
      </c>
      <c r="H47" s="279"/>
      <c r="I47" s="278">
        <v>1</v>
      </c>
      <c r="J47" s="279"/>
      <c r="K47" s="3">
        <f>G47*I47</f>
        <v>4.363610082683989</v>
      </c>
      <c r="L47" s="12">
        <f>+M37</f>
        <v>0.9646788383031004</v>
      </c>
      <c r="M47" s="12">
        <f>+$J$27</f>
        <v>0.81</v>
      </c>
      <c r="N47" s="128">
        <f>+K47*L47*M47</f>
        <v>3.4096806673507425</v>
      </c>
      <c r="O47" s="22"/>
      <c r="P47" s="22"/>
    </row>
    <row r="48" spans="1:16" ht="15.75">
      <c r="A48" s="343" t="s">
        <v>36</v>
      </c>
      <c r="B48" s="343"/>
      <c r="C48" s="327">
        <f>VLOOKUP($J$9,'Segment Tables'!$A$14:$D$18,2,FALSE)</f>
        <v>-16.45</v>
      </c>
      <c r="D48" s="327">
        <f>VLOOKUP($J$9,'Segment Tables'!$A$14:$D$18,3,FALSE)</f>
        <v>1.69</v>
      </c>
      <c r="E48" s="337">
        <f>VLOOKUP($J$9,'Segment Tables'!$A$14:$D$18,4,FALSE)</f>
        <v>0.59</v>
      </c>
      <c r="F48" s="338"/>
      <c r="G48" s="329">
        <f>EXP($C48+($D48*LN($J$11))+LN($J$10))</f>
        <v>1.2654269485207614</v>
      </c>
      <c r="H48" s="341"/>
      <c r="I48" s="273" t="s">
        <v>272</v>
      </c>
      <c r="J48" s="274"/>
      <c r="K48" s="325">
        <f>G47*I49</f>
        <v>1.2753112061568792</v>
      </c>
      <c r="L48" s="327">
        <f>+M37</f>
        <v>0.9646788383031004</v>
      </c>
      <c r="M48" s="327">
        <f>+$J$27</f>
        <v>0.81</v>
      </c>
      <c r="N48" s="329">
        <f>+K48*L48*M48</f>
        <v>0.9965152435925788</v>
      </c>
      <c r="O48" s="22"/>
      <c r="P48" s="22"/>
    </row>
    <row r="49" spans="1:16" ht="12.75">
      <c r="A49" s="344"/>
      <c r="B49" s="344"/>
      <c r="C49" s="332"/>
      <c r="D49" s="332"/>
      <c r="E49" s="345"/>
      <c r="F49" s="346"/>
      <c r="G49" s="333"/>
      <c r="H49" s="347"/>
      <c r="I49" s="278">
        <f>G48/(G48+G50)</f>
        <v>0.2922605782807375</v>
      </c>
      <c r="J49" s="279"/>
      <c r="K49" s="331"/>
      <c r="L49" s="332"/>
      <c r="M49" s="332"/>
      <c r="N49" s="333"/>
      <c r="O49" s="22"/>
      <c r="P49" s="22"/>
    </row>
    <row r="50" spans="1:16" ht="15.75">
      <c r="A50" s="284" t="s">
        <v>37</v>
      </c>
      <c r="B50" s="334"/>
      <c r="C50" s="327">
        <f>VLOOKUP($J$9,'Segment Tables'!$A$20:$D$24,2,FALSE)</f>
        <v>-11.95</v>
      </c>
      <c r="D50" s="327">
        <f>VLOOKUP($J$9,'Segment Tables'!$A$20:$D$24,3,FALSE)</f>
        <v>1.33</v>
      </c>
      <c r="E50" s="337">
        <f>VLOOKUP($J$9,'Segment Tables'!$A$20:$D$24,4,FALSE)</f>
        <v>0.59</v>
      </c>
      <c r="F50" s="338"/>
      <c r="G50" s="329">
        <f>EXP($C50+($D50*LN($J$11))+LN($J$10))</f>
        <v>3.064363117470373</v>
      </c>
      <c r="H50" s="341"/>
      <c r="I50" s="273" t="s">
        <v>273</v>
      </c>
      <c r="J50" s="274"/>
      <c r="K50" s="325">
        <f>G47*I51</f>
        <v>3.0882988765271095</v>
      </c>
      <c r="L50" s="327">
        <f>+M37</f>
        <v>0.9646788383031004</v>
      </c>
      <c r="M50" s="327">
        <f>+$J$27</f>
        <v>0.81</v>
      </c>
      <c r="N50" s="329">
        <f>+K50*L50*M50</f>
        <v>2.4131654237581635</v>
      </c>
      <c r="O50" s="22"/>
      <c r="P50" s="22"/>
    </row>
    <row r="51" spans="1:16" ht="13.5" thickBot="1">
      <c r="A51" s="335"/>
      <c r="B51" s="336"/>
      <c r="C51" s="328"/>
      <c r="D51" s="328"/>
      <c r="E51" s="339"/>
      <c r="F51" s="340"/>
      <c r="G51" s="330"/>
      <c r="H51" s="342"/>
      <c r="I51" s="288">
        <f>I47-I49</f>
        <v>0.7077394217192625</v>
      </c>
      <c r="J51" s="289"/>
      <c r="K51" s="326"/>
      <c r="L51" s="328"/>
      <c r="M51" s="328"/>
      <c r="N51" s="330"/>
      <c r="O51" s="29"/>
      <c r="P51" s="29"/>
    </row>
    <row r="52" spans="3:16" ht="14.25" customHeight="1">
      <c r="C52" s="29"/>
      <c r="D52" s="29"/>
      <c r="E52" s="29"/>
      <c r="F52" s="43"/>
      <c r="G52" s="25"/>
      <c r="H52" s="29"/>
      <c r="I52" s="29"/>
      <c r="J52" s="29"/>
      <c r="K52" s="29"/>
      <c r="L52" s="29"/>
      <c r="M52" s="43"/>
      <c r="N52" s="29"/>
      <c r="O52" s="29"/>
      <c r="P52" s="29"/>
    </row>
    <row r="53" spans="3:16" ht="12.75">
      <c r="C53" s="173"/>
      <c r="D53" s="25"/>
      <c r="E53" s="137"/>
      <c r="F53" s="1"/>
      <c r="G53" s="29"/>
      <c r="H53" s="29"/>
      <c r="I53" s="29"/>
      <c r="J53" s="53"/>
      <c r="K53" s="25"/>
      <c r="L53" s="29"/>
      <c r="M53" s="29"/>
      <c r="N53" s="29"/>
      <c r="O53" s="29"/>
      <c r="P53" s="29"/>
    </row>
    <row r="54" spans="3:16" ht="13.5" thickBot="1">
      <c r="C54" s="149"/>
      <c r="D54" s="53"/>
      <c r="E54" s="53"/>
      <c r="F54" s="54"/>
      <c r="G54" s="36"/>
      <c r="H54" s="29"/>
      <c r="I54" s="29"/>
      <c r="J54" s="25"/>
      <c r="K54" s="25"/>
      <c r="L54" s="29"/>
      <c r="M54" s="53"/>
      <c r="N54" s="25"/>
      <c r="O54" s="25"/>
      <c r="P54" s="25"/>
    </row>
    <row r="55" spans="1:16" ht="14.25" thickBot="1" thickTop="1">
      <c r="A55" s="285" t="s">
        <v>284</v>
      </c>
      <c r="B55" s="323"/>
      <c r="C55" s="323"/>
      <c r="D55" s="323"/>
      <c r="E55" s="323"/>
      <c r="F55" s="323"/>
      <c r="G55" s="323"/>
      <c r="H55" s="323"/>
      <c r="I55" s="324"/>
      <c r="J55" s="324"/>
      <c r="K55" s="324"/>
      <c r="L55" s="324"/>
      <c r="M55" s="324"/>
      <c r="N55" s="324"/>
      <c r="O55" s="34"/>
      <c r="P55" s="34"/>
    </row>
    <row r="56" spans="1:16" ht="12.75">
      <c r="A56" s="280" t="s">
        <v>16</v>
      </c>
      <c r="B56" s="281"/>
      <c r="C56" s="281"/>
      <c r="D56" s="313" t="s">
        <v>17</v>
      </c>
      <c r="E56" s="314"/>
      <c r="F56" s="313" t="s">
        <v>18</v>
      </c>
      <c r="G56" s="313"/>
      <c r="H56" s="270" t="s">
        <v>19</v>
      </c>
      <c r="I56" s="314"/>
      <c r="J56" s="313" t="s">
        <v>20</v>
      </c>
      <c r="K56" s="313"/>
      <c r="L56" s="270" t="s">
        <v>21</v>
      </c>
      <c r="M56" s="314"/>
      <c r="N56" s="316"/>
      <c r="O56" s="34"/>
      <c r="P56" s="34"/>
    </row>
    <row r="57" spans="1:16" ht="12.75">
      <c r="A57" s="439" t="s">
        <v>38</v>
      </c>
      <c r="B57" s="302"/>
      <c r="C57" s="295"/>
      <c r="D57" s="302" t="s">
        <v>39</v>
      </c>
      <c r="E57" s="274"/>
      <c r="F57" s="302" t="s">
        <v>286</v>
      </c>
      <c r="G57" s="302"/>
      <c r="H57" s="302" t="s">
        <v>300</v>
      </c>
      <c r="I57" s="274"/>
      <c r="J57" s="302" t="s">
        <v>288</v>
      </c>
      <c r="K57" s="302"/>
      <c r="L57" s="272" t="s">
        <v>285</v>
      </c>
      <c r="M57" s="272"/>
      <c r="N57" s="303"/>
      <c r="O57" s="34"/>
      <c r="P57" s="34"/>
    </row>
    <row r="58" spans="1:16" ht="12.75">
      <c r="A58" s="439"/>
      <c r="B58" s="302"/>
      <c r="C58" s="295"/>
      <c r="D58" s="274"/>
      <c r="E58" s="274"/>
      <c r="F58" s="274"/>
      <c r="G58" s="274"/>
      <c r="H58" s="274"/>
      <c r="I58" s="274"/>
      <c r="J58" s="274"/>
      <c r="K58" s="274"/>
      <c r="L58" s="304"/>
      <c r="M58" s="304"/>
      <c r="N58" s="303"/>
      <c r="O58" s="25"/>
      <c r="P58" s="25"/>
    </row>
    <row r="59" spans="1:16" ht="12.75">
      <c r="A59" s="315"/>
      <c r="B59" s="274"/>
      <c r="C59" s="295"/>
      <c r="D59" s="274"/>
      <c r="E59" s="274"/>
      <c r="F59" s="274"/>
      <c r="G59" s="274"/>
      <c r="H59" s="274"/>
      <c r="I59" s="274"/>
      <c r="J59" s="274"/>
      <c r="K59" s="274"/>
      <c r="L59" s="304"/>
      <c r="M59" s="304"/>
      <c r="N59" s="303"/>
      <c r="O59" s="34"/>
      <c r="P59" s="34"/>
    </row>
    <row r="60" spans="1:16" ht="12.75">
      <c r="A60" s="315"/>
      <c r="B60" s="274"/>
      <c r="C60" s="295"/>
      <c r="D60" s="312" t="s">
        <v>678</v>
      </c>
      <c r="E60" s="295"/>
      <c r="F60" s="320" t="s">
        <v>287</v>
      </c>
      <c r="G60" s="321"/>
      <c r="H60" s="312" t="s">
        <v>678</v>
      </c>
      <c r="I60" s="295"/>
      <c r="J60" s="320" t="s">
        <v>289</v>
      </c>
      <c r="K60" s="321"/>
      <c r="L60" s="320" t="s">
        <v>290</v>
      </c>
      <c r="M60" s="321"/>
      <c r="N60" s="322"/>
      <c r="O60" s="44"/>
      <c r="P60" s="44"/>
    </row>
    <row r="61" spans="1:14" ht="12.75">
      <c r="A61" s="315"/>
      <c r="B61" s="274"/>
      <c r="C61" s="295"/>
      <c r="D61" s="274"/>
      <c r="E61" s="295"/>
      <c r="F61" s="274"/>
      <c r="G61" s="274"/>
      <c r="H61" s="274"/>
      <c r="I61" s="295"/>
      <c r="J61" s="274"/>
      <c r="K61" s="274"/>
      <c r="L61" s="274"/>
      <c r="M61" s="274"/>
      <c r="N61" s="322"/>
    </row>
    <row r="62" spans="1:16" ht="12.75">
      <c r="A62" s="299" t="s">
        <v>35</v>
      </c>
      <c r="B62" s="295"/>
      <c r="C62" s="295"/>
      <c r="D62" s="292">
        <v>1</v>
      </c>
      <c r="E62" s="292"/>
      <c r="F62" s="293">
        <f>+N48</f>
        <v>0.9965152435925788</v>
      </c>
      <c r="G62" s="300"/>
      <c r="H62" s="292">
        <v>1</v>
      </c>
      <c r="I62" s="292"/>
      <c r="J62" s="278">
        <f>+N50</f>
        <v>2.4131654237581635</v>
      </c>
      <c r="K62" s="315"/>
      <c r="L62" s="293">
        <f>+N47</f>
        <v>3.4096806673507425</v>
      </c>
      <c r="M62" s="301"/>
      <c r="N62" s="301"/>
      <c r="O62" s="29"/>
      <c r="P62" s="29"/>
    </row>
    <row r="63" spans="1:16" ht="15.75">
      <c r="A63" s="299"/>
      <c r="B63" s="295"/>
      <c r="C63" s="295"/>
      <c r="D63" s="295"/>
      <c r="E63" s="295"/>
      <c r="F63" s="296" t="s">
        <v>291</v>
      </c>
      <c r="G63" s="274"/>
      <c r="H63" s="295"/>
      <c r="I63" s="295"/>
      <c r="J63" s="296" t="s">
        <v>292</v>
      </c>
      <c r="K63" s="274"/>
      <c r="L63" s="296" t="s">
        <v>293</v>
      </c>
      <c r="M63" s="274"/>
      <c r="N63" s="297"/>
      <c r="O63" s="24"/>
      <c r="P63" s="24"/>
    </row>
    <row r="64" spans="1:16" ht="12.75">
      <c r="A64" s="298" t="s">
        <v>42</v>
      </c>
      <c r="B64" s="295"/>
      <c r="C64" s="295"/>
      <c r="D64" s="278">
        <f>IF('Segment Tables'!$B$30="No",HLOOKUP($J$9,'Segment Tables'!$C$32:$L$39,3,FALSE),HLOOKUP($J$9,'Segment Tables'!$C$42:$L$49,3,FALSE))</f>
        <v>0.818</v>
      </c>
      <c r="E64" s="279"/>
      <c r="F64" s="278">
        <f aca="true" t="shared" si="0" ref="F64:F69">+$F$62*$D64</f>
        <v>0.8151494692587294</v>
      </c>
      <c r="G64" s="279"/>
      <c r="H64" s="278">
        <f>IF('Segment Tables'!$B$30="No",IF($J$9="2U",'Segment Tables'!D34,IF($J$9="3T",'Segment Tables'!F34,IF($J$9="4U",'Segment Tables'!H34,IF($J$9="4D",'Segment Tables'!J34,'Segment Tables'!L34)))),IF($J$9="2U",'Segment Tables'!D44,IF($J$9="3T",'Segment Tables'!F44,IF($J$9="4U",'Segment Tables'!H44,IF($J$9="4D",'Segment Tables'!J44,'Segment Tables'!L44)))))</f>
        <v>0.636</v>
      </c>
      <c r="I64" s="279"/>
      <c r="J64" s="278">
        <f aca="true" t="shared" si="1" ref="J64:J69">+$J$62*H64</f>
        <v>1.534773209510192</v>
      </c>
      <c r="K64" s="279"/>
      <c r="L64" s="292">
        <f aca="true" t="shared" si="2" ref="L64:L69">+F64+J64</f>
        <v>2.3499226787689214</v>
      </c>
      <c r="M64" s="292"/>
      <c r="N64" s="293"/>
      <c r="O64" s="24"/>
      <c r="P64" s="24"/>
    </row>
    <row r="65" spans="1:16" ht="12.75">
      <c r="A65" s="294" t="s">
        <v>41</v>
      </c>
      <c r="B65" s="295"/>
      <c r="C65" s="295"/>
      <c r="D65" s="278">
        <f>IF('Segment Tables'!$B$30="No",HLOOKUP($J$9,'Segment Tables'!$C$32:$L$39,4,FALSE),HLOOKUP($J$9,'Segment Tables'!$C$42:$L$49,4,FALSE))</f>
        <v>0.016</v>
      </c>
      <c r="E65" s="279"/>
      <c r="F65" s="278">
        <f t="shared" si="0"/>
        <v>0.01594424389748126</v>
      </c>
      <c r="G65" s="279"/>
      <c r="H65" s="278">
        <f>IF('Segment Tables'!$B$30="No",IF($J$9="2U",'Segment Tables'!D35,IF($J$9="3T",'Segment Tables'!F35,IF($J$9="4U",'Segment Tables'!H35,IF($J$9="4D",'Segment Tables'!J35,'Segment Tables'!L35)))),IF($J$9="2U",'Segment Tables'!D45,IF($J$9="3T",'Segment Tables'!F45,IF($J$9="4U",'Segment Tables'!H45,IF($J$9="4D",'Segment Tables'!J45,'Segment Tables'!L45)))))</f>
        <v>0.004</v>
      </c>
      <c r="I65" s="279"/>
      <c r="J65" s="278">
        <f t="shared" si="1"/>
        <v>0.009652661695032655</v>
      </c>
      <c r="K65" s="279"/>
      <c r="L65" s="292">
        <f t="shared" si="2"/>
        <v>0.025596905592513916</v>
      </c>
      <c r="M65" s="292"/>
      <c r="N65" s="293"/>
      <c r="O65" s="154"/>
      <c r="P65" s="154"/>
    </row>
    <row r="66" spans="1:16" ht="12.75">
      <c r="A66" s="294" t="s">
        <v>40</v>
      </c>
      <c r="B66" s="295"/>
      <c r="C66" s="295"/>
      <c r="D66" s="278">
        <f>IF('Segment Tables'!$B$30="No",HLOOKUP($J$9,'Segment Tables'!$C$32:$L$39,5,FALSE),HLOOKUP($J$9,'Segment Tables'!$C$42:$L$49,5,FALSE))</f>
        <v>0</v>
      </c>
      <c r="E66" s="279"/>
      <c r="F66" s="278">
        <f t="shared" si="0"/>
        <v>0</v>
      </c>
      <c r="G66" s="279"/>
      <c r="H66" s="278">
        <f>IF('Segment Tables'!$B$30="No",IF($J$9="2U",'Segment Tables'!D36,IF($J$9="3T",'Segment Tables'!F36,IF($J$9="4U",'Segment Tables'!H36,IF($J$9="4D",'Segment Tables'!J36,'Segment Tables'!L36)))),IF($J$9="2U",'Segment Tables'!D46,IF($J$9="3T",'Segment Tables'!F46,IF($J$9="4U",'Segment Tables'!H46,IF($J$9="4D",'Segment Tables'!J46,'Segment Tables'!L46)))))</f>
        <v>0.025</v>
      </c>
      <c r="I66" s="279"/>
      <c r="J66" s="278">
        <f t="shared" si="1"/>
        <v>0.060329135593954086</v>
      </c>
      <c r="K66" s="279"/>
      <c r="L66" s="292">
        <f t="shared" si="2"/>
        <v>0.060329135593954086</v>
      </c>
      <c r="M66" s="292"/>
      <c r="N66" s="293"/>
      <c r="O66" s="24"/>
      <c r="P66" s="24"/>
    </row>
    <row r="67" spans="1:16" ht="12.75">
      <c r="A67" s="294" t="s">
        <v>294</v>
      </c>
      <c r="B67" s="295"/>
      <c r="C67" s="295"/>
      <c r="D67" s="278">
        <f>IF('Segment Tables'!$B$30="No",HLOOKUP($J$9,'Segment Tables'!$C$32:$L$39,6,FALSE),HLOOKUP($J$9,'Segment Tables'!$C$42:$L$49,6,FALSE))</f>
        <v>0</v>
      </c>
      <c r="E67" s="279"/>
      <c r="F67" s="278">
        <f t="shared" si="0"/>
        <v>0</v>
      </c>
      <c r="G67" s="279"/>
      <c r="H67" s="278">
        <f>IF('Segment Tables'!$B$30="No",IF($J$9="2U",'Segment Tables'!D37,IF($J$9="3T",'Segment Tables'!F37,IF($J$9="4U",'Segment Tables'!H37,IF($J$9="4D",'Segment Tables'!J37,'Segment Tables'!L37)))),IF($J$9="2U",'Segment Tables'!D47,IF($J$9="3T",'Segment Tables'!F47,IF($J$9="4U",'Segment Tables'!H47,IF($J$9="4D",'Segment Tables'!J47,'Segment Tables'!L47)))))</f>
        <v>0.075</v>
      </c>
      <c r="I67" s="279"/>
      <c r="J67" s="278">
        <f t="shared" si="1"/>
        <v>0.18098740678186226</v>
      </c>
      <c r="K67" s="279"/>
      <c r="L67" s="292">
        <f t="shared" si="2"/>
        <v>0.18098740678186226</v>
      </c>
      <c r="M67" s="292"/>
      <c r="N67" s="293"/>
      <c r="O67" s="24"/>
      <c r="P67" s="24"/>
    </row>
    <row r="68" spans="1:16" ht="12.75">
      <c r="A68" s="294" t="s">
        <v>295</v>
      </c>
      <c r="B68" s="295"/>
      <c r="C68" s="295"/>
      <c r="D68" s="278">
        <f>IF('Segment Tables'!$B$30="No",HLOOKUP($J$9,'Segment Tables'!$C$32:$L$39,7,FALSE),HLOOKUP($J$9,'Segment Tables'!$C$42:$L$49,7,FALSE))</f>
        <v>0</v>
      </c>
      <c r="E68" s="279"/>
      <c r="F68" s="278">
        <f t="shared" si="0"/>
        <v>0</v>
      </c>
      <c r="G68" s="279"/>
      <c r="H68" s="278">
        <f>IF('Segment Tables'!$B$30="No",IF($J$9="2U",'Segment Tables'!D38,IF($J$9="3T",'Segment Tables'!F38,IF($J$9="4U",'Segment Tables'!H38,IF($J$9="4D",'Segment Tables'!J38,'Segment Tables'!L38)))),IF($J$9="2U",'Segment Tables'!D48,IF($J$9="3T",'Segment Tables'!F48,IF($J$9="4U",'Segment Tables'!H48,IF($J$9="4D",'Segment Tables'!J48,'Segment Tables'!L48)))))</f>
        <v>0.014</v>
      </c>
      <c r="I68" s="279"/>
      <c r="J68" s="278">
        <f t="shared" si="1"/>
        <v>0.03378431593261429</v>
      </c>
      <c r="K68" s="279"/>
      <c r="L68" s="292">
        <f t="shared" si="2"/>
        <v>0.03378431593261429</v>
      </c>
      <c r="M68" s="292"/>
      <c r="N68" s="293"/>
      <c r="O68" s="155"/>
      <c r="P68" s="155"/>
    </row>
    <row r="69" spans="1:16" ht="13.5" thickBot="1">
      <c r="A69" s="286" t="s">
        <v>299</v>
      </c>
      <c r="B69" s="287"/>
      <c r="C69" s="287"/>
      <c r="D69" s="288">
        <f>IF('Segment Tables'!$B$30="No",HLOOKUP($J$9,'Segment Tables'!$C$32:$L$39,8,FALSE),HLOOKUP($J$9,'Segment Tables'!$C$42:$L$49,8,FALSE))</f>
        <v>0.166</v>
      </c>
      <c r="E69" s="289"/>
      <c r="F69" s="288">
        <f t="shared" si="0"/>
        <v>0.1654215304363681</v>
      </c>
      <c r="G69" s="289"/>
      <c r="H69" s="288">
        <f>IF('Segment Tables'!$B$30="No",IF($J$9="2U",'Segment Tables'!D39,IF($J$9="3T",'Segment Tables'!F39,IF($J$9="4U",'Segment Tables'!H39,IF($J$9="4D",'Segment Tables'!J39,'Segment Tables'!L39)))),IF($J$9="2U",'Segment Tables'!D49,IF($J$9="3T",'Segment Tables'!F49,IF($J$9="4U",'Segment Tables'!H49,IF($J$9="4D",'Segment Tables'!J49,'Segment Tables'!L49)))))</f>
        <v>0.246</v>
      </c>
      <c r="I69" s="289"/>
      <c r="J69" s="288">
        <f t="shared" si="1"/>
        <v>0.5936386942445082</v>
      </c>
      <c r="K69" s="289"/>
      <c r="L69" s="290">
        <f t="shared" si="2"/>
        <v>0.7590602246808763</v>
      </c>
      <c r="M69" s="290"/>
      <c r="N69" s="291"/>
      <c r="O69" s="24"/>
      <c r="P69" s="24"/>
    </row>
    <row r="70" spans="1:16" ht="12.75">
      <c r="A70" s="15"/>
      <c r="B70" s="1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156"/>
      <c r="O70" s="156"/>
      <c r="P70" s="156"/>
    </row>
    <row r="71" spans="1:16" ht="12.75">
      <c r="A71" s="28"/>
      <c r="B71" s="28"/>
      <c r="C71" s="28"/>
      <c r="D71" s="53"/>
      <c r="E71" s="28"/>
      <c r="F71" s="28"/>
      <c r="G71" s="150"/>
      <c r="H71" s="15"/>
      <c r="I71" s="28"/>
      <c r="J71" s="53"/>
      <c r="K71" s="24"/>
      <c r="L71" s="28"/>
      <c r="M71" s="53"/>
      <c r="N71" s="24"/>
      <c r="O71" s="24"/>
      <c r="P71" s="24"/>
    </row>
    <row r="72" spans="1:16" ht="13.5" thickBot="1">
      <c r="A72" s="28"/>
      <c r="B72" s="28"/>
      <c r="C72" s="28"/>
      <c r="D72" s="53"/>
      <c r="E72" s="28"/>
      <c r="F72" s="28"/>
      <c r="G72" s="150"/>
      <c r="H72" s="15"/>
      <c r="I72" s="28"/>
      <c r="J72" s="53"/>
      <c r="K72" s="24"/>
      <c r="L72" s="28"/>
      <c r="M72" s="53"/>
      <c r="N72" s="24"/>
      <c r="O72" s="24"/>
      <c r="P72" s="24"/>
    </row>
    <row r="73" spans="1:16" ht="14.25" thickBot="1" thickTop="1">
      <c r="A73" s="285" t="s">
        <v>301</v>
      </c>
      <c r="B73" s="323"/>
      <c r="C73" s="323"/>
      <c r="D73" s="323"/>
      <c r="E73" s="323"/>
      <c r="F73" s="323"/>
      <c r="G73" s="323"/>
      <c r="H73" s="323"/>
      <c r="I73" s="323"/>
      <c r="J73" s="360"/>
      <c r="K73" s="360"/>
      <c r="L73" s="360"/>
      <c r="M73" s="360"/>
      <c r="N73" s="360"/>
      <c r="O73" s="24"/>
      <c r="P73" s="24"/>
    </row>
    <row r="74" spans="1:16" ht="13.5" customHeight="1">
      <c r="A74" s="280" t="s">
        <v>16</v>
      </c>
      <c r="B74" s="281"/>
      <c r="C74" s="271" t="s">
        <v>17</v>
      </c>
      <c r="D74" s="361"/>
      <c r="E74" s="313" t="s">
        <v>18</v>
      </c>
      <c r="F74" s="281"/>
      <c r="G74" s="313" t="s">
        <v>19</v>
      </c>
      <c r="H74" s="281"/>
      <c r="I74" s="313" t="s">
        <v>20</v>
      </c>
      <c r="J74" s="281"/>
      <c r="K74" s="2" t="s">
        <v>21</v>
      </c>
      <c r="L74" s="123" t="s">
        <v>22</v>
      </c>
      <c r="M74" s="123" t="s">
        <v>23</v>
      </c>
      <c r="N74" s="146" t="s">
        <v>24</v>
      </c>
      <c r="O74" s="24"/>
      <c r="P74" s="24"/>
    </row>
    <row r="75" spans="1:16" ht="12.75">
      <c r="A75" s="305" t="s">
        <v>32</v>
      </c>
      <c r="B75" s="352"/>
      <c r="C75" s="357" t="s">
        <v>89</v>
      </c>
      <c r="D75" s="358"/>
      <c r="E75" s="302" t="s">
        <v>33</v>
      </c>
      <c r="F75" s="318"/>
      <c r="G75" s="359" t="s">
        <v>302</v>
      </c>
      <c r="H75" s="359"/>
      <c r="I75" s="302" t="s">
        <v>265</v>
      </c>
      <c r="J75" s="358"/>
      <c r="K75" s="359" t="s">
        <v>304</v>
      </c>
      <c r="L75" s="302" t="s">
        <v>34</v>
      </c>
      <c r="M75" s="302" t="s">
        <v>7</v>
      </c>
      <c r="N75" s="319" t="s">
        <v>306</v>
      </c>
      <c r="O75" s="24"/>
      <c r="P75" s="24"/>
    </row>
    <row r="76" spans="1:16" ht="12.75">
      <c r="A76" s="353"/>
      <c r="B76" s="354"/>
      <c r="C76" s="318"/>
      <c r="D76" s="318"/>
      <c r="E76" s="318"/>
      <c r="F76" s="318"/>
      <c r="G76" s="318"/>
      <c r="H76" s="318"/>
      <c r="I76" s="358"/>
      <c r="J76" s="358"/>
      <c r="K76" s="317"/>
      <c r="L76" s="317"/>
      <c r="M76" s="317"/>
      <c r="N76" s="319"/>
      <c r="O76" s="24"/>
      <c r="P76" s="24"/>
    </row>
    <row r="77" spans="1:16" ht="12.75">
      <c r="A77" s="353"/>
      <c r="B77" s="354"/>
      <c r="C77" s="273" t="s">
        <v>679</v>
      </c>
      <c r="D77" s="274"/>
      <c r="E77" s="312" t="s">
        <v>679</v>
      </c>
      <c r="F77" s="362"/>
      <c r="G77" s="312" t="s">
        <v>303</v>
      </c>
      <c r="H77" s="362"/>
      <c r="I77" s="358"/>
      <c r="J77" s="358"/>
      <c r="K77" s="312" t="s">
        <v>269</v>
      </c>
      <c r="L77" s="348" t="s">
        <v>270</v>
      </c>
      <c r="M77" s="318"/>
      <c r="N77" s="265" t="s">
        <v>271</v>
      </c>
      <c r="O77" s="24"/>
      <c r="P77" s="24"/>
    </row>
    <row r="78" spans="1:16" ht="12.75">
      <c r="A78" s="355"/>
      <c r="B78" s="356"/>
      <c r="C78" s="125" t="s">
        <v>90</v>
      </c>
      <c r="D78" s="125" t="s">
        <v>91</v>
      </c>
      <c r="E78" s="318"/>
      <c r="F78" s="318"/>
      <c r="G78" s="318"/>
      <c r="H78" s="318"/>
      <c r="I78" s="358"/>
      <c r="J78" s="358"/>
      <c r="K78" s="283"/>
      <c r="L78" s="317"/>
      <c r="M78" s="318"/>
      <c r="N78" s="349"/>
      <c r="O78" s="24"/>
      <c r="P78" s="24"/>
    </row>
    <row r="79" spans="1:16" ht="12.75">
      <c r="A79" s="299" t="s">
        <v>35</v>
      </c>
      <c r="B79" s="322"/>
      <c r="C79" s="12">
        <f>VLOOKUP($J$9,'Segment Tables'!$G$8:$J$12,2,FALSE)</f>
        <v>-5.74</v>
      </c>
      <c r="D79" s="12">
        <f>VLOOKUP($J$9,'Segment Tables'!$G$8:$J$12,3,FALSE)</f>
        <v>0.54</v>
      </c>
      <c r="E79" s="350">
        <f>VLOOKUP($J$9,'Segment Tables'!$G$8:$J$12,4,FALSE)</f>
        <v>1.37</v>
      </c>
      <c r="F79" s="351"/>
      <c r="G79" s="278">
        <f>EXP($C79+($D79*LN($J$11))+LN($J$10))</f>
        <v>0.5464418697914625</v>
      </c>
      <c r="H79" s="279"/>
      <c r="I79" s="278">
        <v>1</v>
      </c>
      <c r="J79" s="279"/>
      <c r="K79" s="3">
        <f>$G$79*I79</f>
        <v>0.5464418697914625</v>
      </c>
      <c r="L79" s="12">
        <f>+$M$37</f>
        <v>0.9646788383031004</v>
      </c>
      <c r="M79" s="12">
        <f>+$J$27</f>
        <v>0.81</v>
      </c>
      <c r="N79" s="128">
        <f>+K79*L79*M79</f>
        <v>0.4269841356019877</v>
      </c>
      <c r="O79" s="156"/>
      <c r="P79" s="156"/>
    </row>
    <row r="80" spans="1:16" ht="15.75">
      <c r="A80" s="343" t="s">
        <v>36</v>
      </c>
      <c r="B80" s="343"/>
      <c r="C80" s="327">
        <f>VLOOKUP($J$9,'Segment Tables'!$G$14:$J$18,2,FALSE)</f>
        <v>-6.37</v>
      </c>
      <c r="D80" s="327">
        <f>VLOOKUP($J$9,'Segment Tables'!$G$14:$J$18,3,FALSE)</f>
        <v>0.47</v>
      </c>
      <c r="E80" s="337">
        <f>VLOOKUP($J$9,'Segment Tables'!$G$14:$J$18,4,FALSE)</f>
        <v>1.06</v>
      </c>
      <c r="F80" s="338"/>
      <c r="G80" s="329">
        <f>EXP($C80+($D80*LN($J$11))+LN($J$10))</f>
        <v>0.14408457724518506</v>
      </c>
      <c r="H80" s="341"/>
      <c r="I80" s="273" t="s">
        <v>272</v>
      </c>
      <c r="J80" s="274"/>
      <c r="K80" s="325">
        <f>$G$79*I81</f>
        <v>0.1486978264860292</v>
      </c>
      <c r="L80" s="327">
        <f>+$M$37</f>
        <v>0.9646788383031004</v>
      </c>
      <c r="M80" s="327">
        <f>+$J$27</f>
        <v>0.81</v>
      </c>
      <c r="N80" s="329">
        <f>+K80*L80*M80</f>
        <v>0.1161909736753183</v>
      </c>
      <c r="O80" s="156"/>
      <c r="P80" s="156"/>
    </row>
    <row r="81" spans="1:16" ht="12.75">
      <c r="A81" s="344"/>
      <c r="B81" s="344"/>
      <c r="C81" s="332"/>
      <c r="D81" s="332"/>
      <c r="E81" s="345"/>
      <c r="F81" s="346"/>
      <c r="G81" s="333"/>
      <c r="H81" s="347"/>
      <c r="I81" s="278">
        <f>G80/(G80+G82)</f>
        <v>0.2721201187287798</v>
      </c>
      <c r="J81" s="279"/>
      <c r="K81" s="331"/>
      <c r="L81" s="332"/>
      <c r="M81" s="332"/>
      <c r="N81" s="333"/>
      <c r="O81" s="156"/>
      <c r="P81" s="156"/>
    </row>
    <row r="82" spans="1:16" ht="15.75">
      <c r="A82" s="284" t="s">
        <v>37</v>
      </c>
      <c r="B82" s="334"/>
      <c r="C82" s="327">
        <f>VLOOKUP($J$9,'Segment Tables'!$G$20:$J$24,2,FALSE)</f>
        <v>-6.29</v>
      </c>
      <c r="D82" s="327">
        <f>VLOOKUP($J$9,'Segment Tables'!$G$20:$J$24,3,FALSE)</f>
        <v>0.56</v>
      </c>
      <c r="E82" s="337">
        <f>VLOOKUP($J$9,'Segment Tables'!$G$20:$J$24,4,FALSE)</f>
        <v>1.93</v>
      </c>
      <c r="F82" s="338"/>
      <c r="G82" s="329">
        <f>EXP($C82+($D82*LN($J$11))+LN($J$10))</f>
        <v>0.3854043040557714</v>
      </c>
      <c r="H82" s="341"/>
      <c r="I82" s="273" t="s">
        <v>273</v>
      </c>
      <c r="J82" s="274"/>
      <c r="K82" s="325">
        <f>$G$79*I83</f>
        <v>0.3977440433054333</v>
      </c>
      <c r="L82" s="327">
        <f>+$M$37</f>
        <v>0.9646788383031004</v>
      </c>
      <c r="M82" s="327">
        <f>+$J$27</f>
        <v>0.81</v>
      </c>
      <c r="N82" s="329">
        <f>+K82*L82*M82</f>
        <v>0.3107931619266694</v>
      </c>
      <c r="O82" s="156"/>
      <c r="P82" s="156"/>
    </row>
    <row r="83" spans="1:16" ht="13.5" thickBot="1">
      <c r="A83" s="335"/>
      <c r="B83" s="336"/>
      <c r="C83" s="328"/>
      <c r="D83" s="328"/>
      <c r="E83" s="339"/>
      <c r="F83" s="340"/>
      <c r="G83" s="330"/>
      <c r="H83" s="342"/>
      <c r="I83" s="288">
        <f>I79-I81</f>
        <v>0.7278798812712202</v>
      </c>
      <c r="J83" s="289"/>
      <c r="K83" s="326"/>
      <c r="L83" s="328"/>
      <c r="M83" s="328"/>
      <c r="N83" s="330"/>
      <c r="O83" s="156"/>
      <c r="P83" s="156"/>
    </row>
    <row r="84" spans="1:16" ht="12.75">
      <c r="A84" s="15"/>
      <c r="B84" s="1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56"/>
      <c r="O84" s="156"/>
      <c r="P84" s="156"/>
    </row>
    <row r="85" spans="1:16" ht="12.75">
      <c r="A85" s="15"/>
      <c r="B85" s="1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56"/>
      <c r="O85" s="156"/>
      <c r="P85" s="156"/>
    </row>
    <row r="86" spans="1:16" ht="13.5" thickBot="1">
      <c r="A86" s="15"/>
      <c r="B86" s="1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156"/>
      <c r="O86" s="156"/>
      <c r="P86" s="156"/>
    </row>
    <row r="87" spans="1:16" ht="14.25" thickBot="1" thickTop="1">
      <c r="A87" s="285" t="s">
        <v>307</v>
      </c>
      <c r="B87" s="323"/>
      <c r="C87" s="323"/>
      <c r="D87" s="323"/>
      <c r="E87" s="323"/>
      <c r="F87" s="323"/>
      <c r="G87" s="323"/>
      <c r="H87" s="323"/>
      <c r="I87" s="324"/>
      <c r="J87" s="324"/>
      <c r="K87" s="324"/>
      <c r="L87" s="324"/>
      <c r="M87" s="324"/>
      <c r="N87" s="324"/>
      <c r="O87" s="156"/>
      <c r="P87" s="156"/>
    </row>
    <row r="88" spans="1:16" ht="12.75">
      <c r="A88" s="280" t="s">
        <v>16</v>
      </c>
      <c r="B88" s="281"/>
      <c r="C88" s="281"/>
      <c r="D88" s="313" t="s">
        <v>17</v>
      </c>
      <c r="E88" s="314"/>
      <c r="F88" s="313" t="s">
        <v>18</v>
      </c>
      <c r="G88" s="313"/>
      <c r="H88" s="270" t="s">
        <v>19</v>
      </c>
      <c r="I88" s="314"/>
      <c r="J88" s="313" t="s">
        <v>20</v>
      </c>
      <c r="K88" s="313"/>
      <c r="L88" s="270" t="s">
        <v>21</v>
      </c>
      <c r="M88" s="314"/>
      <c r="N88" s="316"/>
      <c r="O88" s="156"/>
      <c r="P88" s="156"/>
    </row>
    <row r="89" spans="1:16" ht="12.75">
      <c r="A89" s="305" t="s">
        <v>38</v>
      </c>
      <c r="B89" s="305"/>
      <c r="C89" s="306"/>
      <c r="D89" s="302" t="s">
        <v>39</v>
      </c>
      <c r="E89" s="274"/>
      <c r="F89" s="302" t="s">
        <v>312</v>
      </c>
      <c r="G89" s="302"/>
      <c r="H89" s="302" t="s">
        <v>300</v>
      </c>
      <c r="I89" s="274"/>
      <c r="J89" s="302" t="s">
        <v>317</v>
      </c>
      <c r="K89" s="302"/>
      <c r="L89" s="272" t="s">
        <v>315</v>
      </c>
      <c r="M89" s="272"/>
      <c r="N89" s="303"/>
      <c r="O89" s="156"/>
      <c r="P89" s="156"/>
    </row>
    <row r="90" spans="1:16" ht="12.75">
      <c r="A90" s="307"/>
      <c r="B90" s="307"/>
      <c r="C90" s="308"/>
      <c r="D90" s="274"/>
      <c r="E90" s="274"/>
      <c r="F90" s="274"/>
      <c r="G90" s="274"/>
      <c r="H90" s="274"/>
      <c r="I90" s="274"/>
      <c r="J90" s="274"/>
      <c r="K90" s="274"/>
      <c r="L90" s="304"/>
      <c r="M90" s="304"/>
      <c r="N90" s="303"/>
      <c r="O90" s="156"/>
      <c r="P90" s="156"/>
    </row>
    <row r="91" spans="1:16" ht="12.75">
      <c r="A91" s="309"/>
      <c r="B91" s="309"/>
      <c r="C91" s="308"/>
      <c r="D91" s="274"/>
      <c r="E91" s="274"/>
      <c r="F91" s="274"/>
      <c r="G91" s="274"/>
      <c r="H91" s="274"/>
      <c r="I91" s="274"/>
      <c r="J91" s="274"/>
      <c r="K91" s="274"/>
      <c r="L91" s="304"/>
      <c r="M91" s="304"/>
      <c r="N91" s="303"/>
      <c r="O91" s="156"/>
      <c r="P91" s="156"/>
    </row>
    <row r="92" spans="1:16" ht="12.75">
      <c r="A92" s="309"/>
      <c r="B92" s="309"/>
      <c r="C92" s="308"/>
      <c r="D92" s="312" t="s">
        <v>680</v>
      </c>
      <c r="E92" s="295"/>
      <c r="F92" s="320" t="s">
        <v>313</v>
      </c>
      <c r="G92" s="321"/>
      <c r="H92" s="312" t="s">
        <v>680</v>
      </c>
      <c r="I92" s="295"/>
      <c r="J92" s="320" t="s">
        <v>314</v>
      </c>
      <c r="K92" s="321"/>
      <c r="L92" s="320" t="s">
        <v>316</v>
      </c>
      <c r="M92" s="321"/>
      <c r="N92" s="322"/>
      <c r="O92" s="156"/>
      <c r="P92" s="156"/>
    </row>
    <row r="93" spans="1:16" ht="12.75">
      <c r="A93" s="310"/>
      <c r="B93" s="310"/>
      <c r="C93" s="311"/>
      <c r="D93" s="274"/>
      <c r="E93" s="295"/>
      <c r="F93" s="274"/>
      <c r="G93" s="274"/>
      <c r="H93" s="274"/>
      <c r="I93" s="295"/>
      <c r="J93" s="274"/>
      <c r="K93" s="274"/>
      <c r="L93" s="274"/>
      <c r="M93" s="274"/>
      <c r="N93" s="322"/>
      <c r="O93" s="156"/>
      <c r="P93" s="156"/>
    </row>
    <row r="94" spans="1:16" ht="12.75">
      <c r="A94" s="299" t="s">
        <v>35</v>
      </c>
      <c r="B94" s="295"/>
      <c r="C94" s="295"/>
      <c r="D94" s="292">
        <v>1</v>
      </c>
      <c r="E94" s="292"/>
      <c r="F94" s="293">
        <f>+N80</f>
        <v>0.1161909736753183</v>
      </c>
      <c r="G94" s="300"/>
      <c r="H94" s="292">
        <v>1</v>
      </c>
      <c r="I94" s="292"/>
      <c r="J94" s="278">
        <f>+N82</f>
        <v>0.3107931619266694</v>
      </c>
      <c r="K94" s="315"/>
      <c r="L94" s="293">
        <f>+N79</f>
        <v>0.4269841356019877</v>
      </c>
      <c r="M94" s="301"/>
      <c r="N94" s="301"/>
      <c r="O94" s="156"/>
      <c r="P94" s="156"/>
    </row>
    <row r="95" spans="1:16" ht="15.75">
      <c r="A95" s="299"/>
      <c r="B95" s="295"/>
      <c r="C95" s="295"/>
      <c r="D95" s="295"/>
      <c r="E95" s="295"/>
      <c r="F95" s="296" t="s">
        <v>291</v>
      </c>
      <c r="G95" s="274"/>
      <c r="H95" s="295"/>
      <c r="I95" s="295"/>
      <c r="J95" s="296" t="s">
        <v>292</v>
      </c>
      <c r="K95" s="274"/>
      <c r="L95" s="296" t="s">
        <v>293</v>
      </c>
      <c r="M95" s="274"/>
      <c r="N95" s="297"/>
      <c r="O95" s="156"/>
      <c r="P95" s="156"/>
    </row>
    <row r="96" spans="1:16" ht="12.75">
      <c r="A96" s="298" t="s">
        <v>308</v>
      </c>
      <c r="B96" s="295"/>
      <c r="C96" s="295"/>
      <c r="D96" s="278">
        <f>IF('Segment Tables'!$B$55="No",HLOOKUP($J$9,'Segment Tables'!$C$57:$L$62,3,FALSE),HLOOKUP($J$9,'Segment Tables'!$C$65:$L$70,3,FALSE))</f>
        <v>0.04</v>
      </c>
      <c r="E96" s="279"/>
      <c r="F96" s="278">
        <f>+$F$94*$D96</f>
        <v>0.004647638947012732</v>
      </c>
      <c r="G96" s="279"/>
      <c r="H96" s="278">
        <f>IF('Segment Tables'!$B$55="No",IF($J$9="2U",'Segment Tables'!D59,IF($J$9="3T",'Segment Tables'!F59,IF($J$9="4U",'Segment Tables'!H59,IF($J$9="4D",'Segment Tables'!J59,'Segment Tables'!L59)))),IF($J$9="2U",'Segment Tables'!D67,IF($J$9="3T",'Segment Tables'!F67,IF($J$9="4U",'Segment Tables'!H67,IF($J$9="4D",'Segment Tables'!J67,'Segment Tables'!L67)))))</f>
        <v>0.214</v>
      </c>
      <c r="I96" s="279"/>
      <c r="J96" s="278">
        <f>+$J$94*H96</f>
        <v>0.06650973665230725</v>
      </c>
      <c r="K96" s="279"/>
      <c r="L96" s="292">
        <f>+F96+J96</f>
        <v>0.07115737559931998</v>
      </c>
      <c r="M96" s="292"/>
      <c r="N96" s="293"/>
      <c r="O96" s="156"/>
      <c r="P96" s="156"/>
    </row>
    <row r="97" spans="1:16" ht="12.75">
      <c r="A97" s="294" t="s">
        <v>309</v>
      </c>
      <c r="B97" s="295"/>
      <c r="C97" s="295"/>
      <c r="D97" s="278">
        <f>IF('Segment Tables'!$B$55="No",HLOOKUP($J$9,'Segment Tables'!$C$57:$L$62,4,FALSE),HLOOKUP($J$9,'Segment Tables'!$C$65:$L$70,4,FALSE))</f>
        <v>0.28</v>
      </c>
      <c r="E97" s="279"/>
      <c r="F97" s="278">
        <f>+$F$94*$D97</f>
        <v>0.03253347262908913</v>
      </c>
      <c r="G97" s="279"/>
      <c r="H97" s="278">
        <f>IF('Segment Tables'!$B$55="No",IF($J$9="2U",'Segment Tables'!D60,IF($J$9="3T",'Segment Tables'!F60,IF($J$9="4U",'Segment Tables'!H60,IF($J$9="4D",'Segment Tables'!J60,'Segment Tables'!L60)))),IF($J$9="2U",'Segment Tables'!D68,IF($J$9="3T",'Segment Tables'!F68,IF($J$9="4U",'Segment Tables'!H68,IF($J$9="4D",'Segment Tables'!J68,'Segment Tables'!L68)))))</f>
        <v>0.786</v>
      </c>
      <c r="I97" s="279"/>
      <c r="J97" s="278">
        <f>+$J$94*H97</f>
        <v>0.24428342527436214</v>
      </c>
      <c r="K97" s="279"/>
      <c r="L97" s="292">
        <f>+F97+J97</f>
        <v>0.27681689790345126</v>
      </c>
      <c r="M97" s="292"/>
      <c r="N97" s="293"/>
      <c r="O97" s="156"/>
      <c r="P97" s="156"/>
    </row>
    <row r="98" spans="1:16" ht="12.75">
      <c r="A98" s="294" t="s">
        <v>310</v>
      </c>
      <c r="B98" s="295"/>
      <c r="C98" s="295"/>
      <c r="D98" s="278">
        <f>IF('Segment Tables'!$B$55="No",HLOOKUP($J$9,'Segment Tables'!$C$57:$L$62,5,FALSE),HLOOKUP($J$9,'Segment Tables'!$C$65:$L$70,5,FALSE))</f>
        <v>0.04</v>
      </c>
      <c r="E98" s="279"/>
      <c r="F98" s="278">
        <f>+$F$94*$D98</f>
        <v>0.004647638947012732</v>
      </c>
      <c r="G98" s="279"/>
      <c r="H98" s="278">
        <f>IF('Segment Tables'!$B$55="No",IF($J$9="2U",'Segment Tables'!D61,IF($J$9="3T",'Segment Tables'!F61,IF($J$9="4U",'Segment Tables'!H61,IF($J$9="4D",'Segment Tables'!J61,'Segment Tables'!L61)))),IF($J$9="2U",'Segment Tables'!D69,IF($J$9="3T",'Segment Tables'!F69,IF($J$9="4U",'Segment Tables'!H69,IF($J$9="4D",'Segment Tables'!J69,'Segment Tables'!L69)))))</f>
        <v>0</v>
      </c>
      <c r="I98" s="279"/>
      <c r="J98" s="278">
        <f>+$J$94*H98</f>
        <v>0</v>
      </c>
      <c r="K98" s="279"/>
      <c r="L98" s="292">
        <f>+F98+J98</f>
        <v>0.004647638947012732</v>
      </c>
      <c r="M98" s="292"/>
      <c r="N98" s="293"/>
      <c r="O98" s="156"/>
      <c r="P98" s="156"/>
    </row>
    <row r="99" spans="1:16" ht="13.5" thickBot="1">
      <c r="A99" s="286" t="s">
        <v>311</v>
      </c>
      <c r="B99" s="287"/>
      <c r="C99" s="287"/>
      <c r="D99" s="288">
        <f>IF('Segment Tables'!$B$55="No",HLOOKUP($J$9,'Segment Tables'!$C$57:$L$62,6,FALSE),HLOOKUP($J$9,'Segment Tables'!$C$65:$L$70,6,FALSE))</f>
        <v>0.64</v>
      </c>
      <c r="E99" s="289"/>
      <c r="F99" s="288">
        <f>+$F$94*$D99</f>
        <v>0.07436222315220371</v>
      </c>
      <c r="G99" s="289"/>
      <c r="H99" s="288">
        <f>IF('Segment Tables'!$B$55="No",IF($J$9="2U",'Segment Tables'!D62,IF($J$9="3T",'Segment Tables'!F62,IF($J$9="4U",'Segment Tables'!H62,IF($J$9="4D",'Segment Tables'!J62,'Segment Tables'!L62)))),IF($J$9="2U",'Segment Tables'!D70,IF($J$9="3T",'Segment Tables'!F70,IF($J$9="4U",'Segment Tables'!H70,IF($J$9="4D",'Segment Tables'!J70,'Segment Tables'!L70)))))</f>
        <v>0</v>
      </c>
      <c r="I99" s="289"/>
      <c r="J99" s="288">
        <f>+$J$94*H99</f>
        <v>0</v>
      </c>
      <c r="K99" s="289"/>
      <c r="L99" s="290">
        <f>+F99+J99</f>
        <v>0.07436222315220371</v>
      </c>
      <c r="M99" s="290"/>
      <c r="N99" s="291"/>
      <c r="O99" s="156"/>
      <c r="P99" s="156"/>
    </row>
    <row r="100" spans="1:16" ht="12.75">
      <c r="A100" s="15"/>
      <c r="B100" s="1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56"/>
      <c r="O100" s="156"/>
      <c r="P100" s="156"/>
    </row>
    <row r="101" spans="1:16" ht="12.75">
      <c r="A101" s="15"/>
      <c r="B101" s="1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56"/>
      <c r="O101" s="156"/>
      <c r="P101" s="156"/>
    </row>
    <row r="102" spans="1:16" ht="13.5" thickBot="1">
      <c r="A102" s="15"/>
      <c r="B102" s="1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56"/>
      <c r="O102" s="156"/>
      <c r="P102" s="156"/>
    </row>
    <row r="103" spans="1:16" ht="14.25" thickBot="1" thickTop="1">
      <c r="A103" s="285" t="s">
        <v>318</v>
      </c>
      <c r="B103" s="323"/>
      <c r="C103" s="323"/>
      <c r="D103" s="323"/>
      <c r="E103" s="323"/>
      <c r="F103" s="323"/>
      <c r="G103" s="323"/>
      <c r="H103" s="323"/>
      <c r="I103" s="324"/>
      <c r="J103" s="324"/>
      <c r="K103" s="324"/>
      <c r="L103" s="324"/>
      <c r="M103" s="324"/>
      <c r="N103" s="324"/>
      <c r="O103" s="156"/>
      <c r="P103" s="156"/>
    </row>
    <row r="104" spans="1:16" ht="12.75">
      <c r="A104" s="464" t="s">
        <v>16</v>
      </c>
      <c r="B104" s="465"/>
      <c r="C104" s="465"/>
      <c r="D104" s="466" t="s">
        <v>17</v>
      </c>
      <c r="E104" s="467"/>
      <c r="F104" s="468" t="s">
        <v>18</v>
      </c>
      <c r="G104" s="467"/>
      <c r="H104" s="468" t="s">
        <v>19</v>
      </c>
      <c r="I104" s="472"/>
      <c r="J104" s="468" t="s">
        <v>20</v>
      </c>
      <c r="K104" s="472"/>
      <c r="L104" s="472"/>
      <c r="M104" s="468" t="s">
        <v>21</v>
      </c>
      <c r="N104" s="467"/>
      <c r="O104" s="156"/>
      <c r="P104" s="156"/>
    </row>
    <row r="105" spans="1:16" ht="12.75">
      <c r="A105" s="456" t="s">
        <v>319</v>
      </c>
      <c r="B105" s="457"/>
      <c r="C105" s="457"/>
      <c r="D105" s="450" t="s">
        <v>324</v>
      </c>
      <c r="E105" s="450"/>
      <c r="F105" s="450" t="s">
        <v>322</v>
      </c>
      <c r="G105" s="450"/>
      <c r="H105" s="450" t="s">
        <v>321</v>
      </c>
      <c r="I105" s="450"/>
      <c r="J105" s="450" t="s">
        <v>323</v>
      </c>
      <c r="K105" s="450"/>
      <c r="L105" s="450"/>
      <c r="M105" s="450" t="s">
        <v>320</v>
      </c>
      <c r="N105" s="259"/>
      <c r="O105" s="65"/>
      <c r="P105" s="65"/>
    </row>
    <row r="106" spans="1:16" ht="12.75">
      <c r="A106" s="458"/>
      <c r="B106" s="459"/>
      <c r="C106" s="459"/>
      <c r="D106" s="451"/>
      <c r="E106" s="451"/>
      <c r="F106" s="471"/>
      <c r="G106" s="471"/>
      <c r="H106" s="471"/>
      <c r="I106" s="471"/>
      <c r="J106" s="471"/>
      <c r="K106" s="471"/>
      <c r="L106" s="471"/>
      <c r="M106" s="471"/>
      <c r="N106" s="261"/>
      <c r="O106" s="15"/>
      <c r="P106" s="15"/>
    </row>
    <row r="107" spans="1:16" ht="12.75">
      <c r="A107" s="458"/>
      <c r="B107" s="459"/>
      <c r="C107" s="459"/>
      <c r="D107" s="451"/>
      <c r="E107" s="451"/>
      <c r="F107" s="447" t="s">
        <v>681</v>
      </c>
      <c r="G107" s="448"/>
      <c r="H107" s="447" t="s">
        <v>681</v>
      </c>
      <c r="I107" s="448"/>
      <c r="J107" s="452" t="s">
        <v>325</v>
      </c>
      <c r="K107" s="453"/>
      <c r="L107" s="453"/>
      <c r="M107" s="469" t="s">
        <v>681</v>
      </c>
      <c r="N107" s="470"/>
      <c r="O107" s="15"/>
      <c r="P107" s="15"/>
    </row>
    <row r="108" spans="1:16" ht="15.75">
      <c r="A108" s="460"/>
      <c r="B108" s="461"/>
      <c r="C108" s="461"/>
      <c r="D108" s="449"/>
      <c r="E108" s="449"/>
      <c r="F108" s="449"/>
      <c r="G108" s="449"/>
      <c r="H108" s="449"/>
      <c r="I108" s="449"/>
      <c r="J108" s="446" t="s">
        <v>326</v>
      </c>
      <c r="K108" s="304"/>
      <c r="L108" s="304"/>
      <c r="M108" s="332"/>
      <c r="N108" s="345"/>
      <c r="O108" s="52"/>
      <c r="P108" s="52"/>
    </row>
    <row r="109" spans="1:16" ht="12.75">
      <c r="A109" s="462" t="s">
        <v>327</v>
      </c>
      <c r="B109" s="463"/>
      <c r="C109" s="463"/>
      <c r="D109" s="442">
        <f aca="true" t="shared" si="3" ref="D109:D115">+J17</f>
        <v>1</v>
      </c>
      <c r="E109" s="442"/>
      <c r="F109" s="455">
        <f>HLOOKUP($J$9,'Segment Tables'!$P$5:$T$13,3,FALSE)</f>
        <v>0.102</v>
      </c>
      <c r="G109" s="455"/>
      <c r="H109" s="455">
        <f>HLOOKUP($J$9,'Segment Tables'!$P$5:$T$21,11,FALSE)</f>
        <v>1</v>
      </c>
      <c r="I109" s="455"/>
      <c r="J109" s="454">
        <f aca="true" t="shared" si="4" ref="J109:J115">POWER(($J$11/15000),H109)*D109*F109</f>
        <v>0.1564</v>
      </c>
      <c r="K109" s="455"/>
      <c r="L109" s="455"/>
      <c r="M109" s="478" t="s">
        <v>14</v>
      </c>
      <c r="N109" s="479"/>
      <c r="O109" s="24"/>
      <c r="P109" s="24"/>
    </row>
    <row r="110" spans="1:16" ht="12.75">
      <c r="A110" s="443" t="s">
        <v>328</v>
      </c>
      <c r="B110" s="444"/>
      <c r="C110" s="444"/>
      <c r="D110" s="442">
        <f t="shared" si="3"/>
        <v>4</v>
      </c>
      <c r="E110" s="442"/>
      <c r="F110" s="455">
        <f>HLOOKUP($J$9,'Segment Tables'!$P$5:$T$13,4,FALSE)</f>
        <v>0.032</v>
      </c>
      <c r="G110" s="455"/>
      <c r="H110" s="455">
        <f>HLOOKUP($J$9,'Segment Tables'!$P$5:$T$21,11,FALSE)</f>
        <v>1</v>
      </c>
      <c r="I110" s="455"/>
      <c r="J110" s="454">
        <f t="shared" si="4"/>
        <v>0.19626666666666667</v>
      </c>
      <c r="K110" s="455"/>
      <c r="L110" s="455"/>
      <c r="M110" s="480"/>
      <c r="N110" s="481"/>
      <c r="O110" s="136"/>
      <c r="P110" s="136"/>
    </row>
    <row r="111" spans="1:16" ht="12.75">
      <c r="A111" s="445" t="s">
        <v>329</v>
      </c>
      <c r="B111" s="444"/>
      <c r="C111" s="444"/>
      <c r="D111" s="442">
        <f t="shared" si="3"/>
        <v>0</v>
      </c>
      <c r="E111" s="442"/>
      <c r="F111" s="455">
        <f>HLOOKUP($J$9,'Segment Tables'!$P$5:$T$13,5,FALSE)</f>
        <v>0.11</v>
      </c>
      <c r="G111" s="455"/>
      <c r="H111" s="455">
        <f>HLOOKUP($J$9,'Segment Tables'!$P$5:$T$21,11,FALSE)</f>
        <v>1</v>
      </c>
      <c r="I111" s="455"/>
      <c r="J111" s="454">
        <f t="shared" si="4"/>
        <v>0</v>
      </c>
      <c r="K111" s="455"/>
      <c r="L111" s="455"/>
      <c r="M111" s="480"/>
      <c r="N111" s="481"/>
      <c r="O111" s="24"/>
      <c r="P111" s="24"/>
    </row>
    <row r="112" spans="1:16" ht="12.75">
      <c r="A112" s="298" t="s">
        <v>330</v>
      </c>
      <c r="B112" s="440"/>
      <c r="C112" s="440"/>
      <c r="D112" s="442">
        <f t="shared" si="3"/>
        <v>1</v>
      </c>
      <c r="E112" s="442"/>
      <c r="F112" s="455">
        <f>HLOOKUP($J$9,'Segment Tables'!$P$5:$T$13,6,FALSE)</f>
        <v>0.015</v>
      </c>
      <c r="G112" s="455"/>
      <c r="H112" s="455">
        <f>HLOOKUP($J$9,'Segment Tables'!$P$5:$T$21,11,FALSE)</f>
        <v>1</v>
      </c>
      <c r="I112" s="455"/>
      <c r="J112" s="454">
        <f t="shared" si="4"/>
        <v>0.023</v>
      </c>
      <c r="K112" s="455"/>
      <c r="L112" s="455"/>
      <c r="M112" s="480"/>
      <c r="N112" s="481"/>
      <c r="O112" s="157"/>
      <c r="P112" s="157"/>
    </row>
    <row r="113" spans="1:16" ht="12.75">
      <c r="A113" s="298" t="s">
        <v>331</v>
      </c>
      <c r="B113" s="440"/>
      <c r="C113" s="440"/>
      <c r="D113" s="442">
        <f t="shared" si="3"/>
        <v>1</v>
      </c>
      <c r="E113" s="442"/>
      <c r="F113" s="455">
        <f>HLOOKUP($J$9,'Segment Tables'!$P$5:$T$13,7,FALSE)</f>
        <v>0.053</v>
      </c>
      <c r="G113" s="455"/>
      <c r="H113" s="455">
        <f>HLOOKUP($J$9,'Segment Tables'!$P$5:$T$21,11,FALSE)</f>
        <v>1</v>
      </c>
      <c r="I113" s="455"/>
      <c r="J113" s="454">
        <f t="shared" si="4"/>
        <v>0.08126666666666667</v>
      </c>
      <c r="K113" s="455"/>
      <c r="L113" s="455"/>
      <c r="M113" s="480"/>
      <c r="N113" s="481"/>
      <c r="O113" s="157"/>
      <c r="P113" s="157"/>
    </row>
    <row r="114" spans="1:16" ht="12.75">
      <c r="A114" s="298" t="s">
        <v>332</v>
      </c>
      <c r="B114" s="440"/>
      <c r="C114" s="440"/>
      <c r="D114" s="442">
        <f t="shared" si="3"/>
        <v>1</v>
      </c>
      <c r="E114" s="442"/>
      <c r="F114" s="455">
        <f>HLOOKUP($J$9,'Segment Tables'!$P$5:$T$13,8,FALSE)</f>
        <v>0.01</v>
      </c>
      <c r="G114" s="455"/>
      <c r="H114" s="455">
        <f>HLOOKUP($J$9,'Segment Tables'!$P$5:$T$21,11,FALSE)</f>
        <v>1</v>
      </c>
      <c r="I114" s="455"/>
      <c r="J114" s="454">
        <f t="shared" si="4"/>
        <v>0.015333333333333334</v>
      </c>
      <c r="K114" s="455"/>
      <c r="L114" s="455"/>
      <c r="M114" s="480"/>
      <c r="N114" s="481"/>
      <c r="O114" s="157"/>
      <c r="P114" s="157"/>
    </row>
    <row r="115" spans="1:16" ht="12.75">
      <c r="A115" s="298" t="s">
        <v>97</v>
      </c>
      <c r="B115" s="440"/>
      <c r="C115" s="440"/>
      <c r="D115" s="442">
        <f t="shared" si="3"/>
        <v>0</v>
      </c>
      <c r="E115" s="442"/>
      <c r="F115" s="455">
        <f>HLOOKUP($J$9,'Segment Tables'!$P$5:$T$13,9,FALSE)</f>
        <v>0.016</v>
      </c>
      <c r="G115" s="455"/>
      <c r="H115" s="455">
        <f>HLOOKUP($J$9,'Segment Tables'!$P$5:$T$21,11,FALSE)</f>
        <v>1</v>
      </c>
      <c r="I115" s="455"/>
      <c r="J115" s="454">
        <f t="shared" si="4"/>
        <v>0</v>
      </c>
      <c r="K115" s="455"/>
      <c r="L115" s="455"/>
      <c r="M115" s="482"/>
      <c r="N115" s="483"/>
      <c r="O115" s="157"/>
      <c r="P115" s="157"/>
    </row>
    <row r="116" spans="1:16" ht="13.5" thickBot="1">
      <c r="A116" s="286" t="s">
        <v>35</v>
      </c>
      <c r="B116" s="441"/>
      <c r="C116" s="441"/>
      <c r="D116" s="473" t="s">
        <v>14</v>
      </c>
      <c r="E116" s="474"/>
      <c r="F116" s="473" t="s">
        <v>14</v>
      </c>
      <c r="G116" s="474"/>
      <c r="H116" s="473" t="s">
        <v>14</v>
      </c>
      <c r="I116" s="474"/>
      <c r="J116" s="475">
        <f>SUM(J109:L115)</f>
        <v>0.47226666666666667</v>
      </c>
      <c r="K116" s="476"/>
      <c r="L116" s="476"/>
      <c r="M116" s="267">
        <f>HLOOKUP($J$9,'Segment Tables'!$P$5:$T$21,13,FALSE)</f>
        <v>1.1</v>
      </c>
      <c r="N116" s="477"/>
      <c r="O116" s="65"/>
      <c r="P116" s="65"/>
    </row>
    <row r="117" spans="1:1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3.5" thickBo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4.25" thickBot="1" thickTop="1">
      <c r="A120" s="285" t="s">
        <v>333</v>
      </c>
      <c r="B120" s="323"/>
      <c r="C120" s="323"/>
      <c r="D120" s="323"/>
      <c r="E120" s="323"/>
      <c r="F120" s="323"/>
      <c r="G120" s="323"/>
      <c r="H120" s="323"/>
      <c r="I120" s="324"/>
      <c r="J120" s="324"/>
      <c r="K120" s="324"/>
      <c r="L120" s="324"/>
      <c r="M120" s="324"/>
      <c r="N120" s="324"/>
    </row>
    <row r="121" spans="1:14" ht="12.75">
      <c r="A121" s="280" t="s">
        <v>16</v>
      </c>
      <c r="B121" s="281"/>
      <c r="C121" s="281"/>
      <c r="D121" s="270" t="s">
        <v>17</v>
      </c>
      <c r="E121" s="270"/>
      <c r="F121" s="270" t="s">
        <v>18</v>
      </c>
      <c r="G121" s="270"/>
      <c r="H121" s="123" t="s">
        <v>19</v>
      </c>
      <c r="I121" s="270" t="s">
        <v>20</v>
      </c>
      <c r="J121" s="270"/>
      <c r="K121" s="270" t="s">
        <v>21</v>
      </c>
      <c r="L121" s="270"/>
      <c r="M121" s="270" t="s">
        <v>22</v>
      </c>
      <c r="N121" s="271"/>
    </row>
    <row r="122" spans="1:14" ht="12.75">
      <c r="A122" s="282" t="s">
        <v>32</v>
      </c>
      <c r="B122" s="283"/>
      <c r="C122" s="283"/>
      <c r="D122" s="485" t="s">
        <v>323</v>
      </c>
      <c r="E122" s="485"/>
      <c r="F122" s="272" t="s">
        <v>334</v>
      </c>
      <c r="G122" s="272"/>
      <c r="H122" s="272" t="s">
        <v>335</v>
      </c>
      <c r="I122" s="272" t="s">
        <v>34</v>
      </c>
      <c r="J122" s="272"/>
      <c r="K122" s="272" t="s">
        <v>336</v>
      </c>
      <c r="L122" s="272"/>
      <c r="M122" s="272" t="s">
        <v>337</v>
      </c>
      <c r="N122" s="484"/>
    </row>
    <row r="123" spans="1:14" ht="12.75">
      <c r="A123" s="284"/>
      <c r="B123" s="283"/>
      <c r="C123" s="283"/>
      <c r="D123" s="485"/>
      <c r="E123" s="485"/>
      <c r="F123" s="272"/>
      <c r="G123" s="272"/>
      <c r="H123" s="272"/>
      <c r="I123" s="272"/>
      <c r="J123" s="272"/>
      <c r="K123" s="272"/>
      <c r="L123" s="272"/>
      <c r="M123" s="272"/>
      <c r="N123" s="484"/>
    </row>
    <row r="124" spans="1:14" ht="12.75">
      <c r="A124" s="284"/>
      <c r="B124" s="283"/>
      <c r="C124" s="283"/>
      <c r="D124" s="312" t="s">
        <v>338</v>
      </c>
      <c r="E124" s="362"/>
      <c r="F124" s="312" t="s">
        <v>681</v>
      </c>
      <c r="G124" s="362"/>
      <c r="H124" s="312" t="s">
        <v>339</v>
      </c>
      <c r="I124" s="312" t="s">
        <v>270</v>
      </c>
      <c r="J124" s="362"/>
      <c r="K124" s="362"/>
      <c r="L124" s="362"/>
      <c r="M124" s="312" t="s">
        <v>340</v>
      </c>
      <c r="N124" s="349"/>
    </row>
    <row r="125" spans="1:14" ht="14.25" customHeight="1">
      <c r="A125" s="284"/>
      <c r="B125" s="283"/>
      <c r="C125" s="283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49"/>
    </row>
    <row r="126" spans="1:14" ht="12.75">
      <c r="A126" s="275" t="s">
        <v>35</v>
      </c>
      <c r="B126" s="276"/>
      <c r="C126" s="276"/>
      <c r="D126" s="278">
        <f>+J116</f>
        <v>0.47226666666666667</v>
      </c>
      <c r="E126" s="315"/>
      <c r="F126" s="455">
        <v>1</v>
      </c>
      <c r="G126" s="455"/>
      <c r="H126" s="3">
        <f>+$D$126*F126</f>
        <v>0.47226666666666667</v>
      </c>
      <c r="I126" s="488">
        <f>+$M$37</f>
        <v>0.9646788383031004</v>
      </c>
      <c r="J126" s="315"/>
      <c r="K126" s="488">
        <f>+$J$27</f>
        <v>0.81</v>
      </c>
      <c r="L126" s="315"/>
      <c r="M126" s="278">
        <f>+H126*I126*K126</f>
        <v>0.36902438408911487</v>
      </c>
      <c r="N126" s="486"/>
    </row>
    <row r="127" spans="1:14" ht="12.75">
      <c r="A127" s="275" t="s">
        <v>140</v>
      </c>
      <c r="B127" s="276"/>
      <c r="C127" s="276"/>
      <c r="D127" s="487" t="s">
        <v>14</v>
      </c>
      <c r="E127" s="315"/>
      <c r="F127" s="455">
        <f>HLOOKUP($J$9,'Segment Tables'!$P$5:$T$21,15,FALSE)</f>
        <v>0.243</v>
      </c>
      <c r="G127" s="455"/>
      <c r="H127" s="3">
        <f>+$D$126*F127</f>
        <v>0.1147608</v>
      </c>
      <c r="I127" s="488">
        <f>+$M$37</f>
        <v>0.9646788383031004</v>
      </c>
      <c r="J127" s="315"/>
      <c r="K127" s="488">
        <f>+$J$27</f>
        <v>0.81</v>
      </c>
      <c r="L127" s="315"/>
      <c r="M127" s="278">
        <f>+H127*I127*K127</f>
        <v>0.0896729253336549</v>
      </c>
      <c r="N127" s="486"/>
    </row>
    <row r="128" spans="1:14" ht="13.5" thickBot="1">
      <c r="A128" s="255" t="s">
        <v>141</v>
      </c>
      <c r="B128" s="256"/>
      <c r="C128" s="256"/>
      <c r="D128" s="473" t="s">
        <v>14</v>
      </c>
      <c r="E128" s="474"/>
      <c r="F128" s="475">
        <f>HLOOKUP($J$9,'Segment Tables'!$P$5:$T$21,17,FALSE)</f>
        <v>0.757</v>
      </c>
      <c r="G128" s="475"/>
      <c r="H128" s="51">
        <f>+$D$126*F128</f>
        <v>0.35750586666666667</v>
      </c>
      <c r="I128" s="477">
        <f>+$M$37</f>
        <v>0.9646788383031004</v>
      </c>
      <c r="J128" s="474"/>
      <c r="K128" s="477">
        <f>+$J$27</f>
        <v>0.81</v>
      </c>
      <c r="L128" s="474"/>
      <c r="M128" s="288">
        <f>+H128*I128*K128</f>
        <v>0.2793514587554599</v>
      </c>
      <c r="N128" s="489"/>
    </row>
    <row r="131" ht="13.5" thickBot="1"/>
    <row r="132" spans="1:14" ht="14.25" thickBot="1" thickTop="1">
      <c r="A132" s="285" t="s">
        <v>341</v>
      </c>
      <c r="B132" s="323"/>
      <c r="C132" s="323"/>
      <c r="D132" s="323"/>
      <c r="E132" s="323"/>
      <c r="F132" s="323"/>
      <c r="G132" s="323"/>
      <c r="H132" s="323"/>
      <c r="I132" s="324"/>
      <c r="J132" s="324"/>
      <c r="K132" s="324"/>
      <c r="L132" s="324"/>
      <c r="M132" s="324"/>
      <c r="N132" s="324"/>
    </row>
    <row r="133" spans="1:14" ht="12.75">
      <c r="A133" s="361" t="s">
        <v>16</v>
      </c>
      <c r="B133" s="270"/>
      <c r="C133" s="270" t="s">
        <v>17</v>
      </c>
      <c r="D133" s="270"/>
      <c r="E133" s="270" t="s">
        <v>18</v>
      </c>
      <c r="F133" s="270"/>
      <c r="G133" s="270" t="s">
        <v>19</v>
      </c>
      <c r="H133" s="270"/>
      <c r="I133" s="270" t="s">
        <v>20</v>
      </c>
      <c r="J133" s="270"/>
      <c r="K133" s="123" t="s">
        <v>21</v>
      </c>
      <c r="L133" s="123" t="s">
        <v>22</v>
      </c>
      <c r="M133" s="270" t="s">
        <v>23</v>
      </c>
      <c r="N133" s="271"/>
    </row>
    <row r="134" spans="1:14" ht="15.75" customHeight="1">
      <c r="A134" s="282" t="s">
        <v>32</v>
      </c>
      <c r="B134" s="491"/>
      <c r="C134" s="490" t="s">
        <v>267</v>
      </c>
      <c r="D134" s="490"/>
      <c r="E134" s="490" t="s">
        <v>306</v>
      </c>
      <c r="F134" s="490"/>
      <c r="G134" s="490" t="s">
        <v>337</v>
      </c>
      <c r="H134" s="490"/>
      <c r="I134" s="490" t="s">
        <v>345</v>
      </c>
      <c r="J134" s="490"/>
      <c r="K134" s="21" t="s">
        <v>351</v>
      </c>
      <c r="L134" s="272" t="s">
        <v>336</v>
      </c>
      <c r="M134" s="272" t="s">
        <v>342</v>
      </c>
      <c r="N134" s="349"/>
    </row>
    <row r="135" spans="1:14" ht="12.75">
      <c r="A135" s="282"/>
      <c r="B135" s="491"/>
      <c r="C135" s="312" t="s">
        <v>346</v>
      </c>
      <c r="D135" s="362"/>
      <c r="E135" s="312" t="s">
        <v>347</v>
      </c>
      <c r="F135" s="362"/>
      <c r="G135" s="312" t="s">
        <v>348</v>
      </c>
      <c r="H135" s="312"/>
      <c r="I135" s="312" t="s">
        <v>349</v>
      </c>
      <c r="J135" s="362"/>
      <c r="K135" s="312" t="s">
        <v>682</v>
      </c>
      <c r="L135" s="362"/>
      <c r="M135" s="312" t="s">
        <v>343</v>
      </c>
      <c r="N135" s="265"/>
    </row>
    <row r="136" spans="1:14" ht="12.75">
      <c r="A136" s="282"/>
      <c r="B136" s="491"/>
      <c r="C136" s="362"/>
      <c r="D136" s="362"/>
      <c r="E136" s="362"/>
      <c r="F136" s="362"/>
      <c r="G136" s="312"/>
      <c r="H136" s="312"/>
      <c r="I136" s="362"/>
      <c r="J136" s="362"/>
      <c r="K136" s="362"/>
      <c r="L136" s="362"/>
      <c r="M136" s="362"/>
      <c r="N136" s="349"/>
    </row>
    <row r="137" spans="1:14" ht="12.75">
      <c r="A137" s="492" t="s">
        <v>35</v>
      </c>
      <c r="B137" s="295"/>
      <c r="C137" s="278">
        <f>+$N$47</f>
        <v>3.4096806673507425</v>
      </c>
      <c r="D137" s="315"/>
      <c r="E137" s="278">
        <f>+$N$79</f>
        <v>0.4269841356019877</v>
      </c>
      <c r="F137" s="315"/>
      <c r="G137" s="278">
        <f>+$M$126</f>
        <v>0.36902438408911487</v>
      </c>
      <c r="H137" s="315"/>
      <c r="I137" s="278">
        <f>+C137+E137+G137</f>
        <v>4.205689187041846</v>
      </c>
      <c r="J137" s="315"/>
      <c r="K137" s="120">
        <f>IF('Segment Tables'!$B$76="No",(IF($J$24="Posted Speed 30 mph or Lower",VLOOKUP($J$9,'Segment Tables'!$A$79:$J$83,3,FALSE),VLOOKUP($J$9,'Segment Tables'!$A$79:$J$83,5,FALSE))),(IF($J$24="Posted Speed 30 mph or Lower",VLOOKUP($J$9,'Segment Tables'!$A$79:$J$83,7,FALSE),VLOOKUP($J$9,'Segment Tables'!$A$79:$J$83,9,FALSE))))</f>
        <v>0.02</v>
      </c>
      <c r="L137" s="189">
        <f>+$J$27</f>
        <v>0.81</v>
      </c>
      <c r="M137" s="495">
        <f>+$I$137*$K$137*$L$137</f>
        <v>0.0681321648300779</v>
      </c>
      <c r="N137" s="496"/>
    </row>
    <row r="138" spans="1:14" ht="13.5" thickBot="1">
      <c r="A138" s="493" t="s">
        <v>140</v>
      </c>
      <c r="B138" s="287"/>
      <c r="C138" s="494" t="s">
        <v>14</v>
      </c>
      <c r="D138" s="476"/>
      <c r="E138" s="494" t="s">
        <v>14</v>
      </c>
      <c r="F138" s="476"/>
      <c r="G138" s="494" t="s">
        <v>14</v>
      </c>
      <c r="H138" s="476"/>
      <c r="I138" s="494" t="s">
        <v>14</v>
      </c>
      <c r="J138" s="476"/>
      <c r="K138" s="180" t="s">
        <v>14</v>
      </c>
      <c r="L138" s="190">
        <f>+$J$27</f>
        <v>0.81</v>
      </c>
      <c r="M138" s="497">
        <f>+$I$137*$K$137*$L$137</f>
        <v>0.0681321648300779</v>
      </c>
      <c r="N138" s="498"/>
    </row>
    <row r="141" ht="13.5" thickBot="1"/>
    <row r="142" spans="1:14" ht="14.25" thickBot="1" thickTop="1">
      <c r="A142" s="285" t="s">
        <v>350</v>
      </c>
      <c r="B142" s="323"/>
      <c r="C142" s="323"/>
      <c r="D142" s="323"/>
      <c r="E142" s="323"/>
      <c r="F142" s="323"/>
      <c r="G142" s="323"/>
      <c r="H142" s="323"/>
      <c r="I142" s="324"/>
      <c r="J142" s="324"/>
      <c r="K142" s="324"/>
      <c r="L142" s="324"/>
      <c r="M142" s="324"/>
      <c r="N142" s="324"/>
    </row>
    <row r="143" spans="1:14" ht="12.75">
      <c r="A143" s="361" t="s">
        <v>16</v>
      </c>
      <c r="B143" s="270"/>
      <c r="C143" s="270" t="s">
        <v>17</v>
      </c>
      <c r="D143" s="270"/>
      <c r="E143" s="270" t="s">
        <v>18</v>
      </c>
      <c r="F143" s="270"/>
      <c r="G143" s="270" t="s">
        <v>19</v>
      </c>
      <c r="H143" s="270"/>
      <c r="I143" s="270" t="s">
        <v>20</v>
      </c>
      <c r="J143" s="270"/>
      <c r="K143" s="123" t="s">
        <v>21</v>
      </c>
      <c r="L143" s="123" t="s">
        <v>22</v>
      </c>
      <c r="M143" s="270" t="s">
        <v>23</v>
      </c>
      <c r="N143" s="271"/>
    </row>
    <row r="144" spans="1:14" ht="14.25">
      <c r="A144" s="282" t="s">
        <v>32</v>
      </c>
      <c r="B144" s="491"/>
      <c r="C144" s="490" t="s">
        <v>267</v>
      </c>
      <c r="D144" s="490"/>
      <c r="E144" s="490" t="s">
        <v>306</v>
      </c>
      <c r="F144" s="490"/>
      <c r="G144" s="490" t="s">
        <v>337</v>
      </c>
      <c r="H144" s="490"/>
      <c r="I144" s="490" t="s">
        <v>345</v>
      </c>
      <c r="J144" s="490"/>
      <c r="K144" s="21" t="s">
        <v>344</v>
      </c>
      <c r="L144" s="272" t="s">
        <v>336</v>
      </c>
      <c r="M144" s="272" t="s">
        <v>586</v>
      </c>
      <c r="N144" s="349"/>
    </row>
    <row r="145" spans="1:14" ht="12.75">
      <c r="A145" s="282"/>
      <c r="B145" s="491"/>
      <c r="C145" s="312" t="s">
        <v>346</v>
      </c>
      <c r="D145" s="362"/>
      <c r="E145" s="312" t="s">
        <v>347</v>
      </c>
      <c r="F145" s="362"/>
      <c r="G145" s="312" t="s">
        <v>348</v>
      </c>
      <c r="H145" s="312"/>
      <c r="I145" s="312" t="s">
        <v>349</v>
      </c>
      <c r="J145" s="362"/>
      <c r="K145" s="312" t="s">
        <v>683</v>
      </c>
      <c r="L145" s="362"/>
      <c r="M145" s="312" t="s">
        <v>343</v>
      </c>
      <c r="N145" s="265"/>
    </row>
    <row r="146" spans="1:14" ht="12.75">
      <c r="A146" s="282"/>
      <c r="B146" s="491"/>
      <c r="C146" s="362"/>
      <c r="D146" s="362"/>
      <c r="E146" s="362"/>
      <c r="F146" s="362"/>
      <c r="G146" s="312"/>
      <c r="H146" s="312"/>
      <c r="I146" s="362"/>
      <c r="J146" s="362"/>
      <c r="K146" s="362"/>
      <c r="L146" s="362"/>
      <c r="M146" s="362"/>
      <c r="N146" s="349"/>
    </row>
    <row r="147" spans="1:14" ht="12.75">
      <c r="A147" s="492" t="s">
        <v>35</v>
      </c>
      <c r="B147" s="295"/>
      <c r="C147" s="278">
        <f>+$N$47</f>
        <v>3.4096806673507425</v>
      </c>
      <c r="D147" s="315"/>
      <c r="E147" s="278">
        <f>+$N$79</f>
        <v>0.4269841356019877</v>
      </c>
      <c r="F147" s="315"/>
      <c r="G147" s="278">
        <f>+$M$126</f>
        <v>0.36902438408911487</v>
      </c>
      <c r="H147" s="315"/>
      <c r="I147" s="278">
        <f>+C147+E147+G147</f>
        <v>4.205689187041846</v>
      </c>
      <c r="J147" s="315"/>
      <c r="K147" s="120">
        <f>IF('Segment Tables'!$B$91="No",(IF($J$24="Posted Speed 30 mph or Lower",VLOOKUP($J$9,'Segment Tables'!$A$94:$J$98,3,FALSE),VLOOKUP($J$9,'Segment Tables'!$A$94:$J$98,5,FALSE))),(IF($J$24="Posted Speed 30 mph or Lower",VLOOKUP($J$9,'Segment Tables'!$A$94:$J$98,7,FALSE),VLOOKUP($J$9,'Segment Tables'!$A$94:$J$98,9,FALSE))))</f>
        <v>0.016</v>
      </c>
      <c r="L147" s="189">
        <f>+$J$27</f>
        <v>0.81</v>
      </c>
      <c r="M147" s="495">
        <f>+$I$147*$K$147*$L$147</f>
        <v>0.05450573186406232</v>
      </c>
      <c r="N147" s="496"/>
    </row>
    <row r="148" spans="1:14" ht="13.5" thickBot="1">
      <c r="A148" s="493" t="s">
        <v>140</v>
      </c>
      <c r="B148" s="287"/>
      <c r="C148" s="494" t="s">
        <v>14</v>
      </c>
      <c r="D148" s="476"/>
      <c r="E148" s="494" t="s">
        <v>14</v>
      </c>
      <c r="F148" s="476"/>
      <c r="G148" s="494" t="s">
        <v>14</v>
      </c>
      <c r="H148" s="476"/>
      <c r="I148" s="494" t="s">
        <v>14</v>
      </c>
      <c r="J148" s="476"/>
      <c r="K148" s="180" t="s">
        <v>14</v>
      </c>
      <c r="L148" s="190">
        <f>+$J$27</f>
        <v>0.81</v>
      </c>
      <c r="M148" s="497">
        <f>+$I$147*$K$147*$L$147</f>
        <v>0.05450573186406232</v>
      </c>
      <c r="N148" s="498"/>
    </row>
    <row r="151" ht="13.5" thickBot="1"/>
    <row r="152" spans="1:14" ht="14.25" thickBot="1" thickTop="1">
      <c r="A152" s="285" t="s">
        <v>352</v>
      </c>
      <c r="B152" s="323"/>
      <c r="C152" s="323"/>
      <c r="D152" s="323"/>
      <c r="E152" s="323"/>
      <c r="F152" s="323"/>
      <c r="G152" s="323"/>
      <c r="H152" s="323"/>
      <c r="I152" s="324"/>
      <c r="J152" s="324"/>
      <c r="K152" s="324"/>
      <c r="L152" s="324"/>
      <c r="M152" s="324"/>
      <c r="N152" s="324"/>
    </row>
    <row r="153" spans="1:14" ht="12.75">
      <c r="A153" s="464" t="s">
        <v>16</v>
      </c>
      <c r="B153" s="465"/>
      <c r="C153" s="465"/>
      <c r="D153" s="465"/>
      <c r="E153" s="465"/>
      <c r="F153" s="499" t="s">
        <v>17</v>
      </c>
      <c r="G153" s="499"/>
      <c r="H153" s="499"/>
      <c r="I153" s="499" t="s">
        <v>18</v>
      </c>
      <c r="J153" s="499"/>
      <c r="K153" s="499"/>
      <c r="L153" s="499" t="s">
        <v>19</v>
      </c>
      <c r="M153" s="499"/>
      <c r="N153" s="500"/>
    </row>
    <row r="154" spans="1:14" ht="12.75">
      <c r="A154" s="523" t="s">
        <v>52</v>
      </c>
      <c r="B154" s="524"/>
      <c r="C154" s="524"/>
      <c r="D154" s="524"/>
      <c r="E154" s="524"/>
      <c r="F154" s="508" t="s">
        <v>140</v>
      </c>
      <c r="G154" s="508"/>
      <c r="H154" s="508"/>
      <c r="I154" s="508" t="s">
        <v>141</v>
      </c>
      <c r="J154" s="508"/>
      <c r="K154" s="508"/>
      <c r="L154" s="508" t="s">
        <v>35</v>
      </c>
      <c r="M154" s="508"/>
      <c r="N154" s="509"/>
    </row>
    <row r="155" spans="1:14" ht="12.75">
      <c r="A155" s="525"/>
      <c r="B155" s="526"/>
      <c r="C155" s="526"/>
      <c r="D155" s="526"/>
      <c r="E155" s="526"/>
      <c r="F155" s="502" t="s">
        <v>353</v>
      </c>
      <c r="G155" s="502"/>
      <c r="H155" s="502"/>
      <c r="I155" s="502" t="s">
        <v>355</v>
      </c>
      <c r="J155" s="502"/>
      <c r="K155" s="502"/>
      <c r="L155" s="502" t="s">
        <v>357</v>
      </c>
      <c r="M155" s="502"/>
      <c r="N155" s="505"/>
    </row>
    <row r="156" spans="1:14" ht="12.75">
      <c r="A156" s="525"/>
      <c r="B156" s="526"/>
      <c r="C156" s="526"/>
      <c r="D156" s="526"/>
      <c r="E156" s="526"/>
      <c r="F156" s="506" t="s">
        <v>356</v>
      </c>
      <c r="G156" s="506"/>
      <c r="H156" s="506"/>
      <c r="I156" s="503" t="s">
        <v>348</v>
      </c>
      <c r="J156" s="503"/>
      <c r="K156" s="503"/>
      <c r="L156" s="506" t="s">
        <v>356</v>
      </c>
      <c r="M156" s="506"/>
      <c r="N156" s="507"/>
    </row>
    <row r="157" spans="1:14" ht="12.75">
      <c r="A157" s="527"/>
      <c r="B157" s="528"/>
      <c r="C157" s="528"/>
      <c r="D157" s="528"/>
      <c r="E157" s="528"/>
      <c r="F157" s="501" t="s">
        <v>354</v>
      </c>
      <c r="G157" s="501"/>
      <c r="H157" s="501"/>
      <c r="I157" s="504"/>
      <c r="J157" s="504"/>
      <c r="K157" s="504"/>
      <c r="L157" s="501" t="s">
        <v>354</v>
      </c>
      <c r="M157" s="501"/>
      <c r="N157" s="533"/>
    </row>
    <row r="158" spans="1:14" ht="12.75">
      <c r="A158" s="510" t="s">
        <v>358</v>
      </c>
      <c r="B158" s="490"/>
      <c r="C158" s="490"/>
      <c r="D158" s="490"/>
      <c r="E158" s="490"/>
      <c r="F158" s="490"/>
      <c r="G158" s="490"/>
      <c r="H158" s="490"/>
      <c r="I158" s="490"/>
      <c r="J158" s="490"/>
      <c r="K158" s="490"/>
      <c r="L158" s="490"/>
      <c r="M158" s="490"/>
      <c r="N158" s="511"/>
    </row>
    <row r="159" spans="1:14" ht="12.75">
      <c r="A159" s="275" t="s">
        <v>360</v>
      </c>
      <c r="B159" s="512"/>
      <c r="C159" s="512"/>
      <c r="D159" s="512"/>
      <c r="E159" s="512"/>
      <c r="F159" s="455">
        <f>+F64</f>
        <v>0.8151494692587294</v>
      </c>
      <c r="G159" s="274"/>
      <c r="H159" s="274"/>
      <c r="I159" s="455">
        <f>+J64</f>
        <v>1.534773209510192</v>
      </c>
      <c r="J159" s="274"/>
      <c r="K159" s="274"/>
      <c r="L159" s="455">
        <f>+L64</f>
        <v>2.3499226787689214</v>
      </c>
      <c r="M159" s="274"/>
      <c r="N159" s="297"/>
    </row>
    <row r="160" spans="1:14" ht="12.75">
      <c r="A160" s="275" t="s">
        <v>361</v>
      </c>
      <c r="B160" s="512"/>
      <c r="C160" s="512"/>
      <c r="D160" s="512"/>
      <c r="E160" s="512"/>
      <c r="F160" s="455">
        <f>+F65</f>
        <v>0.01594424389748126</v>
      </c>
      <c r="G160" s="274"/>
      <c r="H160" s="274"/>
      <c r="I160" s="455">
        <f>+J65</f>
        <v>0.009652661695032655</v>
      </c>
      <c r="J160" s="274"/>
      <c r="K160" s="274"/>
      <c r="L160" s="455">
        <f>+L65</f>
        <v>0.025596905592513916</v>
      </c>
      <c r="M160" s="274"/>
      <c r="N160" s="297"/>
    </row>
    <row r="161" spans="1:14" ht="12.75">
      <c r="A161" s="275" t="s">
        <v>362</v>
      </c>
      <c r="B161" s="512"/>
      <c r="C161" s="512"/>
      <c r="D161" s="512"/>
      <c r="E161" s="512"/>
      <c r="F161" s="455">
        <f>+F66</f>
        <v>0</v>
      </c>
      <c r="G161" s="274"/>
      <c r="H161" s="274"/>
      <c r="I161" s="455">
        <f>+J66</f>
        <v>0.060329135593954086</v>
      </c>
      <c r="J161" s="274"/>
      <c r="K161" s="274"/>
      <c r="L161" s="455">
        <f>+L66</f>
        <v>0.060329135593954086</v>
      </c>
      <c r="M161" s="274"/>
      <c r="N161" s="297"/>
    </row>
    <row r="162" spans="1:14" ht="12.75">
      <c r="A162" s="513" t="s">
        <v>363</v>
      </c>
      <c r="B162" s="514"/>
      <c r="C162" s="514"/>
      <c r="D162" s="514"/>
      <c r="E162" s="514"/>
      <c r="F162" s="455">
        <f>+F67</f>
        <v>0</v>
      </c>
      <c r="G162" s="274"/>
      <c r="H162" s="274"/>
      <c r="I162" s="455">
        <f>+J67</f>
        <v>0.18098740678186226</v>
      </c>
      <c r="J162" s="274"/>
      <c r="K162" s="274"/>
      <c r="L162" s="455">
        <f>+L67</f>
        <v>0.18098740678186226</v>
      </c>
      <c r="M162" s="274"/>
      <c r="N162" s="297"/>
    </row>
    <row r="163" spans="1:14" ht="12.75">
      <c r="A163" s="513" t="s">
        <v>364</v>
      </c>
      <c r="B163" s="514"/>
      <c r="C163" s="514"/>
      <c r="D163" s="514"/>
      <c r="E163" s="514"/>
      <c r="F163" s="455">
        <f>+F68</f>
        <v>0</v>
      </c>
      <c r="G163" s="274"/>
      <c r="H163" s="274"/>
      <c r="I163" s="455">
        <f>+J68</f>
        <v>0.03378431593261429</v>
      </c>
      <c r="J163" s="274"/>
      <c r="K163" s="274"/>
      <c r="L163" s="455">
        <f>+L68</f>
        <v>0.03378431593261429</v>
      </c>
      <c r="M163" s="274"/>
      <c r="N163" s="297"/>
    </row>
    <row r="164" spans="1:14" ht="12.75">
      <c r="A164" s="513" t="s">
        <v>365</v>
      </c>
      <c r="B164" s="514"/>
      <c r="C164" s="514"/>
      <c r="D164" s="514"/>
      <c r="E164" s="514"/>
      <c r="F164" s="455">
        <f>+M127</f>
        <v>0.0896729253336549</v>
      </c>
      <c r="G164" s="274"/>
      <c r="H164" s="274"/>
      <c r="I164" s="455">
        <f>+M128</f>
        <v>0.2793514587554599</v>
      </c>
      <c r="J164" s="274"/>
      <c r="K164" s="274"/>
      <c r="L164" s="455">
        <f>+M126</f>
        <v>0.36902438408911487</v>
      </c>
      <c r="M164" s="274"/>
      <c r="N164" s="297"/>
    </row>
    <row r="165" spans="1:14" ht="12.75">
      <c r="A165" s="513" t="s">
        <v>366</v>
      </c>
      <c r="B165" s="514"/>
      <c r="C165" s="514"/>
      <c r="D165" s="514"/>
      <c r="E165" s="514"/>
      <c r="F165" s="455">
        <f>+F69</f>
        <v>0.1654215304363681</v>
      </c>
      <c r="G165" s="274"/>
      <c r="H165" s="274"/>
      <c r="I165" s="455">
        <f>+J69</f>
        <v>0.5936386942445082</v>
      </c>
      <c r="J165" s="274"/>
      <c r="K165" s="274"/>
      <c r="L165" s="455">
        <f>+L69</f>
        <v>0.7590602246808763</v>
      </c>
      <c r="M165" s="274"/>
      <c r="N165" s="297"/>
    </row>
    <row r="166" spans="1:14" ht="13.5" thickBot="1">
      <c r="A166" s="515" t="s">
        <v>367</v>
      </c>
      <c r="B166" s="516"/>
      <c r="C166" s="516"/>
      <c r="D166" s="516"/>
      <c r="E166" s="516"/>
      <c r="F166" s="517">
        <f>SUM(F159:H165)</f>
        <v>1.0861881689262338</v>
      </c>
      <c r="G166" s="453"/>
      <c r="H166" s="453"/>
      <c r="I166" s="517">
        <f>SUM(I159:K165)</f>
        <v>2.6925168825136234</v>
      </c>
      <c r="J166" s="453"/>
      <c r="K166" s="453"/>
      <c r="L166" s="517">
        <f>SUM(L159:N165)</f>
        <v>3.7787050514398572</v>
      </c>
      <c r="M166" s="453"/>
      <c r="N166" s="531"/>
    </row>
    <row r="167" spans="1:14" ht="12.75">
      <c r="A167" s="518" t="s">
        <v>359</v>
      </c>
      <c r="B167" s="519"/>
      <c r="C167" s="519"/>
      <c r="D167" s="519"/>
      <c r="E167" s="519"/>
      <c r="F167" s="519"/>
      <c r="G167" s="519"/>
      <c r="H167" s="519"/>
      <c r="I167" s="519"/>
      <c r="J167" s="519"/>
      <c r="K167" s="519"/>
      <c r="L167" s="519"/>
      <c r="M167" s="519"/>
      <c r="N167" s="520"/>
    </row>
    <row r="168" spans="1:14" ht="12.75">
      <c r="A168" s="513" t="s">
        <v>368</v>
      </c>
      <c r="B168" s="514"/>
      <c r="C168" s="514"/>
      <c r="D168" s="514"/>
      <c r="E168" s="514"/>
      <c r="F168" s="455">
        <f>+F96</f>
        <v>0.004647638947012732</v>
      </c>
      <c r="G168" s="274"/>
      <c r="H168" s="274"/>
      <c r="I168" s="455">
        <f>+J96</f>
        <v>0.06650973665230725</v>
      </c>
      <c r="J168" s="274"/>
      <c r="K168" s="274"/>
      <c r="L168" s="455">
        <f>+L96</f>
        <v>0.07115737559931998</v>
      </c>
      <c r="M168" s="274"/>
      <c r="N168" s="297"/>
    </row>
    <row r="169" spans="1:14" ht="12.75">
      <c r="A169" s="513" t="s">
        <v>369</v>
      </c>
      <c r="B169" s="514"/>
      <c r="C169" s="514"/>
      <c r="D169" s="514"/>
      <c r="E169" s="514"/>
      <c r="F169" s="455">
        <f>+F97</f>
        <v>0.03253347262908913</v>
      </c>
      <c r="G169" s="274"/>
      <c r="H169" s="274"/>
      <c r="I169" s="455">
        <f>+J97</f>
        <v>0.24428342527436214</v>
      </c>
      <c r="J169" s="274"/>
      <c r="K169" s="274"/>
      <c r="L169" s="455">
        <f>+L97</f>
        <v>0.27681689790345126</v>
      </c>
      <c r="M169" s="274"/>
      <c r="N169" s="297"/>
    </row>
    <row r="170" spans="1:14" ht="12.75">
      <c r="A170" s="513" t="s">
        <v>370</v>
      </c>
      <c r="B170" s="514"/>
      <c r="C170" s="514"/>
      <c r="D170" s="514"/>
      <c r="E170" s="514"/>
      <c r="F170" s="455">
        <f>+F98</f>
        <v>0.004647638947012732</v>
      </c>
      <c r="G170" s="274"/>
      <c r="H170" s="274"/>
      <c r="I170" s="455">
        <f>+J98</f>
        <v>0</v>
      </c>
      <c r="J170" s="274"/>
      <c r="K170" s="274"/>
      <c r="L170" s="455">
        <f>+L98</f>
        <v>0.004647638947012732</v>
      </c>
      <c r="M170" s="274"/>
      <c r="N170" s="297"/>
    </row>
    <row r="171" spans="1:14" ht="12.75">
      <c r="A171" s="513" t="s">
        <v>371</v>
      </c>
      <c r="B171" s="514"/>
      <c r="C171" s="514"/>
      <c r="D171" s="514"/>
      <c r="E171" s="514"/>
      <c r="F171" s="455">
        <f>+F99</f>
        <v>0.07436222315220371</v>
      </c>
      <c r="G171" s="274"/>
      <c r="H171" s="274"/>
      <c r="I171" s="455">
        <f>+J99</f>
        <v>0</v>
      </c>
      <c r="J171" s="274"/>
      <c r="K171" s="274"/>
      <c r="L171" s="455">
        <f>+L99</f>
        <v>0.07436222315220371</v>
      </c>
      <c r="M171" s="274"/>
      <c r="N171" s="297"/>
    </row>
    <row r="172" spans="1:14" ht="12.75">
      <c r="A172" s="513" t="s">
        <v>372</v>
      </c>
      <c r="B172" s="514"/>
      <c r="C172" s="514"/>
      <c r="D172" s="514"/>
      <c r="E172" s="514"/>
      <c r="F172" s="455">
        <f>+M138</f>
        <v>0.0681321648300779</v>
      </c>
      <c r="G172" s="274"/>
      <c r="H172" s="274"/>
      <c r="I172" s="455">
        <v>0</v>
      </c>
      <c r="J172" s="455"/>
      <c r="K172" s="455"/>
      <c r="L172" s="455">
        <f>+M137</f>
        <v>0.0681321648300779</v>
      </c>
      <c r="M172" s="274"/>
      <c r="N172" s="297"/>
    </row>
    <row r="173" spans="1:14" ht="12.75">
      <c r="A173" s="513" t="s">
        <v>373</v>
      </c>
      <c r="B173" s="514"/>
      <c r="C173" s="514"/>
      <c r="D173" s="514"/>
      <c r="E173" s="514"/>
      <c r="F173" s="455">
        <f>+M148</f>
        <v>0.05450573186406232</v>
      </c>
      <c r="G173" s="274"/>
      <c r="H173" s="274"/>
      <c r="I173" s="455">
        <v>0</v>
      </c>
      <c r="J173" s="455"/>
      <c r="K173" s="455"/>
      <c r="L173" s="455">
        <f>+M147</f>
        <v>0.05450573186406232</v>
      </c>
      <c r="M173" s="274"/>
      <c r="N173" s="297"/>
    </row>
    <row r="174" spans="1:14" ht="13.5" thickBot="1">
      <c r="A174" s="515" t="s">
        <v>367</v>
      </c>
      <c r="B174" s="516"/>
      <c r="C174" s="516"/>
      <c r="D174" s="516"/>
      <c r="E174" s="516"/>
      <c r="F174" s="517">
        <f>SUM(F168:H173)</f>
        <v>0.23882887036945855</v>
      </c>
      <c r="G174" s="453"/>
      <c r="H174" s="453"/>
      <c r="I174" s="517">
        <f>SUM(I168:K173)</f>
        <v>0.3107931619266694</v>
      </c>
      <c r="J174" s="453"/>
      <c r="K174" s="453"/>
      <c r="L174" s="517">
        <f>SUM(L168:N173)</f>
        <v>0.5496220322961278</v>
      </c>
      <c r="M174" s="453"/>
      <c r="N174" s="531"/>
    </row>
    <row r="175" spans="1:14" ht="13.5" thickBot="1">
      <c r="A175" s="529" t="s">
        <v>35</v>
      </c>
      <c r="B175" s="530"/>
      <c r="C175" s="530"/>
      <c r="D175" s="530"/>
      <c r="E175" s="530"/>
      <c r="F175" s="521">
        <f>+F166+F174</f>
        <v>1.3250170392956924</v>
      </c>
      <c r="G175" s="522"/>
      <c r="H175" s="522"/>
      <c r="I175" s="521">
        <f>+I166+I174</f>
        <v>3.0033100444402927</v>
      </c>
      <c r="J175" s="522"/>
      <c r="K175" s="522"/>
      <c r="L175" s="521">
        <f>+L166+L174</f>
        <v>4.328327083735985</v>
      </c>
      <c r="M175" s="522"/>
      <c r="N175" s="532"/>
    </row>
    <row r="177" ht="12.75">
      <c r="N177" s="22"/>
    </row>
    <row r="178" ht="13.5" thickBot="1">
      <c r="N178" s="22"/>
    </row>
    <row r="179" spans="2:14" ht="14.25" thickBot="1" thickTop="1">
      <c r="B179" s="285" t="s">
        <v>374</v>
      </c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4"/>
    </row>
    <row r="180" spans="2:14" ht="12.75">
      <c r="B180" s="280" t="s">
        <v>16</v>
      </c>
      <c r="C180" s="281"/>
      <c r="D180" s="281"/>
      <c r="E180" s="270" t="s">
        <v>17</v>
      </c>
      <c r="F180" s="270"/>
      <c r="G180" s="270"/>
      <c r="H180" s="270" t="s">
        <v>18</v>
      </c>
      <c r="I180" s="270"/>
      <c r="J180" s="270"/>
      <c r="K180" s="270" t="s">
        <v>19</v>
      </c>
      <c r="L180" s="270"/>
      <c r="M180" s="271"/>
      <c r="N180" s="22"/>
    </row>
    <row r="181" spans="2:14" ht="15.75" customHeight="1">
      <c r="B181" s="282" t="s">
        <v>32</v>
      </c>
      <c r="C181" s="283"/>
      <c r="D181" s="283"/>
      <c r="E181" s="272" t="s">
        <v>375</v>
      </c>
      <c r="F181" s="272"/>
      <c r="G181" s="272"/>
      <c r="H181" s="272" t="s">
        <v>376</v>
      </c>
      <c r="I181" s="272"/>
      <c r="J181" s="272"/>
      <c r="K181" s="259" t="s">
        <v>377</v>
      </c>
      <c r="L181" s="260"/>
      <c r="M181" s="260"/>
      <c r="N181" s="22"/>
    </row>
    <row r="182" spans="2:13" ht="12.75">
      <c r="B182" s="284"/>
      <c r="C182" s="283"/>
      <c r="D182" s="283"/>
      <c r="E182" s="272"/>
      <c r="F182" s="272"/>
      <c r="G182" s="272"/>
      <c r="H182" s="272"/>
      <c r="I182" s="272"/>
      <c r="J182" s="272"/>
      <c r="K182" s="261"/>
      <c r="L182" s="262"/>
      <c r="M182" s="262"/>
    </row>
    <row r="183" spans="2:13" ht="12.75">
      <c r="B183" s="284"/>
      <c r="C183" s="283"/>
      <c r="D183" s="283"/>
      <c r="E183" s="272"/>
      <c r="F183" s="272"/>
      <c r="G183" s="272"/>
      <c r="H183" s="272"/>
      <c r="I183" s="272"/>
      <c r="J183" s="272"/>
      <c r="K183" s="263"/>
      <c r="L183" s="264"/>
      <c r="M183" s="264"/>
    </row>
    <row r="184" spans="2:13" ht="12.75">
      <c r="B184" s="284"/>
      <c r="C184" s="283"/>
      <c r="D184" s="283"/>
      <c r="E184" s="273" t="s">
        <v>378</v>
      </c>
      <c r="F184" s="274"/>
      <c r="G184" s="274"/>
      <c r="H184" s="272"/>
      <c r="I184" s="272"/>
      <c r="J184" s="272"/>
      <c r="K184" s="265" t="s">
        <v>379</v>
      </c>
      <c r="L184" s="266"/>
      <c r="M184" s="266"/>
    </row>
    <row r="185" spans="2:13" ht="12.75">
      <c r="B185" s="275" t="s">
        <v>35</v>
      </c>
      <c r="C185" s="276"/>
      <c r="D185" s="276"/>
      <c r="E185" s="257">
        <f>+L175</f>
        <v>4.328327083735985</v>
      </c>
      <c r="F185" s="257"/>
      <c r="G185" s="257"/>
      <c r="H185" s="277">
        <f>+$J$10</f>
        <v>0.75</v>
      </c>
      <c r="I185" s="277"/>
      <c r="J185" s="277"/>
      <c r="K185" s="257">
        <f>+E185/H185</f>
        <v>5.7711027783146465</v>
      </c>
      <c r="L185" s="257"/>
      <c r="M185" s="268"/>
    </row>
    <row r="186" spans="2:13" ht="12.75">
      <c r="B186" s="275" t="s">
        <v>140</v>
      </c>
      <c r="C186" s="276"/>
      <c r="D186" s="276"/>
      <c r="E186" s="257">
        <f>+F175</f>
        <v>1.3250170392956924</v>
      </c>
      <c r="F186" s="257"/>
      <c r="G186" s="257"/>
      <c r="H186" s="277">
        <f>+$J$10</f>
        <v>0.75</v>
      </c>
      <c r="I186" s="277"/>
      <c r="J186" s="277"/>
      <c r="K186" s="257">
        <f>+E186/H186</f>
        <v>1.7666893857275898</v>
      </c>
      <c r="L186" s="257"/>
      <c r="M186" s="268"/>
    </row>
    <row r="187" spans="2:13" ht="13.5" thickBot="1">
      <c r="B187" s="255" t="s">
        <v>141</v>
      </c>
      <c r="C187" s="256"/>
      <c r="D187" s="256"/>
      <c r="E187" s="258">
        <f>+I175</f>
        <v>3.0033100444402927</v>
      </c>
      <c r="F187" s="258"/>
      <c r="G187" s="258"/>
      <c r="H187" s="267">
        <f>+$J$10</f>
        <v>0.75</v>
      </c>
      <c r="I187" s="267"/>
      <c r="J187" s="267"/>
      <c r="K187" s="258">
        <f>+E187/H187</f>
        <v>4.004413392587057</v>
      </c>
      <c r="L187" s="258"/>
      <c r="M187" s="269"/>
    </row>
  </sheetData>
  <sheetProtection/>
  <mergeCells count="592">
    <mergeCell ref="A2:N2"/>
    <mergeCell ref="A3:G3"/>
    <mergeCell ref="H3:N3"/>
    <mergeCell ref="A4:C4"/>
    <mergeCell ref="E4:G4"/>
    <mergeCell ref="H4:J4"/>
    <mergeCell ref="K4:N4"/>
    <mergeCell ref="A5:C5"/>
    <mergeCell ref="E5:G5"/>
    <mergeCell ref="H5:J5"/>
    <mergeCell ref="K5:N5"/>
    <mergeCell ref="A6:C6"/>
    <mergeCell ref="E6:G6"/>
    <mergeCell ref="H6:J6"/>
    <mergeCell ref="K6:N6"/>
    <mergeCell ref="A7:C7"/>
    <mergeCell ref="E7:G7"/>
    <mergeCell ref="H7:J7"/>
    <mergeCell ref="K7:N7"/>
    <mergeCell ref="A8:G8"/>
    <mergeCell ref="H8:I8"/>
    <mergeCell ref="J8:N8"/>
    <mergeCell ref="A9:G9"/>
    <mergeCell ref="H9:I9"/>
    <mergeCell ref="J9:N9"/>
    <mergeCell ref="A10:G10"/>
    <mergeCell ref="H10:I10"/>
    <mergeCell ref="J10:N10"/>
    <mergeCell ref="H11:I11"/>
    <mergeCell ref="J11:N11"/>
    <mergeCell ref="J13:N13"/>
    <mergeCell ref="A12:G12"/>
    <mergeCell ref="H12:I12"/>
    <mergeCell ref="J12:N12"/>
    <mergeCell ref="A11:D11"/>
    <mergeCell ref="A14:G14"/>
    <mergeCell ref="H14:I14"/>
    <mergeCell ref="J14:N14"/>
    <mergeCell ref="A13:G13"/>
    <mergeCell ref="H13:I13"/>
    <mergeCell ref="A15:G15"/>
    <mergeCell ref="H15:I15"/>
    <mergeCell ref="J15:N15"/>
    <mergeCell ref="A16:G16"/>
    <mergeCell ref="H16:I16"/>
    <mergeCell ref="J16:N16"/>
    <mergeCell ref="A17:G17"/>
    <mergeCell ref="H17:I17"/>
    <mergeCell ref="J17:N17"/>
    <mergeCell ref="A18:G18"/>
    <mergeCell ref="H18:I18"/>
    <mergeCell ref="J18:N18"/>
    <mergeCell ref="J19:N19"/>
    <mergeCell ref="A20:G20"/>
    <mergeCell ref="H20:I20"/>
    <mergeCell ref="J20:N20"/>
    <mergeCell ref="A19:G19"/>
    <mergeCell ref="H19:I19"/>
    <mergeCell ref="A21:G21"/>
    <mergeCell ref="H21:I21"/>
    <mergeCell ref="J21:N21"/>
    <mergeCell ref="H22:I22"/>
    <mergeCell ref="J22:N22"/>
    <mergeCell ref="A23:G23"/>
    <mergeCell ref="H23:I23"/>
    <mergeCell ref="J23:N23"/>
    <mergeCell ref="A22:G22"/>
    <mergeCell ref="A24:G24"/>
    <mergeCell ref="H24:I24"/>
    <mergeCell ref="J24:N24"/>
    <mergeCell ref="A25:G25"/>
    <mergeCell ref="H25:I25"/>
    <mergeCell ref="J25:N25"/>
    <mergeCell ref="A27:G27"/>
    <mergeCell ref="H27:I27"/>
    <mergeCell ref="J27:N27"/>
    <mergeCell ref="A26:G26"/>
    <mergeCell ref="A32:B32"/>
    <mergeCell ref="C32:E32"/>
    <mergeCell ref="F32:G32"/>
    <mergeCell ref="H26:I26"/>
    <mergeCell ref="J26:N26"/>
    <mergeCell ref="J32:L32"/>
    <mergeCell ref="M32:N32"/>
    <mergeCell ref="A31:N31"/>
    <mergeCell ref="A33:B34"/>
    <mergeCell ref="C33:E34"/>
    <mergeCell ref="F33:G34"/>
    <mergeCell ref="H33:I34"/>
    <mergeCell ref="J33:L34"/>
    <mergeCell ref="M33:N34"/>
    <mergeCell ref="H32:I32"/>
    <mergeCell ref="A35:B35"/>
    <mergeCell ref="C35:E35"/>
    <mergeCell ref="F35:G35"/>
    <mergeCell ref="H35:I35"/>
    <mergeCell ref="J35:L35"/>
    <mergeCell ref="M35:N35"/>
    <mergeCell ref="A36:B36"/>
    <mergeCell ref="C36:E36"/>
    <mergeCell ref="F36:G36"/>
    <mergeCell ref="H36:I36"/>
    <mergeCell ref="J36:L36"/>
    <mergeCell ref="M36:N36"/>
    <mergeCell ref="A37:B37"/>
    <mergeCell ref="C37:E37"/>
    <mergeCell ref="F37:G37"/>
    <mergeCell ref="H37:I37"/>
    <mergeCell ref="J37:L37"/>
    <mergeCell ref="M37:N37"/>
    <mergeCell ref="C39:E39"/>
    <mergeCell ref="A41:N41"/>
    <mergeCell ref="A43:B46"/>
    <mergeCell ref="C43:D44"/>
    <mergeCell ref="A42:B42"/>
    <mergeCell ref="C42:D42"/>
    <mergeCell ref="E42:F42"/>
    <mergeCell ref="G42:H42"/>
    <mergeCell ref="I42:J42"/>
    <mergeCell ref="E43:F44"/>
    <mergeCell ref="G43:H44"/>
    <mergeCell ref="I43:J46"/>
    <mergeCell ref="K43:K44"/>
    <mergeCell ref="L43:L44"/>
    <mergeCell ref="M43:M46"/>
    <mergeCell ref="N43:N44"/>
    <mergeCell ref="C45:D45"/>
    <mergeCell ref="E45:F46"/>
    <mergeCell ref="G45:H46"/>
    <mergeCell ref="K45:K46"/>
    <mergeCell ref="L45:L46"/>
    <mergeCell ref="N45:N46"/>
    <mergeCell ref="A47:B47"/>
    <mergeCell ref="E47:F47"/>
    <mergeCell ref="G47:H47"/>
    <mergeCell ref="I47:J47"/>
    <mergeCell ref="A48:B49"/>
    <mergeCell ref="C48:C49"/>
    <mergeCell ref="D48:D49"/>
    <mergeCell ref="E48:F49"/>
    <mergeCell ref="G48:H49"/>
    <mergeCell ref="I48:J48"/>
    <mergeCell ref="K48:K49"/>
    <mergeCell ref="L48:L49"/>
    <mergeCell ref="M48:M49"/>
    <mergeCell ref="N48:N49"/>
    <mergeCell ref="I49:J49"/>
    <mergeCell ref="A50:B51"/>
    <mergeCell ref="C50:C51"/>
    <mergeCell ref="D50:D51"/>
    <mergeCell ref="E50:F51"/>
    <mergeCell ref="G50:H51"/>
    <mergeCell ref="J56:K56"/>
    <mergeCell ref="L56:N56"/>
    <mergeCell ref="I50:J50"/>
    <mergeCell ref="K50:K51"/>
    <mergeCell ref="L50:L51"/>
    <mergeCell ref="M50:M51"/>
    <mergeCell ref="N50:N51"/>
    <mergeCell ref="I51:J51"/>
    <mergeCell ref="D60:E61"/>
    <mergeCell ref="F60:G61"/>
    <mergeCell ref="H60:I61"/>
    <mergeCell ref="J60:K61"/>
    <mergeCell ref="L60:N61"/>
    <mergeCell ref="A55:N55"/>
    <mergeCell ref="A56:C56"/>
    <mergeCell ref="D56:E56"/>
    <mergeCell ref="F56:G56"/>
    <mergeCell ref="H56:I56"/>
    <mergeCell ref="F62:G62"/>
    <mergeCell ref="H62:I62"/>
    <mergeCell ref="J62:K62"/>
    <mergeCell ref="L62:N62"/>
    <mergeCell ref="H57:I59"/>
    <mergeCell ref="J57:K59"/>
    <mergeCell ref="L57:N59"/>
    <mergeCell ref="J64:K64"/>
    <mergeCell ref="L64:N64"/>
    <mergeCell ref="A57:C61"/>
    <mergeCell ref="D57:E59"/>
    <mergeCell ref="F57:G59"/>
    <mergeCell ref="A63:C63"/>
    <mergeCell ref="D63:E63"/>
    <mergeCell ref="F63:G63"/>
    <mergeCell ref="A62:C62"/>
    <mergeCell ref="D62:E62"/>
    <mergeCell ref="J66:K66"/>
    <mergeCell ref="L66:N66"/>
    <mergeCell ref="A65:C65"/>
    <mergeCell ref="H63:I63"/>
    <mergeCell ref="J63:K63"/>
    <mergeCell ref="L63:N63"/>
    <mergeCell ref="A64:C64"/>
    <mergeCell ref="D64:E64"/>
    <mergeCell ref="F64:G64"/>
    <mergeCell ref="H64:I64"/>
    <mergeCell ref="J67:K67"/>
    <mergeCell ref="L67:N67"/>
    <mergeCell ref="A67:C67"/>
    <mergeCell ref="D67:E67"/>
    <mergeCell ref="H65:I65"/>
    <mergeCell ref="J65:K65"/>
    <mergeCell ref="L65:N65"/>
    <mergeCell ref="A66:C66"/>
    <mergeCell ref="D66:E66"/>
    <mergeCell ref="F66:G66"/>
    <mergeCell ref="D65:E65"/>
    <mergeCell ref="F65:G65"/>
    <mergeCell ref="A68:C68"/>
    <mergeCell ref="D68:E68"/>
    <mergeCell ref="F68:G68"/>
    <mergeCell ref="H68:I68"/>
    <mergeCell ref="F67:G67"/>
    <mergeCell ref="H67:I67"/>
    <mergeCell ref="H66:I66"/>
    <mergeCell ref="J68:K68"/>
    <mergeCell ref="L68:N68"/>
    <mergeCell ref="A69:C69"/>
    <mergeCell ref="D69:E69"/>
    <mergeCell ref="F69:G69"/>
    <mergeCell ref="H69:I69"/>
    <mergeCell ref="J69:K69"/>
    <mergeCell ref="L69:N69"/>
    <mergeCell ref="C75:D76"/>
    <mergeCell ref="E75:F76"/>
    <mergeCell ref="G75:H76"/>
    <mergeCell ref="I75:J78"/>
    <mergeCell ref="A73:N73"/>
    <mergeCell ref="A74:B74"/>
    <mergeCell ref="C74:D74"/>
    <mergeCell ref="E74:F74"/>
    <mergeCell ref="G74:H74"/>
    <mergeCell ref="I74:J74"/>
    <mergeCell ref="N77:N78"/>
    <mergeCell ref="M75:M78"/>
    <mergeCell ref="N75:N76"/>
    <mergeCell ref="L75:L76"/>
    <mergeCell ref="A75:B78"/>
    <mergeCell ref="C77:D77"/>
    <mergeCell ref="E77:F78"/>
    <mergeCell ref="G77:H78"/>
    <mergeCell ref="K77:K78"/>
    <mergeCell ref="L77:L78"/>
    <mergeCell ref="G80:H81"/>
    <mergeCell ref="I80:J80"/>
    <mergeCell ref="K75:K76"/>
    <mergeCell ref="E79:F79"/>
    <mergeCell ref="G79:H79"/>
    <mergeCell ref="I79:J79"/>
    <mergeCell ref="M80:M81"/>
    <mergeCell ref="N80:N81"/>
    <mergeCell ref="I82:J82"/>
    <mergeCell ref="I81:J81"/>
    <mergeCell ref="L80:L81"/>
    <mergeCell ref="L82:L83"/>
    <mergeCell ref="M82:M83"/>
    <mergeCell ref="N82:N83"/>
    <mergeCell ref="K82:K83"/>
    <mergeCell ref="D82:D83"/>
    <mergeCell ref="E82:F83"/>
    <mergeCell ref="G82:H83"/>
    <mergeCell ref="I83:J83"/>
    <mergeCell ref="K80:K81"/>
    <mergeCell ref="A79:B79"/>
    <mergeCell ref="A80:B81"/>
    <mergeCell ref="C80:C81"/>
    <mergeCell ref="D80:D81"/>
    <mergeCell ref="E80:F81"/>
    <mergeCell ref="H92:I93"/>
    <mergeCell ref="J92:K93"/>
    <mergeCell ref="L92:N93"/>
    <mergeCell ref="A87:N87"/>
    <mergeCell ref="A88:C88"/>
    <mergeCell ref="D88:E88"/>
    <mergeCell ref="F88:G88"/>
    <mergeCell ref="H88:I88"/>
    <mergeCell ref="J88:K88"/>
    <mergeCell ref="L88:N88"/>
    <mergeCell ref="H94:I94"/>
    <mergeCell ref="J94:K94"/>
    <mergeCell ref="L94:N94"/>
    <mergeCell ref="A82:B83"/>
    <mergeCell ref="C82:C83"/>
    <mergeCell ref="H89:I91"/>
    <mergeCell ref="J89:K91"/>
    <mergeCell ref="L89:N91"/>
    <mergeCell ref="D92:E93"/>
    <mergeCell ref="F92:G93"/>
    <mergeCell ref="A89:C93"/>
    <mergeCell ref="D89:E91"/>
    <mergeCell ref="F89:G91"/>
    <mergeCell ref="A95:C95"/>
    <mergeCell ref="D95:E95"/>
    <mergeCell ref="F95:G95"/>
    <mergeCell ref="A94:C94"/>
    <mergeCell ref="D94:E94"/>
    <mergeCell ref="F94:G94"/>
    <mergeCell ref="H95:I95"/>
    <mergeCell ref="J95:K95"/>
    <mergeCell ref="L95:N95"/>
    <mergeCell ref="A96:C96"/>
    <mergeCell ref="D96:E96"/>
    <mergeCell ref="F96:G96"/>
    <mergeCell ref="H96:I96"/>
    <mergeCell ref="J96:K96"/>
    <mergeCell ref="L96:N96"/>
    <mergeCell ref="A97:C97"/>
    <mergeCell ref="D97:E97"/>
    <mergeCell ref="F97:G97"/>
    <mergeCell ref="H97:I97"/>
    <mergeCell ref="J97:K97"/>
    <mergeCell ref="L97:N97"/>
    <mergeCell ref="A98:C98"/>
    <mergeCell ref="D98:E98"/>
    <mergeCell ref="F98:G98"/>
    <mergeCell ref="H98:I98"/>
    <mergeCell ref="J98:K98"/>
    <mergeCell ref="L98:N98"/>
    <mergeCell ref="A99:C99"/>
    <mergeCell ref="D99:E99"/>
    <mergeCell ref="F99:G99"/>
    <mergeCell ref="H99:I99"/>
    <mergeCell ref="J99:K99"/>
    <mergeCell ref="L99:N99"/>
    <mergeCell ref="A103:N103"/>
    <mergeCell ref="A104:C104"/>
    <mergeCell ref="D104:E104"/>
    <mergeCell ref="F104:G104"/>
    <mergeCell ref="H104:I104"/>
    <mergeCell ref="J104:L104"/>
    <mergeCell ref="M104:N104"/>
    <mergeCell ref="M105:N106"/>
    <mergeCell ref="F107:G108"/>
    <mergeCell ref="H107:I108"/>
    <mergeCell ref="J107:L107"/>
    <mergeCell ref="M107:N108"/>
    <mergeCell ref="J108:L108"/>
    <mergeCell ref="A109:C109"/>
    <mergeCell ref="D109:E109"/>
    <mergeCell ref="F109:G109"/>
    <mergeCell ref="H109:I109"/>
    <mergeCell ref="J109:L109"/>
    <mergeCell ref="A105:C108"/>
    <mergeCell ref="D105:E108"/>
    <mergeCell ref="F105:G106"/>
    <mergeCell ref="H105:I106"/>
    <mergeCell ref="J105:L106"/>
    <mergeCell ref="M109:N115"/>
    <mergeCell ref="A110:C110"/>
    <mergeCell ref="D110:E110"/>
    <mergeCell ref="F110:G110"/>
    <mergeCell ref="H110:I110"/>
    <mergeCell ref="J110:L110"/>
    <mergeCell ref="A111:C111"/>
    <mergeCell ref="D111:E111"/>
    <mergeCell ref="F111:G111"/>
    <mergeCell ref="H111:I111"/>
    <mergeCell ref="J111:L111"/>
    <mergeCell ref="A112:C112"/>
    <mergeCell ref="D112:E112"/>
    <mergeCell ref="F112:G112"/>
    <mergeCell ref="H112:I112"/>
    <mergeCell ref="J112:L112"/>
    <mergeCell ref="A113:C113"/>
    <mergeCell ref="D113:E113"/>
    <mergeCell ref="F113:G113"/>
    <mergeCell ref="H113:I113"/>
    <mergeCell ref="J113:L113"/>
    <mergeCell ref="A114:C114"/>
    <mergeCell ref="D114:E114"/>
    <mergeCell ref="F114:G114"/>
    <mergeCell ref="H114:I114"/>
    <mergeCell ref="J114:L114"/>
    <mergeCell ref="A115:C115"/>
    <mergeCell ref="D115:E115"/>
    <mergeCell ref="F115:G115"/>
    <mergeCell ref="H115:I115"/>
    <mergeCell ref="J115:L115"/>
    <mergeCell ref="A116:C116"/>
    <mergeCell ref="D116:E116"/>
    <mergeCell ref="F116:G116"/>
    <mergeCell ref="H116:I116"/>
    <mergeCell ref="J116:L116"/>
    <mergeCell ref="M116:N116"/>
    <mergeCell ref="A120:N120"/>
    <mergeCell ref="A121:C121"/>
    <mergeCell ref="D121:E121"/>
    <mergeCell ref="F121:G121"/>
    <mergeCell ref="I121:J121"/>
    <mergeCell ref="K121:L121"/>
    <mergeCell ref="M121:N121"/>
    <mergeCell ref="A122:C125"/>
    <mergeCell ref="D122:E123"/>
    <mergeCell ref="F122:G123"/>
    <mergeCell ref="H122:H123"/>
    <mergeCell ref="I122:J123"/>
    <mergeCell ref="K122:L125"/>
    <mergeCell ref="M122:N123"/>
    <mergeCell ref="D124:E125"/>
    <mergeCell ref="F124:G125"/>
    <mergeCell ref="H124:H125"/>
    <mergeCell ref="I124:J125"/>
    <mergeCell ref="M124:N125"/>
    <mergeCell ref="A126:C126"/>
    <mergeCell ref="D126:E126"/>
    <mergeCell ref="F126:G126"/>
    <mergeCell ref="I126:J126"/>
    <mergeCell ref="K126:L126"/>
    <mergeCell ref="M126:N126"/>
    <mergeCell ref="A127:C127"/>
    <mergeCell ref="D127:E127"/>
    <mergeCell ref="F127:G127"/>
    <mergeCell ref="I127:J127"/>
    <mergeCell ref="K127:L127"/>
    <mergeCell ref="M127:N127"/>
    <mergeCell ref="A128:C128"/>
    <mergeCell ref="D128:E128"/>
    <mergeCell ref="F128:G128"/>
    <mergeCell ref="I128:J128"/>
    <mergeCell ref="K128:L128"/>
    <mergeCell ref="M128:N128"/>
    <mergeCell ref="A132:N132"/>
    <mergeCell ref="A133:B133"/>
    <mergeCell ref="C133:D133"/>
    <mergeCell ref="E133:F133"/>
    <mergeCell ref="G133:H133"/>
    <mergeCell ref="I133:J133"/>
    <mergeCell ref="M133:N133"/>
    <mergeCell ref="A134:B136"/>
    <mergeCell ref="C134:D134"/>
    <mergeCell ref="E134:F134"/>
    <mergeCell ref="G134:H134"/>
    <mergeCell ref="I134:J134"/>
    <mergeCell ref="L134:L136"/>
    <mergeCell ref="M134:N134"/>
    <mergeCell ref="C135:D136"/>
    <mergeCell ref="E135:F136"/>
    <mergeCell ref="G135:H136"/>
    <mergeCell ref="I135:J136"/>
    <mergeCell ref="K135:K136"/>
    <mergeCell ref="M135:N136"/>
    <mergeCell ref="A137:B137"/>
    <mergeCell ref="C137:D137"/>
    <mergeCell ref="E137:F137"/>
    <mergeCell ref="G137:H137"/>
    <mergeCell ref="I137:J137"/>
    <mergeCell ref="M137:N137"/>
    <mergeCell ref="A138:B138"/>
    <mergeCell ref="C138:D138"/>
    <mergeCell ref="E138:F138"/>
    <mergeCell ref="G138:H138"/>
    <mergeCell ref="I138:J138"/>
    <mergeCell ref="M138:N138"/>
    <mergeCell ref="A142:N142"/>
    <mergeCell ref="A143:B143"/>
    <mergeCell ref="C143:D143"/>
    <mergeCell ref="E143:F143"/>
    <mergeCell ref="G143:H143"/>
    <mergeCell ref="I143:J143"/>
    <mergeCell ref="M143:N143"/>
    <mergeCell ref="A144:B146"/>
    <mergeCell ref="C144:D144"/>
    <mergeCell ref="E144:F144"/>
    <mergeCell ref="G144:H144"/>
    <mergeCell ref="I144:J144"/>
    <mergeCell ref="L144:L146"/>
    <mergeCell ref="M144:N144"/>
    <mergeCell ref="C145:D146"/>
    <mergeCell ref="E145:F146"/>
    <mergeCell ref="G145:H146"/>
    <mergeCell ref="I145:J146"/>
    <mergeCell ref="K145:K146"/>
    <mergeCell ref="M145:N146"/>
    <mergeCell ref="A147:B147"/>
    <mergeCell ref="C147:D147"/>
    <mergeCell ref="E147:F147"/>
    <mergeCell ref="G147:H147"/>
    <mergeCell ref="I147:J147"/>
    <mergeCell ref="M147:N147"/>
    <mergeCell ref="A148:B148"/>
    <mergeCell ref="C148:D148"/>
    <mergeCell ref="E148:F148"/>
    <mergeCell ref="G148:H148"/>
    <mergeCell ref="I148:J148"/>
    <mergeCell ref="M148:N148"/>
    <mergeCell ref="A152:N152"/>
    <mergeCell ref="A153:E153"/>
    <mergeCell ref="F153:H153"/>
    <mergeCell ref="I153:K153"/>
    <mergeCell ref="L153:N153"/>
    <mergeCell ref="A154:E157"/>
    <mergeCell ref="F154:H154"/>
    <mergeCell ref="I154:K154"/>
    <mergeCell ref="L154:N154"/>
    <mergeCell ref="F155:H155"/>
    <mergeCell ref="I155:K155"/>
    <mergeCell ref="L155:N155"/>
    <mergeCell ref="F156:H156"/>
    <mergeCell ref="I156:K157"/>
    <mergeCell ref="L156:N156"/>
    <mergeCell ref="F157:H157"/>
    <mergeCell ref="L157:N157"/>
    <mergeCell ref="A158:N158"/>
    <mergeCell ref="A159:E159"/>
    <mergeCell ref="F159:H159"/>
    <mergeCell ref="I159:K159"/>
    <mergeCell ref="L159:N159"/>
    <mergeCell ref="A160:E160"/>
    <mergeCell ref="F160:H160"/>
    <mergeCell ref="I160:K160"/>
    <mergeCell ref="L160:N160"/>
    <mergeCell ref="A161:E161"/>
    <mergeCell ref="F161:H161"/>
    <mergeCell ref="I161:K161"/>
    <mergeCell ref="L161:N161"/>
    <mergeCell ref="A162:E162"/>
    <mergeCell ref="F162:H162"/>
    <mergeCell ref="I162:K162"/>
    <mergeCell ref="L162:N162"/>
    <mergeCell ref="A163:E163"/>
    <mergeCell ref="F163:H163"/>
    <mergeCell ref="I163:K163"/>
    <mergeCell ref="L163:N163"/>
    <mergeCell ref="A164:E164"/>
    <mergeCell ref="F164:H164"/>
    <mergeCell ref="I164:K164"/>
    <mergeCell ref="L164:N164"/>
    <mergeCell ref="A165:E165"/>
    <mergeCell ref="F165:H165"/>
    <mergeCell ref="I165:K165"/>
    <mergeCell ref="L165:N165"/>
    <mergeCell ref="A166:E166"/>
    <mergeCell ref="F166:H166"/>
    <mergeCell ref="I166:K166"/>
    <mergeCell ref="L166:N166"/>
    <mergeCell ref="A167:N167"/>
    <mergeCell ref="A168:E168"/>
    <mergeCell ref="F168:H168"/>
    <mergeCell ref="I168:K168"/>
    <mergeCell ref="L168:N168"/>
    <mergeCell ref="A169:E169"/>
    <mergeCell ref="F169:H169"/>
    <mergeCell ref="I169:K169"/>
    <mergeCell ref="L169:N169"/>
    <mergeCell ref="A170:E170"/>
    <mergeCell ref="F170:H170"/>
    <mergeCell ref="I170:K170"/>
    <mergeCell ref="L170:N170"/>
    <mergeCell ref="A171:E171"/>
    <mergeCell ref="F171:H171"/>
    <mergeCell ref="I171:K171"/>
    <mergeCell ref="L171:N171"/>
    <mergeCell ref="L175:N175"/>
    <mergeCell ref="A172:E172"/>
    <mergeCell ref="F172:H172"/>
    <mergeCell ref="I172:K172"/>
    <mergeCell ref="L172:N172"/>
    <mergeCell ref="A173:E173"/>
    <mergeCell ref="F173:H173"/>
    <mergeCell ref="I173:K173"/>
    <mergeCell ref="L173:N173"/>
    <mergeCell ref="H181:J184"/>
    <mergeCell ref="K181:M183"/>
    <mergeCell ref="E184:G184"/>
    <mergeCell ref="A174:E174"/>
    <mergeCell ref="F174:H174"/>
    <mergeCell ref="I174:K174"/>
    <mergeCell ref="L174:N174"/>
    <mergeCell ref="A175:E175"/>
    <mergeCell ref="F175:H175"/>
    <mergeCell ref="I175:K175"/>
    <mergeCell ref="E186:G186"/>
    <mergeCell ref="H186:J186"/>
    <mergeCell ref="K186:M186"/>
    <mergeCell ref="B179:M179"/>
    <mergeCell ref="B180:D180"/>
    <mergeCell ref="E180:G180"/>
    <mergeCell ref="H180:J180"/>
    <mergeCell ref="K180:M180"/>
    <mergeCell ref="B181:D184"/>
    <mergeCell ref="E181:G183"/>
    <mergeCell ref="B187:D187"/>
    <mergeCell ref="E187:G187"/>
    <mergeCell ref="H187:J187"/>
    <mergeCell ref="K187:M187"/>
    <mergeCell ref="K184:M184"/>
    <mergeCell ref="B185:D185"/>
    <mergeCell ref="E185:G185"/>
    <mergeCell ref="H185:J185"/>
    <mergeCell ref="K185:M185"/>
    <mergeCell ref="B186:D186"/>
  </mergeCells>
  <conditionalFormatting sqref="J11:N11">
    <cfRule type="cellIs" priority="1" dxfId="0" operator="greaterThan" stopIfTrue="1">
      <formula>$F$11</formula>
    </cfRule>
  </conditionalFormatting>
  <dataValidations count="14">
    <dataValidation type="whole" allowBlank="1" showInputMessage="1" showErrorMessage="1" sqref="J26:N26">
      <formula1>2</formula1>
      <formula2>30</formula2>
    </dataValidation>
    <dataValidation type="list" allowBlank="1" showInputMessage="1" showErrorMessage="1" sqref="J24:N24">
      <formula1>Posted</formula1>
    </dataValidation>
    <dataValidation type="whole" operator="greaterThanOrEqual" allowBlank="1" showInputMessage="1" showErrorMessage="1" sqref="J17:N23">
      <formula1>0</formula1>
    </dataValidation>
    <dataValidation type="decimal" operator="greaterThanOrEqual" allowBlank="1" showInputMessage="1" showErrorMessage="1" sqref="J25:N25 P25">
      <formula1>0</formula1>
    </dataValidation>
    <dataValidation type="list" allowBlank="1" showInputMessage="1" showErrorMessage="1" sqref="P26">
      <formula1>OffsetFO</formula1>
    </dataValidation>
    <dataValidation type="list" allowBlank="1" showInputMessage="1" showErrorMessage="1" sqref="J12:N12 P12">
      <formula1>OnStreetType</formula1>
    </dataValidation>
    <dataValidation type="list" allowBlank="1" showInputMessage="1" showErrorMessage="1" sqref="J15:N16 P15:P16">
      <formula1>PresOrNot</formula1>
    </dataValidation>
    <dataValidation type="whole" operator="greaterThan" allowBlank="1" showInputMessage="1" showErrorMessage="1" sqref="K7:P7">
      <formula1>1990</formula1>
    </dataValidation>
    <dataValidation type="whole" allowBlank="1" showInputMessage="1" showErrorMessage="1" sqref="P11 J11:N11">
      <formula1>0</formula1>
      <formula2>66000</formula2>
    </dataValidation>
    <dataValidation type="decimal" operator="lessThanOrEqual" allowBlank="1" showInputMessage="1" showErrorMessage="1" sqref="J13:N13 P13">
      <formula1>1</formula1>
    </dataValidation>
    <dataValidation type="decimal" operator="greaterThan" allowBlank="1" showInputMessage="1" showErrorMessage="1" sqref="J10:N10 P10">
      <formula1>0</formula1>
    </dataValidation>
    <dataValidation type="list" operator="greaterThan" allowBlank="1" showInputMessage="1" showErrorMessage="1" sqref="J9:N9">
      <formula1>RType</formula1>
    </dataValidation>
    <dataValidation type="list" allowBlank="1" showInputMessage="1" showErrorMessage="1" sqref="J14:N14 P14">
      <formula1>UMedWidth</formula1>
    </dataValidation>
    <dataValidation type="decimal" allowBlank="1" showInputMessage="1" showErrorMessage="1" sqref="J27:N27 P27">
      <formula1>0</formula1>
      <formula2>10</formula2>
    </dataValidation>
  </dataValidations>
  <printOptions/>
  <pageMargins left="0.7" right="0.7" top="0.75" bottom="0.75" header="0.3" footer="0.3"/>
  <pageSetup fitToHeight="4" horizontalDpi="600" verticalDpi="600" orientation="landscape" scale="76" r:id="rId1"/>
  <headerFooter>
    <oddHeader>&amp;CUrban and Suburban Predictive Method</oddHeader>
    <oddFooter>&amp;R&amp;P</oddFooter>
  </headerFooter>
  <rowBreaks count="2" manualBreakCount="2">
    <brk id="101" max="13" man="1"/>
    <brk id="15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128"/>
  <sheetViews>
    <sheetView zoomScalePageLayoutView="0" workbookViewId="0" topLeftCell="A1">
      <selection activeCell="K128" sqref="K128"/>
    </sheetView>
  </sheetViews>
  <sheetFormatPr defaultColWidth="9.140625" defaultRowHeight="12.75"/>
  <cols>
    <col min="1" max="12" width="14.7109375" style="0" customWidth="1"/>
    <col min="13" max="13" width="13.7109375" style="0" customWidth="1"/>
    <col min="14" max="22" width="10.7109375" style="0" customWidth="1"/>
    <col min="23" max="35" width="12.7109375" style="0" customWidth="1"/>
    <col min="36" max="36" width="10.7109375" style="0" customWidth="1"/>
    <col min="37" max="42" width="12.7109375" style="0" customWidth="1"/>
    <col min="43" max="47" width="10.7109375" style="0" customWidth="1"/>
  </cols>
  <sheetData>
    <row r="1" spans="1:30" ht="13.5" thickBot="1">
      <c r="A1" s="116" t="s">
        <v>498</v>
      </c>
      <c r="V1" s="29"/>
      <c r="W1" s="116" t="s">
        <v>521</v>
      </c>
      <c r="AB1" s="29"/>
      <c r="AC1" s="29"/>
      <c r="AD1" s="29"/>
    </row>
    <row r="2" spans="1:47" ht="13.5" thickTop="1">
      <c r="A2" s="560" t="s">
        <v>653</v>
      </c>
      <c r="B2" s="560"/>
      <c r="C2" s="560"/>
      <c r="D2" s="560"/>
      <c r="E2" s="151"/>
      <c r="F2" s="151"/>
      <c r="G2" s="560" t="s">
        <v>656</v>
      </c>
      <c r="H2" s="560"/>
      <c r="I2" s="560"/>
      <c r="J2" s="560"/>
      <c r="K2" s="151"/>
      <c r="L2" s="151"/>
      <c r="M2" s="151"/>
      <c r="N2" s="560" t="s">
        <v>658</v>
      </c>
      <c r="O2" s="560"/>
      <c r="P2" s="560"/>
      <c r="Q2" s="560"/>
      <c r="R2" s="560"/>
      <c r="S2" s="560"/>
      <c r="T2" s="560"/>
      <c r="U2" s="151"/>
      <c r="V2" s="29"/>
      <c r="W2" s="626" t="s">
        <v>668</v>
      </c>
      <c r="X2" s="561"/>
      <c r="Y2" s="561"/>
      <c r="Z2" s="561"/>
      <c r="AA2" s="561"/>
      <c r="AB2" s="43"/>
      <c r="AC2" s="43"/>
      <c r="AD2" s="43"/>
      <c r="AP2" s="15"/>
      <c r="AQ2" s="29"/>
      <c r="AU2" s="15"/>
    </row>
    <row r="3" spans="1:47" ht="13.5" thickBot="1">
      <c r="A3" s="570"/>
      <c r="B3" s="570"/>
      <c r="C3" s="570"/>
      <c r="D3" s="570"/>
      <c r="E3" s="151"/>
      <c r="F3" s="151"/>
      <c r="G3" s="570"/>
      <c r="H3" s="570"/>
      <c r="I3" s="570"/>
      <c r="J3" s="570"/>
      <c r="K3" s="151"/>
      <c r="L3" s="151"/>
      <c r="M3" s="151"/>
      <c r="N3" s="570"/>
      <c r="O3" s="570"/>
      <c r="P3" s="570"/>
      <c r="Q3" s="570"/>
      <c r="R3" s="570"/>
      <c r="S3" s="570"/>
      <c r="T3" s="570"/>
      <c r="U3" s="151"/>
      <c r="V3" s="29"/>
      <c r="W3" s="562"/>
      <c r="X3" s="562"/>
      <c r="Y3" s="562"/>
      <c r="Z3" s="562"/>
      <c r="AA3" s="562"/>
      <c r="AB3" s="43"/>
      <c r="AC3" s="43"/>
      <c r="AD3" s="43"/>
      <c r="AP3" s="15"/>
      <c r="AQ3" s="29"/>
      <c r="AU3" s="15"/>
    </row>
    <row r="4" spans="1:47" ht="12.75">
      <c r="A4" s="638" t="s">
        <v>276</v>
      </c>
      <c r="B4" s="166" t="s">
        <v>274</v>
      </c>
      <c r="C4" s="166"/>
      <c r="D4" s="635" t="s">
        <v>275</v>
      </c>
      <c r="E4" s="164"/>
      <c r="F4" s="164"/>
      <c r="G4" s="638" t="s">
        <v>276</v>
      </c>
      <c r="H4" s="166" t="s">
        <v>305</v>
      </c>
      <c r="I4" s="166"/>
      <c r="J4" s="635" t="s">
        <v>275</v>
      </c>
      <c r="K4" s="164"/>
      <c r="L4" s="164"/>
      <c r="M4" s="164"/>
      <c r="N4" s="622" t="s">
        <v>380</v>
      </c>
      <c r="O4" s="623"/>
      <c r="P4" s="557" t="s">
        <v>389</v>
      </c>
      <c r="Q4" s="557"/>
      <c r="R4" s="557"/>
      <c r="S4" s="557"/>
      <c r="T4" s="595"/>
      <c r="U4" s="164"/>
      <c r="V4" s="29"/>
      <c r="W4" s="632" t="s">
        <v>231</v>
      </c>
      <c r="X4" s="629" t="s">
        <v>226</v>
      </c>
      <c r="Y4" s="630"/>
      <c r="Z4" s="630"/>
      <c r="AA4" s="631"/>
      <c r="AB4" s="66"/>
      <c r="AC4" s="66"/>
      <c r="AD4" s="66"/>
      <c r="AP4" s="15"/>
      <c r="AQ4" s="29"/>
      <c r="AU4" s="15"/>
    </row>
    <row r="5" spans="1:47" ht="12.75">
      <c r="A5" s="639"/>
      <c r="B5" s="168" t="s">
        <v>279</v>
      </c>
      <c r="C5" s="167" t="s">
        <v>280</v>
      </c>
      <c r="D5" s="636"/>
      <c r="E5" s="154"/>
      <c r="F5" s="154"/>
      <c r="G5" s="639"/>
      <c r="H5" s="168" t="s">
        <v>279</v>
      </c>
      <c r="I5" s="167" t="s">
        <v>280</v>
      </c>
      <c r="J5" s="636"/>
      <c r="K5" s="154"/>
      <c r="L5" s="154"/>
      <c r="M5" s="154"/>
      <c r="N5" s="624"/>
      <c r="O5" s="625"/>
      <c r="P5" s="177" t="s">
        <v>218</v>
      </c>
      <c r="Q5" s="177" t="s">
        <v>217</v>
      </c>
      <c r="R5" s="177" t="s">
        <v>105</v>
      </c>
      <c r="S5" s="177" t="s">
        <v>108</v>
      </c>
      <c r="T5" s="179" t="s">
        <v>232</v>
      </c>
      <c r="U5" s="154"/>
      <c r="V5" s="29"/>
      <c r="W5" s="633"/>
      <c r="X5" s="559" t="s">
        <v>227</v>
      </c>
      <c r="Y5" s="359"/>
      <c r="Z5" s="559" t="s">
        <v>230</v>
      </c>
      <c r="AA5" s="581"/>
      <c r="AB5" s="66"/>
      <c r="AC5" s="29"/>
      <c r="AD5" s="45"/>
      <c r="AP5" s="15"/>
      <c r="AQ5" s="29"/>
      <c r="AU5" s="15"/>
    </row>
    <row r="6" spans="1:47" ht="12.75">
      <c r="A6" s="640"/>
      <c r="B6" s="169" t="s">
        <v>277</v>
      </c>
      <c r="C6" s="118" t="s">
        <v>278</v>
      </c>
      <c r="D6" s="637"/>
      <c r="E6" s="154"/>
      <c r="F6" s="154"/>
      <c r="G6" s="640"/>
      <c r="H6" s="169" t="s">
        <v>277</v>
      </c>
      <c r="I6" s="118" t="s">
        <v>278</v>
      </c>
      <c r="J6" s="637"/>
      <c r="K6" s="154"/>
      <c r="L6" s="154"/>
      <c r="M6" s="154"/>
      <c r="N6" s="615" t="s">
        <v>381</v>
      </c>
      <c r="O6" s="616"/>
      <c r="P6" s="616"/>
      <c r="Q6" s="616"/>
      <c r="R6" s="616"/>
      <c r="S6" s="616"/>
      <c r="T6" s="617"/>
      <c r="U6" s="154"/>
      <c r="V6" s="29"/>
      <c r="W6" s="633"/>
      <c r="X6" s="634" t="s">
        <v>228</v>
      </c>
      <c r="Y6" s="357" t="s">
        <v>229</v>
      </c>
      <c r="Z6" s="634" t="s">
        <v>228</v>
      </c>
      <c r="AA6" s="643" t="s">
        <v>229</v>
      </c>
      <c r="AB6" s="40"/>
      <c r="AC6" s="40"/>
      <c r="AD6" s="40"/>
      <c r="AP6" s="15"/>
      <c r="AQ6" s="29"/>
      <c r="AU6" s="15"/>
    </row>
    <row r="7" spans="1:47" ht="12.75">
      <c r="A7" s="627" t="s">
        <v>281</v>
      </c>
      <c r="B7" s="628"/>
      <c r="C7" s="628"/>
      <c r="D7" s="628"/>
      <c r="E7" s="24"/>
      <c r="F7" s="24"/>
      <c r="G7" s="627" t="s">
        <v>281</v>
      </c>
      <c r="H7" s="628"/>
      <c r="I7" s="628"/>
      <c r="J7" s="628"/>
      <c r="K7" s="24"/>
      <c r="L7" s="24"/>
      <c r="M7" s="24"/>
      <c r="N7" s="618" t="s">
        <v>327</v>
      </c>
      <c r="O7" s="619"/>
      <c r="P7" s="56">
        <v>0.158</v>
      </c>
      <c r="Q7" s="56">
        <v>0.102</v>
      </c>
      <c r="R7" s="56">
        <v>0.182</v>
      </c>
      <c r="S7" s="56">
        <v>0.033</v>
      </c>
      <c r="T7" s="58">
        <v>0.165</v>
      </c>
      <c r="U7" s="24"/>
      <c r="V7" s="29"/>
      <c r="W7" s="633"/>
      <c r="X7" s="634"/>
      <c r="Y7" s="302"/>
      <c r="Z7" s="634"/>
      <c r="AA7" s="644"/>
      <c r="AB7" s="37"/>
      <c r="AC7" s="37"/>
      <c r="AD7" s="37"/>
      <c r="AP7" s="15"/>
      <c r="AQ7" s="29"/>
      <c r="AU7" s="15"/>
    </row>
    <row r="8" spans="1:47" ht="12.75">
      <c r="A8" s="131" t="s">
        <v>218</v>
      </c>
      <c r="B8" s="57">
        <v>-15.22</v>
      </c>
      <c r="C8" s="57">
        <v>1.68</v>
      </c>
      <c r="D8" s="80">
        <v>0.84</v>
      </c>
      <c r="E8" s="28"/>
      <c r="F8" s="28"/>
      <c r="G8" s="131" t="s">
        <v>218</v>
      </c>
      <c r="H8" s="57">
        <v>-5.47</v>
      </c>
      <c r="I8" s="57">
        <v>0.56</v>
      </c>
      <c r="J8" s="80">
        <v>0.81</v>
      </c>
      <c r="K8" s="28"/>
      <c r="L8" s="28"/>
      <c r="M8" s="28"/>
      <c r="N8" s="618" t="s">
        <v>328</v>
      </c>
      <c r="O8" s="619"/>
      <c r="P8" s="56">
        <v>0.05</v>
      </c>
      <c r="Q8" s="56">
        <v>0.032</v>
      </c>
      <c r="R8" s="56">
        <v>0.058</v>
      </c>
      <c r="S8" s="56">
        <v>0.011</v>
      </c>
      <c r="T8" s="58">
        <v>0.053</v>
      </c>
      <c r="U8" s="28"/>
      <c r="V8" s="29"/>
      <c r="W8" s="633"/>
      <c r="X8" s="358"/>
      <c r="Y8" s="302"/>
      <c r="Z8" s="358"/>
      <c r="AA8" s="644"/>
      <c r="AB8" s="76"/>
      <c r="AC8" s="34"/>
      <c r="AD8" s="34"/>
      <c r="AP8" s="15"/>
      <c r="AQ8" s="29"/>
      <c r="AU8" s="15"/>
    </row>
    <row r="9" spans="1:47" ht="12.75">
      <c r="A9" s="131" t="s">
        <v>217</v>
      </c>
      <c r="B9" s="57">
        <v>-12.4</v>
      </c>
      <c r="C9" s="57">
        <v>1.41</v>
      </c>
      <c r="D9" s="80">
        <v>0.66</v>
      </c>
      <c r="E9" s="28"/>
      <c r="F9" s="28"/>
      <c r="G9" s="131" t="s">
        <v>217</v>
      </c>
      <c r="H9" s="57">
        <v>-5.74</v>
      </c>
      <c r="I9" s="57">
        <v>0.54</v>
      </c>
      <c r="J9" s="80">
        <v>1.37</v>
      </c>
      <c r="K9" s="28"/>
      <c r="L9" s="28"/>
      <c r="M9" s="28"/>
      <c r="N9" s="618" t="s">
        <v>382</v>
      </c>
      <c r="O9" s="619"/>
      <c r="P9" s="56">
        <v>0.172</v>
      </c>
      <c r="Q9" s="56">
        <v>0.11</v>
      </c>
      <c r="R9" s="56">
        <v>0.198</v>
      </c>
      <c r="S9" s="56">
        <v>0.036</v>
      </c>
      <c r="T9" s="58">
        <v>0.181</v>
      </c>
      <c r="U9" s="28"/>
      <c r="V9" s="29"/>
      <c r="W9" s="131" t="s">
        <v>218</v>
      </c>
      <c r="X9" s="56">
        <v>1.465</v>
      </c>
      <c r="Y9" s="56">
        <v>2.074</v>
      </c>
      <c r="Z9" s="56">
        <v>3.428</v>
      </c>
      <c r="AA9" s="58">
        <v>4.853</v>
      </c>
      <c r="AB9" s="34"/>
      <c r="AC9" s="34"/>
      <c r="AD9" s="34"/>
      <c r="AP9" s="15"/>
      <c r="AQ9" s="29"/>
      <c r="AU9" s="15"/>
    </row>
    <row r="10" spans="1:47" ht="12.75">
      <c r="A10" s="131" t="s">
        <v>105</v>
      </c>
      <c r="B10" s="57">
        <v>-11.63</v>
      </c>
      <c r="C10" s="57">
        <v>1.33</v>
      </c>
      <c r="D10" s="80">
        <v>1.01</v>
      </c>
      <c r="E10" s="28"/>
      <c r="F10" s="28"/>
      <c r="G10" s="131" t="s">
        <v>105</v>
      </c>
      <c r="H10" s="57">
        <v>-7.99</v>
      </c>
      <c r="I10" s="57">
        <v>0.81</v>
      </c>
      <c r="J10" s="80">
        <v>0.91</v>
      </c>
      <c r="K10" s="28"/>
      <c r="L10" s="28"/>
      <c r="M10" s="28"/>
      <c r="N10" s="618" t="s">
        <v>383</v>
      </c>
      <c r="O10" s="619"/>
      <c r="P10" s="56">
        <v>0.023</v>
      </c>
      <c r="Q10" s="56">
        <v>0.015</v>
      </c>
      <c r="R10" s="56">
        <v>0.026</v>
      </c>
      <c r="S10" s="56">
        <v>0.005</v>
      </c>
      <c r="T10" s="58">
        <v>0.024</v>
      </c>
      <c r="U10" s="28"/>
      <c r="V10" s="29"/>
      <c r="W10" s="131" t="s">
        <v>217</v>
      </c>
      <c r="X10" s="56">
        <v>1.465</v>
      </c>
      <c r="Y10" s="56">
        <v>2.074</v>
      </c>
      <c r="Z10" s="56">
        <v>3.428</v>
      </c>
      <c r="AA10" s="58">
        <v>4.853</v>
      </c>
      <c r="AB10" s="34"/>
      <c r="AC10" s="34"/>
      <c r="AD10" s="34"/>
      <c r="AP10" s="15"/>
      <c r="AQ10" s="29"/>
      <c r="AU10" s="15"/>
    </row>
    <row r="11" spans="1:47" ht="12.75">
      <c r="A11" s="170" t="s">
        <v>108</v>
      </c>
      <c r="B11" s="57">
        <v>-12.34</v>
      </c>
      <c r="C11" s="57">
        <v>1.36</v>
      </c>
      <c r="D11" s="80">
        <v>1.32</v>
      </c>
      <c r="E11" s="28"/>
      <c r="F11" s="28"/>
      <c r="G11" s="170" t="s">
        <v>108</v>
      </c>
      <c r="H11" s="57">
        <v>-5.05</v>
      </c>
      <c r="I11" s="57">
        <v>0.47</v>
      </c>
      <c r="J11" s="80">
        <v>0.86</v>
      </c>
      <c r="K11" s="28"/>
      <c r="L11" s="28"/>
      <c r="M11" s="28"/>
      <c r="N11" s="618" t="s">
        <v>331</v>
      </c>
      <c r="O11" s="619"/>
      <c r="P11" s="56">
        <v>0.083</v>
      </c>
      <c r="Q11" s="56">
        <v>0.053</v>
      </c>
      <c r="R11" s="56">
        <v>0.096</v>
      </c>
      <c r="S11" s="56">
        <v>0.018</v>
      </c>
      <c r="T11" s="58">
        <v>0.087</v>
      </c>
      <c r="U11" s="28"/>
      <c r="V11" s="29"/>
      <c r="W11" s="131" t="s">
        <v>105</v>
      </c>
      <c r="X11" s="56">
        <v>1.1</v>
      </c>
      <c r="Y11" s="56">
        <v>1.709</v>
      </c>
      <c r="Z11" s="56">
        <v>2.574</v>
      </c>
      <c r="AA11" s="58">
        <v>3.999</v>
      </c>
      <c r="AB11" s="34"/>
      <c r="AC11" s="34"/>
      <c r="AD11" s="34"/>
      <c r="AP11" s="15"/>
      <c r="AQ11" s="29"/>
      <c r="AU11" s="15"/>
    </row>
    <row r="12" spans="1:47" ht="12.75">
      <c r="A12" s="131" t="s">
        <v>232</v>
      </c>
      <c r="B12" s="57">
        <v>-9.7</v>
      </c>
      <c r="C12" s="57">
        <v>1.17</v>
      </c>
      <c r="D12" s="80">
        <v>0.81</v>
      </c>
      <c r="E12" s="28"/>
      <c r="F12" s="28"/>
      <c r="G12" s="131" t="s">
        <v>232</v>
      </c>
      <c r="H12" s="57">
        <v>-4.82</v>
      </c>
      <c r="I12" s="57">
        <v>0.54</v>
      </c>
      <c r="J12" s="80">
        <v>0.52</v>
      </c>
      <c r="K12" s="28"/>
      <c r="L12" s="28"/>
      <c r="M12" s="28"/>
      <c r="N12" s="618" t="s">
        <v>332</v>
      </c>
      <c r="O12" s="619"/>
      <c r="P12" s="56">
        <v>0.016</v>
      </c>
      <c r="Q12" s="56">
        <v>0.01</v>
      </c>
      <c r="R12" s="56">
        <v>0.018</v>
      </c>
      <c r="S12" s="56">
        <v>0.003</v>
      </c>
      <c r="T12" s="58">
        <v>0.016</v>
      </c>
      <c r="U12" s="28"/>
      <c r="V12" s="29"/>
      <c r="W12" s="131" t="s">
        <v>108</v>
      </c>
      <c r="X12" s="56">
        <v>1.1</v>
      </c>
      <c r="Y12" s="56">
        <v>1.709</v>
      </c>
      <c r="Z12" s="56">
        <v>2.574</v>
      </c>
      <c r="AA12" s="58">
        <v>3.999</v>
      </c>
      <c r="AB12" s="34"/>
      <c r="AC12" s="34"/>
      <c r="AD12" s="34"/>
      <c r="AP12" s="15"/>
      <c r="AQ12" s="29"/>
      <c r="AU12" s="15"/>
    </row>
    <row r="13" spans="1:47" ht="13.5" thickBot="1">
      <c r="A13" s="541" t="s">
        <v>282</v>
      </c>
      <c r="B13" s="274"/>
      <c r="C13" s="274"/>
      <c r="D13" s="297"/>
      <c r="E13" s="24"/>
      <c r="F13" s="24"/>
      <c r="G13" s="541" t="s">
        <v>282</v>
      </c>
      <c r="H13" s="274"/>
      <c r="I13" s="274"/>
      <c r="J13" s="297"/>
      <c r="K13" s="24"/>
      <c r="L13" s="24"/>
      <c r="M13" s="24"/>
      <c r="N13" s="618" t="s">
        <v>97</v>
      </c>
      <c r="O13" s="619"/>
      <c r="P13" s="56">
        <v>0.025</v>
      </c>
      <c r="Q13" s="56">
        <v>0.016</v>
      </c>
      <c r="R13" s="56">
        <v>0.029</v>
      </c>
      <c r="S13" s="56">
        <v>0.005</v>
      </c>
      <c r="T13" s="58">
        <v>0.027</v>
      </c>
      <c r="U13" s="24"/>
      <c r="V13" s="29"/>
      <c r="W13" s="135" t="s">
        <v>232</v>
      </c>
      <c r="X13" s="63">
        <v>1.1</v>
      </c>
      <c r="Y13" s="63">
        <v>1.709</v>
      </c>
      <c r="Z13" s="63">
        <v>2.574</v>
      </c>
      <c r="AA13" s="126">
        <v>3.999</v>
      </c>
      <c r="AB13" s="34"/>
      <c r="AC13" s="34"/>
      <c r="AD13" s="34"/>
      <c r="AP13" s="15"/>
      <c r="AQ13" s="29"/>
      <c r="AU13" s="15"/>
    </row>
    <row r="14" spans="1:47" ht="12.75">
      <c r="A14" s="131" t="s">
        <v>218</v>
      </c>
      <c r="B14" s="57">
        <v>-16.22</v>
      </c>
      <c r="C14" s="57">
        <v>1.66</v>
      </c>
      <c r="D14" s="80">
        <v>0.65</v>
      </c>
      <c r="E14" s="28"/>
      <c r="F14" s="28"/>
      <c r="G14" s="131" t="s">
        <v>218</v>
      </c>
      <c r="H14" s="57">
        <v>-3.96</v>
      </c>
      <c r="I14" s="57">
        <v>0.23</v>
      </c>
      <c r="J14" s="80">
        <v>0.5</v>
      </c>
      <c r="K14" s="28"/>
      <c r="L14" s="28"/>
      <c r="M14" s="28"/>
      <c r="N14" s="615" t="s">
        <v>384</v>
      </c>
      <c r="O14" s="616"/>
      <c r="P14" s="616"/>
      <c r="Q14" s="616"/>
      <c r="R14" s="616"/>
      <c r="S14" s="616"/>
      <c r="T14" s="617"/>
      <c r="U14" s="28"/>
      <c r="V14" s="29"/>
      <c r="W14" s="138"/>
      <c r="X14" s="138"/>
      <c r="Y14" s="138"/>
      <c r="Z14" s="138"/>
      <c r="AA14" s="138"/>
      <c r="AB14" s="34"/>
      <c r="AC14" s="34"/>
      <c r="AD14" s="34"/>
      <c r="AP14" s="15"/>
      <c r="AQ14" s="29"/>
      <c r="AU14" s="15"/>
    </row>
    <row r="15" spans="1:47" ht="12.75">
      <c r="A15" s="131" t="s">
        <v>217</v>
      </c>
      <c r="B15" s="57">
        <v>-16.45</v>
      </c>
      <c r="C15" s="57">
        <v>1.69</v>
      </c>
      <c r="D15" s="80">
        <v>0.59</v>
      </c>
      <c r="E15" s="28"/>
      <c r="F15" s="28"/>
      <c r="G15" s="131" t="s">
        <v>217</v>
      </c>
      <c r="H15" s="57">
        <v>-6.37</v>
      </c>
      <c r="I15" s="57">
        <v>0.47</v>
      </c>
      <c r="J15" s="80">
        <v>1.06</v>
      </c>
      <c r="K15" s="28"/>
      <c r="L15" s="28"/>
      <c r="M15" s="28"/>
      <c r="N15" s="618" t="s">
        <v>385</v>
      </c>
      <c r="O15" s="619"/>
      <c r="P15" s="56">
        <v>1</v>
      </c>
      <c r="Q15" s="56">
        <v>1</v>
      </c>
      <c r="R15" s="56">
        <v>1.172</v>
      </c>
      <c r="S15" s="56">
        <v>1.106</v>
      </c>
      <c r="T15" s="58">
        <v>1.172</v>
      </c>
      <c r="U15" s="28"/>
      <c r="V15" s="29"/>
      <c r="W15" s="77"/>
      <c r="X15" s="44"/>
      <c r="Y15" s="44"/>
      <c r="Z15" s="44"/>
      <c r="AA15" s="44"/>
      <c r="AB15" s="44"/>
      <c r="AC15" s="44"/>
      <c r="AD15" s="44"/>
      <c r="AO15" s="18"/>
      <c r="AQ15" s="29"/>
      <c r="AU15" s="15"/>
    </row>
    <row r="16" spans="1:47" ht="12.75">
      <c r="A16" s="131" t="s">
        <v>105</v>
      </c>
      <c r="B16" s="57">
        <v>-12.08</v>
      </c>
      <c r="C16" s="57">
        <v>1.25</v>
      </c>
      <c r="D16" s="80">
        <v>0.99</v>
      </c>
      <c r="E16" s="28"/>
      <c r="F16" s="28"/>
      <c r="G16" s="131" t="s">
        <v>105</v>
      </c>
      <c r="H16" s="57">
        <v>-7.37</v>
      </c>
      <c r="I16" s="57">
        <v>0.61</v>
      </c>
      <c r="J16" s="80">
        <v>0.54</v>
      </c>
      <c r="K16" s="28"/>
      <c r="L16" s="28"/>
      <c r="M16" s="28"/>
      <c r="N16" s="615" t="s">
        <v>386</v>
      </c>
      <c r="O16" s="616"/>
      <c r="P16" s="616"/>
      <c r="Q16" s="616"/>
      <c r="R16" s="616"/>
      <c r="S16" s="616"/>
      <c r="T16" s="617"/>
      <c r="U16" s="28"/>
      <c r="V16" s="29"/>
      <c r="AD16" s="25"/>
      <c r="AO16" s="19"/>
      <c r="AQ16" s="29"/>
      <c r="AU16" s="29"/>
    </row>
    <row r="17" spans="1:47" ht="13.5" thickBot="1">
      <c r="A17" s="170" t="s">
        <v>108</v>
      </c>
      <c r="B17" s="57">
        <v>-12.76</v>
      </c>
      <c r="C17" s="57">
        <v>1.28</v>
      </c>
      <c r="D17" s="80">
        <v>1.31</v>
      </c>
      <c r="E17" s="28"/>
      <c r="F17" s="28"/>
      <c r="G17" s="170" t="s">
        <v>108</v>
      </c>
      <c r="H17" s="57">
        <v>-8.71</v>
      </c>
      <c r="I17" s="57">
        <v>0.66</v>
      </c>
      <c r="J17" s="80">
        <v>0.28</v>
      </c>
      <c r="K17" s="28"/>
      <c r="L17" s="28"/>
      <c r="M17" s="28"/>
      <c r="N17" s="618" t="s">
        <v>385</v>
      </c>
      <c r="O17" s="619"/>
      <c r="P17" s="57">
        <v>0.81</v>
      </c>
      <c r="Q17" s="57">
        <v>1.1</v>
      </c>
      <c r="R17" s="57">
        <v>0.81</v>
      </c>
      <c r="S17" s="57">
        <v>1.39</v>
      </c>
      <c r="T17" s="80">
        <v>0.1</v>
      </c>
      <c r="U17" s="28"/>
      <c r="V17" s="29"/>
      <c r="W17" s="18"/>
      <c r="X17" s="18"/>
      <c r="Y17" s="18"/>
      <c r="Z17" s="18"/>
      <c r="AD17" s="64"/>
      <c r="AQ17" s="29"/>
      <c r="AU17" s="29"/>
    </row>
    <row r="18" spans="1:42" ht="13.5" thickTop="1">
      <c r="A18" s="131" t="s">
        <v>232</v>
      </c>
      <c r="B18" s="57">
        <v>-10.47</v>
      </c>
      <c r="C18" s="57">
        <v>1.12</v>
      </c>
      <c r="D18" s="80">
        <v>0.62</v>
      </c>
      <c r="E18" s="28"/>
      <c r="F18" s="28"/>
      <c r="G18" s="131" t="s">
        <v>232</v>
      </c>
      <c r="H18" s="57">
        <v>-4.43</v>
      </c>
      <c r="I18" s="57">
        <v>0.35</v>
      </c>
      <c r="J18" s="80">
        <v>0.36</v>
      </c>
      <c r="K18" s="28"/>
      <c r="L18" s="28"/>
      <c r="M18" s="28"/>
      <c r="N18" s="615" t="s">
        <v>387</v>
      </c>
      <c r="O18" s="616"/>
      <c r="P18" s="616"/>
      <c r="Q18" s="616"/>
      <c r="R18" s="616"/>
      <c r="S18" s="616"/>
      <c r="T18" s="617"/>
      <c r="U18" s="28"/>
      <c r="V18" s="29"/>
      <c r="W18" s="592" t="s">
        <v>669</v>
      </c>
      <c r="X18" s="592"/>
      <c r="Y18" s="592"/>
      <c r="Z18" s="592"/>
      <c r="AD18" s="64"/>
      <c r="AO18" s="45"/>
      <c r="AP18" s="29"/>
    </row>
    <row r="19" spans="1:45" ht="13.5" thickBot="1">
      <c r="A19" s="541" t="s">
        <v>283</v>
      </c>
      <c r="B19" s="274"/>
      <c r="C19" s="274"/>
      <c r="D19" s="297"/>
      <c r="E19" s="24"/>
      <c r="F19" s="24"/>
      <c r="G19" s="541" t="s">
        <v>283</v>
      </c>
      <c r="H19" s="274"/>
      <c r="I19" s="274"/>
      <c r="J19" s="297"/>
      <c r="K19" s="24"/>
      <c r="L19" s="24"/>
      <c r="M19" s="24"/>
      <c r="N19" s="618" t="s">
        <v>385</v>
      </c>
      <c r="O19" s="619"/>
      <c r="P19" s="56">
        <v>0.323</v>
      </c>
      <c r="Q19" s="56">
        <v>0.243</v>
      </c>
      <c r="R19" s="56">
        <v>0.342</v>
      </c>
      <c r="S19" s="56">
        <v>0.284</v>
      </c>
      <c r="T19" s="58">
        <v>0.269</v>
      </c>
      <c r="U19" s="24"/>
      <c r="V19" s="29"/>
      <c r="W19" s="646"/>
      <c r="X19" s="646"/>
      <c r="Y19" s="646"/>
      <c r="Z19" s="646"/>
      <c r="AD19" s="29"/>
      <c r="AE19" s="29"/>
      <c r="AF19" s="29"/>
      <c r="AG19" s="29"/>
      <c r="AH19" s="29"/>
      <c r="AP19" s="29"/>
      <c r="AR19" s="141"/>
      <c r="AS19" s="86"/>
    </row>
    <row r="20" spans="1:45" ht="12.75">
      <c r="A20" s="131" t="s">
        <v>218</v>
      </c>
      <c r="B20" s="57">
        <v>-15.62</v>
      </c>
      <c r="C20" s="57">
        <v>1.69</v>
      </c>
      <c r="D20" s="80">
        <v>0.87</v>
      </c>
      <c r="E20" s="28"/>
      <c r="F20" s="28"/>
      <c r="G20" s="131" t="s">
        <v>218</v>
      </c>
      <c r="H20" s="57">
        <v>-6.51</v>
      </c>
      <c r="I20" s="57">
        <v>0.64</v>
      </c>
      <c r="J20" s="80">
        <v>0.87</v>
      </c>
      <c r="K20" s="28"/>
      <c r="L20" s="28"/>
      <c r="M20" s="28"/>
      <c r="N20" s="615" t="s">
        <v>388</v>
      </c>
      <c r="O20" s="616"/>
      <c r="P20" s="616"/>
      <c r="Q20" s="616"/>
      <c r="R20" s="616"/>
      <c r="S20" s="616"/>
      <c r="T20" s="617"/>
      <c r="U20" s="28"/>
      <c r="V20" s="29"/>
      <c r="W20" s="620" t="s">
        <v>241</v>
      </c>
      <c r="X20" s="621"/>
      <c r="Y20" s="621" t="s">
        <v>243</v>
      </c>
      <c r="Z20" s="597"/>
      <c r="AD20" s="45"/>
      <c r="AE20" s="25"/>
      <c r="AF20" s="45"/>
      <c r="AG20" s="29"/>
      <c r="AH20" s="29"/>
      <c r="AP20" s="29"/>
      <c r="AS20" s="86"/>
    </row>
    <row r="21" spans="1:45" ht="15" thickBot="1">
      <c r="A21" s="131" t="s">
        <v>217</v>
      </c>
      <c r="B21" s="57">
        <v>-11.95</v>
      </c>
      <c r="C21" s="57">
        <v>1.33</v>
      </c>
      <c r="D21" s="80">
        <v>0.59</v>
      </c>
      <c r="E21" s="28"/>
      <c r="F21" s="28"/>
      <c r="G21" s="131" t="s">
        <v>217</v>
      </c>
      <c r="H21" s="57">
        <v>-6.29</v>
      </c>
      <c r="I21" s="57">
        <v>0.56</v>
      </c>
      <c r="J21" s="80">
        <v>1.93</v>
      </c>
      <c r="K21" s="28"/>
      <c r="L21" s="28"/>
      <c r="M21" s="28"/>
      <c r="N21" s="673" t="s">
        <v>385</v>
      </c>
      <c r="O21" s="674"/>
      <c r="P21" s="63">
        <v>0.677</v>
      </c>
      <c r="Q21" s="63">
        <v>0.757</v>
      </c>
      <c r="R21" s="63">
        <v>0.658</v>
      </c>
      <c r="S21" s="63">
        <v>0.716</v>
      </c>
      <c r="T21" s="126">
        <v>0.731</v>
      </c>
      <c r="U21" s="28"/>
      <c r="V21" s="29"/>
      <c r="W21" s="641" t="s">
        <v>242</v>
      </c>
      <c r="X21" s="642"/>
      <c r="Y21" s="642" t="s">
        <v>244</v>
      </c>
      <c r="Z21" s="645"/>
      <c r="AD21" s="25"/>
      <c r="AE21" s="25"/>
      <c r="AF21" s="29"/>
      <c r="AG21" s="29"/>
      <c r="AH21" s="29"/>
      <c r="AP21" s="29"/>
      <c r="AS21" s="86"/>
    </row>
    <row r="22" spans="1:45" ht="12.75">
      <c r="A22" s="131" t="s">
        <v>105</v>
      </c>
      <c r="B22" s="57">
        <v>-12.53</v>
      </c>
      <c r="C22" s="57">
        <v>1.38</v>
      </c>
      <c r="D22" s="80">
        <v>1.08</v>
      </c>
      <c r="E22" s="28"/>
      <c r="F22" s="28"/>
      <c r="G22" s="131" t="s">
        <v>105</v>
      </c>
      <c r="H22" s="57">
        <v>-8.5</v>
      </c>
      <c r="I22" s="57">
        <v>0.84</v>
      </c>
      <c r="J22" s="80">
        <v>0.97</v>
      </c>
      <c r="K22" s="28"/>
      <c r="L22" s="28"/>
      <c r="M22" s="28"/>
      <c r="N22" s="671" t="s">
        <v>390</v>
      </c>
      <c r="O22" s="671"/>
      <c r="P22" s="671"/>
      <c r="Q22" s="671"/>
      <c r="R22" s="671"/>
      <c r="S22" s="671"/>
      <c r="T22" s="671"/>
      <c r="U22" s="28"/>
      <c r="V22" s="29"/>
      <c r="W22" s="588">
        <v>2</v>
      </c>
      <c r="X22" s="589"/>
      <c r="Y22" s="589">
        <v>0.232</v>
      </c>
      <c r="Z22" s="597"/>
      <c r="AD22" s="29"/>
      <c r="AE22" s="29"/>
      <c r="AF22" s="29"/>
      <c r="AG22" s="29"/>
      <c r="AH22" s="29"/>
      <c r="AP22" s="29"/>
      <c r="AS22" s="86"/>
    </row>
    <row r="23" spans="1:45" ht="12.75">
      <c r="A23" s="170" t="s">
        <v>108</v>
      </c>
      <c r="B23" s="57">
        <v>-12.81</v>
      </c>
      <c r="C23" s="57">
        <v>1.38</v>
      </c>
      <c r="D23" s="80">
        <v>1.34</v>
      </c>
      <c r="E23" s="28"/>
      <c r="F23" s="28"/>
      <c r="G23" s="170" t="s">
        <v>108</v>
      </c>
      <c r="H23" s="57">
        <v>-5.04</v>
      </c>
      <c r="I23" s="57">
        <v>0.45</v>
      </c>
      <c r="J23" s="80">
        <v>1.06</v>
      </c>
      <c r="K23" s="28"/>
      <c r="L23" s="28"/>
      <c r="M23" s="28"/>
      <c r="N23" s="672"/>
      <c r="O23" s="672"/>
      <c r="P23" s="672"/>
      <c r="Q23" s="672"/>
      <c r="R23" s="672"/>
      <c r="S23" s="672"/>
      <c r="T23" s="672"/>
      <c r="U23" s="28"/>
      <c r="V23" s="29"/>
      <c r="W23" s="590">
        <v>5</v>
      </c>
      <c r="X23" s="591"/>
      <c r="Y23" s="591">
        <v>0.133</v>
      </c>
      <c r="Z23" s="598"/>
      <c r="AD23" s="40"/>
      <c r="AE23" s="40"/>
      <c r="AF23" s="40"/>
      <c r="AG23" s="37"/>
      <c r="AH23" s="29"/>
      <c r="AP23" s="29"/>
      <c r="AS23" s="86"/>
    </row>
    <row r="24" spans="1:45" ht="13.5" thickBot="1">
      <c r="A24" s="135" t="s">
        <v>232</v>
      </c>
      <c r="B24" s="14">
        <v>-9.97</v>
      </c>
      <c r="C24" s="14">
        <v>1.17</v>
      </c>
      <c r="D24" s="124">
        <v>0.88</v>
      </c>
      <c r="E24" s="28"/>
      <c r="F24" s="28"/>
      <c r="G24" s="135" t="s">
        <v>232</v>
      </c>
      <c r="H24" s="14">
        <v>-5.83</v>
      </c>
      <c r="I24" s="14">
        <v>0.61</v>
      </c>
      <c r="J24" s="124">
        <v>0.55</v>
      </c>
      <c r="K24" s="28"/>
      <c r="L24" s="28"/>
      <c r="M24" s="28"/>
      <c r="N24" s="158"/>
      <c r="O24" s="158"/>
      <c r="P24" s="158"/>
      <c r="Q24" s="158"/>
      <c r="R24" s="158"/>
      <c r="S24" s="158"/>
      <c r="T24" s="158"/>
      <c r="U24" s="28"/>
      <c r="V24" s="29"/>
      <c r="W24" s="590">
        <v>10</v>
      </c>
      <c r="X24" s="591"/>
      <c r="Y24" s="591">
        <v>0.087</v>
      </c>
      <c r="Z24" s="598"/>
      <c r="AD24" s="37"/>
      <c r="AE24" s="37"/>
      <c r="AF24" s="37"/>
      <c r="AG24" s="37"/>
      <c r="AH24" s="29"/>
      <c r="AP24" s="29"/>
      <c r="AS24" s="86"/>
    </row>
    <row r="25" spans="1:4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8"/>
      <c r="O25" s="158"/>
      <c r="P25" s="158"/>
      <c r="Q25" s="158"/>
      <c r="R25" s="158"/>
      <c r="S25" s="158"/>
      <c r="T25" s="158"/>
      <c r="U25" s="25"/>
      <c r="V25" s="29"/>
      <c r="W25" s="590">
        <v>15</v>
      </c>
      <c r="X25" s="591"/>
      <c r="Y25" s="591">
        <v>0.068</v>
      </c>
      <c r="Z25" s="598"/>
      <c r="AD25" s="34"/>
      <c r="AE25" s="34"/>
      <c r="AF25" s="34"/>
      <c r="AG25" s="34"/>
      <c r="AH25" s="29"/>
      <c r="AP25" s="29"/>
    </row>
    <row r="26" spans="1:42" ht="12.75">
      <c r="A26" s="116" t="s">
        <v>517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58"/>
      <c r="O26" s="158"/>
      <c r="P26" s="158"/>
      <c r="Q26" s="158"/>
      <c r="R26" s="158"/>
      <c r="S26" s="158"/>
      <c r="T26" s="158"/>
      <c r="U26" s="25"/>
      <c r="V26" s="29"/>
      <c r="W26" s="590">
        <v>20</v>
      </c>
      <c r="X26" s="591"/>
      <c r="Y26" s="591">
        <v>0.057</v>
      </c>
      <c r="Z26" s="598"/>
      <c r="AD26" s="34"/>
      <c r="AE26" s="34"/>
      <c r="AF26" s="34"/>
      <c r="AG26" s="34"/>
      <c r="AH26" s="29"/>
      <c r="AP26" s="29"/>
    </row>
    <row r="27" spans="1:42" ht="13.5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58"/>
      <c r="O27" s="158"/>
      <c r="P27" s="158"/>
      <c r="Q27" s="158"/>
      <c r="R27" s="158"/>
      <c r="S27" s="158"/>
      <c r="T27" s="158"/>
      <c r="U27" s="29"/>
      <c r="V27" s="29"/>
      <c r="W27" s="590">
        <v>25</v>
      </c>
      <c r="X27" s="591"/>
      <c r="Y27" s="591">
        <v>0.049</v>
      </c>
      <c r="Z27" s="598"/>
      <c r="AD27" s="34"/>
      <c r="AE27" s="34"/>
      <c r="AF27" s="34"/>
      <c r="AG27" s="34"/>
      <c r="AH27" s="29"/>
      <c r="AP27" s="29"/>
    </row>
    <row r="28" spans="1:42" ht="14.25" thickBot="1" thickTop="1">
      <c r="A28" s="560" t="s">
        <v>655</v>
      </c>
      <c r="B28" s="560"/>
      <c r="C28" s="560"/>
      <c r="D28" s="560"/>
      <c r="E28" s="560"/>
      <c r="F28" s="560"/>
      <c r="G28" s="560"/>
      <c r="H28" s="560"/>
      <c r="I28" s="560"/>
      <c r="J28" s="602"/>
      <c r="K28" s="602"/>
      <c r="L28" s="603"/>
      <c r="M28" s="15"/>
      <c r="N28" s="29"/>
      <c r="O28" s="29"/>
      <c r="P28" s="29"/>
      <c r="Q28" s="29"/>
      <c r="R28" s="29"/>
      <c r="S28" s="29"/>
      <c r="T28" s="29"/>
      <c r="U28" s="10"/>
      <c r="V28" s="29"/>
      <c r="W28" s="608" t="s">
        <v>247</v>
      </c>
      <c r="X28" s="606"/>
      <c r="Y28" s="606">
        <v>0.044</v>
      </c>
      <c r="Z28" s="607"/>
      <c r="AD28" s="34"/>
      <c r="AE28" s="34"/>
      <c r="AF28" s="34"/>
      <c r="AG28" s="34"/>
      <c r="AH28" s="29"/>
      <c r="AP28" s="29"/>
    </row>
    <row r="29" spans="1:42" ht="13.5" thickBot="1">
      <c r="A29" s="570"/>
      <c r="B29" s="570"/>
      <c r="C29" s="570"/>
      <c r="D29" s="570"/>
      <c r="E29" s="570"/>
      <c r="F29" s="570"/>
      <c r="G29" s="570"/>
      <c r="H29" s="570"/>
      <c r="I29" s="570"/>
      <c r="J29" s="604"/>
      <c r="K29" s="604"/>
      <c r="L29" s="605"/>
      <c r="M29" s="15"/>
      <c r="N29" s="29"/>
      <c r="O29" s="29"/>
      <c r="P29" s="29"/>
      <c r="Q29" s="29"/>
      <c r="R29" s="29"/>
      <c r="S29" s="29"/>
      <c r="T29" s="29"/>
      <c r="U29" s="10"/>
      <c r="V29" s="29"/>
      <c r="W29" s="609" t="s">
        <v>398</v>
      </c>
      <c r="X29" s="610"/>
      <c r="Y29" s="610"/>
      <c r="Z29" s="610"/>
      <c r="AA29" s="34"/>
      <c r="AB29" s="34"/>
      <c r="AC29" s="34"/>
      <c r="AD29" s="34"/>
      <c r="AE29" s="34"/>
      <c r="AF29" s="34"/>
      <c r="AG29" s="34"/>
      <c r="AH29" s="29"/>
      <c r="AP29" s="29"/>
    </row>
    <row r="30" spans="1:42" ht="12.75">
      <c r="A30" s="552" t="s">
        <v>72</v>
      </c>
      <c r="B30" s="555" t="s">
        <v>70</v>
      </c>
      <c r="C30" s="661" t="s">
        <v>296</v>
      </c>
      <c r="D30" s="662"/>
      <c r="E30" s="662"/>
      <c r="F30" s="662"/>
      <c r="G30" s="662"/>
      <c r="H30" s="662"/>
      <c r="I30" s="662"/>
      <c r="J30" s="662"/>
      <c r="K30" s="662"/>
      <c r="L30" s="663"/>
      <c r="M30" s="24"/>
      <c r="N30" s="25"/>
      <c r="O30" s="25"/>
      <c r="P30" s="25"/>
      <c r="Q30" s="25"/>
      <c r="R30" s="25"/>
      <c r="S30" s="25"/>
      <c r="T30" s="25"/>
      <c r="U30" s="158"/>
      <c r="V30" s="29"/>
      <c r="W30" s="437"/>
      <c r="X30" s="437"/>
      <c r="Y30" s="437"/>
      <c r="Z30" s="437"/>
      <c r="AP30" s="29"/>
    </row>
    <row r="31" spans="1:42" ht="12.75">
      <c r="A31" s="659"/>
      <c r="B31" s="660"/>
      <c r="C31" s="545" t="s">
        <v>49</v>
      </c>
      <c r="D31" s="274"/>
      <c r="E31" s="274"/>
      <c r="F31" s="274"/>
      <c r="G31" s="274"/>
      <c r="H31" s="274"/>
      <c r="I31" s="274"/>
      <c r="J31" s="274"/>
      <c r="K31" s="274"/>
      <c r="L31" s="297"/>
      <c r="M31" s="24"/>
      <c r="N31" s="25"/>
      <c r="O31" s="25"/>
      <c r="P31" s="25"/>
      <c r="Q31" s="25"/>
      <c r="R31" s="25"/>
      <c r="S31" s="25"/>
      <c r="T31" s="25"/>
      <c r="U31" s="36"/>
      <c r="V31" s="29"/>
      <c r="W31" s="574" t="s">
        <v>399</v>
      </c>
      <c r="X31" s="575"/>
      <c r="Y31" s="575"/>
      <c r="Z31" s="575"/>
      <c r="AJ31" s="154"/>
      <c r="AO31" s="25"/>
      <c r="AP31" s="29"/>
    </row>
    <row r="32" spans="1:42" ht="13.5" thickBot="1">
      <c r="A32" s="664" t="s">
        <v>52</v>
      </c>
      <c r="B32" s="665"/>
      <c r="C32" s="511" t="s">
        <v>218</v>
      </c>
      <c r="D32" s="510"/>
      <c r="E32" s="545" t="s">
        <v>217</v>
      </c>
      <c r="F32" s="490"/>
      <c r="G32" s="545" t="s">
        <v>105</v>
      </c>
      <c r="H32" s="490"/>
      <c r="I32" s="545" t="s">
        <v>108</v>
      </c>
      <c r="J32" s="545"/>
      <c r="K32" s="545" t="s">
        <v>232</v>
      </c>
      <c r="L32" s="511"/>
      <c r="M32" s="136"/>
      <c r="N32" s="45"/>
      <c r="O32" s="45"/>
      <c r="P32" s="45"/>
      <c r="Q32" s="45"/>
      <c r="R32" s="45"/>
      <c r="S32" s="45"/>
      <c r="T32" s="45"/>
      <c r="U32" s="29"/>
      <c r="V32" s="29"/>
      <c r="W32" s="576"/>
      <c r="X32" s="576"/>
      <c r="Y32" s="576"/>
      <c r="Z32" s="576"/>
      <c r="AJ32" s="154"/>
      <c r="AO32" s="25"/>
      <c r="AP32" s="29"/>
    </row>
    <row r="33" spans="1:42" ht="12.75">
      <c r="A33" s="666"/>
      <c r="B33" s="667"/>
      <c r="C33" s="132" t="s">
        <v>297</v>
      </c>
      <c r="D33" s="121" t="s">
        <v>98</v>
      </c>
      <c r="E33" s="132" t="s">
        <v>297</v>
      </c>
      <c r="F33" s="121" t="s">
        <v>98</v>
      </c>
      <c r="G33" s="132" t="s">
        <v>297</v>
      </c>
      <c r="H33" s="121" t="s">
        <v>98</v>
      </c>
      <c r="I33" s="132" t="s">
        <v>297</v>
      </c>
      <c r="J33" s="121" t="s">
        <v>98</v>
      </c>
      <c r="K33" s="132" t="s">
        <v>297</v>
      </c>
      <c r="L33" s="174" t="s">
        <v>98</v>
      </c>
      <c r="M33" s="161"/>
      <c r="N33" s="161"/>
      <c r="O33" s="161"/>
      <c r="P33" s="161"/>
      <c r="Q33" s="161"/>
      <c r="R33" s="161"/>
      <c r="S33" s="161"/>
      <c r="T33" s="161"/>
      <c r="U33" s="139"/>
      <c r="V33" s="29"/>
      <c r="W33" s="54"/>
      <c r="X33" s="54"/>
      <c r="Y33" s="28"/>
      <c r="Z33" s="25"/>
      <c r="AJ33" s="46"/>
      <c r="AO33" s="134"/>
      <c r="AP33" s="29"/>
    </row>
    <row r="34" spans="1:42" ht="12.75">
      <c r="A34" s="577" t="s">
        <v>42</v>
      </c>
      <c r="B34" s="368"/>
      <c r="C34" s="129">
        <v>0.73</v>
      </c>
      <c r="D34" s="129">
        <v>0.778</v>
      </c>
      <c r="E34" s="129">
        <v>0.845</v>
      </c>
      <c r="F34" s="129">
        <v>0.842</v>
      </c>
      <c r="G34" s="129">
        <v>0.511</v>
      </c>
      <c r="H34" s="129">
        <v>0.506</v>
      </c>
      <c r="I34" s="129">
        <v>0.832</v>
      </c>
      <c r="J34" s="129">
        <v>0.662</v>
      </c>
      <c r="K34" s="129">
        <v>0.846</v>
      </c>
      <c r="L34" s="130">
        <v>0.651</v>
      </c>
      <c r="M34" s="181"/>
      <c r="N34" s="181"/>
      <c r="O34" s="181"/>
      <c r="P34" s="181"/>
      <c r="Q34" s="181"/>
      <c r="R34" s="181"/>
      <c r="S34" s="181"/>
      <c r="T34" s="181"/>
      <c r="U34" s="139"/>
      <c r="V34" s="29"/>
      <c r="AJ34" s="191"/>
      <c r="AN34" s="134"/>
      <c r="AO34" s="134"/>
      <c r="AP34" s="29"/>
    </row>
    <row r="35" spans="1:47" ht="13.5" thickBot="1">
      <c r="A35" s="601" t="s">
        <v>41</v>
      </c>
      <c r="B35" s="368"/>
      <c r="C35" s="56">
        <v>0.068</v>
      </c>
      <c r="D35" s="56">
        <v>0.004</v>
      </c>
      <c r="E35" s="56">
        <v>0.034</v>
      </c>
      <c r="F35" s="56">
        <v>0.02</v>
      </c>
      <c r="G35" s="56">
        <v>0.077</v>
      </c>
      <c r="H35" s="56">
        <v>0.004</v>
      </c>
      <c r="I35" s="56">
        <v>0.02</v>
      </c>
      <c r="J35" s="56">
        <v>0.007</v>
      </c>
      <c r="K35" s="56">
        <v>0.021</v>
      </c>
      <c r="L35" s="58">
        <v>0.004</v>
      </c>
      <c r="M35" s="34"/>
      <c r="N35" s="34"/>
      <c r="O35" s="34"/>
      <c r="P35" s="34"/>
      <c r="Q35" s="34"/>
      <c r="R35" s="34"/>
      <c r="S35" s="34"/>
      <c r="T35" s="34"/>
      <c r="U35" s="29"/>
      <c r="V35" s="29"/>
      <c r="AJ35" s="191"/>
      <c r="AN35" s="29"/>
      <c r="AO35" s="29"/>
      <c r="AP35" s="29"/>
      <c r="AQ35" s="29"/>
      <c r="AR35" s="29"/>
      <c r="AS35" s="29"/>
      <c r="AT35" s="29"/>
      <c r="AU35" s="29"/>
    </row>
    <row r="36" spans="1:47" ht="13.5" thickTop="1">
      <c r="A36" s="601" t="s">
        <v>40</v>
      </c>
      <c r="B36" s="368"/>
      <c r="C36" s="56">
        <v>0.085</v>
      </c>
      <c r="D36" s="56">
        <v>0.079</v>
      </c>
      <c r="E36" s="56">
        <v>0.069</v>
      </c>
      <c r="F36" s="56">
        <v>0.02</v>
      </c>
      <c r="G36" s="56">
        <v>0.181</v>
      </c>
      <c r="H36" s="56">
        <v>0.13</v>
      </c>
      <c r="I36" s="56">
        <v>0.04</v>
      </c>
      <c r="J36" s="56">
        <v>0.036</v>
      </c>
      <c r="K36" s="56">
        <v>0.05</v>
      </c>
      <c r="L36" s="58">
        <v>0.059</v>
      </c>
      <c r="M36" s="34"/>
      <c r="N36" s="34"/>
      <c r="O36" s="34"/>
      <c r="P36" s="34"/>
      <c r="Q36" s="34"/>
      <c r="R36" s="34"/>
      <c r="S36" s="34"/>
      <c r="T36" s="34"/>
      <c r="U36" s="29"/>
      <c r="V36" s="29"/>
      <c r="W36" s="560" t="s">
        <v>671</v>
      </c>
      <c r="X36" s="561"/>
      <c r="Y36" s="561"/>
      <c r="AJ36" s="25"/>
      <c r="AN36" s="45"/>
      <c r="AO36" s="45"/>
      <c r="AP36" s="45"/>
      <c r="AQ36" s="45"/>
      <c r="AR36" s="45"/>
      <c r="AS36" s="45"/>
      <c r="AT36" s="45"/>
      <c r="AU36" s="45"/>
    </row>
    <row r="37" spans="1:47" ht="12.75">
      <c r="A37" s="601" t="s">
        <v>294</v>
      </c>
      <c r="B37" s="368"/>
      <c r="C37" s="56">
        <v>0.015</v>
      </c>
      <c r="D37" s="56">
        <v>0.031</v>
      </c>
      <c r="E37" s="56">
        <v>0.001</v>
      </c>
      <c r="F37" s="56">
        <v>0.078</v>
      </c>
      <c r="G37" s="56">
        <v>0.093</v>
      </c>
      <c r="H37" s="56">
        <v>0.249</v>
      </c>
      <c r="I37" s="56">
        <v>0.05</v>
      </c>
      <c r="J37" s="56">
        <v>0.223</v>
      </c>
      <c r="K37" s="56">
        <v>0.061</v>
      </c>
      <c r="L37" s="58">
        <v>0.248</v>
      </c>
      <c r="M37" s="34"/>
      <c r="N37" s="34"/>
      <c r="O37" s="34"/>
      <c r="P37" s="34"/>
      <c r="Q37" s="34"/>
      <c r="R37" s="34"/>
      <c r="S37" s="34"/>
      <c r="T37" s="34"/>
      <c r="U37" s="25"/>
      <c r="V37" s="29"/>
      <c r="W37" s="611"/>
      <c r="X37" s="611"/>
      <c r="Y37" s="611"/>
      <c r="AJ37" s="34"/>
      <c r="AN37" s="25"/>
      <c r="AO37" s="25"/>
      <c r="AP37" s="25"/>
      <c r="AQ37" s="25"/>
      <c r="AR37" s="45"/>
      <c r="AS37" s="25"/>
      <c r="AT37" s="25"/>
      <c r="AU37" s="25"/>
    </row>
    <row r="38" spans="1:47" ht="12.75">
      <c r="A38" s="601" t="s">
        <v>295</v>
      </c>
      <c r="B38" s="368"/>
      <c r="C38" s="56">
        <v>0.073</v>
      </c>
      <c r="D38" s="56">
        <v>0.055</v>
      </c>
      <c r="E38" s="56">
        <v>0.017</v>
      </c>
      <c r="F38" s="56">
        <v>0.02</v>
      </c>
      <c r="G38" s="56">
        <v>0.082</v>
      </c>
      <c r="H38" s="56">
        <v>0.031</v>
      </c>
      <c r="I38" s="56">
        <v>0.01</v>
      </c>
      <c r="J38" s="56">
        <v>0.001</v>
      </c>
      <c r="K38" s="56">
        <v>0.004</v>
      </c>
      <c r="L38" s="58">
        <v>0.009</v>
      </c>
      <c r="M38" s="34"/>
      <c r="N38" s="34"/>
      <c r="O38" s="34"/>
      <c r="P38" s="34"/>
      <c r="Q38" s="34"/>
      <c r="R38" s="34"/>
      <c r="S38" s="34"/>
      <c r="T38" s="34"/>
      <c r="U38" s="158"/>
      <c r="V38" s="29"/>
      <c r="W38" s="611"/>
      <c r="X38" s="611"/>
      <c r="Y38" s="611"/>
      <c r="AJ38" s="34"/>
      <c r="AN38" s="45"/>
      <c r="AO38" s="45"/>
      <c r="AP38" s="45"/>
      <c r="AQ38" s="29"/>
      <c r="AR38" s="45"/>
      <c r="AS38" s="45"/>
      <c r="AT38" s="45"/>
      <c r="AU38" s="45"/>
    </row>
    <row r="39" spans="1:47" ht="13.5" thickBot="1">
      <c r="A39" s="601" t="s">
        <v>299</v>
      </c>
      <c r="B39" s="299"/>
      <c r="C39" s="56">
        <v>0.029</v>
      </c>
      <c r="D39" s="56">
        <v>0.053</v>
      </c>
      <c r="E39" s="56">
        <v>0.034</v>
      </c>
      <c r="F39" s="56">
        <v>0.02</v>
      </c>
      <c r="G39" s="56">
        <v>0.056</v>
      </c>
      <c r="H39" s="56">
        <v>0.08</v>
      </c>
      <c r="I39" s="56">
        <v>0.048</v>
      </c>
      <c r="J39" s="56">
        <v>0.071</v>
      </c>
      <c r="K39" s="56">
        <v>0.018</v>
      </c>
      <c r="L39" s="58">
        <v>0.029</v>
      </c>
      <c r="M39" s="34"/>
      <c r="N39" s="34"/>
      <c r="O39" s="34"/>
      <c r="P39" s="34"/>
      <c r="Q39" s="34"/>
      <c r="R39" s="34"/>
      <c r="S39" s="34"/>
      <c r="T39" s="34"/>
      <c r="U39" s="158"/>
      <c r="V39" s="158"/>
      <c r="W39" s="562"/>
      <c r="X39" s="562"/>
      <c r="Y39" s="562"/>
      <c r="AJ39" s="34"/>
      <c r="AK39" s="29"/>
      <c r="AL39" s="45"/>
      <c r="AM39" s="45"/>
      <c r="AN39" s="45"/>
      <c r="AO39" s="45"/>
      <c r="AP39" s="45"/>
      <c r="AQ39" s="29"/>
      <c r="AR39" s="45"/>
      <c r="AS39" s="45"/>
      <c r="AT39" s="45"/>
      <c r="AU39" s="45"/>
    </row>
    <row r="40" spans="1:47" ht="13.5" thickBot="1">
      <c r="A40" s="175" t="s">
        <v>298</v>
      </c>
      <c r="B40" s="176"/>
      <c r="C40" s="171"/>
      <c r="D40" s="171"/>
      <c r="E40" s="171"/>
      <c r="F40" s="171"/>
      <c r="G40" s="171"/>
      <c r="H40" s="171"/>
      <c r="I40" s="171"/>
      <c r="J40" s="171"/>
      <c r="K40" s="171"/>
      <c r="L40" s="172"/>
      <c r="M40" s="10"/>
      <c r="N40" s="10"/>
      <c r="O40" s="10"/>
      <c r="P40" s="10"/>
      <c r="Q40" s="10"/>
      <c r="R40" s="10"/>
      <c r="S40" s="10"/>
      <c r="T40" s="10"/>
      <c r="U40" s="158"/>
      <c r="V40" s="158"/>
      <c r="W40" s="612" t="s">
        <v>250</v>
      </c>
      <c r="X40" s="612"/>
      <c r="Y40" s="136" t="s">
        <v>107</v>
      </c>
      <c r="AJ40" s="34"/>
      <c r="AK40" s="29"/>
      <c r="AL40" s="45"/>
      <c r="AM40" s="45"/>
      <c r="AN40" s="45"/>
      <c r="AO40" s="45"/>
      <c r="AP40" s="46"/>
      <c r="AQ40" s="29"/>
      <c r="AR40" s="45"/>
      <c r="AS40" s="45"/>
      <c r="AT40" s="45"/>
      <c r="AU40" s="45"/>
    </row>
    <row r="41" spans="1:47" ht="12.75">
      <c r="A41" s="668" t="s">
        <v>52</v>
      </c>
      <c r="B41" s="306"/>
      <c r="C41" s="545" t="s">
        <v>719</v>
      </c>
      <c r="D41" s="274"/>
      <c r="E41" s="274"/>
      <c r="F41" s="274"/>
      <c r="G41" s="274"/>
      <c r="H41" s="274"/>
      <c r="I41" s="274"/>
      <c r="J41" s="274"/>
      <c r="K41" s="274"/>
      <c r="L41" s="297"/>
      <c r="M41" s="25"/>
      <c r="N41" s="25"/>
      <c r="O41" s="25"/>
      <c r="P41" s="25"/>
      <c r="Q41" s="25"/>
      <c r="R41" s="25"/>
      <c r="S41" s="25"/>
      <c r="T41" s="25"/>
      <c r="U41" s="29"/>
      <c r="V41" s="28"/>
      <c r="W41" s="613">
        <v>10</v>
      </c>
      <c r="X41" s="281"/>
      <c r="Y41" s="143">
        <v>1.01</v>
      </c>
      <c r="AJ41" s="34"/>
      <c r="AK41" s="32"/>
      <c r="AL41" s="25"/>
      <c r="AM41" s="25"/>
      <c r="AN41" s="25"/>
      <c r="AO41" s="32"/>
      <c r="AP41" s="30"/>
      <c r="AQ41" s="29"/>
      <c r="AR41" s="25"/>
      <c r="AS41" s="25"/>
      <c r="AT41" s="25"/>
      <c r="AU41" s="32"/>
    </row>
    <row r="42" spans="1:47" ht="12.75">
      <c r="A42" s="309"/>
      <c r="B42" s="308"/>
      <c r="C42" s="490" t="s">
        <v>218</v>
      </c>
      <c r="D42" s="490"/>
      <c r="E42" s="545" t="s">
        <v>217</v>
      </c>
      <c r="F42" s="490"/>
      <c r="G42" s="545" t="s">
        <v>105</v>
      </c>
      <c r="H42" s="490"/>
      <c r="I42" s="545" t="s">
        <v>108</v>
      </c>
      <c r="J42" s="545"/>
      <c r="K42" s="545" t="s">
        <v>232</v>
      </c>
      <c r="L42" s="511"/>
      <c r="M42" s="45"/>
      <c r="N42" s="45"/>
      <c r="O42" s="45"/>
      <c r="P42" s="45"/>
      <c r="Q42" s="45"/>
      <c r="R42" s="45"/>
      <c r="S42" s="45"/>
      <c r="T42" s="45"/>
      <c r="U42" s="38"/>
      <c r="V42" s="158"/>
      <c r="W42" s="578">
        <v>15</v>
      </c>
      <c r="X42" s="295"/>
      <c r="Y42" s="13">
        <v>1</v>
      </c>
      <c r="AJ42" s="158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2.75">
      <c r="A43" s="344"/>
      <c r="B43" s="669"/>
      <c r="C43" s="132" t="s">
        <v>297</v>
      </c>
      <c r="D43" s="121" t="s">
        <v>98</v>
      </c>
      <c r="E43" s="132" t="s">
        <v>297</v>
      </c>
      <c r="F43" s="121" t="s">
        <v>98</v>
      </c>
      <c r="G43" s="132" t="s">
        <v>297</v>
      </c>
      <c r="H43" s="121" t="s">
        <v>98</v>
      </c>
      <c r="I43" s="132" t="s">
        <v>297</v>
      </c>
      <c r="J43" s="121" t="s">
        <v>98</v>
      </c>
      <c r="K43" s="132" t="s">
        <v>297</v>
      </c>
      <c r="L43" s="174" t="s">
        <v>98</v>
      </c>
      <c r="M43" s="161"/>
      <c r="N43" s="161"/>
      <c r="O43" s="161"/>
      <c r="P43" s="161"/>
      <c r="Q43" s="161"/>
      <c r="R43" s="161"/>
      <c r="S43" s="161"/>
      <c r="T43" s="161"/>
      <c r="U43" s="161"/>
      <c r="V43" s="158"/>
      <c r="W43" s="578">
        <v>20</v>
      </c>
      <c r="X43" s="295"/>
      <c r="Y43" s="13">
        <v>0.99</v>
      </c>
      <c r="AJ43" s="15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25" ht="12.75">
      <c r="A44" s="577" t="s">
        <v>42</v>
      </c>
      <c r="B44" s="368"/>
      <c r="C44" s="227">
        <v>0.709</v>
      </c>
      <c r="D44" s="227">
        <v>0.68</v>
      </c>
      <c r="E44" s="227">
        <v>0.818</v>
      </c>
      <c r="F44" s="227">
        <v>0.636</v>
      </c>
      <c r="G44" s="227">
        <v>0.658</v>
      </c>
      <c r="H44" s="227">
        <v>0.548</v>
      </c>
      <c r="I44" s="227">
        <v>0.783</v>
      </c>
      <c r="J44" s="227">
        <v>0.646</v>
      </c>
      <c r="K44" s="227">
        <v>0.606</v>
      </c>
      <c r="L44" s="228">
        <v>0.524</v>
      </c>
      <c r="M44" s="182"/>
      <c r="N44" s="182"/>
      <c r="O44" s="182"/>
      <c r="P44" s="182"/>
      <c r="Q44" s="182"/>
      <c r="R44" s="182"/>
      <c r="S44" s="182"/>
      <c r="T44" s="182"/>
      <c r="U44" s="161"/>
      <c r="V44" s="158"/>
      <c r="W44" s="578">
        <v>30</v>
      </c>
      <c r="X44" s="295"/>
      <c r="Y44" s="13">
        <v>0.98</v>
      </c>
    </row>
    <row r="45" spans="1:25" ht="12.75">
      <c r="A45" s="601" t="s">
        <v>41</v>
      </c>
      <c r="B45" s="368"/>
      <c r="C45" s="227">
        <v>0.029</v>
      </c>
      <c r="D45" s="227">
        <v>0.009</v>
      </c>
      <c r="E45" s="227">
        <v>0.016</v>
      </c>
      <c r="F45" s="227">
        <v>0.004</v>
      </c>
      <c r="G45" s="227">
        <v>0.029</v>
      </c>
      <c r="H45" s="227">
        <v>0.004</v>
      </c>
      <c r="I45" s="227">
        <v>0.006</v>
      </c>
      <c r="J45" s="227">
        <v>0</v>
      </c>
      <c r="K45" s="227">
        <v>0.018</v>
      </c>
      <c r="L45" s="228">
        <v>0.011</v>
      </c>
      <c r="M45" s="182"/>
      <c r="N45" s="182"/>
      <c r="O45" s="182"/>
      <c r="P45" s="182"/>
      <c r="Q45" s="182"/>
      <c r="R45" s="182"/>
      <c r="S45" s="182"/>
      <c r="T45" s="182"/>
      <c r="U45" s="162"/>
      <c r="V45" s="158"/>
      <c r="W45" s="578">
        <v>40</v>
      </c>
      <c r="X45" s="295"/>
      <c r="Y45" s="13">
        <v>0.97</v>
      </c>
    </row>
    <row r="46" spans="1:25" ht="12.75">
      <c r="A46" s="601" t="s">
        <v>40</v>
      </c>
      <c r="B46" s="368"/>
      <c r="C46" s="227">
        <v>0.013</v>
      </c>
      <c r="D46" s="227">
        <v>0.049</v>
      </c>
      <c r="E46" s="227">
        <v>0</v>
      </c>
      <c r="F46" s="227">
        <v>0.025</v>
      </c>
      <c r="G46" s="227">
        <v>0.015</v>
      </c>
      <c r="H46" s="227">
        <v>0.016</v>
      </c>
      <c r="I46" s="227">
        <v>0.019</v>
      </c>
      <c r="J46" s="227">
        <v>0.008</v>
      </c>
      <c r="K46" s="227">
        <v>0.02</v>
      </c>
      <c r="L46" s="228">
        <v>0.015</v>
      </c>
      <c r="M46" s="182"/>
      <c r="N46" s="182"/>
      <c r="O46" s="182"/>
      <c r="P46" s="182"/>
      <c r="Q46" s="182"/>
      <c r="R46" s="182"/>
      <c r="S46" s="182"/>
      <c r="T46" s="182"/>
      <c r="U46" s="163"/>
      <c r="V46" s="158"/>
      <c r="W46" s="578">
        <v>50</v>
      </c>
      <c r="X46" s="295"/>
      <c r="Y46" s="13">
        <v>0.96</v>
      </c>
    </row>
    <row r="47" spans="1:25" ht="12.75">
      <c r="A47" s="601" t="s">
        <v>294</v>
      </c>
      <c r="B47" s="368"/>
      <c r="C47" s="229">
        <v>0.01</v>
      </c>
      <c r="D47" s="229">
        <v>0.037</v>
      </c>
      <c r="E47" s="229">
        <v>0</v>
      </c>
      <c r="F47" s="229">
        <v>0.075</v>
      </c>
      <c r="G47" s="229">
        <v>0.06</v>
      </c>
      <c r="H47" s="229">
        <v>0.205</v>
      </c>
      <c r="I47" s="229">
        <v>0.038</v>
      </c>
      <c r="J47" s="229">
        <v>0.142</v>
      </c>
      <c r="K47" s="229">
        <v>0.053</v>
      </c>
      <c r="L47" s="230">
        <v>0.156</v>
      </c>
      <c r="M47" s="49"/>
      <c r="N47" s="49"/>
      <c r="O47" s="49"/>
      <c r="P47" s="49"/>
      <c r="Q47" s="49"/>
      <c r="R47" s="49"/>
      <c r="S47" s="49"/>
      <c r="T47" s="49"/>
      <c r="U47" s="10"/>
      <c r="V47" s="158"/>
      <c r="W47" s="578">
        <v>60</v>
      </c>
      <c r="X47" s="295"/>
      <c r="Y47" s="13">
        <v>0.95</v>
      </c>
    </row>
    <row r="48" spans="1:25" ht="12.75">
      <c r="A48" s="601" t="s">
        <v>295</v>
      </c>
      <c r="B48" s="368"/>
      <c r="C48" s="229">
        <v>0.039</v>
      </c>
      <c r="D48" s="229">
        <v>0.02</v>
      </c>
      <c r="E48" s="229">
        <v>0</v>
      </c>
      <c r="F48" s="229">
        <v>0.014</v>
      </c>
      <c r="G48" s="229">
        <v>0.022</v>
      </c>
      <c r="H48" s="229">
        <v>0.008</v>
      </c>
      <c r="I48" s="229">
        <v>0.013</v>
      </c>
      <c r="J48" s="229">
        <v>0.004</v>
      </c>
      <c r="K48" s="229">
        <v>0.005</v>
      </c>
      <c r="L48" s="230">
        <v>0.004</v>
      </c>
      <c r="M48" s="49"/>
      <c r="N48" s="49"/>
      <c r="O48" s="49"/>
      <c r="P48" s="49"/>
      <c r="Q48" s="49"/>
      <c r="R48" s="49"/>
      <c r="S48" s="49"/>
      <c r="T48" s="49"/>
      <c r="U48" s="10"/>
      <c r="V48" s="158"/>
      <c r="W48" s="578">
        <v>70</v>
      </c>
      <c r="X48" s="295"/>
      <c r="Y48" s="13">
        <v>0.94</v>
      </c>
    </row>
    <row r="49" spans="1:25" ht="13.5" thickBot="1">
      <c r="A49" s="657" t="s">
        <v>299</v>
      </c>
      <c r="B49" s="658"/>
      <c r="C49" s="231">
        <v>0.201</v>
      </c>
      <c r="D49" s="231">
        <v>0.206</v>
      </c>
      <c r="E49" s="231">
        <v>0.166</v>
      </c>
      <c r="F49" s="231">
        <v>0.246</v>
      </c>
      <c r="G49" s="231">
        <v>0.216</v>
      </c>
      <c r="H49" s="231">
        <v>0.219</v>
      </c>
      <c r="I49" s="231">
        <v>0.14</v>
      </c>
      <c r="J49" s="231">
        <v>0.2</v>
      </c>
      <c r="K49" s="231">
        <v>0.298</v>
      </c>
      <c r="L49" s="232">
        <v>0.289</v>
      </c>
      <c r="M49" s="49"/>
      <c r="N49" s="49"/>
      <c r="O49" s="49"/>
      <c r="P49" s="49"/>
      <c r="Q49" s="49"/>
      <c r="R49" s="49"/>
      <c r="S49" s="49"/>
      <c r="T49" s="49"/>
      <c r="U49" s="10"/>
      <c r="V49" s="158"/>
      <c r="W49" s="579">
        <v>80</v>
      </c>
      <c r="X49" s="295"/>
      <c r="Y49" s="13">
        <v>0.93</v>
      </c>
    </row>
    <row r="50" spans="1:25" ht="12.75">
      <c r="A50" s="245" t="s">
        <v>654</v>
      </c>
      <c r="B50" s="2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58"/>
      <c r="W50" s="579">
        <v>90</v>
      </c>
      <c r="X50" s="295"/>
      <c r="Y50" s="80">
        <v>0.93</v>
      </c>
    </row>
    <row r="51" spans="1:25" ht="13.5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58"/>
      <c r="W51" s="580">
        <v>100</v>
      </c>
      <c r="X51" s="287"/>
      <c r="Y51" s="124">
        <v>0.92</v>
      </c>
    </row>
    <row r="52" spans="1:25" ht="13.5" thickBo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58"/>
      <c r="Y52" s="142"/>
    </row>
    <row r="53" spans="1:22" ht="13.5" thickTop="1">
      <c r="A53" s="560" t="s">
        <v>657</v>
      </c>
      <c r="B53" s="560"/>
      <c r="C53" s="560"/>
      <c r="D53" s="560"/>
      <c r="E53" s="560"/>
      <c r="F53" s="560"/>
      <c r="G53" s="560"/>
      <c r="H53" s="560"/>
      <c r="I53" s="560"/>
      <c r="J53" s="602"/>
      <c r="K53" s="602"/>
      <c r="L53" s="603"/>
      <c r="M53" s="15"/>
      <c r="N53" s="29"/>
      <c r="O53" s="29"/>
      <c r="P53" s="29"/>
      <c r="Q53" s="29"/>
      <c r="R53" s="29"/>
      <c r="S53" s="29"/>
      <c r="T53" s="29"/>
      <c r="U53" s="29"/>
      <c r="V53" s="158"/>
    </row>
    <row r="54" spans="1:22" ht="13.5" thickBot="1">
      <c r="A54" s="570"/>
      <c r="B54" s="570"/>
      <c r="C54" s="570"/>
      <c r="D54" s="570"/>
      <c r="E54" s="570"/>
      <c r="F54" s="570"/>
      <c r="G54" s="570"/>
      <c r="H54" s="570"/>
      <c r="I54" s="570"/>
      <c r="J54" s="604"/>
      <c r="K54" s="604"/>
      <c r="L54" s="605"/>
      <c r="M54" s="15"/>
      <c r="N54" s="29"/>
      <c r="O54" s="29"/>
      <c r="P54" s="29"/>
      <c r="Q54" s="29"/>
      <c r="R54" s="29"/>
      <c r="S54" s="29"/>
      <c r="T54" s="29"/>
      <c r="U54" s="25"/>
      <c r="V54" s="158"/>
    </row>
    <row r="55" spans="1:22" ht="12.75">
      <c r="A55" s="552" t="s">
        <v>72</v>
      </c>
      <c r="B55" s="555" t="s">
        <v>70</v>
      </c>
      <c r="C55" s="661" t="s">
        <v>296</v>
      </c>
      <c r="D55" s="662"/>
      <c r="E55" s="662"/>
      <c r="F55" s="662"/>
      <c r="G55" s="662"/>
      <c r="H55" s="662"/>
      <c r="I55" s="662"/>
      <c r="J55" s="662"/>
      <c r="K55" s="662"/>
      <c r="L55" s="663"/>
      <c r="M55" s="24"/>
      <c r="N55" s="25"/>
      <c r="O55" s="25"/>
      <c r="P55" s="25"/>
      <c r="Q55" s="25"/>
      <c r="R55" s="25"/>
      <c r="S55" s="25"/>
      <c r="T55" s="25"/>
      <c r="U55" s="34"/>
      <c r="V55" s="158"/>
    </row>
    <row r="56" spans="1:22" ht="12.75">
      <c r="A56" s="659"/>
      <c r="B56" s="660"/>
      <c r="C56" s="545" t="s">
        <v>49</v>
      </c>
      <c r="D56" s="274"/>
      <c r="E56" s="274"/>
      <c r="F56" s="274"/>
      <c r="G56" s="274"/>
      <c r="H56" s="274"/>
      <c r="I56" s="274"/>
      <c r="J56" s="274"/>
      <c r="K56" s="274"/>
      <c r="L56" s="297"/>
      <c r="M56" s="24"/>
      <c r="N56" s="25"/>
      <c r="O56" s="25"/>
      <c r="P56" s="25"/>
      <c r="Q56" s="25"/>
      <c r="R56" s="25"/>
      <c r="S56" s="25"/>
      <c r="T56" s="25"/>
      <c r="U56" s="34"/>
      <c r="V56" s="158"/>
    </row>
    <row r="57" spans="1:22" ht="12.75">
      <c r="A57" s="664" t="s">
        <v>52</v>
      </c>
      <c r="B57" s="665"/>
      <c r="C57" s="511" t="s">
        <v>218</v>
      </c>
      <c r="D57" s="510"/>
      <c r="E57" s="545" t="s">
        <v>217</v>
      </c>
      <c r="F57" s="490"/>
      <c r="G57" s="545" t="s">
        <v>105</v>
      </c>
      <c r="H57" s="490"/>
      <c r="I57" s="545" t="s">
        <v>108</v>
      </c>
      <c r="J57" s="545"/>
      <c r="K57" s="545" t="s">
        <v>232</v>
      </c>
      <c r="L57" s="511"/>
      <c r="M57" s="136"/>
      <c r="N57" s="45"/>
      <c r="O57" s="45"/>
      <c r="P57" s="45"/>
      <c r="Q57" s="45"/>
      <c r="R57" s="45"/>
      <c r="S57" s="45"/>
      <c r="T57" s="45"/>
      <c r="U57" s="34"/>
      <c r="V57" s="158"/>
    </row>
    <row r="58" spans="1:22" ht="12.75">
      <c r="A58" s="666"/>
      <c r="B58" s="667"/>
      <c r="C58" s="132" t="s">
        <v>297</v>
      </c>
      <c r="D58" s="121" t="s">
        <v>98</v>
      </c>
      <c r="E58" s="132" t="s">
        <v>297</v>
      </c>
      <c r="F58" s="121" t="s">
        <v>98</v>
      </c>
      <c r="G58" s="132" t="s">
        <v>297</v>
      </c>
      <c r="H58" s="121" t="s">
        <v>98</v>
      </c>
      <c r="I58" s="132" t="s">
        <v>297</v>
      </c>
      <c r="J58" s="121" t="s">
        <v>98</v>
      </c>
      <c r="K58" s="132" t="s">
        <v>297</v>
      </c>
      <c r="L58" s="174" t="s">
        <v>98</v>
      </c>
      <c r="M58" s="161"/>
      <c r="N58" s="161"/>
      <c r="O58" s="161"/>
      <c r="P58" s="161"/>
      <c r="Q58" s="161"/>
      <c r="R58" s="161"/>
      <c r="S58" s="161"/>
      <c r="T58" s="161"/>
      <c r="U58" s="25"/>
      <c r="V58" s="158"/>
    </row>
    <row r="59" spans="1:22" ht="12.75">
      <c r="A59" s="577" t="s">
        <v>308</v>
      </c>
      <c r="B59" s="298"/>
      <c r="C59" s="129">
        <v>0.026</v>
      </c>
      <c r="D59" s="129">
        <v>0.066</v>
      </c>
      <c r="E59" s="129">
        <v>0.001</v>
      </c>
      <c r="F59" s="129">
        <v>0.001</v>
      </c>
      <c r="G59" s="129">
        <v>0.001</v>
      </c>
      <c r="H59" s="129">
        <v>0.001</v>
      </c>
      <c r="I59" s="129">
        <v>0.001</v>
      </c>
      <c r="J59" s="129">
        <v>0.063</v>
      </c>
      <c r="K59" s="129">
        <v>0.016</v>
      </c>
      <c r="L59" s="130">
        <v>0.049</v>
      </c>
      <c r="M59" s="181"/>
      <c r="N59" s="181"/>
      <c r="O59" s="181"/>
      <c r="P59" s="181"/>
      <c r="Q59" s="181"/>
      <c r="R59" s="181"/>
      <c r="S59" s="181"/>
      <c r="T59" s="181"/>
      <c r="U59" s="34"/>
      <c r="V59" s="158"/>
    </row>
    <row r="60" spans="1:22" ht="12.75">
      <c r="A60" s="601" t="s">
        <v>309</v>
      </c>
      <c r="B60" s="294"/>
      <c r="C60" s="56">
        <v>0.723</v>
      </c>
      <c r="D60" s="56">
        <v>0.759</v>
      </c>
      <c r="E60" s="56">
        <v>0.688</v>
      </c>
      <c r="F60" s="56">
        <v>0.963</v>
      </c>
      <c r="G60" s="56">
        <v>0.612</v>
      </c>
      <c r="H60" s="56">
        <v>0.809</v>
      </c>
      <c r="I60" s="56">
        <v>0.5</v>
      </c>
      <c r="J60" s="56">
        <v>0.813</v>
      </c>
      <c r="K60" s="56">
        <v>0.398</v>
      </c>
      <c r="L60" s="58">
        <v>0.768</v>
      </c>
      <c r="M60" s="34"/>
      <c r="N60" s="34"/>
      <c r="O60" s="34"/>
      <c r="P60" s="34"/>
      <c r="Q60" s="34"/>
      <c r="R60" s="34"/>
      <c r="S60" s="34"/>
      <c r="T60" s="34"/>
      <c r="U60" s="44"/>
      <c r="V60" s="158"/>
    </row>
    <row r="61" spans="1:22" ht="12.75">
      <c r="A61" s="601" t="s">
        <v>310</v>
      </c>
      <c r="B61" s="294"/>
      <c r="C61" s="56">
        <v>0.01</v>
      </c>
      <c r="D61" s="56">
        <v>0.013</v>
      </c>
      <c r="E61" s="56">
        <v>0.001</v>
      </c>
      <c r="F61" s="56">
        <v>0.001</v>
      </c>
      <c r="G61" s="56">
        <v>0.02</v>
      </c>
      <c r="H61" s="56">
        <v>0.029</v>
      </c>
      <c r="I61" s="56">
        <v>0.028</v>
      </c>
      <c r="J61" s="56">
        <v>0.016</v>
      </c>
      <c r="K61" s="56">
        <v>0.005</v>
      </c>
      <c r="L61" s="58">
        <v>0.061</v>
      </c>
      <c r="M61" s="34"/>
      <c r="N61" s="34"/>
      <c r="O61" s="34"/>
      <c r="P61" s="34"/>
      <c r="Q61" s="34"/>
      <c r="R61" s="34"/>
      <c r="S61" s="34"/>
      <c r="T61" s="34"/>
      <c r="U61" s="158"/>
      <c r="V61" s="158"/>
    </row>
    <row r="62" spans="1:22" ht="13.5" thickBot="1">
      <c r="A62" s="127" t="s">
        <v>311</v>
      </c>
      <c r="B62" s="127"/>
      <c r="C62" s="63">
        <v>0.241</v>
      </c>
      <c r="D62" s="63">
        <v>0.162</v>
      </c>
      <c r="E62" s="63">
        <v>0.31</v>
      </c>
      <c r="F62" s="63">
        <v>0.035</v>
      </c>
      <c r="G62" s="63">
        <v>0.367</v>
      </c>
      <c r="H62" s="63">
        <v>0.161</v>
      </c>
      <c r="I62" s="63">
        <v>0.471</v>
      </c>
      <c r="J62" s="63">
        <v>0.108</v>
      </c>
      <c r="K62" s="63">
        <v>0.581</v>
      </c>
      <c r="L62" s="126">
        <v>0.122</v>
      </c>
      <c r="M62" s="34"/>
      <c r="N62" s="34"/>
      <c r="O62" s="34"/>
      <c r="P62" s="34"/>
      <c r="Q62" s="34"/>
      <c r="R62" s="34"/>
      <c r="S62" s="34"/>
      <c r="T62" s="34"/>
      <c r="U62" s="29"/>
      <c r="V62" s="158"/>
    </row>
    <row r="63" spans="1:22" ht="12.75">
      <c r="A63" s="175" t="s">
        <v>298</v>
      </c>
      <c r="B63" s="119"/>
      <c r="C63" s="147"/>
      <c r="D63" s="147"/>
      <c r="E63" s="147"/>
      <c r="F63" s="147"/>
      <c r="G63" s="147"/>
      <c r="H63" s="147"/>
      <c r="I63" s="147"/>
      <c r="J63" s="147"/>
      <c r="K63" s="147"/>
      <c r="L63" s="148"/>
      <c r="M63" s="34"/>
      <c r="N63" s="34"/>
      <c r="O63" s="34"/>
      <c r="P63" s="34"/>
      <c r="Q63" s="34"/>
      <c r="R63" s="34"/>
      <c r="S63" s="34"/>
      <c r="T63" s="34"/>
      <c r="U63" s="25"/>
      <c r="V63" s="158"/>
    </row>
    <row r="64" spans="1:22" ht="12.75">
      <c r="A64" s="668" t="s">
        <v>52</v>
      </c>
      <c r="B64" s="306"/>
      <c r="C64" s="545" t="s">
        <v>719</v>
      </c>
      <c r="D64" s="274"/>
      <c r="E64" s="274"/>
      <c r="F64" s="274"/>
      <c r="G64" s="274"/>
      <c r="H64" s="274"/>
      <c r="I64" s="274"/>
      <c r="J64" s="274"/>
      <c r="K64" s="274"/>
      <c r="L64" s="297"/>
      <c r="M64" s="24"/>
      <c r="N64" s="25"/>
      <c r="O64" s="25"/>
      <c r="P64" s="25"/>
      <c r="Q64" s="25"/>
      <c r="R64" s="25"/>
      <c r="S64" s="25"/>
      <c r="T64" s="25"/>
      <c r="U64" s="25"/>
      <c r="V64" s="158"/>
    </row>
    <row r="65" spans="1:22" ht="12.75">
      <c r="A65" s="309"/>
      <c r="B65" s="308"/>
      <c r="C65" s="490" t="s">
        <v>218</v>
      </c>
      <c r="D65" s="490"/>
      <c r="E65" s="545" t="s">
        <v>217</v>
      </c>
      <c r="F65" s="490"/>
      <c r="G65" s="545" t="s">
        <v>105</v>
      </c>
      <c r="H65" s="490"/>
      <c r="I65" s="545" t="s">
        <v>108</v>
      </c>
      <c r="J65" s="545"/>
      <c r="K65" s="545" t="s">
        <v>232</v>
      </c>
      <c r="L65" s="511"/>
      <c r="M65" s="136"/>
      <c r="N65" s="45"/>
      <c r="O65" s="45"/>
      <c r="P65" s="45"/>
      <c r="Q65" s="45"/>
      <c r="R65" s="45"/>
      <c r="S65" s="45"/>
      <c r="T65" s="45"/>
      <c r="U65" s="164"/>
      <c r="V65" s="158"/>
    </row>
    <row r="66" spans="1:22" ht="12.75">
      <c r="A66" s="344"/>
      <c r="B66" s="669"/>
      <c r="C66" s="132" t="s">
        <v>297</v>
      </c>
      <c r="D66" s="121" t="s">
        <v>98</v>
      </c>
      <c r="E66" s="132" t="s">
        <v>297</v>
      </c>
      <c r="F66" s="121" t="s">
        <v>98</v>
      </c>
      <c r="G66" s="132" t="s">
        <v>297</v>
      </c>
      <c r="H66" s="121" t="s">
        <v>98</v>
      </c>
      <c r="I66" s="132" t="s">
        <v>297</v>
      </c>
      <c r="J66" s="121" t="s">
        <v>98</v>
      </c>
      <c r="K66" s="132" t="s">
        <v>297</v>
      </c>
      <c r="L66" s="174" t="s">
        <v>98</v>
      </c>
      <c r="M66" s="161"/>
      <c r="N66" s="161"/>
      <c r="O66" s="161"/>
      <c r="P66" s="161"/>
      <c r="Q66" s="161"/>
      <c r="R66" s="161"/>
      <c r="S66" s="161"/>
      <c r="T66" s="161"/>
      <c r="U66" s="25"/>
      <c r="V66" s="158"/>
    </row>
    <row r="67" spans="1:22" ht="12.75">
      <c r="A67" s="577" t="s">
        <v>308</v>
      </c>
      <c r="B67" s="299"/>
      <c r="C67" s="227">
        <v>0.027</v>
      </c>
      <c r="D67" s="227">
        <v>0.17</v>
      </c>
      <c r="E67" s="227">
        <v>0.04</v>
      </c>
      <c r="F67" s="227">
        <v>0.214</v>
      </c>
      <c r="G67" s="227">
        <v>0.037</v>
      </c>
      <c r="H67" s="227">
        <v>0.1</v>
      </c>
      <c r="I67" s="227">
        <v>0</v>
      </c>
      <c r="J67" s="227">
        <v>0.077</v>
      </c>
      <c r="K67" s="227">
        <v>0.005</v>
      </c>
      <c r="L67" s="228">
        <v>0.095</v>
      </c>
      <c r="M67" s="182"/>
      <c r="N67" s="182"/>
      <c r="O67" s="182"/>
      <c r="P67" s="182"/>
      <c r="Q67" s="182"/>
      <c r="R67" s="182"/>
      <c r="S67" s="182"/>
      <c r="T67" s="182"/>
      <c r="U67" s="25"/>
      <c r="V67" s="158"/>
    </row>
    <row r="68" spans="1:22" ht="12.75">
      <c r="A68" s="601" t="s">
        <v>309</v>
      </c>
      <c r="B68" s="299"/>
      <c r="C68" s="229">
        <v>0.757</v>
      </c>
      <c r="D68" s="229">
        <v>0.736</v>
      </c>
      <c r="E68" s="229">
        <v>0.28</v>
      </c>
      <c r="F68" s="229">
        <v>0.786</v>
      </c>
      <c r="G68" s="229">
        <v>0.519</v>
      </c>
      <c r="H68" s="229">
        <v>0.825</v>
      </c>
      <c r="I68" s="229">
        <v>0.4</v>
      </c>
      <c r="J68" s="229">
        <v>0.846</v>
      </c>
      <c r="K68" s="229">
        <v>0.308</v>
      </c>
      <c r="L68" s="230">
        <v>0.798</v>
      </c>
      <c r="M68" s="49"/>
      <c r="N68" s="49"/>
      <c r="O68" s="49"/>
      <c r="P68" s="49"/>
      <c r="Q68" s="49"/>
      <c r="R68" s="49"/>
      <c r="S68" s="49"/>
      <c r="T68" s="49"/>
      <c r="U68" s="165"/>
      <c r="V68" s="158"/>
    </row>
    <row r="69" spans="1:22" ht="12.75">
      <c r="A69" s="601" t="s">
        <v>310</v>
      </c>
      <c r="B69" s="299"/>
      <c r="C69" s="229">
        <v>0</v>
      </c>
      <c r="D69" s="229">
        <v>0.038</v>
      </c>
      <c r="E69" s="229">
        <v>0.04</v>
      </c>
      <c r="F69" s="229">
        <v>0</v>
      </c>
      <c r="G69" s="229">
        <v>0</v>
      </c>
      <c r="H69" s="229">
        <v>0.075</v>
      </c>
      <c r="I69" s="229">
        <v>0</v>
      </c>
      <c r="J69" s="229">
        <v>0</v>
      </c>
      <c r="K69" s="229">
        <v>0.005</v>
      </c>
      <c r="L69" s="230">
        <v>0.036</v>
      </c>
      <c r="M69" s="49"/>
      <c r="N69" s="49"/>
      <c r="O69" s="49"/>
      <c r="P69" s="49"/>
      <c r="Q69" s="49"/>
      <c r="R69" s="49"/>
      <c r="S69" s="49"/>
      <c r="T69" s="49"/>
      <c r="U69" s="25"/>
      <c r="V69" s="158"/>
    </row>
    <row r="70" spans="1:22" ht="13.5" thickBot="1">
      <c r="A70" s="657" t="s">
        <v>311</v>
      </c>
      <c r="B70" s="670"/>
      <c r="C70" s="231">
        <v>0.216</v>
      </c>
      <c r="D70" s="231">
        <v>0.057</v>
      </c>
      <c r="E70" s="231">
        <v>0.64</v>
      </c>
      <c r="F70" s="231">
        <v>0</v>
      </c>
      <c r="G70" s="231">
        <v>0.444</v>
      </c>
      <c r="H70" s="231">
        <v>0</v>
      </c>
      <c r="I70" s="231">
        <v>0.6</v>
      </c>
      <c r="J70" s="231">
        <v>0.077</v>
      </c>
      <c r="K70" s="231">
        <v>0.681</v>
      </c>
      <c r="L70" s="232">
        <v>0.071</v>
      </c>
      <c r="M70" s="49"/>
      <c r="N70" s="49"/>
      <c r="O70" s="49"/>
      <c r="P70" s="49"/>
      <c r="Q70" s="49"/>
      <c r="R70" s="49"/>
      <c r="S70" s="49"/>
      <c r="T70" s="49"/>
      <c r="U70" s="34"/>
      <c r="V70" s="158"/>
    </row>
    <row r="71" spans="1:22" ht="12.75">
      <c r="A71" s="59"/>
      <c r="B71" s="29"/>
      <c r="C71" s="29"/>
      <c r="D71" s="2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25"/>
      <c r="V71" s="158"/>
    </row>
    <row r="72" spans="1:22" ht="12.75">
      <c r="A72" s="59"/>
      <c r="B72" s="29"/>
      <c r="C72" s="29"/>
      <c r="D72" s="2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25"/>
      <c r="V72" s="158"/>
    </row>
    <row r="73" spans="1:22" ht="13.5" thickBot="1">
      <c r="A73" s="59"/>
      <c r="B73" s="29"/>
      <c r="C73" s="29"/>
      <c r="D73" s="2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58"/>
      <c r="P73" s="158"/>
      <c r="Q73" s="158"/>
      <c r="R73" s="158"/>
      <c r="S73" s="158"/>
      <c r="T73" s="158"/>
      <c r="U73" s="25"/>
      <c r="V73" s="158"/>
    </row>
    <row r="74" spans="1:22" ht="13.5" thickTop="1">
      <c r="A74" s="560" t="s">
        <v>659</v>
      </c>
      <c r="B74" s="561"/>
      <c r="C74" s="561"/>
      <c r="D74" s="561"/>
      <c r="E74" s="561"/>
      <c r="F74" s="561"/>
      <c r="G74" s="561"/>
      <c r="H74" s="561"/>
      <c r="I74" s="561"/>
      <c r="J74" s="561"/>
      <c r="K74" s="178"/>
      <c r="L74" s="15"/>
      <c r="M74" s="15"/>
      <c r="N74" s="29"/>
      <c r="O74" s="29"/>
      <c r="P74" s="29"/>
      <c r="Q74" s="29"/>
      <c r="R74" s="29"/>
      <c r="S74" s="29"/>
      <c r="T74" s="29"/>
      <c r="U74" s="25"/>
      <c r="V74" s="158"/>
    </row>
    <row r="75" spans="1:22" ht="13.5" thickBot="1">
      <c r="A75" s="562"/>
      <c r="B75" s="562"/>
      <c r="C75" s="562"/>
      <c r="D75" s="562"/>
      <c r="E75" s="562"/>
      <c r="F75" s="562"/>
      <c r="G75" s="562"/>
      <c r="H75" s="562"/>
      <c r="I75" s="562"/>
      <c r="J75" s="562"/>
      <c r="K75" s="178"/>
      <c r="L75" s="15"/>
      <c r="M75" s="15"/>
      <c r="N75" s="29"/>
      <c r="O75" s="29"/>
      <c r="P75" s="29"/>
      <c r="Q75" s="29"/>
      <c r="R75" s="29"/>
      <c r="S75" s="29"/>
      <c r="T75" s="29"/>
      <c r="U75" s="25"/>
      <c r="V75" s="158"/>
    </row>
    <row r="76" spans="1:22" ht="14.25">
      <c r="A76" s="552" t="s">
        <v>72</v>
      </c>
      <c r="B76" s="555" t="s">
        <v>70</v>
      </c>
      <c r="C76" s="557" t="s">
        <v>394</v>
      </c>
      <c r="D76" s="314"/>
      <c r="E76" s="314"/>
      <c r="F76" s="314"/>
      <c r="G76" s="314"/>
      <c r="H76" s="314"/>
      <c r="I76" s="314"/>
      <c r="J76" s="558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158"/>
    </row>
    <row r="77" spans="1:22" ht="12.75">
      <c r="A77" s="553"/>
      <c r="B77" s="556"/>
      <c r="C77" s="559" t="s">
        <v>49</v>
      </c>
      <c r="D77" s="317"/>
      <c r="E77" s="317"/>
      <c r="F77" s="317"/>
      <c r="G77" s="545" t="s">
        <v>719</v>
      </c>
      <c r="H77" s="274"/>
      <c r="I77" s="274"/>
      <c r="J77" s="29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158"/>
    </row>
    <row r="78" spans="1:22" ht="12.75">
      <c r="A78" s="554" t="s">
        <v>276</v>
      </c>
      <c r="B78" s="295"/>
      <c r="C78" s="545" t="s">
        <v>391</v>
      </c>
      <c r="D78" s="490"/>
      <c r="E78" s="545" t="s">
        <v>392</v>
      </c>
      <c r="F78" s="490"/>
      <c r="G78" s="545" t="s">
        <v>391</v>
      </c>
      <c r="H78" s="490"/>
      <c r="I78" s="545" t="s">
        <v>392</v>
      </c>
      <c r="J78" s="511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158"/>
    </row>
    <row r="79" spans="1:22" ht="12.75">
      <c r="A79" s="541" t="s">
        <v>218</v>
      </c>
      <c r="B79" s="542"/>
      <c r="C79" s="546">
        <v>0.036</v>
      </c>
      <c r="D79" s="300"/>
      <c r="E79" s="546">
        <v>0.005</v>
      </c>
      <c r="F79" s="300"/>
      <c r="G79" s="547">
        <v>0.034</v>
      </c>
      <c r="H79" s="548"/>
      <c r="I79" s="547">
        <v>0.012</v>
      </c>
      <c r="J79" s="54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158"/>
    </row>
    <row r="80" spans="1:22" ht="12.75">
      <c r="A80" s="541" t="s">
        <v>217</v>
      </c>
      <c r="B80" s="542"/>
      <c r="C80" s="546">
        <v>0.041</v>
      </c>
      <c r="D80" s="300"/>
      <c r="E80" s="293">
        <v>0.013</v>
      </c>
      <c r="F80" s="544"/>
      <c r="G80" s="547">
        <v>0.02</v>
      </c>
      <c r="H80" s="548"/>
      <c r="I80" s="547">
        <v>0.014</v>
      </c>
      <c r="J80" s="54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158"/>
    </row>
    <row r="81" spans="1:22" ht="12.75">
      <c r="A81" s="541" t="s">
        <v>105</v>
      </c>
      <c r="B81" s="542"/>
      <c r="C81" s="546">
        <v>0.022</v>
      </c>
      <c r="D81" s="300"/>
      <c r="E81" s="293">
        <v>0.009</v>
      </c>
      <c r="F81" s="544"/>
      <c r="G81" s="547">
        <v>0.016</v>
      </c>
      <c r="H81" s="548"/>
      <c r="I81" s="547">
        <v>0.004</v>
      </c>
      <c r="J81" s="54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158"/>
    </row>
    <row r="82" spans="1:22" ht="12.75">
      <c r="A82" s="543" t="s">
        <v>108</v>
      </c>
      <c r="B82" s="454"/>
      <c r="C82" s="293">
        <v>0.067</v>
      </c>
      <c r="D82" s="544"/>
      <c r="E82" s="293">
        <v>0.019</v>
      </c>
      <c r="F82" s="544"/>
      <c r="G82" s="547">
        <v>0.048</v>
      </c>
      <c r="H82" s="548"/>
      <c r="I82" s="547">
        <v>0.013</v>
      </c>
      <c r="J82" s="549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158"/>
    </row>
    <row r="83" spans="1:22" ht="13.5" thickBot="1">
      <c r="A83" s="550" t="s">
        <v>232</v>
      </c>
      <c r="B83" s="551"/>
      <c r="C83" s="291">
        <v>0.03</v>
      </c>
      <c r="D83" s="534"/>
      <c r="E83" s="291">
        <v>0.023</v>
      </c>
      <c r="F83" s="534"/>
      <c r="G83" s="535">
        <v>0.01</v>
      </c>
      <c r="H83" s="536"/>
      <c r="I83" s="535">
        <v>0.021</v>
      </c>
      <c r="J83" s="537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158"/>
    </row>
    <row r="84" spans="1:22" ht="12.75">
      <c r="A84" s="538" t="s">
        <v>396</v>
      </c>
      <c r="B84" s="539"/>
      <c r="C84" s="539"/>
      <c r="D84" s="539"/>
      <c r="E84" s="539"/>
      <c r="F84" s="539"/>
      <c r="G84" s="539"/>
      <c r="H84" s="539"/>
      <c r="I84" s="539"/>
      <c r="J84" s="53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158"/>
    </row>
    <row r="85" spans="1:22" ht="12.75">
      <c r="A85" s="540"/>
      <c r="B85" s="540"/>
      <c r="C85" s="540"/>
      <c r="D85" s="540"/>
      <c r="E85" s="540"/>
      <c r="F85" s="540"/>
      <c r="G85" s="540"/>
      <c r="H85" s="540"/>
      <c r="I85" s="540"/>
      <c r="J85" s="540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58"/>
    </row>
    <row r="86" spans="1:22" ht="12.75">
      <c r="A86" s="156"/>
      <c r="B86" s="156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158"/>
    </row>
    <row r="87" spans="3:22" ht="12.75">
      <c r="C87" s="158"/>
      <c r="D87" s="158"/>
      <c r="E87" s="158"/>
      <c r="F87" s="158"/>
      <c r="G87" s="158"/>
      <c r="H87" s="158"/>
      <c r="I87" s="158"/>
      <c r="J87" s="158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158"/>
    </row>
    <row r="88" spans="3:22" ht="13.5" thickBot="1">
      <c r="C88" s="158"/>
      <c r="D88" s="158"/>
      <c r="E88" s="158"/>
      <c r="F88" s="158"/>
      <c r="G88" s="158"/>
      <c r="H88" s="158"/>
      <c r="I88" s="158"/>
      <c r="J88" s="158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158"/>
    </row>
    <row r="89" spans="1:22" ht="13.5" thickTop="1">
      <c r="A89" s="560" t="s">
        <v>660</v>
      </c>
      <c r="B89" s="561"/>
      <c r="C89" s="561"/>
      <c r="D89" s="561"/>
      <c r="E89" s="561"/>
      <c r="F89" s="561"/>
      <c r="G89" s="561"/>
      <c r="H89" s="561"/>
      <c r="I89" s="561"/>
      <c r="J89" s="561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158"/>
    </row>
    <row r="90" spans="1:22" ht="13.5" thickBot="1">
      <c r="A90" s="562"/>
      <c r="B90" s="562"/>
      <c r="C90" s="562"/>
      <c r="D90" s="562"/>
      <c r="E90" s="562"/>
      <c r="F90" s="562"/>
      <c r="G90" s="562"/>
      <c r="H90" s="562"/>
      <c r="I90" s="562"/>
      <c r="J90" s="562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158"/>
    </row>
    <row r="91" spans="1:22" ht="14.25">
      <c r="A91" s="552" t="s">
        <v>72</v>
      </c>
      <c r="B91" s="555" t="s">
        <v>70</v>
      </c>
      <c r="C91" s="557" t="s">
        <v>395</v>
      </c>
      <c r="D91" s="314"/>
      <c r="E91" s="314"/>
      <c r="F91" s="314"/>
      <c r="G91" s="314"/>
      <c r="H91" s="314"/>
      <c r="I91" s="314"/>
      <c r="J91" s="558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158"/>
    </row>
    <row r="92" spans="1:22" ht="12.75">
      <c r="A92" s="553"/>
      <c r="B92" s="556"/>
      <c r="C92" s="559" t="s">
        <v>49</v>
      </c>
      <c r="D92" s="317"/>
      <c r="E92" s="317"/>
      <c r="F92" s="317"/>
      <c r="G92" s="545" t="s">
        <v>719</v>
      </c>
      <c r="H92" s="274"/>
      <c r="I92" s="274"/>
      <c r="J92" s="297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158"/>
    </row>
    <row r="93" spans="1:22" ht="12.75">
      <c r="A93" s="554" t="s">
        <v>276</v>
      </c>
      <c r="B93" s="295"/>
      <c r="C93" s="545" t="s">
        <v>391</v>
      </c>
      <c r="D93" s="490"/>
      <c r="E93" s="545" t="s">
        <v>392</v>
      </c>
      <c r="F93" s="490"/>
      <c r="G93" s="545" t="s">
        <v>391</v>
      </c>
      <c r="H93" s="490"/>
      <c r="I93" s="545" t="s">
        <v>392</v>
      </c>
      <c r="J93" s="511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158"/>
    </row>
    <row r="94" spans="1:22" ht="12.75">
      <c r="A94" s="541" t="s">
        <v>218</v>
      </c>
      <c r="B94" s="542"/>
      <c r="C94" s="546">
        <v>0.018</v>
      </c>
      <c r="D94" s="300"/>
      <c r="E94" s="546">
        <v>0.004</v>
      </c>
      <c r="F94" s="300"/>
      <c r="G94" s="583">
        <v>0.007</v>
      </c>
      <c r="H94" s="548"/>
      <c r="I94" s="547">
        <v>0.003</v>
      </c>
      <c r="J94" s="549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158"/>
    </row>
    <row r="95" spans="1:22" ht="12.75">
      <c r="A95" s="541" t="s">
        <v>217</v>
      </c>
      <c r="B95" s="542"/>
      <c r="C95" s="546">
        <v>0.027</v>
      </c>
      <c r="D95" s="300"/>
      <c r="E95" s="293">
        <v>0.007</v>
      </c>
      <c r="F95" s="544"/>
      <c r="G95" s="547">
        <v>0.016</v>
      </c>
      <c r="H95" s="548"/>
      <c r="I95" s="547">
        <v>0.01</v>
      </c>
      <c r="J95" s="549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158"/>
    </row>
    <row r="96" spans="1:22" ht="12.75">
      <c r="A96" s="541" t="s">
        <v>105</v>
      </c>
      <c r="B96" s="542"/>
      <c r="C96" s="546">
        <v>0.011</v>
      </c>
      <c r="D96" s="300"/>
      <c r="E96" s="293">
        <v>0.002</v>
      </c>
      <c r="F96" s="544"/>
      <c r="G96" s="547">
        <v>0.01</v>
      </c>
      <c r="H96" s="548"/>
      <c r="I96" s="547">
        <v>0.01</v>
      </c>
      <c r="J96" s="549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158"/>
    </row>
    <row r="97" spans="1:22" ht="12.75">
      <c r="A97" s="543" t="s">
        <v>108</v>
      </c>
      <c r="B97" s="454"/>
      <c r="C97" s="293">
        <v>0.013</v>
      </c>
      <c r="D97" s="544"/>
      <c r="E97" s="293">
        <v>0.005</v>
      </c>
      <c r="F97" s="544"/>
      <c r="G97" s="547">
        <v>0.024</v>
      </c>
      <c r="H97" s="548"/>
      <c r="I97" s="547">
        <v>0.009</v>
      </c>
      <c r="J97" s="549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158"/>
    </row>
    <row r="98" spans="1:22" ht="13.5" thickBot="1">
      <c r="A98" s="550" t="s">
        <v>232</v>
      </c>
      <c r="B98" s="551"/>
      <c r="C98" s="291">
        <v>0.05</v>
      </c>
      <c r="D98" s="534"/>
      <c r="E98" s="291">
        <v>0.012</v>
      </c>
      <c r="F98" s="534"/>
      <c r="G98" s="535">
        <v>0.017</v>
      </c>
      <c r="H98" s="536"/>
      <c r="I98" s="535">
        <v>0.02</v>
      </c>
      <c r="J98" s="537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158"/>
    </row>
    <row r="99" spans="1:22" ht="12.75">
      <c r="A99" s="538" t="s">
        <v>397</v>
      </c>
      <c r="B99" s="539"/>
      <c r="C99" s="539"/>
      <c r="D99" s="539"/>
      <c r="E99" s="539"/>
      <c r="F99" s="539"/>
      <c r="G99" s="539"/>
      <c r="H99" s="539"/>
      <c r="I99" s="539"/>
      <c r="J99" s="539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158"/>
    </row>
    <row r="100" spans="1:22" ht="12.75">
      <c r="A100" s="540"/>
      <c r="B100" s="540"/>
      <c r="C100" s="540"/>
      <c r="D100" s="540"/>
      <c r="E100" s="540"/>
      <c r="F100" s="540"/>
      <c r="G100" s="540"/>
      <c r="H100" s="540"/>
      <c r="I100" s="540"/>
      <c r="J100" s="540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158"/>
    </row>
    <row r="101" spans="3:22" ht="12.75">
      <c r="C101" s="158"/>
      <c r="D101" s="158"/>
      <c r="E101" s="158"/>
      <c r="F101" s="158"/>
      <c r="G101" s="158"/>
      <c r="H101" s="158"/>
      <c r="I101" s="158"/>
      <c r="J101" s="158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158"/>
    </row>
    <row r="102" spans="3:22" ht="12.75">
      <c r="C102" s="158"/>
      <c r="D102" s="158"/>
      <c r="E102" s="158"/>
      <c r="F102" s="158"/>
      <c r="G102" s="158"/>
      <c r="H102" s="158"/>
      <c r="I102" s="158"/>
      <c r="J102" s="158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158"/>
    </row>
    <row r="103" spans="1:22" ht="13.5" thickBot="1">
      <c r="A103" s="25"/>
      <c r="B103" s="25"/>
      <c r="C103" s="25"/>
      <c r="D103" s="25"/>
      <c r="E103" s="25"/>
      <c r="F103" s="25"/>
      <c r="G103" s="25"/>
      <c r="H103" s="158"/>
      <c r="I103" s="158"/>
      <c r="J103" s="158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158"/>
    </row>
    <row r="104" spans="1:22" ht="13.5" thickTop="1">
      <c r="A104" s="592" t="s">
        <v>670</v>
      </c>
      <c r="B104" s="593"/>
      <c r="C104" s="593"/>
      <c r="D104" s="593"/>
      <c r="E104" s="593"/>
      <c r="F104" s="593"/>
      <c r="G104" s="593"/>
      <c r="H104" s="158"/>
      <c r="I104" s="158"/>
      <c r="J104" s="158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158"/>
    </row>
    <row r="105" spans="1:22" ht="13.5" thickBot="1">
      <c r="A105" s="594"/>
      <c r="B105" s="594"/>
      <c r="C105" s="594"/>
      <c r="D105" s="594"/>
      <c r="E105" s="594"/>
      <c r="F105" s="594"/>
      <c r="G105" s="594"/>
      <c r="H105" s="158"/>
      <c r="I105" s="158"/>
      <c r="J105" s="158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158"/>
    </row>
    <row r="106" spans="1:22" ht="12.75">
      <c r="A106" s="584" t="s">
        <v>231</v>
      </c>
      <c r="B106" s="585"/>
      <c r="C106" s="585"/>
      <c r="D106" s="595" t="s">
        <v>49</v>
      </c>
      <c r="E106" s="596"/>
      <c r="F106" s="520" t="s">
        <v>50</v>
      </c>
      <c r="G106" s="614"/>
      <c r="H106" s="158"/>
      <c r="I106" s="158"/>
      <c r="J106" s="158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158"/>
    </row>
    <row r="107" spans="1:22" ht="12.75">
      <c r="A107" s="586"/>
      <c r="B107" s="587"/>
      <c r="C107" s="587"/>
      <c r="D107" s="559" t="s">
        <v>248</v>
      </c>
      <c r="E107" s="317"/>
      <c r="F107" s="559" t="s">
        <v>248</v>
      </c>
      <c r="G107" s="581"/>
      <c r="H107" s="158"/>
      <c r="I107" s="158"/>
      <c r="J107" s="158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158"/>
    </row>
    <row r="108" spans="1:22" ht="12.75">
      <c r="A108" s="563" t="s">
        <v>72</v>
      </c>
      <c r="B108" s="274"/>
      <c r="C108" s="233" t="s">
        <v>71</v>
      </c>
      <c r="D108" s="317"/>
      <c r="E108" s="317"/>
      <c r="F108" s="317"/>
      <c r="G108" s="581"/>
      <c r="H108" s="158"/>
      <c r="I108" s="158"/>
      <c r="J108" s="15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158"/>
    </row>
    <row r="109" spans="1:22" ht="12.75">
      <c r="A109" s="567"/>
      <c r="B109" s="368"/>
      <c r="C109" s="299"/>
      <c r="D109" s="318"/>
      <c r="E109" s="318"/>
      <c r="F109" s="318"/>
      <c r="G109" s="582"/>
      <c r="H109" s="158"/>
      <c r="I109" s="158"/>
      <c r="J109" s="158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158"/>
    </row>
    <row r="110" spans="1:22" ht="12.75">
      <c r="A110" s="563" t="s">
        <v>218</v>
      </c>
      <c r="B110" s="274"/>
      <c r="C110" s="274"/>
      <c r="D110" s="430">
        <v>0.059</v>
      </c>
      <c r="E110" s="566"/>
      <c r="F110" s="564"/>
      <c r="G110" s="565"/>
      <c r="H110" s="158"/>
      <c r="I110" s="158"/>
      <c r="J110" s="158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158"/>
    </row>
    <row r="111" spans="1:22" ht="12.75">
      <c r="A111" s="563" t="s">
        <v>217</v>
      </c>
      <c r="B111" s="274"/>
      <c r="C111" s="274"/>
      <c r="D111" s="566">
        <v>0.034</v>
      </c>
      <c r="E111" s="566"/>
      <c r="F111" s="564"/>
      <c r="G111" s="56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158"/>
    </row>
    <row r="112" spans="1:22" ht="12.75">
      <c r="A112" s="563" t="s">
        <v>105</v>
      </c>
      <c r="B112" s="274"/>
      <c r="C112" s="274"/>
      <c r="D112" s="297">
        <v>0.037</v>
      </c>
      <c r="E112" s="315"/>
      <c r="F112" s="572"/>
      <c r="G112" s="547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58"/>
    </row>
    <row r="113" spans="1:22" ht="12.75">
      <c r="A113" s="563" t="s">
        <v>108</v>
      </c>
      <c r="B113" s="274"/>
      <c r="C113" s="274"/>
      <c r="D113" s="573">
        <v>0.036</v>
      </c>
      <c r="E113" s="274"/>
      <c r="F113" s="572"/>
      <c r="G113" s="547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58"/>
    </row>
    <row r="114" spans="1:22" ht="13.5" thickBot="1">
      <c r="A114" s="568" t="s">
        <v>232</v>
      </c>
      <c r="B114" s="476"/>
      <c r="C114" s="476"/>
      <c r="D114" s="599">
        <v>0.016</v>
      </c>
      <c r="E114" s="599"/>
      <c r="F114" s="600"/>
      <c r="G114" s="535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58"/>
    </row>
    <row r="115" spans="1:22" ht="12.75">
      <c r="A115" s="74"/>
      <c r="B115" s="75"/>
      <c r="C115" s="75"/>
      <c r="F115" s="34"/>
      <c r="G115" s="34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58"/>
    </row>
    <row r="116" spans="1:22" ht="12.75">
      <c r="A116" s="65"/>
      <c r="B116" s="65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158"/>
    </row>
    <row r="117" spans="1:22" ht="13.5" thickBot="1">
      <c r="A117" s="74"/>
      <c r="B117" s="75"/>
      <c r="C117" s="75"/>
      <c r="D117" s="34"/>
      <c r="E117" s="34"/>
      <c r="F117" s="34"/>
      <c r="G117" s="34"/>
      <c r="H117" s="34"/>
      <c r="I117" s="34"/>
      <c r="J117" s="34"/>
      <c r="K117" s="34"/>
      <c r="L117" s="29"/>
      <c r="N117" s="158"/>
      <c r="O117" s="158"/>
      <c r="P117" s="158"/>
      <c r="Q117" s="158"/>
      <c r="R117" s="158"/>
      <c r="S117" s="158"/>
      <c r="T117" s="158"/>
      <c r="U117" s="158"/>
      <c r="V117" s="158"/>
    </row>
    <row r="118" spans="1:22" ht="13.5" thickTop="1">
      <c r="A118" s="569" t="s">
        <v>672</v>
      </c>
      <c r="B118" s="560"/>
      <c r="C118" s="560"/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  <c r="N118" s="158"/>
      <c r="O118" s="158"/>
      <c r="P118" s="158"/>
      <c r="Q118" s="158"/>
      <c r="R118" s="158"/>
      <c r="S118" s="158"/>
      <c r="T118" s="158"/>
      <c r="U118" s="158"/>
      <c r="V118" s="158"/>
    </row>
    <row r="119" spans="1:22" ht="13.5" thickBot="1">
      <c r="A119" s="570"/>
      <c r="B119" s="570"/>
      <c r="C119" s="570"/>
      <c r="D119" s="570"/>
      <c r="E119" s="570"/>
      <c r="F119" s="570"/>
      <c r="G119" s="570"/>
      <c r="H119" s="570"/>
      <c r="I119" s="570"/>
      <c r="J119" s="570"/>
      <c r="K119" s="570"/>
      <c r="L119" s="570"/>
      <c r="M119" s="570"/>
      <c r="N119" s="158"/>
      <c r="O119" s="158"/>
      <c r="P119" s="158"/>
      <c r="Q119" s="158"/>
      <c r="R119" s="158"/>
      <c r="S119" s="158"/>
      <c r="T119" s="158"/>
      <c r="U119" s="158"/>
      <c r="V119" s="158"/>
    </row>
    <row r="120" spans="1:22" ht="12.75">
      <c r="A120" s="647" t="s">
        <v>231</v>
      </c>
      <c r="B120" s="648"/>
      <c r="C120" s="648"/>
      <c r="D120" s="557" t="s">
        <v>49</v>
      </c>
      <c r="E120" s="314"/>
      <c r="F120" s="314"/>
      <c r="G120" s="314"/>
      <c r="H120" s="314"/>
      <c r="I120" s="650" t="s">
        <v>719</v>
      </c>
      <c r="J120" s="651"/>
      <c r="K120" s="651"/>
      <c r="L120" s="651"/>
      <c r="M120" s="652"/>
      <c r="N120" s="158"/>
      <c r="O120" s="158"/>
      <c r="P120" s="158"/>
      <c r="Q120" s="158"/>
      <c r="R120" s="158"/>
      <c r="S120" s="158"/>
      <c r="T120" s="158"/>
      <c r="U120" s="158"/>
      <c r="V120" s="158"/>
    </row>
    <row r="121" spans="1:22" ht="12.75">
      <c r="A121" s="586"/>
      <c r="B121" s="587"/>
      <c r="C121" s="587"/>
      <c r="D121" s="634" t="s">
        <v>253</v>
      </c>
      <c r="E121" s="358"/>
      <c r="F121" s="358"/>
      <c r="G121" s="634" t="s">
        <v>256</v>
      </c>
      <c r="H121" s="358"/>
      <c r="I121" s="634" t="s">
        <v>253</v>
      </c>
      <c r="J121" s="358"/>
      <c r="K121" s="358"/>
      <c r="L121" s="634" t="s">
        <v>256</v>
      </c>
      <c r="M121" s="654"/>
      <c r="N121" s="158"/>
      <c r="O121" s="158"/>
      <c r="P121" s="158"/>
      <c r="Q121" s="158"/>
      <c r="R121" s="158"/>
      <c r="S121" s="158"/>
      <c r="T121" s="158"/>
      <c r="U121" s="158"/>
      <c r="V121" s="158"/>
    </row>
    <row r="122" spans="1:22" ht="12.75">
      <c r="A122" s="563" t="s">
        <v>72</v>
      </c>
      <c r="B122" s="274"/>
      <c r="C122" s="233" t="s">
        <v>70</v>
      </c>
      <c r="D122" s="358"/>
      <c r="E122" s="358"/>
      <c r="F122" s="358"/>
      <c r="G122" s="358"/>
      <c r="H122" s="358"/>
      <c r="I122" s="358"/>
      <c r="J122" s="358"/>
      <c r="K122" s="358"/>
      <c r="L122" s="358"/>
      <c r="M122" s="654"/>
      <c r="N122" s="158"/>
      <c r="O122" s="158"/>
      <c r="P122" s="158"/>
      <c r="Q122" s="158"/>
      <c r="R122" s="158"/>
      <c r="S122" s="158"/>
      <c r="T122" s="158"/>
      <c r="U122" s="158"/>
      <c r="V122" s="158"/>
    </row>
    <row r="123" spans="1:22" ht="14.25">
      <c r="A123" s="571"/>
      <c r="B123" s="295"/>
      <c r="C123" s="295"/>
      <c r="D123" s="649" t="s">
        <v>254</v>
      </c>
      <c r="E123" s="359"/>
      <c r="F123" s="144" t="s">
        <v>255</v>
      </c>
      <c r="G123" s="653" t="s">
        <v>257</v>
      </c>
      <c r="H123" s="274"/>
      <c r="I123" s="649" t="s">
        <v>254</v>
      </c>
      <c r="J123" s="359"/>
      <c r="K123" s="144" t="s">
        <v>255</v>
      </c>
      <c r="L123" s="653" t="s">
        <v>257</v>
      </c>
      <c r="M123" s="297"/>
      <c r="N123" s="158"/>
      <c r="O123" s="158"/>
      <c r="P123" s="158"/>
      <c r="Q123" s="158"/>
      <c r="R123" s="158"/>
      <c r="S123" s="158"/>
      <c r="T123" s="158"/>
      <c r="U123" s="158"/>
      <c r="V123" s="158"/>
    </row>
    <row r="124" spans="1:22" ht="12.75">
      <c r="A124" s="563" t="s">
        <v>218</v>
      </c>
      <c r="B124" s="274"/>
      <c r="C124" s="274"/>
      <c r="D124" s="656">
        <v>0.424</v>
      </c>
      <c r="E124" s="656"/>
      <c r="F124" s="4">
        <v>0.576</v>
      </c>
      <c r="G124" s="292">
        <v>0.316</v>
      </c>
      <c r="H124" s="292"/>
      <c r="I124" s="572">
        <v>0.606</v>
      </c>
      <c r="J124" s="572"/>
      <c r="K124" s="234">
        <v>0.394</v>
      </c>
      <c r="L124" s="572">
        <v>0.215</v>
      </c>
      <c r="M124" s="547"/>
      <c r="N124" s="158"/>
      <c r="O124" s="158"/>
      <c r="P124" s="158"/>
      <c r="Q124" s="158"/>
      <c r="R124" s="158"/>
      <c r="S124" s="158"/>
      <c r="T124" s="158"/>
      <c r="U124" s="158"/>
      <c r="V124" s="158"/>
    </row>
    <row r="125" spans="1:22" ht="12.75">
      <c r="A125" s="563" t="s">
        <v>217</v>
      </c>
      <c r="B125" s="274"/>
      <c r="C125" s="274"/>
      <c r="D125" s="656">
        <v>0.429</v>
      </c>
      <c r="E125" s="656"/>
      <c r="F125" s="4">
        <v>0.571</v>
      </c>
      <c r="G125" s="292">
        <v>0.304</v>
      </c>
      <c r="H125" s="292"/>
      <c r="I125" s="572">
        <v>0.286</v>
      </c>
      <c r="J125" s="572"/>
      <c r="K125" s="234">
        <v>0.714</v>
      </c>
      <c r="L125" s="572">
        <v>0.118</v>
      </c>
      <c r="M125" s="547"/>
      <c r="N125" s="158"/>
      <c r="O125" s="158"/>
      <c r="P125" s="158"/>
      <c r="Q125" s="158"/>
      <c r="R125" s="158"/>
      <c r="S125" s="158"/>
      <c r="T125" s="158"/>
      <c r="U125" s="158"/>
      <c r="V125" s="158"/>
    </row>
    <row r="126" spans="1:13" ht="12.75">
      <c r="A126" s="563" t="s">
        <v>105</v>
      </c>
      <c r="B126" s="274"/>
      <c r="C126" s="274"/>
      <c r="D126" s="274">
        <v>0.517</v>
      </c>
      <c r="E126" s="274"/>
      <c r="F126" s="120">
        <v>0.483</v>
      </c>
      <c r="G126" s="455">
        <v>0.365</v>
      </c>
      <c r="H126" s="455"/>
      <c r="I126" s="572">
        <v>0.385</v>
      </c>
      <c r="J126" s="572"/>
      <c r="K126" s="234">
        <v>0.615</v>
      </c>
      <c r="L126" s="572">
        <v>0.234</v>
      </c>
      <c r="M126" s="547"/>
    </row>
    <row r="127" spans="1:13" ht="12.75">
      <c r="A127" s="563" t="s">
        <v>108</v>
      </c>
      <c r="B127" s="274"/>
      <c r="C127" s="274"/>
      <c r="D127" s="274">
        <v>0.364</v>
      </c>
      <c r="E127" s="274"/>
      <c r="F127" s="120">
        <v>0.636</v>
      </c>
      <c r="G127" s="455">
        <v>0.41</v>
      </c>
      <c r="H127" s="455"/>
      <c r="I127" s="572">
        <v>0.8</v>
      </c>
      <c r="J127" s="572"/>
      <c r="K127" s="234">
        <v>0.2</v>
      </c>
      <c r="L127" s="572">
        <v>0.225</v>
      </c>
      <c r="M127" s="547"/>
    </row>
    <row r="128" spans="1:13" ht="13.5" thickBot="1">
      <c r="A128" s="568" t="s">
        <v>232</v>
      </c>
      <c r="B128" s="476"/>
      <c r="C128" s="476"/>
      <c r="D128" s="476">
        <v>0.432</v>
      </c>
      <c r="E128" s="476"/>
      <c r="F128" s="122">
        <v>0.568</v>
      </c>
      <c r="G128" s="475">
        <v>0.274</v>
      </c>
      <c r="H128" s="475"/>
      <c r="I128" s="655">
        <v>0.474</v>
      </c>
      <c r="J128" s="655"/>
      <c r="K128" s="235">
        <v>0.526</v>
      </c>
      <c r="L128" s="655">
        <v>0.228</v>
      </c>
      <c r="M128" s="535"/>
    </row>
  </sheetData>
  <sheetProtection/>
  <mergeCells count="266">
    <mergeCell ref="A67:B67"/>
    <mergeCell ref="N16:T16"/>
    <mergeCell ref="N18:T18"/>
    <mergeCell ref="N20:T20"/>
    <mergeCell ref="N15:O15"/>
    <mergeCell ref="N17:O17"/>
    <mergeCell ref="N22:T23"/>
    <mergeCell ref="N19:O19"/>
    <mergeCell ref="N21:O21"/>
    <mergeCell ref="K65:L65"/>
    <mergeCell ref="A59:B59"/>
    <mergeCell ref="A60:B60"/>
    <mergeCell ref="E57:F57"/>
    <mergeCell ref="G2:J3"/>
    <mergeCell ref="G4:G6"/>
    <mergeCell ref="J4:J6"/>
    <mergeCell ref="G19:J19"/>
    <mergeCell ref="A45:B45"/>
    <mergeCell ref="C31:L31"/>
    <mergeCell ref="E32:F32"/>
    <mergeCell ref="A61:B61"/>
    <mergeCell ref="G57:H57"/>
    <mergeCell ref="A68:B68"/>
    <mergeCell ref="A69:B69"/>
    <mergeCell ref="A70:B70"/>
    <mergeCell ref="A64:B66"/>
    <mergeCell ref="C64:L64"/>
    <mergeCell ref="C65:D65"/>
    <mergeCell ref="E65:F65"/>
    <mergeCell ref="G65:H65"/>
    <mergeCell ref="I65:J65"/>
    <mergeCell ref="I57:J57"/>
    <mergeCell ref="K57:L57"/>
    <mergeCell ref="A53:L54"/>
    <mergeCell ref="A55:A56"/>
    <mergeCell ref="B55:B56"/>
    <mergeCell ref="C55:L55"/>
    <mergeCell ref="C56:L56"/>
    <mergeCell ref="A57:B58"/>
    <mergeCell ref="C57:D57"/>
    <mergeCell ref="A46:B46"/>
    <mergeCell ref="A47:B47"/>
    <mergeCell ref="A32:B33"/>
    <mergeCell ref="C32:D32"/>
    <mergeCell ref="A35:B35"/>
    <mergeCell ref="A36:B36"/>
    <mergeCell ref="A41:B43"/>
    <mergeCell ref="K42:L42"/>
    <mergeCell ref="L124:M124"/>
    <mergeCell ref="L125:M125"/>
    <mergeCell ref="L126:M126"/>
    <mergeCell ref="K32:L32"/>
    <mergeCell ref="A30:A31"/>
    <mergeCell ref="B30:B31"/>
    <mergeCell ref="C30:L30"/>
    <mergeCell ref="G32:H32"/>
    <mergeCell ref="I32:J32"/>
    <mergeCell ref="D128:E128"/>
    <mergeCell ref="I127:J127"/>
    <mergeCell ref="I126:J126"/>
    <mergeCell ref="A44:B44"/>
    <mergeCell ref="A127:C127"/>
    <mergeCell ref="A128:C128"/>
    <mergeCell ref="D124:E124"/>
    <mergeCell ref="D125:E125"/>
    <mergeCell ref="A48:B48"/>
    <mergeCell ref="A49:B49"/>
    <mergeCell ref="L128:M128"/>
    <mergeCell ref="G124:H124"/>
    <mergeCell ref="G125:H125"/>
    <mergeCell ref="I124:J124"/>
    <mergeCell ref="I125:J125"/>
    <mergeCell ref="I128:J128"/>
    <mergeCell ref="G127:H127"/>
    <mergeCell ref="G128:H128"/>
    <mergeCell ref="G126:H126"/>
    <mergeCell ref="D126:E126"/>
    <mergeCell ref="D127:E127"/>
    <mergeCell ref="I121:K122"/>
    <mergeCell ref="L121:M122"/>
    <mergeCell ref="I123:J123"/>
    <mergeCell ref="L123:M123"/>
    <mergeCell ref="L127:M127"/>
    <mergeCell ref="A120:C121"/>
    <mergeCell ref="A122:B122"/>
    <mergeCell ref="D123:E123"/>
    <mergeCell ref="D121:F122"/>
    <mergeCell ref="I120:M120"/>
    <mergeCell ref="G121:H122"/>
    <mergeCell ref="G123:H123"/>
    <mergeCell ref="D120:H120"/>
    <mergeCell ref="Y20:Z20"/>
    <mergeCell ref="W21:X21"/>
    <mergeCell ref="AA6:AA8"/>
    <mergeCell ref="Z5:AA5"/>
    <mergeCell ref="Y21:Z21"/>
    <mergeCell ref="Z6:Z8"/>
    <mergeCell ref="W18:Z19"/>
    <mergeCell ref="A2:D3"/>
    <mergeCell ref="D4:D6"/>
    <mergeCell ref="A4:A6"/>
    <mergeCell ref="A112:C112"/>
    <mergeCell ref="D112:E112"/>
    <mergeCell ref="A78:B78"/>
    <mergeCell ref="A79:B79"/>
    <mergeCell ref="E42:F42"/>
    <mergeCell ref="C41:L41"/>
    <mergeCell ref="C42:D42"/>
    <mergeCell ref="W2:AA3"/>
    <mergeCell ref="G7:J7"/>
    <mergeCell ref="N2:T3"/>
    <mergeCell ref="N6:T6"/>
    <mergeCell ref="A7:D7"/>
    <mergeCell ref="X4:AA4"/>
    <mergeCell ref="W4:W8"/>
    <mergeCell ref="Y6:Y8"/>
    <mergeCell ref="X6:X8"/>
    <mergeCell ref="X5:Y5"/>
    <mergeCell ref="N4:O5"/>
    <mergeCell ref="P4:T4"/>
    <mergeCell ref="N10:O10"/>
    <mergeCell ref="N11:O11"/>
    <mergeCell ref="G13:J13"/>
    <mergeCell ref="N9:O9"/>
    <mergeCell ref="N7:O7"/>
    <mergeCell ref="N8:O8"/>
    <mergeCell ref="W45:X45"/>
    <mergeCell ref="W46:X46"/>
    <mergeCell ref="F106:G106"/>
    <mergeCell ref="N14:T14"/>
    <mergeCell ref="A13:D13"/>
    <mergeCell ref="N12:O12"/>
    <mergeCell ref="N13:O13"/>
    <mergeCell ref="W20:X20"/>
    <mergeCell ref="G42:H42"/>
    <mergeCell ref="I42:J42"/>
    <mergeCell ref="W36:Y39"/>
    <mergeCell ref="W40:X40"/>
    <mergeCell ref="W41:X41"/>
    <mergeCell ref="W42:X42"/>
    <mergeCell ref="W43:X43"/>
    <mergeCell ref="W44:X44"/>
    <mergeCell ref="W27:X27"/>
    <mergeCell ref="Y25:Z25"/>
    <mergeCell ref="A28:L29"/>
    <mergeCell ref="Y28:Z28"/>
    <mergeCell ref="Y26:Z26"/>
    <mergeCell ref="Y27:Z27"/>
    <mergeCell ref="W25:X25"/>
    <mergeCell ref="W26:X26"/>
    <mergeCell ref="W28:X28"/>
    <mergeCell ref="W29:Z30"/>
    <mergeCell ref="Y22:Z22"/>
    <mergeCell ref="Y23:Z23"/>
    <mergeCell ref="Y24:Z24"/>
    <mergeCell ref="W24:X24"/>
    <mergeCell ref="A19:D19"/>
    <mergeCell ref="D114:E114"/>
    <mergeCell ref="F114:G114"/>
    <mergeCell ref="A38:B38"/>
    <mergeCell ref="A39:B39"/>
    <mergeCell ref="A37:B37"/>
    <mergeCell ref="A106:C107"/>
    <mergeCell ref="D107:E109"/>
    <mergeCell ref="F113:G113"/>
    <mergeCell ref="F111:G111"/>
    <mergeCell ref="W22:X22"/>
    <mergeCell ref="W23:X23"/>
    <mergeCell ref="A104:G105"/>
    <mergeCell ref="A110:C110"/>
    <mergeCell ref="D106:E106"/>
    <mergeCell ref="A108:B108"/>
    <mergeCell ref="W47:X47"/>
    <mergeCell ref="W48:X48"/>
    <mergeCell ref="W49:X49"/>
    <mergeCell ref="W50:X50"/>
    <mergeCell ref="W51:X51"/>
    <mergeCell ref="F107:G109"/>
    <mergeCell ref="G94:H94"/>
    <mergeCell ref="I94:J94"/>
    <mergeCell ref="E83:F83"/>
    <mergeCell ref="I82:J82"/>
    <mergeCell ref="W31:Z32"/>
    <mergeCell ref="G78:H78"/>
    <mergeCell ref="G77:J77"/>
    <mergeCell ref="I78:J78"/>
    <mergeCell ref="E80:F80"/>
    <mergeCell ref="A126:C126"/>
    <mergeCell ref="A34:B34"/>
    <mergeCell ref="A76:A77"/>
    <mergeCell ref="B76:B77"/>
    <mergeCell ref="C77:F77"/>
    <mergeCell ref="E78:F78"/>
    <mergeCell ref="C76:J76"/>
    <mergeCell ref="F112:G112"/>
    <mergeCell ref="D113:E113"/>
    <mergeCell ref="I81:J81"/>
    <mergeCell ref="C79:D79"/>
    <mergeCell ref="C80:D80"/>
    <mergeCell ref="C81:D81"/>
    <mergeCell ref="G79:H79"/>
    <mergeCell ref="A111:C111"/>
    <mergeCell ref="A124:C124"/>
    <mergeCell ref="A125:C125"/>
    <mergeCell ref="F110:G110"/>
    <mergeCell ref="D111:E111"/>
    <mergeCell ref="A109:C109"/>
    <mergeCell ref="A114:C114"/>
    <mergeCell ref="A113:C113"/>
    <mergeCell ref="D110:E110"/>
    <mergeCell ref="A118:M119"/>
    <mergeCell ref="A123:C123"/>
    <mergeCell ref="A80:B80"/>
    <mergeCell ref="A81:B81"/>
    <mergeCell ref="E79:F79"/>
    <mergeCell ref="E81:F81"/>
    <mergeCell ref="A74:J75"/>
    <mergeCell ref="I79:J79"/>
    <mergeCell ref="G80:H80"/>
    <mergeCell ref="G81:H81"/>
    <mergeCell ref="I80:J80"/>
    <mergeCell ref="C78:D78"/>
    <mergeCell ref="C83:D83"/>
    <mergeCell ref="G82:H82"/>
    <mergeCell ref="A82:B82"/>
    <mergeCell ref="C82:D82"/>
    <mergeCell ref="A89:J90"/>
    <mergeCell ref="E82:F82"/>
    <mergeCell ref="A93:B93"/>
    <mergeCell ref="C93:D93"/>
    <mergeCell ref="E93:F93"/>
    <mergeCell ref="G93:H93"/>
    <mergeCell ref="B91:B92"/>
    <mergeCell ref="C91:J91"/>
    <mergeCell ref="C92:F92"/>
    <mergeCell ref="G92:J92"/>
    <mergeCell ref="C94:D94"/>
    <mergeCell ref="E94:F94"/>
    <mergeCell ref="G97:H97"/>
    <mergeCell ref="I97:J97"/>
    <mergeCell ref="I83:J83"/>
    <mergeCell ref="A83:B83"/>
    <mergeCell ref="G83:H83"/>
    <mergeCell ref="A91:A92"/>
    <mergeCell ref="G96:H96"/>
    <mergeCell ref="I96:J96"/>
    <mergeCell ref="A99:J100"/>
    <mergeCell ref="A95:B95"/>
    <mergeCell ref="C95:D95"/>
    <mergeCell ref="E95:F95"/>
    <mergeCell ref="G95:H95"/>
    <mergeCell ref="I95:J95"/>
    <mergeCell ref="C96:D96"/>
    <mergeCell ref="E96:F96"/>
    <mergeCell ref="A98:B98"/>
    <mergeCell ref="C98:D98"/>
    <mergeCell ref="E98:F98"/>
    <mergeCell ref="G98:H98"/>
    <mergeCell ref="I98:J98"/>
    <mergeCell ref="A84:J85"/>
    <mergeCell ref="A96:B96"/>
    <mergeCell ref="A97:B97"/>
    <mergeCell ref="C97:D97"/>
    <mergeCell ref="E97:F97"/>
    <mergeCell ref="I93:J93"/>
    <mergeCell ref="A94:B94"/>
  </mergeCells>
  <dataValidations count="1">
    <dataValidation type="list" allowBlank="1" showInputMessage="1" showErrorMessage="1" sqref="C122 B91 B55 B30 B76 C108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5"/>
  <sheetViews>
    <sheetView zoomScalePageLayoutView="0" workbookViewId="0" topLeftCell="A1">
      <selection activeCell="J13" sqref="J13:N13"/>
    </sheetView>
  </sheetViews>
  <sheetFormatPr defaultColWidth="9.140625" defaultRowHeight="12.75"/>
  <cols>
    <col min="1" max="7" width="11.7109375" style="0" customWidth="1"/>
    <col min="8" max="8" width="15.7109375" style="0" customWidth="1"/>
    <col min="9" max="10" width="10.7109375" style="0" customWidth="1"/>
    <col min="11" max="11" width="11.7109375" style="0" customWidth="1"/>
    <col min="12" max="12" width="13.421875" style="0" customWidth="1"/>
    <col min="13" max="14" width="10.7109375" style="0" customWidth="1"/>
    <col min="15" max="15" width="14.28125" style="0" customWidth="1"/>
    <col min="16" max="16" width="63.00390625" style="0" customWidth="1"/>
    <col min="19" max="19" width="16.7109375" style="0" customWidth="1"/>
    <col min="20" max="22" width="13.7109375" style="0" customWidth="1"/>
  </cols>
  <sheetData>
    <row r="1" spans="1:2" ht="13.5" thickBot="1">
      <c r="A1" s="26"/>
      <c r="B1" s="26"/>
    </row>
    <row r="2" spans="1:14" ht="14.25" customHeight="1" thickBot="1" thickTop="1">
      <c r="A2" s="285" t="s">
        <v>404</v>
      </c>
      <c r="B2" s="323"/>
      <c r="C2" s="323"/>
      <c r="D2" s="323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9" ht="14.25">
      <c r="A3" s="378" t="s">
        <v>0</v>
      </c>
      <c r="B3" s="379"/>
      <c r="C3" s="379"/>
      <c r="D3" s="379"/>
      <c r="E3" s="379"/>
      <c r="F3" s="379"/>
      <c r="G3" s="380"/>
      <c r="H3" s="381" t="s">
        <v>8</v>
      </c>
      <c r="I3" s="382"/>
      <c r="J3" s="382"/>
      <c r="K3" s="382"/>
      <c r="L3" s="382"/>
      <c r="M3" s="382"/>
      <c r="N3" s="382"/>
      <c r="S3" s="116" t="s">
        <v>550</v>
      </c>
    </row>
    <row r="4" spans="1:14" ht="13.5" customHeight="1">
      <c r="A4" s="391" t="s">
        <v>1</v>
      </c>
      <c r="B4" s="391"/>
      <c r="C4" s="391"/>
      <c r="D4" s="20"/>
      <c r="E4" s="392" t="s">
        <v>195</v>
      </c>
      <c r="F4" s="393"/>
      <c r="G4" s="394"/>
      <c r="H4" s="395" t="s">
        <v>9</v>
      </c>
      <c r="I4" s="391"/>
      <c r="J4" s="396"/>
      <c r="K4" s="392" t="s">
        <v>196</v>
      </c>
      <c r="L4" s="393"/>
      <c r="M4" s="393"/>
      <c r="N4" s="393"/>
    </row>
    <row r="5" spans="1:21" ht="12.75" customHeight="1">
      <c r="A5" s="383" t="s">
        <v>2</v>
      </c>
      <c r="B5" s="383"/>
      <c r="C5" s="383"/>
      <c r="D5" s="16"/>
      <c r="E5" s="384" t="s">
        <v>51</v>
      </c>
      <c r="F5" s="385"/>
      <c r="G5" s="386"/>
      <c r="H5" s="387" t="s">
        <v>73</v>
      </c>
      <c r="I5" s="388"/>
      <c r="J5" s="389"/>
      <c r="K5" s="390" t="s">
        <v>698</v>
      </c>
      <c r="L5" s="385"/>
      <c r="M5" s="385"/>
      <c r="N5" s="385"/>
      <c r="S5" s="26" t="s">
        <v>551</v>
      </c>
      <c r="T5" s="28">
        <f>IF($J$20&gt;0,IF($J$9="3ST",1,IF($J$9="4ST",1,IF($J$21="Permissive",1,IF($J$21="Protected",0.94,0.99)))),1)</f>
        <v>1</v>
      </c>
      <c r="U5" s="29"/>
    </row>
    <row r="6" spans="1:20" ht="14.25" customHeight="1">
      <c r="A6" s="383" t="s">
        <v>3</v>
      </c>
      <c r="B6" s="383"/>
      <c r="C6" s="383"/>
      <c r="D6" s="16"/>
      <c r="E6" s="397">
        <v>40262</v>
      </c>
      <c r="F6" s="385"/>
      <c r="G6" s="386"/>
      <c r="H6" s="387" t="s">
        <v>11</v>
      </c>
      <c r="I6" s="388"/>
      <c r="J6" s="389"/>
      <c r="K6" s="390" t="s">
        <v>198</v>
      </c>
      <c r="L6" s="385"/>
      <c r="M6" s="385"/>
      <c r="N6" s="385"/>
      <c r="S6" s="26" t="s">
        <v>552</v>
      </c>
      <c r="T6" s="28">
        <f>IF($J$20&gt;1,IF($J$9="3ST",1,IF($J$9="4ST",1,IF($J$22="Permissive",1,IF($J$22="Protected",0.94,0.99)))),1)</f>
        <v>1</v>
      </c>
    </row>
    <row r="7" spans="1:20" ht="12.75">
      <c r="A7" s="402"/>
      <c r="B7" s="402"/>
      <c r="C7" s="402"/>
      <c r="D7" s="23"/>
      <c r="E7" s="387"/>
      <c r="F7" s="388"/>
      <c r="G7" s="389"/>
      <c r="H7" s="387" t="s">
        <v>12</v>
      </c>
      <c r="I7" s="388"/>
      <c r="J7" s="389"/>
      <c r="K7" s="403">
        <v>2010</v>
      </c>
      <c r="L7" s="404"/>
      <c r="M7" s="404"/>
      <c r="N7" s="404"/>
      <c r="S7" s="26" t="s">
        <v>553</v>
      </c>
      <c r="T7" s="28">
        <f>IF($J$20&gt;2,IF($J$9="3ST",1,IF($J$9="4ST",1,IF($J$23="Permissive",1,IF($J$23="Protected",0.94,0.99)))),1)</f>
        <v>1</v>
      </c>
    </row>
    <row r="8" spans="1:20" ht="12.75">
      <c r="A8" s="398" t="s">
        <v>4</v>
      </c>
      <c r="B8" s="399"/>
      <c r="C8" s="399"/>
      <c r="D8" s="399"/>
      <c r="E8" s="399"/>
      <c r="F8" s="399"/>
      <c r="G8" s="400"/>
      <c r="H8" s="401" t="s">
        <v>13</v>
      </c>
      <c r="I8" s="400"/>
      <c r="J8" s="401" t="s">
        <v>15</v>
      </c>
      <c r="K8" s="399"/>
      <c r="L8" s="399"/>
      <c r="M8" s="399"/>
      <c r="N8" s="399"/>
      <c r="S8" s="26" t="s">
        <v>554</v>
      </c>
      <c r="T8" s="28">
        <f>IF($J$9="3SG",1,IF($J$9="3ST",1,IF($J$9="4ST",1,IF($J$24="Permissive",1,IF($J$24="Protected",0.94,0.99)))))</f>
        <v>0.99</v>
      </c>
    </row>
    <row r="9" spans="1:20" ht="13.5" thickBot="1">
      <c r="A9" s="367" t="s">
        <v>405</v>
      </c>
      <c r="B9" s="368"/>
      <c r="C9" s="368"/>
      <c r="D9" s="368"/>
      <c r="E9" s="368"/>
      <c r="F9" s="368"/>
      <c r="G9" s="299"/>
      <c r="H9" s="406" t="s">
        <v>14</v>
      </c>
      <c r="I9" s="396"/>
      <c r="J9" s="738" t="s">
        <v>78</v>
      </c>
      <c r="K9" s="408"/>
      <c r="L9" s="408"/>
      <c r="M9" s="408"/>
      <c r="N9" s="408"/>
      <c r="P9" t="str">
        <f>IF($J$9="3ST","Unsignalized three-leg intersection (stop control on minor-road approaches)",IF($J$9="3SG","Signalized three-leg intersections",IF($J$9="4ST","Unsignalized four-leg intersection (stop control on minor-road approaches)","Signalized four-leg intersections")))</f>
        <v>Signalized four-leg intersections</v>
      </c>
      <c r="S9" s="26" t="s">
        <v>555</v>
      </c>
      <c r="T9" s="12">
        <f>T5*T6*T7*T8</f>
        <v>0.99</v>
      </c>
    </row>
    <row r="10" spans="1:15" ht="16.5" thickBot="1">
      <c r="A10" s="367" t="s">
        <v>406</v>
      </c>
      <c r="B10" s="368"/>
      <c r="C10" s="368"/>
      <c r="D10" s="737"/>
      <c r="E10" s="248" t="s">
        <v>708</v>
      </c>
      <c r="F10" s="250">
        <f>IF($J$9="3ST",45700,IF($J$9="4ST",46800,IF($J$9="3SG",58100,67700)))</f>
        <v>67700</v>
      </c>
      <c r="G10" s="249" t="s">
        <v>707</v>
      </c>
      <c r="H10" s="371" t="s">
        <v>14</v>
      </c>
      <c r="I10" s="299"/>
      <c r="J10" s="739">
        <v>14000</v>
      </c>
      <c r="K10" s="740"/>
      <c r="L10" s="740"/>
      <c r="M10" s="740"/>
      <c r="N10" s="740"/>
      <c r="O10" s="160" t="str">
        <f>IF(J10&gt;F10,"AADT out of range","AADT OK")</f>
        <v>AADT OK</v>
      </c>
    </row>
    <row r="11" spans="1:15" ht="16.5" thickBot="1">
      <c r="A11" s="367" t="s">
        <v>407</v>
      </c>
      <c r="B11" s="368"/>
      <c r="C11" s="368"/>
      <c r="D11" s="737"/>
      <c r="E11" s="248" t="s">
        <v>708</v>
      </c>
      <c r="F11" s="250">
        <f>IF($J$9="3ST",9300,IF($J$9="4ST",5900,IF($J$9="3SG",16400,33400)))</f>
        <v>33400</v>
      </c>
      <c r="G11" s="249" t="s">
        <v>707</v>
      </c>
      <c r="H11" s="371" t="s">
        <v>14</v>
      </c>
      <c r="I11" s="299"/>
      <c r="J11" s="410">
        <v>4000</v>
      </c>
      <c r="K11" s="411"/>
      <c r="L11" s="411"/>
      <c r="M11" s="411"/>
      <c r="N11" s="411"/>
      <c r="O11" s="160" t="str">
        <f>IF(J11&gt;F11,"AADT out of range","AADT OK")</f>
        <v>AADT OK</v>
      </c>
    </row>
    <row r="12" spans="1:14" ht="12.75">
      <c r="A12" s="367" t="s">
        <v>74</v>
      </c>
      <c r="B12" s="368"/>
      <c r="C12" s="368"/>
      <c r="D12" s="368"/>
      <c r="E12" s="368"/>
      <c r="F12" s="368"/>
      <c r="G12" s="299"/>
      <c r="H12" s="377" t="s">
        <v>60</v>
      </c>
      <c r="I12" s="299"/>
      <c r="J12" s="414" t="s">
        <v>60</v>
      </c>
      <c r="K12" s="414"/>
      <c r="L12" s="414"/>
      <c r="M12" s="414"/>
      <c r="N12" s="414"/>
    </row>
    <row r="13" spans="1:19" ht="15.75">
      <c r="A13" s="367" t="s">
        <v>408</v>
      </c>
      <c r="B13" s="368"/>
      <c r="C13" s="368"/>
      <c r="D13" s="368"/>
      <c r="E13" s="368"/>
      <c r="F13" s="368"/>
      <c r="G13" s="299"/>
      <c r="H13" s="733">
        <v>1</v>
      </c>
      <c r="I13" s="734"/>
      <c r="J13" s="735">
        <f>VLOOKUP(J9,'Construction - do not delete'!F71:G74,2,FALSE)</f>
        <v>1.05</v>
      </c>
      <c r="K13" s="736"/>
      <c r="L13" s="736"/>
      <c r="M13" s="736"/>
      <c r="N13" s="736"/>
      <c r="O13" s="29" t="s">
        <v>722</v>
      </c>
      <c r="S13" s="116" t="s">
        <v>560</v>
      </c>
    </row>
    <row r="14" spans="1:14" ht="12.75">
      <c r="A14" s="367" t="s">
        <v>409</v>
      </c>
      <c r="B14" s="368"/>
      <c r="C14" s="368"/>
      <c r="D14" s="368"/>
      <c r="E14" s="368"/>
      <c r="F14" s="368"/>
      <c r="G14" s="299"/>
      <c r="H14" s="371" t="s">
        <v>14</v>
      </c>
      <c r="I14" s="299"/>
      <c r="J14" s="680" t="s">
        <v>14</v>
      </c>
      <c r="K14" s="399"/>
      <c r="L14" s="399"/>
      <c r="M14" s="399"/>
      <c r="N14" s="399"/>
    </row>
    <row r="15" spans="1:22" ht="15.75">
      <c r="A15" s="732" t="s">
        <v>541</v>
      </c>
      <c r="B15" s="678"/>
      <c r="C15" s="678"/>
      <c r="D15" s="678"/>
      <c r="E15" s="678"/>
      <c r="F15" s="678"/>
      <c r="G15" s="679"/>
      <c r="H15" s="371">
        <v>0</v>
      </c>
      <c r="I15" s="299"/>
      <c r="J15" s="413">
        <v>1</v>
      </c>
      <c r="K15" s="418"/>
      <c r="L15" s="418"/>
      <c r="M15" s="418"/>
      <c r="N15" s="418"/>
      <c r="S15" s="145" t="s">
        <v>561</v>
      </c>
      <c r="T15" s="206">
        <f>IF('Intersection Tables'!$C$33="No",(IF($J$9="3ST",'Intersection Tables'!$D$39,IF($J$9="3SG",'Intersection Tables'!$F$39,IF($J$9="4ST",'Intersection Tables'!$H$39,'Intersection Tables'!$J$39)))),(IF($J$9="3ST",'Intersection Tables'!$D$48,IF($J$9="3SG",'Intersection Tables'!$F$48,IF($J$9="4ST",'Intersection Tables'!$H$48,'Intersection Tables'!$J$48)))))</f>
        <v>0.236</v>
      </c>
      <c r="U15" s="145" t="s">
        <v>567</v>
      </c>
      <c r="V15" s="206">
        <f>IF('Intersection Tables'!$C$33="No",(IF($J$9="3ST",'Intersection Tables'!$D$37,IF($J$9="3SG",'Intersection Tables'!$F$37,IF($J$9="4ST",'Intersection Tables'!$H$37,'Intersection Tables'!$J$37)))),(IF($J$9="3ST",'Intersection Tables'!$D$46,IF($J$9="3SG",'Intersection Tables'!$F$46,IF($J$9="4ST",'Intersection Tables'!$H$46,'Intersection Tables'!$J$46)))))</f>
        <v>0.501</v>
      </c>
    </row>
    <row r="16" spans="1:22" ht="15.75">
      <c r="A16" s="732" t="s">
        <v>542</v>
      </c>
      <c r="B16" s="678"/>
      <c r="C16" s="678"/>
      <c r="D16" s="678"/>
      <c r="E16" s="678"/>
      <c r="F16" s="678"/>
      <c r="G16" s="679"/>
      <c r="H16" s="371">
        <v>0</v>
      </c>
      <c r="I16" s="299"/>
      <c r="J16" s="413">
        <v>0</v>
      </c>
      <c r="K16" s="418"/>
      <c r="L16" s="418"/>
      <c r="M16" s="418"/>
      <c r="N16" s="418"/>
      <c r="S16" s="145" t="s">
        <v>562</v>
      </c>
      <c r="T16" s="206">
        <f>IF('Intersection Tables'!$C$33="No",(IF($J$9="3ST",'Intersection Tables'!$E$39,IF($J$9="3SG",'Intersection Tables'!$G$39,IF($J$9="4ST",'Intersection Tables'!$I$39,'Intersection Tables'!$K$39)))),(IF($J$9="3ST",'Intersection Tables'!$E$48,IF($J$9="3SG",'Intersection Tables'!$G$48,IF($J$9="4ST",'Intersection Tables'!$I$48,'Intersection Tables'!$K$48)))))</f>
        <v>0.215</v>
      </c>
      <c r="U16" s="145" t="s">
        <v>568</v>
      </c>
      <c r="V16" s="206">
        <f>IF('Intersection Tables'!$C$33="No",(IF($J$9="3ST",'Intersection Tables'!$E$37,IF($J$9="3SG",'Intersection Tables'!$G$37,IF($J$9="4ST",'Intersection Tables'!$I$37,'Intersection Tables'!$K$37)))),(IF($J$9="3ST",'Intersection Tables'!$E$46,IF($J$9="3SG",'Intersection Tables'!$G$46,IF($J$9="4ST",'Intersection Tables'!$I$46,'Intersection Tables'!$K$46)))))</f>
        <v>0.402</v>
      </c>
    </row>
    <row r="17" spans="1:22" ht="15.75">
      <c r="A17" s="367" t="s">
        <v>540</v>
      </c>
      <c r="B17" s="368"/>
      <c r="C17" s="368"/>
      <c r="D17" s="368"/>
      <c r="E17" s="368"/>
      <c r="F17" s="368"/>
      <c r="G17" s="299"/>
      <c r="H17" s="371" t="s">
        <v>14</v>
      </c>
      <c r="I17" s="299"/>
      <c r="J17" s="680" t="s">
        <v>14</v>
      </c>
      <c r="K17" s="399"/>
      <c r="L17" s="399"/>
      <c r="M17" s="399"/>
      <c r="N17" s="399"/>
      <c r="S17" s="145" t="s">
        <v>563</v>
      </c>
      <c r="T17" s="206">
        <f>+$K$52</f>
        <v>0.9901916857846201</v>
      </c>
      <c r="U17" s="145" t="s">
        <v>563</v>
      </c>
      <c r="V17" s="206">
        <f>+$K$52</f>
        <v>0.9901916857846201</v>
      </c>
    </row>
    <row r="18" spans="1:22" ht="15.75">
      <c r="A18" s="732" t="s">
        <v>558</v>
      </c>
      <c r="B18" s="678"/>
      <c r="C18" s="678"/>
      <c r="D18" s="678"/>
      <c r="E18" s="678"/>
      <c r="F18" s="678"/>
      <c r="G18" s="679"/>
      <c r="H18" s="371">
        <v>0</v>
      </c>
      <c r="I18" s="299"/>
      <c r="J18" s="413">
        <v>0</v>
      </c>
      <c r="K18" s="418"/>
      <c r="L18" s="418"/>
      <c r="M18" s="418"/>
      <c r="N18" s="418"/>
      <c r="S18" s="145" t="s">
        <v>564</v>
      </c>
      <c r="T18" s="206">
        <f>+$K$54</f>
        <v>2.113899281688025</v>
      </c>
      <c r="U18" s="145" t="s">
        <v>564</v>
      </c>
      <c r="V18" s="206">
        <f>+$K$54</f>
        <v>2.113899281688025</v>
      </c>
    </row>
    <row r="19" spans="1:22" ht="15.75">
      <c r="A19" s="732" t="s">
        <v>556</v>
      </c>
      <c r="B19" s="678"/>
      <c r="C19" s="678"/>
      <c r="D19" s="678"/>
      <c r="E19" s="678"/>
      <c r="F19" s="678"/>
      <c r="G19" s="679"/>
      <c r="H19" s="371">
        <v>0</v>
      </c>
      <c r="I19" s="299"/>
      <c r="J19" s="413">
        <v>0</v>
      </c>
      <c r="K19" s="418"/>
      <c r="L19" s="418"/>
      <c r="M19" s="418"/>
      <c r="N19" s="418"/>
      <c r="S19" s="145" t="s">
        <v>565</v>
      </c>
      <c r="T19" s="206">
        <f>+$H$83</f>
        <v>0.2279169380216383</v>
      </c>
      <c r="U19" s="145" t="s">
        <v>565</v>
      </c>
      <c r="V19" s="206">
        <f>+$H$83</f>
        <v>0.2279169380216383</v>
      </c>
    </row>
    <row r="20" spans="1:22" ht="15.75">
      <c r="A20" s="732" t="s">
        <v>557</v>
      </c>
      <c r="B20" s="678"/>
      <c r="C20" s="678"/>
      <c r="D20" s="678"/>
      <c r="E20" s="678"/>
      <c r="F20" s="678"/>
      <c r="G20" s="679"/>
      <c r="H20" s="371" t="s">
        <v>14</v>
      </c>
      <c r="I20" s="299"/>
      <c r="J20" s="413">
        <v>0</v>
      </c>
      <c r="K20" s="418"/>
      <c r="L20" s="418"/>
      <c r="M20" s="418"/>
      <c r="N20" s="418"/>
      <c r="S20" s="145" t="s">
        <v>566</v>
      </c>
      <c r="T20" s="206">
        <f>((+T15*T17)+(+T16*T18))/(+T17+T18+T19)</f>
        <v>0.20653419887550034</v>
      </c>
      <c r="U20" s="145" t="s">
        <v>569</v>
      </c>
      <c r="V20" s="206">
        <f>((+V15*V17)+(+V16*V18))/(+V17+V18+V19)</f>
        <v>0.40392267485242617</v>
      </c>
    </row>
    <row r="21" spans="1:14" ht="12.75">
      <c r="A21" s="677" t="s">
        <v>548</v>
      </c>
      <c r="B21" s="678"/>
      <c r="C21" s="678"/>
      <c r="D21" s="678"/>
      <c r="E21" s="678"/>
      <c r="F21" s="678"/>
      <c r="G21" s="679"/>
      <c r="H21" s="377" t="s">
        <v>415</v>
      </c>
      <c r="I21" s="299"/>
      <c r="J21" s="413" t="s">
        <v>545</v>
      </c>
      <c r="K21" s="418"/>
      <c r="L21" s="418"/>
      <c r="M21" s="418"/>
      <c r="N21" s="418"/>
    </row>
    <row r="22" spans="1:20" ht="15.75">
      <c r="A22" s="677" t="s">
        <v>549</v>
      </c>
      <c r="B22" s="678"/>
      <c r="C22" s="678"/>
      <c r="D22" s="678"/>
      <c r="E22" s="678"/>
      <c r="F22" s="678"/>
      <c r="G22" s="679"/>
      <c r="H22" s="371" t="s">
        <v>14</v>
      </c>
      <c r="I22" s="299"/>
      <c r="J22" s="413" t="s">
        <v>545</v>
      </c>
      <c r="K22" s="418"/>
      <c r="L22" s="418"/>
      <c r="M22" s="418"/>
      <c r="N22" s="418"/>
      <c r="S22" s="145" t="s">
        <v>570</v>
      </c>
      <c r="T22" s="12">
        <f>1-(T20*(1-0.74))-(V20*(1-1.18))</f>
        <v>1.0190071897658066</v>
      </c>
    </row>
    <row r="23" spans="1:14" ht="12.75">
      <c r="A23" s="677" t="s">
        <v>547</v>
      </c>
      <c r="B23" s="678"/>
      <c r="C23" s="678"/>
      <c r="D23" s="678"/>
      <c r="E23" s="678"/>
      <c r="F23" s="678"/>
      <c r="G23" s="679"/>
      <c r="H23" s="371" t="s">
        <v>14</v>
      </c>
      <c r="I23" s="299"/>
      <c r="J23" s="413" t="s">
        <v>545</v>
      </c>
      <c r="K23" s="418"/>
      <c r="L23" s="418"/>
      <c r="M23" s="418"/>
      <c r="N23" s="418"/>
    </row>
    <row r="24" spans="1:14" ht="12.75">
      <c r="A24" s="677" t="s">
        <v>546</v>
      </c>
      <c r="B24" s="678"/>
      <c r="C24" s="678"/>
      <c r="D24" s="678"/>
      <c r="E24" s="678"/>
      <c r="F24" s="678"/>
      <c r="G24" s="679"/>
      <c r="H24" s="371" t="s">
        <v>14</v>
      </c>
      <c r="I24" s="299"/>
      <c r="J24" s="413" t="s">
        <v>545</v>
      </c>
      <c r="K24" s="418"/>
      <c r="L24" s="418"/>
      <c r="M24" s="418"/>
      <c r="N24" s="418"/>
    </row>
    <row r="25" spans="1:14" ht="12.75">
      <c r="A25" s="677" t="s">
        <v>559</v>
      </c>
      <c r="B25" s="678"/>
      <c r="C25" s="678"/>
      <c r="D25" s="678"/>
      <c r="E25" s="678"/>
      <c r="F25" s="678"/>
      <c r="G25" s="679"/>
      <c r="H25" s="371">
        <v>0</v>
      </c>
      <c r="I25" s="299"/>
      <c r="J25" s="413">
        <v>0</v>
      </c>
      <c r="K25" s="418"/>
      <c r="L25" s="418"/>
      <c r="M25" s="418"/>
      <c r="N25" s="418"/>
    </row>
    <row r="26" spans="1:14" ht="12.75">
      <c r="A26" s="732" t="s">
        <v>414</v>
      </c>
      <c r="B26" s="678"/>
      <c r="C26" s="678"/>
      <c r="D26" s="678"/>
      <c r="E26" s="678"/>
      <c r="F26" s="678"/>
      <c r="G26" s="679"/>
      <c r="H26" s="377" t="s">
        <v>60</v>
      </c>
      <c r="I26" s="299"/>
      <c r="J26" s="414" t="s">
        <v>60</v>
      </c>
      <c r="K26" s="414"/>
      <c r="L26" s="414"/>
      <c r="M26" s="414"/>
      <c r="N26" s="414"/>
    </row>
    <row r="27" spans="1:14" ht="12.75">
      <c r="A27" s="732" t="s">
        <v>684</v>
      </c>
      <c r="B27" s="678"/>
      <c r="C27" s="678"/>
      <c r="D27" s="678"/>
      <c r="E27" s="678"/>
      <c r="F27" s="678"/>
      <c r="G27" s="679"/>
      <c r="H27" s="371"/>
      <c r="I27" s="299"/>
      <c r="J27" s="410">
        <v>10</v>
      </c>
      <c r="K27" s="411"/>
      <c r="L27" s="411"/>
      <c r="M27" s="411"/>
      <c r="N27" s="411"/>
    </row>
    <row r="28" spans="1:14" ht="15.75">
      <c r="A28" s="732" t="s">
        <v>413</v>
      </c>
      <c r="B28" s="678"/>
      <c r="C28" s="678"/>
      <c r="D28" s="678"/>
      <c r="E28" s="678"/>
      <c r="F28" s="678"/>
      <c r="G28" s="679"/>
      <c r="H28" s="371" t="s">
        <v>14</v>
      </c>
      <c r="I28" s="299"/>
      <c r="J28" s="253">
        <v>0</v>
      </c>
      <c r="K28" s="254"/>
      <c r="L28" s="254"/>
      <c r="M28" s="254"/>
      <c r="N28" s="254"/>
    </row>
    <row r="29" spans="1:14" ht="12.75">
      <c r="A29" s="732" t="s">
        <v>412</v>
      </c>
      <c r="B29" s="678"/>
      <c r="C29" s="678"/>
      <c r="D29" s="678"/>
      <c r="E29" s="678"/>
      <c r="F29" s="678"/>
      <c r="G29" s="679"/>
      <c r="H29" s="377">
        <v>0</v>
      </c>
      <c r="I29" s="315"/>
      <c r="J29" s="253">
        <v>0</v>
      </c>
      <c r="K29" s="372"/>
      <c r="L29" s="372"/>
      <c r="M29" s="372"/>
      <c r="N29" s="372"/>
    </row>
    <row r="30" spans="1:14" ht="12.75">
      <c r="A30" s="732" t="s">
        <v>411</v>
      </c>
      <c r="B30" s="678"/>
      <c r="C30" s="678"/>
      <c r="D30" s="678"/>
      <c r="E30" s="678"/>
      <c r="F30" s="678"/>
      <c r="G30" s="679"/>
      <c r="H30" s="377" t="s">
        <v>60</v>
      </c>
      <c r="I30" s="315"/>
      <c r="J30" s="414" t="s">
        <v>60</v>
      </c>
      <c r="K30" s="414"/>
      <c r="L30" s="414"/>
      <c r="M30" s="414"/>
      <c r="N30" s="414"/>
    </row>
    <row r="31" spans="1:14" ht="13.5" thickBot="1">
      <c r="A31" s="725" t="s">
        <v>410</v>
      </c>
      <c r="B31" s="726"/>
      <c r="C31" s="726"/>
      <c r="D31" s="726"/>
      <c r="E31" s="726"/>
      <c r="F31" s="726"/>
      <c r="G31" s="727"/>
      <c r="H31" s="728">
        <v>0</v>
      </c>
      <c r="I31" s="729"/>
      <c r="J31" s="730">
        <v>0</v>
      </c>
      <c r="K31" s="731"/>
      <c r="L31" s="731"/>
      <c r="M31" s="731"/>
      <c r="N31" s="731"/>
    </row>
    <row r="32" ht="13.5" thickTop="1"/>
    <row r="34" ht="13.5" thickBot="1"/>
    <row r="35" spans="1:14" ht="14.25" thickBot="1" thickTop="1">
      <c r="A35" s="285" t="s">
        <v>417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</row>
    <row r="36" spans="1:14" ht="12.75">
      <c r="A36" s="280" t="s">
        <v>16</v>
      </c>
      <c r="B36" s="281"/>
      <c r="C36" s="361" t="s">
        <v>17</v>
      </c>
      <c r="D36" s="281"/>
      <c r="E36" s="361" t="s">
        <v>18</v>
      </c>
      <c r="F36" s="281"/>
      <c r="G36" s="361" t="s">
        <v>19</v>
      </c>
      <c r="H36" s="281"/>
      <c r="I36" s="361" t="s">
        <v>20</v>
      </c>
      <c r="J36" s="281"/>
      <c r="K36" s="361" t="s">
        <v>21</v>
      </c>
      <c r="L36" s="281"/>
      <c r="M36" s="270" t="s">
        <v>22</v>
      </c>
      <c r="N36" s="316"/>
    </row>
    <row r="37" spans="1:14" ht="12.75">
      <c r="A37" s="432" t="s">
        <v>82</v>
      </c>
      <c r="B37" s="426"/>
      <c r="C37" s="432" t="s">
        <v>419</v>
      </c>
      <c r="D37" s="426"/>
      <c r="E37" s="432" t="s">
        <v>83</v>
      </c>
      <c r="F37" s="426"/>
      <c r="G37" s="432" t="s">
        <v>422</v>
      </c>
      <c r="H37" s="426"/>
      <c r="I37" s="432" t="s">
        <v>29</v>
      </c>
      <c r="J37" s="426"/>
      <c r="K37" s="432" t="s">
        <v>429</v>
      </c>
      <c r="L37" s="426"/>
      <c r="M37" s="373" t="s">
        <v>84</v>
      </c>
      <c r="N37" s="374"/>
    </row>
    <row r="38" spans="1:14" ht="12.75">
      <c r="A38" s="433"/>
      <c r="B38" s="375"/>
      <c r="C38" s="433"/>
      <c r="D38" s="375"/>
      <c r="E38" s="433"/>
      <c r="F38" s="375"/>
      <c r="G38" s="433"/>
      <c r="H38" s="375"/>
      <c r="I38" s="433"/>
      <c r="J38" s="375"/>
      <c r="K38" s="433"/>
      <c r="L38" s="375"/>
      <c r="M38" s="375"/>
      <c r="N38" s="376"/>
    </row>
    <row r="39" spans="1:14" ht="15.75">
      <c r="A39" s="431" t="s">
        <v>418</v>
      </c>
      <c r="B39" s="295"/>
      <c r="C39" s="431" t="s">
        <v>420</v>
      </c>
      <c r="D39" s="295"/>
      <c r="E39" s="431" t="s">
        <v>421</v>
      </c>
      <c r="F39" s="295"/>
      <c r="G39" s="431" t="s">
        <v>423</v>
      </c>
      <c r="H39" s="295"/>
      <c r="I39" s="431" t="s">
        <v>425</v>
      </c>
      <c r="J39" s="295"/>
      <c r="K39" s="431" t="s">
        <v>427</v>
      </c>
      <c r="L39" s="295"/>
      <c r="M39" s="363" t="s">
        <v>430</v>
      </c>
      <c r="N39" s="322"/>
    </row>
    <row r="40" spans="1:14" ht="12.75">
      <c r="A40" s="429" t="s">
        <v>685</v>
      </c>
      <c r="B40" s="274"/>
      <c r="C40" s="429" t="s">
        <v>686</v>
      </c>
      <c r="D40" s="274"/>
      <c r="E40" s="429" t="s">
        <v>687</v>
      </c>
      <c r="F40" s="274"/>
      <c r="G40" s="429" t="s">
        <v>424</v>
      </c>
      <c r="H40" s="274"/>
      <c r="I40" s="429" t="s">
        <v>426</v>
      </c>
      <c r="J40" s="274"/>
      <c r="K40" s="429" t="s">
        <v>428</v>
      </c>
      <c r="L40" s="274"/>
      <c r="M40" s="430" t="s">
        <v>431</v>
      </c>
      <c r="N40" s="297"/>
    </row>
    <row r="41" spans="1:14" ht="13.5" thickBot="1">
      <c r="A41" s="423">
        <f>IF(J9="3ST",IF(J15=0,1,IF(J15=1,'Intersection Tables'!AB9,'Intersection Tables'!AC9)),IF(J9="4ST",IF(J15=0,1,IF(J15=1,'Intersection Tables'!AB11,'Intersection Tables'!AC11)),IF(J18=0,1,IF(J18=1,VLOOKUP(J9,'Intersection Tables'!Y10:AE12,4,FALSE),IF(J18=2,VLOOKUP(J9,'Intersection Tables'!Y10:AE12,5,FALSE),IF(J18=3,VLOOKUP(J9,'Intersection Tables'!Y10:AE12,6,FALSE),VLOOKUP(J9,'Intersection Tables'!Y10:AE12,7,FALSE)))))))</f>
        <v>1</v>
      </c>
      <c r="B41" s="424"/>
      <c r="C41" s="423">
        <f>IF($J$9="3ST",1,IF($J$9="4ST",1,T9))</f>
        <v>0.99</v>
      </c>
      <c r="D41" s="424"/>
      <c r="E41" s="423">
        <f>IF(J9="3ST",POWER(0.86,J16),IF(J9="4ST",POWER(0.86,J16),POWER(0.96,J19)))</f>
        <v>1</v>
      </c>
      <c r="F41" s="424"/>
      <c r="G41" s="423">
        <f>IF($J$9="3ST",1,IF(J$9="4ST",1,POWER(0.98,$J$25)))</f>
        <v>1</v>
      </c>
      <c r="H41" s="424"/>
      <c r="I41" s="423">
        <f>IF($J$12="Not Present",1,(1-(IF('Intersection Tables'!$C$81="No",VLOOKUP($J$9,'Intersection Tables'!$B$84:$G$87,3,FALSE),VLOOKUP($J$9,'Intersection Tables'!$B$84:$G$87,5,FALSE)))*0.38))</f>
        <v>1</v>
      </c>
      <c r="J41" s="724"/>
      <c r="K41" s="423">
        <f>IF($J$26="Not Present",1,$T$22)</f>
        <v>1</v>
      </c>
      <c r="L41" s="724"/>
      <c r="M41" s="365">
        <f>+A41*C41*E41*G41*I41*K41</f>
        <v>0.99</v>
      </c>
      <c r="N41" s="425"/>
    </row>
    <row r="43" spans="1:6" ht="12.75">
      <c r="A43" s="427"/>
      <c r="B43" s="379"/>
      <c r="E43" s="28"/>
      <c r="F43" s="29"/>
    </row>
    <row r="44" ht="13.5" thickBot="1"/>
    <row r="45" spans="1:14" ht="14.25" thickBot="1" thickTop="1">
      <c r="A45" s="285" t="s">
        <v>432</v>
      </c>
      <c r="B45" s="323"/>
      <c r="C45" s="323"/>
      <c r="D45" s="323"/>
      <c r="E45" s="323"/>
      <c r="F45" s="323"/>
      <c r="G45" s="323"/>
      <c r="H45" s="323"/>
      <c r="I45" s="323"/>
      <c r="J45" s="360"/>
      <c r="K45" s="360"/>
      <c r="L45" s="360"/>
      <c r="M45" s="360"/>
      <c r="N45" s="360"/>
    </row>
    <row r="46" spans="1:14" ht="12.75">
      <c r="A46" s="280" t="s">
        <v>16</v>
      </c>
      <c r="B46" s="281"/>
      <c r="C46" s="500" t="s">
        <v>17</v>
      </c>
      <c r="D46" s="716"/>
      <c r="E46" s="717"/>
      <c r="F46" s="718" t="s">
        <v>18</v>
      </c>
      <c r="G46" s="717"/>
      <c r="H46" s="2" t="s">
        <v>19</v>
      </c>
      <c r="I46" s="313" t="s">
        <v>20</v>
      </c>
      <c r="J46" s="281"/>
      <c r="K46" s="2" t="s">
        <v>21</v>
      </c>
      <c r="L46" s="123" t="s">
        <v>22</v>
      </c>
      <c r="M46" s="123" t="s">
        <v>23</v>
      </c>
      <c r="N46" s="146" t="s">
        <v>24</v>
      </c>
    </row>
    <row r="47" spans="1:14" ht="12.75">
      <c r="A47" s="434" t="s">
        <v>32</v>
      </c>
      <c r="B47" s="435"/>
      <c r="C47" s="719" t="s">
        <v>89</v>
      </c>
      <c r="D47" s="720"/>
      <c r="E47" s="553"/>
      <c r="F47" s="722" t="s">
        <v>33</v>
      </c>
      <c r="G47" s="553"/>
      <c r="H47" s="723" t="s">
        <v>433</v>
      </c>
      <c r="I47" s="302" t="s">
        <v>265</v>
      </c>
      <c r="J47" s="358"/>
      <c r="K47" s="359" t="s">
        <v>435</v>
      </c>
      <c r="L47" s="302" t="s">
        <v>34</v>
      </c>
      <c r="M47" s="302" t="s">
        <v>109</v>
      </c>
      <c r="N47" s="319" t="s">
        <v>436</v>
      </c>
    </row>
    <row r="48" spans="1:14" ht="12.75">
      <c r="A48" s="436"/>
      <c r="B48" s="436"/>
      <c r="C48" s="376"/>
      <c r="D48" s="721"/>
      <c r="E48" s="433"/>
      <c r="F48" s="376"/>
      <c r="G48" s="433"/>
      <c r="H48" s="375"/>
      <c r="I48" s="358"/>
      <c r="J48" s="358"/>
      <c r="K48" s="317"/>
      <c r="L48" s="317"/>
      <c r="M48" s="317"/>
      <c r="N48" s="319"/>
    </row>
    <row r="49" spans="1:14" ht="12.75">
      <c r="A49" s="436"/>
      <c r="B49" s="436"/>
      <c r="C49" s="377" t="s">
        <v>688</v>
      </c>
      <c r="D49" s="628"/>
      <c r="E49" s="299"/>
      <c r="F49" s="701" t="s">
        <v>688</v>
      </c>
      <c r="G49" s="553"/>
      <c r="H49" s="447" t="s">
        <v>571</v>
      </c>
      <c r="I49" s="358"/>
      <c r="J49" s="358"/>
      <c r="K49" s="312" t="s">
        <v>269</v>
      </c>
      <c r="L49" s="348" t="s">
        <v>444</v>
      </c>
      <c r="M49" s="318"/>
      <c r="N49" s="265" t="s">
        <v>271</v>
      </c>
    </row>
    <row r="50" spans="1:14" ht="12.75">
      <c r="A50" s="437"/>
      <c r="B50" s="437"/>
      <c r="C50" s="125" t="s">
        <v>90</v>
      </c>
      <c r="D50" s="125" t="s">
        <v>91</v>
      </c>
      <c r="E50" s="125" t="s">
        <v>434</v>
      </c>
      <c r="F50" s="376"/>
      <c r="G50" s="433"/>
      <c r="H50" s="375"/>
      <c r="I50" s="358"/>
      <c r="J50" s="358"/>
      <c r="K50" s="283"/>
      <c r="L50" s="317"/>
      <c r="M50" s="318"/>
      <c r="N50" s="349"/>
    </row>
    <row r="51" spans="1:14" ht="12.75">
      <c r="A51" s="299" t="s">
        <v>35</v>
      </c>
      <c r="B51" s="322"/>
      <c r="C51" s="12">
        <f>VLOOKUP($J$9,'Intersection Tables'!$B$9:$F$12,2,FALSE)</f>
        <v>-10.99</v>
      </c>
      <c r="D51" s="12">
        <f>VLOOKUP($J$9,'Intersection Tables'!$B$9:$F$12,3,FALSE)</f>
        <v>1.07</v>
      </c>
      <c r="E51" s="12">
        <f>VLOOKUP($J$9,'Intersection Tables'!$B$9:$F$12,4,FALSE)</f>
        <v>0.23</v>
      </c>
      <c r="F51" s="350">
        <f>VLOOKUP($J$9,'Intersection Tables'!$B$9:$F$12,5,FALSE)</f>
        <v>0.39</v>
      </c>
      <c r="G51" s="351"/>
      <c r="H51" s="3">
        <f>EXP(C51+(D51*LN($J$10))+(E51*LN($J$11)))</f>
        <v>3.104090967472645</v>
      </c>
      <c r="I51" s="278">
        <v>1</v>
      </c>
      <c r="J51" s="279"/>
      <c r="K51" s="3">
        <f>H51*I51</f>
        <v>3.104090967472645</v>
      </c>
      <c r="L51" s="12">
        <f>+M41</f>
        <v>0.99</v>
      </c>
      <c r="M51" s="12">
        <f>+$J$13</f>
        <v>1.05</v>
      </c>
      <c r="N51" s="128">
        <f>+K51*L51*M51</f>
        <v>3.2267025606878144</v>
      </c>
    </row>
    <row r="52" spans="1:14" ht="15.75">
      <c r="A52" s="343" t="s">
        <v>36</v>
      </c>
      <c r="B52" s="343"/>
      <c r="C52" s="327">
        <f>VLOOKUP($J$9,'Intersection Tables'!$B$14:$F$17,2,FALSE)</f>
        <v>-13.14</v>
      </c>
      <c r="D52" s="327">
        <f>VLOOKUP($J$9,'Intersection Tables'!$B$14:$F$17,3,FALSE)</f>
        <v>1.18</v>
      </c>
      <c r="E52" s="327">
        <f>VLOOKUP($J$9,'Intersection Tables'!$B$14:$F$17,4,FALSE)</f>
        <v>0.22</v>
      </c>
      <c r="F52" s="337">
        <f>VLOOKUP($J$9,'Intersection Tables'!$B$14:$F$17,5,FALSE)</f>
        <v>0.33</v>
      </c>
      <c r="G52" s="338"/>
      <c r="H52" s="325">
        <f>EXP(C52+(D52*LN($J$10))+(E52*LN($J$11)))</f>
        <v>0.9511626495567096</v>
      </c>
      <c r="I52" s="273" t="s">
        <v>272</v>
      </c>
      <c r="J52" s="274"/>
      <c r="K52" s="325">
        <f>H51*I53</f>
        <v>0.9901916857846201</v>
      </c>
      <c r="L52" s="327">
        <f>+M41</f>
        <v>0.99</v>
      </c>
      <c r="M52" s="327">
        <f>+$J$13</f>
        <v>1.05</v>
      </c>
      <c r="N52" s="329">
        <f>+K52*L52*M52</f>
        <v>1.0293042573731126</v>
      </c>
    </row>
    <row r="53" spans="1:14" ht="12.75">
      <c r="A53" s="344"/>
      <c r="B53" s="344"/>
      <c r="C53" s="332"/>
      <c r="D53" s="332"/>
      <c r="E53" s="332"/>
      <c r="F53" s="345"/>
      <c r="G53" s="346"/>
      <c r="H53" s="332"/>
      <c r="I53" s="278">
        <f>+H52/(H52+H54)</f>
        <v>0.31899570475244016</v>
      </c>
      <c r="J53" s="279"/>
      <c r="K53" s="331"/>
      <c r="L53" s="332"/>
      <c r="M53" s="332"/>
      <c r="N53" s="333"/>
    </row>
    <row r="54" spans="1:14" ht="15.75">
      <c r="A54" s="284" t="s">
        <v>37</v>
      </c>
      <c r="B54" s="334"/>
      <c r="C54" s="327">
        <f>VLOOKUP($J$9,'Intersection Tables'!$B$19:$F$22,2,FALSE)</f>
        <v>-11.02</v>
      </c>
      <c r="D54" s="327">
        <f>VLOOKUP($J$9,'Intersection Tables'!$B$19:$F$22,3,FALSE)</f>
        <v>1.02</v>
      </c>
      <c r="E54" s="327">
        <f>VLOOKUP($J$9,'Intersection Tables'!$B$19:$F$22,4,FALSE)</f>
        <v>0.24</v>
      </c>
      <c r="F54" s="337">
        <f>VLOOKUP($J$9,'Intersection Tables'!$B$19:$F$22,5,FALSE)</f>
        <v>0.44</v>
      </c>
      <c r="G54" s="338"/>
      <c r="H54" s="325">
        <f>EXP(C54+(D54*LN($J$10))+(E54*LN($J$11)))</f>
        <v>2.0305785945608843</v>
      </c>
      <c r="I54" s="273" t="s">
        <v>273</v>
      </c>
      <c r="J54" s="274"/>
      <c r="K54" s="325">
        <f>H51*I55</f>
        <v>2.113899281688025</v>
      </c>
      <c r="L54" s="327">
        <f>+M41</f>
        <v>0.99</v>
      </c>
      <c r="M54" s="327">
        <f>+$J$13</f>
        <v>1.05</v>
      </c>
      <c r="N54" s="329">
        <f>+K54*L54*M54</f>
        <v>2.197398303314702</v>
      </c>
    </row>
    <row r="55" spans="1:14" ht="13.5" thickBot="1">
      <c r="A55" s="335"/>
      <c r="B55" s="336"/>
      <c r="C55" s="328"/>
      <c r="D55" s="328"/>
      <c r="E55" s="328"/>
      <c r="F55" s="339"/>
      <c r="G55" s="340"/>
      <c r="H55" s="328"/>
      <c r="I55" s="288">
        <f>I51-I53</f>
        <v>0.6810042952475599</v>
      </c>
      <c r="J55" s="289"/>
      <c r="K55" s="326"/>
      <c r="L55" s="328"/>
      <c r="M55" s="328"/>
      <c r="N55" s="330"/>
    </row>
    <row r="58" ht="13.5" thickBot="1"/>
    <row r="59" spans="1:14" ht="14.25" thickBot="1" thickTop="1">
      <c r="A59" s="285" t="s">
        <v>437</v>
      </c>
      <c r="B59" s="323"/>
      <c r="C59" s="323"/>
      <c r="D59" s="323"/>
      <c r="E59" s="323"/>
      <c r="F59" s="323"/>
      <c r="G59" s="323"/>
      <c r="H59" s="323"/>
      <c r="I59" s="324"/>
      <c r="J59" s="324"/>
      <c r="K59" s="324"/>
      <c r="L59" s="324"/>
      <c r="M59" s="324"/>
      <c r="N59" s="324"/>
    </row>
    <row r="60" spans="1:14" ht="12.75">
      <c r="A60" s="280" t="s">
        <v>16</v>
      </c>
      <c r="B60" s="281"/>
      <c r="C60" s="281"/>
      <c r="D60" s="313" t="s">
        <v>17</v>
      </c>
      <c r="E60" s="314"/>
      <c r="F60" s="313" t="s">
        <v>18</v>
      </c>
      <c r="G60" s="313"/>
      <c r="H60" s="270" t="s">
        <v>19</v>
      </c>
      <c r="I60" s="314"/>
      <c r="J60" s="313" t="s">
        <v>20</v>
      </c>
      <c r="K60" s="313"/>
      <c r="L60" s="270" t="s">
        <v>21</v>
      </c>
      <c r="M60" s="314"/>
      <c r="N60" s="316"/>
    </row>
    <row r="61" spans="1:14" ht="12.75">
      <c r="A61" s="439" t="s">
        <v>38</v>
      </c>
      <c r="B61" s="302"/>
      <c r="C61" s="295"/>
      <c r="D61" s="272" t="s">
        <v>39</v>
      </c>
      <c r="E61" s="304"/>
      <c r="F61" s="272" t="s">
        <v>438</v>
      </c>
      <c r="G61" s="272"/>
      <c r="H61" s="272" t="s">
        <v>300</v>
      </c>
      <c r="I61" s="304"/>
      <c r="J61" s="272" t="s">
        <v>440</v>
      </c>
      <c r="K61" s="272"/>
      <c r="L61" s="272" t="s">
        <v>441</v>
      </c>
      <c r="M61" s="272"/>
      <c r="N61" s="303"/>
    </row>
    <row r="62" spans="1:14" ht="12.75">
      <c r="A62" s="439"/>
      <c r="B62" s="302"/>
      <c r="C62" s="295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3"/>
    </row>
    <row r="63" spans="1:14" ht="12.75">
      <c r="A63" s="315"/>
      <c r="B63" s="274"/>
      <c r="C63" s="295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3"/>
    </row>
    <row r="64" spans="1:14" ht="12.75">
      <c r="A64" s="315"/>
      <c r="B64" s="274"/>
      <c r="C64" s="295"/>
      <c r="D64" s="312" t="s">
        <v>689</v>
      </c>
      <c r="E64" s="295"/>
      <c r="F64" s="320" t="s">
        <v>439</v>
      </c>
      <c r="G64" s="321"/>
      <c r="H64" s="312" t="s">
        <v>689</v>
      </c>
      <c r="I64" s="295"/>
      <c r="J64" s="320" t="s">
        <v>449</v>
      </c>
      <c r="K64" s="321"/>
      <c r="L64" s="320" t="s">
        <v>449</v>
      </c>
      <c r="M64" s="321"/>
      <c r="N64" s="322"/>
    </row>
    <row r="65" spans="1:14" ht="12.75">
      <c r="A65" s="315"/>
      <c r="B65" s="274"/>
      <c r="C65" s="295"/>
      <c r="D65" s="274"/>
      <c r="E65" s="295"/>
      <c r="F65" s="274"/>
      <c r="G65" s="274"/>
      <c r="H65" s="274"/>
      <c r="I65" s="295"/>
      <c r="J65" s="274"/>
      <c r="K65" s="274"/>
      <c r="L65" s="274"/>
      <c r="M65" s="274"/>
      <c r="N65" s="322"/>
    </row>
    <row r="66" spans="1:14" ht="12.75">
      <c r="A66" s="299" t="s">
        <v>35</v>
      </c>
      <c r="B66" s="295"/>
      <c r="C66" s="295"/>
      <c r="D66" s="292">
        <v>1</v>
      </c>
      <c r="E66" s="292"/>
      <c r="F66" s="293">
        <f>+N52</f>
        <v>1.0293042573731126</v>
      </c>
      <c r="G66" s="300"/>
      <c r="H66" s="292">
        <v>1</v>
      </c>
      <c r="I66" s="292"/>
      <c r="J66" s="278">
        <f>+N54</f>
        <v>2.197398303314702</v>
      </c>
      <c r="K66" s="315"/>
      <c r="L66" s="293">
        <f>+N51</f>
        <v>3.2267025606878144</v>
      </c>
      <c r="M66" s="301"/>
      <c r="N66" s="301"/>
    </row>
    <row r="67" spans="1:14" ht="15.75">
      <c r="A67" s="299"/>
      <c r="B67" s="295"/>
      <c r="C67" s="295"/>
      <c r="D67" s="295"/>
      <c r="E67" s="295"/>
      <c r="F67" s="296" t="s">
        <v>291</v>
      </c>
      <c r="G67" s="274"/>
      <c r="H67" s="295"/>
      <c r="I67" s="295"/>
      <c r="J67" s="296" t="s">
        <v>292</v>
      </c>
      <c r="K67" s="274"/>
      <c r="L67" s="296" t="s">
        <v>293</v>
      </c>
      <c r="M67" s="274"/>
      <c r="N67" s="297"/>
    </row>
    <row r="68" spans="1:14" ht="12.75">
      <c r="A68" s="298" t="s">
        <v>42</v>
      </c>
      <c r="B68" s="295"/>
      <c r="C68" s="295"/>
      <c r="D68" s="278">
        <f>IF('Intersection Tables'!$C$33="No",HLOOKUP($J$9,'Intersection Tables'!$B$35:$K$41,3,FALSE),HLOOKUP($J$9,'Intersection Tables'!$B$44:$K$50,3,FALSE))</f>
        <v>0.501</v>
      </c>
      <c r="E68" s="279"/>
      <c r="F68" s="278">
        <f>+D68*$F$66</f>
        <v>0.5156814329439294</v>
      </c>
      <c r="G68" s="279"/>
      <c r="H68" s="278">
        <f>IF('Intersection Tables'!$C$33="No",IF($J$9="3ST",'Intersection Tables'!E37,IF($J$9="3SG",'Intersection Tables'!G37,IF($J$9="4ST",'Intersection Tables'!I37,'Intersection Tables'!K37))),IF($J$9="3ST",'Intersection Tables'!E46,IF($J$9="3SG",'Intersection Tables'!G46,IF($J$9="4ST",'Intersection Tables'!I46,'Intersection Tables'!K46))))</f>
        <v>0.402</v>
      </c>
      <c r="I68" s="279"/>
      <c r="J68" s="278">
        <f>+H68*$J$66</f>
        <v>0.8833541179325103</v>
      </c>
      <c r="K68" s="279"/>
      <c r="L68" s="292">
        <f>+F68+J68</f>
        <v>1.3990355508764396</v>
      </c>
      <c r="M68" s="292"/>
      <c r="N68" s="293"/>
    </row>
    <row r="69" spans="1:14" ht="12.75">
      <c r="A69" s="294" t="s">
        <v>41</v>
      </c>
      <c r="B69" s="295"/>
      <c r="C69" s="295"/>
      <c r="D69" s="278">
        <f>IF('Intersection Tables'!$C$33="No",HLOOKUP($J$9,'Intersection Tables'!$B$35:$K$41,4,FALSE),HLOOKUP($J$9,'Intersection Tables'!$B$44:$K$50,4,FALSE))</f>
        <v>0.002</v>
      </c>
      <c r="E69" s="279"/>
      <c r="F69" s="278">
        <f>+D69*$F$66</f>
        <v>0.002058608514746225</v>
      </c>
      <c r="G69" s="279"/>
      <c r="H69" s="278">
        <f>IF('Intersection Tables'!$C$33="No",IF($J$9="3ST",'Intersection Tables'!E38,IF($J$9="3SG",'Intersection Tables'!G38,IF($J$9="4ST",'Intersection Tables'!I38,'Intersection Tables'!K38))),IF($J$9="3ST",'Intersection Tables'!E47,IF($J$9="3SG",'Intersection Tables'!G47,IF($J$9="4ST",'Intersection Tables'!I47,'Intersection Tables'!K47))))</f>
        <v>0</v>
      </c>
      <c r="I69" s="279"/>
      <c r="J69" s="278">
        <f>+H69*$J$66</f>
        <v>0</v>
      </c>
      <c r="K69" s="279"/>
      <c r="L69" s="292">
        <f>+F69+J69</f>
        <v>0.002058608514746225</v>
      </c>
      <c r="M69" s="292"/>
      <c r="N69" s="293"/>
    </row>
    <row r="70" spans="1:14" ht="12.75">
      <c r="A70" s="294" t="s">
        <v>40</v>
      </c>
      <c r="B70" s="295"/>
      <c r="C70" s="295"/>
      <c r="D70" s="278">
        <f>IF('Intersection Tables'!$C$33="No",HLOOKUP($J$9,'Intersection Tables'!$B$35:$K$41,5,FALSE),HLOOKUP($J$9,'Intersection Tables'!$B$44:$K$50,5,FALSE))</f>
        <v>0.236</v>
      </c>
      <c r="E70" s="279"/>
      <c r="F70" s="278">
        <f>+D70*$F$66</f>
        <v>0.24291580474005456</v>
      </c>
      <c r="G70" s="279"/>
      <c r="H70" s="278">
        <f>IF('Intersection Tables'!$C$33="No",IF($J$9="3ST",'Intersection Tables'!E39,IF($J$9="3SG",'Intersection Tables'!G39,IF($J$9="4ST",'Intersection Tables'!I39,'Intersection Tables'!K39))),IF($J$9="3ST",'Intersection Tables'!E48,IF($J$9="3SG",'Intersection Tables'!G48,IF($J$9="4ST",'Intersection Tables'!I48,'Intersection Tables'!K48))))</f>
        <v>0.215</v>
      </c>
      <c r="I70" s="279"/>
      <c r="J70" s="278">
        <f>+H70*$J$66</f>
        <v>0.47244063521266094</v>
      </c>
      <c r="K70" s="279"/>
      <c r="L70" s="292">
        <f>+F70+J70</f>
        <v>0.7153564399527155</v>
      </c>
      <c r="M70" s="292"/>
      <c r="N70" s="293"/>
    </row>
    <row r="71" spans="1:14" ht="12.75">
      <c r="A71" s="294" t="s">
        <v>96</v>
      </c>
      <c r="B71" s="295"/>
      <c r="C71" s="295"/>
      <c r="D71" s="278">
        <f>IF('Intersection Tables'!$C$33="No",HLOOKUP($J$9,'Intersection Tables'!$B$35:$K$41,6,FALSE),HLOOKUP($J$9,'Intersection Tables'!$B$44:$K$50,6,FALSE))</f>
        <v>0.004</v>
      </c>
      <c r="E71" s="279"/>
      <c r="F71" s="278">
        <f>+D71*$F$66</f>
        <v>0.00411721702949245</v>
      </c>
      <c r="G71" s="279"/>
      <c r="H71" s="278">
        <f>IF('Intersection Tables'!$C$33="No",IF($J$9="3ST",'Intersection Tables'!E40,IF($J$9="3SG",'Intersection Tables'!G40,IF($J$9="4ST",'Intersection Tables'!I40,'Intersection Tables'!K40))),IF($J$9="3ST",'Intersection Tables'!E49,IF($J$9="3SG",'Intersection Tables'!G49,IF($J$9="4ST",'Intersection Tables'!I49,'Intersection Tables'!K49))))</f>
        <v>0.012</v>
      </c>
      <c r="I71" s="279"/>
      <c r="J71" s="278">
        <f>+H71*$J$66</f>
        <v>0.026368779639776425</v>
      </c>
      <c r="K71" s="279"/>
      <c r="L71" s="292">
        <f>+F71+J71</f>
        <v>0.030485996669268874</v>
      </c>
      <c r="M71" s="292"/>
      <c r="N71" s="293"/>
    </row>
    <row r="72" spans="1:14" ht="13.5" thickBot="1">
      <c r="A72" s="286" t="s">
        <v>299</v>
      </c>
      <c r="B72" s="287"/>
      <c r="C72" s="287"/>
      <c r="D72" s="288">
        <f>IF('Intersection Tables'!$C$33="No",HLOOKUP($J$9,'Intersection Tables'!$B$35:$K$41,7,FALSE),HLOOKUP($J$9,'Intersection Tables'!$B$44:$K$50,7,FALSE))</f>
        <v>0.257</v>
      </c>
      <c r="E72" s="289"/>
      <c r="F72" s="288">
        <f>+D72*$F$66</f>
        <v>0.26453119414488996</v>
      </c>
      <c r="G72" s="289"/>
      <c r="H72" s="288">
        <f>IF('Intersection Tables'!$C$33="No",IF($J$9="3ST",'Intersection Tables'!E41,IF($J$9="3SG",'Intersection Tables'!G41,IF($J$9="4ST",'Intersection Tables'!I41,'Intersection Tables'!K41))),IF($J$9="3ST",'Intersection Tables'!E50,IF($J$9="3SG",'Intersection Tables'!G50,IF($J$9="4ST",'Intersection Tables'!I50,'Intersection Tables'!K50))))</f>
        <v>0.37</v>
      </c>
      <c r="I72" s="289"/>
      <c r="J72" s="288">
        <f>+H72*$J$66</f>
        <v>0.8130373722264397</v>
      </c>
      <c r="K72" s="289"/>
      <c r="L72" s="290">
        <f>+F72+J72</f>
        <v>1.0775685663713297</v>
      </c>
      <c r="M72" s="290"/>
      <c r="N72" s="291"/>
    </row>
    <row r="73" ht="12.75" customHeight="1"/>
    <row r="75" ht="13.5" thickBot="1"/>
    <row r="76" spans="1:14" ht="14.25" thickBot="1" thickTop="1">
      <c r="A76" s="285" t="s">
        <v>442</v>
      </c>
      <c r="B76" s="323"/>
      <c r="C76" s="323"/>
      <c r="D76" s="323"/>
      <c r="E76" s="323"/>
      <c r="F76" s="323"/>
      <c r="G76" s="323"/>
      <c r="H76" s="323"/>
      <c r="I76" s="323"/>
      <c r="J76" s="360"/>
      <c r="K76" s="360"/>
      <c r="L76" s="360"/>
      <c r="M76" s="360"/>
      <c r="N76" s="360"/>
    </row>
    <row r="77" spans="1:14" ht="12.75">
      <c r="A77" s="280" t="s">
        <v>16</v>
      </c>
      <c r="B77" s="281"/>
      <c r="C77" s="500" t="s">
        <v>17</v>
      </c>
      <c r="D77" s="716"/>
      <c r="E77" s="717"/>
      <c r="F77" s="718" t="s">
        <v>18</v>
      </c>
      <c r="G77" s="717"/>
      <c r="H77" s="2" t="s">
        <v>19</v>
      </c>
      <c r="I77" s="313" t="s">
        <v>20</v>
      </c>
      <c r="J77" s="281"/>
      <c r="K77" s="2" t="s">
        <v>21</v>
      </c>
      <c r="L77" s="123" t="s">
        <v>22</v>
      </c>
      <c r="M77" s="123" t="s">
        <v>23</v>
      </c>
      <c r="N77" s="146" t="s">
        <v>24</v>
      </c>
    </row>
    <row r="78" spans="1:14" ht="12.75">
      <c r="A78" s="260" t="s">
        <v>32</v>
      </c>
      <c r="B78" s="684"/>
      <c r="C78" s="719" t="s">
        <v>89</v>
      </c>
      <c r="D78" s="720"/>
      <c r="E78" s="553"/>
      <c r="F78" s="722" t="s">
        <v>33</v>
      </c>
      <c r="G78" s="553"/>
      <c r="H78" s="723" t="s">
        <v>443</v>
      </c>
      <c r="I78" s="302" t="s">
        <v>265</v>
      </c>
      <c r="J78" s="358"/>
      <c r="K78" s="359" t="s">
        <v>435</v>
      </c>
      <c r="L78" s="302" t="s">
        <v>34</v>
      </c>
      <c r="M78" s="302" t="s">
        <v>109</v>
      </c>
      <c r="N78" s="319" t="s">
        <v>445</v>
      </c>
    </row>
    <row r="79" spans="1:14" ht="12.75">
      <c r="A79" s="699"/>
      <c r="B79" s="458"/>
      <c r="C79" s="376"/>
      <c r="D79" s="721"/>
      <c r="E79" s="433"/>
      <c r="F79" s="376"/>
      <c r="G79" s="433"/>
      <c r="H79" s="375"/>
      <c r="I79" s="358"/>
      <c r="J79" s="358"/>
      <c r="K79" s="317"/>
      <c r="L79" s="317"/>
      <c r="M79" s="317"/>
      <c r="N79" s="319"/>
    </row>
    <row r="80" spans="1:14" ht="12.75">
      <c r="A80" s="699"/>
      <c r="B80" s="458"/>
      <c r="C80" s="377" t="s">
        <v>690</v>
      </c>
      <c r="D80" s="628"/>
      <c r="E80" s="299"/>
      <c r="F80" s="701" t="s">
        <v>690</v>
      </c>
      <c r="G80" s="702"/>
      <c r="H80" s="447" t="s">
        <v>572</v>
      </c>
      <c r="I80" s="358"/>
      <c r="J80" s="358"/>
      <c r="K80" s="312" t="s">
        <v>269</v>
      </c>
      <c r="L80" s="348" t="s">
        <v>444</v>
      </c>
      <c r="M80" s="318"/>
      <c r="N80" s="265" t="s">
        <v>271</v>
      </c>
    </row>
    <row r="81" spans="1:14" ht="12.75">
      <c r="A81" s="685"/>
      <c r="B81" s="458"/>
      <c r="C81" s="469" t="s">
        <v>90</v>
      </c>
      <c r="D81" s="469" t="s">
        <v>91</v>
      </c>
      <c r="E81" s="469" t="s">
        <v>434</v>
      </c>
      <c r="F81" s="703"/>
      <c r="G81" s="704"/>
      <c r="H81" s="707"/>
      <c r="I81" s="358"/>
      <c r="J81" s="358"/>
      <c r="K81" s="283"/>
      <c r="L81" s="317"/>
      <c r="M81" s="318"/>
      <c r="N81" s="349"/>
    </row>
    <row r="82" spans="1:14" ht="12.75">
      <c r="A82" s="686"/>
      <c r="B82" s="460"/>
      <c r="C82" s="700"/>
      <c r="D82" s="700"/>
      <c r="E82" s="700"/>
      <c r="F82" s="705"/>
      <c r="G82" s="706"/>
      <c r="H82" s="708"/>
      <c r="I82" s="187"/>
      <c r="J82" s="194"/>
      <c r="K82" s="183"/>
      <c r="L82" s="184"/>
      <c r="M82" s="185"/>
      <c r="N82" s="186"/>
    </row>
    <row r="83" spans="1:14" ht="12.75">
      <c r="A83" s="299" t="s">
        <v>35</v>
      </c>
      <c r="B83" s="322"/>
      <c r="C83" s="12">
        <f>VLOOKUP($J$9,'Intersection Tables'!$I$9:$M$12,2,FALSE)</f>
        <v>-10.21</v>
      </c>
      <c r="D83" s="12">
        <f>VLOOKUP($J$9,'Intersection Tables'!$I$9:$M$12,3,FALSE)</f>
        <v>0.68</v>
      </c>
      <c r="E83" s="12">
        <f>VLOOKUP($J$9,'Intersection Tables'!$I$9:$M$12,4,FALSE)</f>
        <v>0.27</v>
      </c>
      <c r="F83" s="488">
        <f>VLOOKUP($J$9,'Intersection Tables'!$I$9:$M$12,5,FALSE)</f>
        <v>0.36</v>
      </c>
      <c r="G83" s="299"/>
      <c r="H83" s="3">
        <f>EXP(C83+(D83*LN($J$10))+(E83*LN($J$11)))</f>
        <v>0.2279169380216383</v>
      </c>
      <c r="I83" s="278">
        <v>1</v>
      </c>
      <c r="J83" s="279"/>
      <c r="K83" s="3">
        <f>H83*I83</f>
        <v>0.2279169380216383</v>
      </c>
      <c r="L83" s="12">
        <f>+M41</f>
        <v>0.99</v>
      </c>
      <c r="M83" s="12">
        <f>+$J$13</f>
        <v>1.05</v>
      </c>
      <c r="N83" s="128">
        <f>+K83*L83*M83</f>
        <v>0.23691965707349302</v>
      </c>
    </row>
    <row r="84" spans="1:14" ht="15.75">
      <c r="A84" s="343" t="s">
        <v>36</v>
      </c>
      <c r="B84" s="343"/>
      <c r="C84" s="327">
        <f>VLOOKUP($J$9,'Intersection Tables'!$I$14:$M$17,2,FALSE)</f>
        <v>-9.25</v>
      </c>
      <c r="D84" s="327">
        <f>VLOOKUP($J$9,'Intersection Tables'!$I$14:$M$17,3,FALSE)</f>
        <v>0.43</v>
      </c>
      <c r="E84" s="327">
        <f>VLOOKUP($J$9,'Intersection Tables'!$I$14:$M$17,4,FALSE)</f>
        <v>0.29</v>
      </c>
      <c r="F84" s="711">
        <f>VLOOKUP($J$9,'Intersection Tables'!$I$14:$M$17,5,FALSE)</f>
        <v>0.09</v>
      </c>
      <c r="G84" s="712"/>
      <c r="H84" s="325">
        <f>IF(J9="3ST",H83*0.31,IF(J9="4ST",H83*0.28,(EXP(C84+(D84*LN($J$10))+(E84*LN($J$11))))))</f>
        <v>0.06459642678342135</v>
      </c>
      <c r="I84" s="273" t="s">
        <v>272</v>
      </c>
      <c r="J84" s="274"/>
      <c r="K84" s="325">
        <f>H83*I85</f>
        <v>0.0649642664953814</v>
      </c>
      <c r="L84" s="327">
        <f>+M41</f>
        <v>0.99</v>
      </c>
      <c r="M84" s="327">
        <f>+$J$13</f>
        <v>1.05</v>
      </c>
      <c r="N84" s="329">
        <f>+K84*L84*M84</f>
        <v>0.06753035502194896</v>
      </c>
    </row>
    <row r="85" spans="1:14" ht="12.75">
      <c r="A85" s="344"/>
      <c r="B85" s="344"/>
      <c r="C85" s="332"/>
      <c r="D85" s="332"/>
      <c r="E85" s="332"/>
      <c r="F85" s="482"/>
      <c r="G85" s="715"/>
      <c r="H85" s="332"/>
      <c r="I85" s="278">
        <f>+H84/(H84+H86)</f>
        <v>0.28503483356385617</v>
      </c>
      <c r="J85" s="279"/>
      <c r="K85" s="331"/>
      <c r="L85" s="332"/>
      <c r="M85" s="332"/>
      <c r="N85" s="333"/>
    </row>
    <row r="86" spans="1:14" ht="15.75">
      <c r="A86" s="284" t="s">
        <v>37</v>
      </c>
      <c r="B86" s="334"/>
      <c r="C86" s="710">
        <f>VLOOKUP($J$9,'Intersection Tables'!$I$19:$M$22,2,FALSE)</f>
        <v>-11.34</v>
      </c>
      <c r="D86" s="327">
        <f>VLOOKUP($J$9,'Intersection Tables'!$I$19:$M$22,3,FALSE)</f>
        <v>0.78</v>
      </c>
      <c r="E86" s="327">
        <f>VLOOKUP($J$9,'Intersection Tables'!$I$19:$M$22,4,FALSE)</f>
        <v>0.25</v>
      </c>
      <c r="F86" s="711">
        <f>VLOOKUP($J$9,'Intersection Tables'!$I$19:$M$22,5,FALSE)</f>
        <v>0.44</v>
      </c>
      <c r="G86" s="712"/>
      <c r="H86" s="709">
        <f>EXP(C86+(D86*LN($J$10))+(E86*LN($J$11)))</f>
        <v>0.1620300033120072</v>
      </c>
      <c r="I86" s="273" t="s">
        <v>273</v>
      </c>
      <c r="J86" s="274"/>
      <c r="K86" s="325">
        <f>H83*I87</f>
        <v>0.1629526715262569</v>
      </c>
      <c r="L86" s="327">
        <f>+M41</f>
        <v>0.99</v>
      </c>
      <c r="M86" s="327">
        <f>+$J$13</f>
        <v>1.05</v>
      </c>
      <c r="N86" s="329">
        <f>+K86*L86*M86</f>
        <v>0.16938930205154407</v>
      </c>
    </row>
    <row r="87" spans="1:14" ht="13.5" thickBot="1">
      <c r="A87" s="335"/>
      <c r="B87" s="336"/>
      <c r="C87" s="328"/>
      <c r="D87" s="328"/>
      <c r="E87" s="328"/>
      <c r="F87" s="713"/>
      <c r="G87" s="714"/>
      <c r="H87" s="328"/>
      <c r="I87" s="288">
        <f>I83-I85</f>
        <v>0.7149651664361438</v>
      </c>
      <c r="J87" s="289"/>
      <c r="K87" s="326"/>
      <c r="L87" s="328"/>
      <c r="M87" s="328"/>
      <c r="N87" s="330"/>
    </row>
    <row r="89" spans="6:7" ht="12.75">
      <c r="F89" s="137"/>
      <c r="G89" s="15"/>
    </row>
    <row r="90" ht="13.5" thickBot="1"/>
    <row r="91" spans="1:14" ht="14.25" thickBot="1" thickTop="1">
      <c r="A91" s="285" t="s">
        <v>446</v>
      </c>
      <c r="B91" s="323"/>
      <c r="C91" s="323"/>
      <c r="D91" s="323"/>
      <c r="E91" s="323"/>
      <c r="F91" s="323"/>
      <c r="G91" s="323"/>
      <c r="H91" s="323"/>
      <c r="I91" s="324"/>
      <c r="J91" s="324"/>
      <c r="K91" s="324"/>
      <c r="L91" s="324"/>
      <c r="M91" s="324"/>
      <c r="N91" s="324"/>
    </row>
    <row r="92" spans="1:14" ht="12.75">
      <c r="A92" s="280" t="s">
        <v>16</v>
      </c>
      <c r="B92" s="281"/>
      <c r="C92" s="281"/>
      <c r="D92" s="313" t="s">
        <v>17</v>
      </c>
      <c r="E92" s="314"/>
      <c r="F92" s="313" t="s">
        <v>18</v>
      </c>
      <c r="G92" s="313"/>
      <c r="H92" s="270" t="s">
        <v>19</v>
      </c>
      <c r="I92" s="314"/>
      <c r="J92" s="313" t="s">
        <v>20</v>
      </c>
      <c r="K92" s="313"/>
      <c r="L92" s="270" t="s">
        <v>21</v>
      </c>
      <c r="M92" s="314"/>
      <c r="N92" s="316"/>
    </row>
    <row r="93" spans="1:14" ht="12.75">
      <c r="A93" s="439" t="s">
        <v>38</v>
      </c>
      <c r="B93" s="302"/>
      <c r="C93" s="295"/>
      <c r="D93" s="272" t="s">
        <v>39</v>
      </c>
      <c r="E93" s="304"/>
      <c r="F93" s="272" t="s">
        <v>454</v>
      </c>
      <c r="G93" s="272"/>
      <c r="H93" s="272" t="s">
        <v>300</v>
      </c>
      <c r="I93" s="304"/>
      <c r="J93" s="272" t="s">
        <v>453</v>
      </c>
      <c r="K93" s="272"/>
      <c r="L93" s="272" t="s">
        <v>452</v>
      </c>
      <c r="M93" s="272"/>
      <c r="N93" s="303"/>
    </row>
    <row r="94" spans="1:14" ht="12.75">
      <c r="A94" s="439"/>
      <c r="B94" s="302"/>
      <c r="C94" s="295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3"/>
    </row>
    <row r="95" spans="1:14" ht="12.75">
      <c r="A95" s="315"/>
      <c r="B95" s="274"/>
      <c r="C95" s="295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3"/>
    </row>
    <row r="96" spans="1:14" ht="12.75">
      <c r="A96" s="315"/>
      <c r="B96" s="274"/>
      <c r="C96" s="295"/>
      <c r="D96" s="312" t="s">
        <v>691</v>
      </c>
      <c r="E96" s="295"/>
      <c r="F96" s="320" t="s">
        <v>450</v>
      </c>
      <c r="G96" s="321"/>
      <c r="H96" s="312" t="s">
        <v>691</v>
      </c>
      <c r="I96" s="295"/>
      <c r="J96" s="320" t="s">
        <v>451</v>
      </c>
      <c r="K96" s="321"/>
      <c r="L96" s="320" t="s">
        <v>451</v>
      </c>
      <c r="M96" s="321"/>
      <c r="N96" s="322"/>
    </row>
    <row r="97" spans="1:14" ht="12.75">
      <c r="A97" s="315"/>
      <c r="B97" s="274"/>
      <c r="C97" s="295"/>
      <c r="D97" s="274"/>
      <c r="E97" s="295"/>
      <c r="F97" s="274"/>
      <c r="G97" s="274"/>
      <c r="H97" s="274"/>
      <c r="I97" s="295"/>
      <c r="J97" s="274"/>
      <c r="K97" s="274"/>
      <c r="L97" s="274"/>
      <c r="M97" s="274"/>
      <c r="N97" s="322"/>
    </row>
    <row r="98" spans="1:14" ht="12.75">
      <c r="A98" s="299" t="s">
        <v>35</v>
      </c>
      <c r="B98" s="295"/>
      <c r="C98" s="295"/>
      <c r="D98" s="292">
        <v>1</v>
      </c>
      <c r="E98" s="292"/>
      <c r="F98" s="293">
        <f>+N84</f>
        <v>0.06753035502194896</v>
      </c>
      <c r="G98" s="300"/>
      <c r="H98" s="292">
        <v>1</v>
      </c>
      <c r="I98" s="292"/>
      <c r="J98" s="278">
        <f>+N86</f>
        <v>0.16938930205154407</v>
      </c>
      <c r="K98" s="315"/>
      <c r="L98" s="293">
        <f>+N83</f>
        <v>0.23691965707349302</v>
      </c>
      <c r="M98" s="301"/>
      <c r="N98" s="301"/>
    </row>
    <row r="99" spans="1:14" ht="13.5" customHeight="1">
      <c r="A99" s="299"/>
      <c r="B99" s="295"/>
      <c r="C99" s="295"/>
      <c r="D99" s="295"/>
      <c r="E99" s="295"/>
      <c r="F99" s="296" t="s">
        <v>291</v>
      </c>
      <c r="G99" s="274"/>
      <c r="H99" s="295"/>
      <c r="I99" s="295"/>
      <c r="J99" s="296" t="s">
        <v>292</v>
      </c>
      <c r="K99" s="274"/>
      <c r="L99" s="296" t="s">
        <v>293</v>
      </c>
      <c r="M99" s="274"/>
      <c r="N99" s="297"/>
    </row>
    <row r="100" spans="1:14" ht="13.5" customHeight="1">
      <c r="A100" s="298" t="s">
        <v>447</v>
      </c>
      <c r="B100" s="295"/>
      <c r="C100" s="295"/>
      <c r="D100" s="278">
        <f>IF('Intersection Tables'!$C$56="No",HLOOKUP($J$9,'Intersection Tables'!$B$58:$K$65,3,FALSE),HLOOKUP($J$9,'Intersection Tables'!$B$68:$K$75,3,FALSE))</f>
        <v>0</v>
      </c>
      <c r="E100" s="279"/>
      <c r="F100" s="278">
        <f aca="true" t="shared" si="0" ref="F100:F105">+D100*$F$98</f>
        <v>0</v>
      </c>
      <c r="G100" s="279"/>
      <c r="H100" s="278">
        <f>IF('Intersection Tables'!$C$56="No",IF($J$9="3ST",'Intersection Tables'!E60,IF($J$9="3SG",'Intersection Tables'!G60,IF($J$9="4ST",'Intersection Tables'!I60,'Intersection Tables'!K60))),IF($J$9="3ST",'Intersection Tables'!E70,IF($J$9="3SG",'Intersection Tables'!G70,IF($J$9="4ST",'Intersection Tables'!I70,'Intersection Tables'!K70))))</f>
        <v>0</v>
      </c>
      <c r="I100" s="279"/>
      <c r="J100" s="278">
        <f aca="true" t="shared" si="1" ref="J100:J105">+H100*$J$98</f>
        <v>0</v>
      </c>
      <c r="K100" s="279"/>
      <c r="L100" s="292">
        <f aca="true" t="shared" si="2" ref="L100:L105">+F100+J100</f>
        <v>0</v>
      </c>
      <c r="M100" s="292"/>
      <c r="N100" s="293"/>
    </row>
    <row r="101" spans="1:14" ht="13.5" customHeight="1">
      <c r="A101" s="294" t="s">
        <v>308</v>
      </c>
      <c r="B101" s="295"/>
      <c r="C101" s="295"/>
      <c r="D101" s="278">
        <f>IF('Intersection Tables'!$C$56="No",HLOOKUP($J$9,'Intersection Tables'!$B$58:$K$65,4,FALSE),HLOOKUP($J$9,'Intersection Tables'!$B$68:$K$75,4,FALSE))</f>
        <v>0</v>
      </c>
      <c r="E101" s="279"/>
      <c r="F101" s="278">
        <f t="shared" si="0"/>
        <v>0</v>
      </c>
      <c r="G101" s="279"/>
      <c r="H101" s="278">
        <f>IF('Intersection Tables'!$C$56="No",IF($J$9="3ST",'Intersection Tables'!E61,IF($J$9="3SG",'Intersection Tables'!G61,IF($J$9="4ST",'Intersection Tables'!I61,'Intersection Tables'!K61))),IF($J$9="3ST",'Intersection Tables'!E71,IF($J$9="3SG",'Intersection Tables'!G71,IF($J$9="4ST",'Intersection Tables'!I71,'Intersection Tables'!K71))))</f>
        <v>0</v>
      </c>
      <c r="I101" s="279"/>
      <c r="J101" s="278">
        <f t="shared" si="1"/>
        <v>0</v>
      </c>
      <c r="K101" s="279"/>
      <c r="L101" s="292">
        <f t="shared" si="2"/>
        <v>0</v>
      </c>
      <c r="M101" s="292"/>
      <c r="N101" s="293"/>
    </row>
    <row r="102" spans="1:14" ht="13.5" customHeight="1">
      <c r="A102" s="294" t="s">
        <v>309</v>
      </c>
      <c r="B102" s="295"/>
      <c r="C102" s="295"/>
      <c r="D102" s="278">
        <f>IF('Intersection Tables'!$C$56="No",HLOOKUP($J$9,'Intersection Tables'!$B$58:$K$65,5,FALSE),HLOOKUP($J$9,'Intersection Tables'!$B$68:$K$75,5,FALSE))</f>
        <v>0.097</v>
      </c>
      <c r="E102" s="279"/>
      <c r="F102" s="278">
        <f t="shared" si="0"/>
        <v>0.006550444437129049</v>
      </c>
      <c r="G102" s="279"/>
      <c r="H102" s="278">
        <f>IF('Intersection Tables'!$C$56="No",IF($J$9="3ST",'Intersection Tables'!E62,IF($J$9="3SG",'Intersection Tables'!G62,IF($J$9="4ST",'Intersection Tables'!I62,'Intersection Tables'!K62))),IF($J$9="3ST",'Intersection Tables'!E72,IF($J$9="3SG",'Intersection Tables'!G72,IF($J$9="4ST",'Intersection Tables'!I72,'Intersection Tables'!K72))))</f>
        <v>0.722</v>
      </c>
      <c r="I102" s="279"/>
      <c r="J102" s="278">
        <f t="shared" si="1"/>
        <v>0.1222990760812148</v>
      </c>
      <c r="K102" s="279"/>
      <c r="L102" s="292">
        <f t="shared" si="2"/>
        <v>0.12884952051834386</v>
      </c>
      <c r="M102" s="292"/>
      <c r="N102" s="293"/>
    </row>
    <row r="103" spans="1:14" ht="13.5" customHeight="1">
      <c r="A103" s="294" t="s">
        <v>310</v>
      </c>
      <c r="B103" s="295"/>
      <c r="C103" s="295"/>
      <c r="D103" s="278">
        <f>IF('Intersection Tables'!$C$56="No",HLOOKUP($J$9,'Intersection Tables'!$B$58:$K$65,6,FALSE),HLOOKUP($J$9,'Intersection Tables'!$B$68:$K$75,6,FALSE))</f>
        <v>0</v>
      </c>
      <c r="E103" s="279"/>
      <c r="F103" s="278">
        <f t="shared" si="0"/>
        <v>0</v>
      </c>
      <c r="G103" s="279"/>
      <c r="H103" s="278">
        <f>IF('Intersection Tables'!$C$56="No",IF($J$9="3ST",'Intersection Tables'!E63,IF($J$9="3SG",'Intersection Tables'!G63,IF($J$9="4ST",'Intersection Tables'!I63,'Intersection Tables'!K63))),IF($J$9="3ST",'Intersection Tables'!E73,IF($J$9="3SG",'Intersection Tables'!G73,IF($J$9="4ST",'Intersection Tables'!I73,'Intersection Tables'!K73))))</f>
        <v>0</v>
      </c>
      <c r="I103" s="279"/>
      <c r="J103" s="278">
        <f t="shared" si="1"/>
        <v>0</v>
      </c>
      <c r="K103" s="279"/>
      <c r="L103" s="292">
        <f t="shared" si="2"/>
        <v>0</v>
      </c>
      <c r="M103" s="292"/>
      <c r="N103" s="293"/>
    </row>
    <row r="104" spans="1:14" ht="12.75">
      <c r="A104" s="294" t="s">
        <v>311</v>
      </c>
      <c r="B104" s="295"/>
      <c r="C104" s="295"/>
      <c r="D104" s="278">
        <f>IF('Intersection Tables'!$C$56="No",HLOOKUP($J$9,'Intersection Tables'!$B$58:$K$65,7,FALSE),HLOOKUP($J$9,'Intersection Tables'!$B$68:$K$75,7,FALSE))</f>
        <v>0.888</v>
      </c>
      <c r="E104" s="279"/>
      <c r="F104" s="278">
        <f t="shared" si="0"/>
        <v>0.059966955259490674</v>
      </c>
      <c r="G104" s="279"/>
      <c r="H104" s="278">
        <f>IF('Intersection Tables'!$C$56="No",IF($J$9="3ST",'Intersection Tables'!E64,IF($J$9="3SG",'Intersection Tables'!G64,IF($J$9="4ST",'Intersection Tables'!I64,'Intersection Tables'!K64))),IF($J$9="3ST",'Intersection Tables'!E74,IF($J$9="3SG",'Intersection Tables'!G74,IF($J$9="4ST",'Intersection Tables'!I74,'Intersection Tables'!K74))))</f>
        <v>0.056</v>
      </c>
      <c r="I104" s="279"/>
      <c r="J104" s="278">
        <f t="shared" si="1"/>
        <v>0.009485800914886468</v>
      </c>
      <c r="K104" s="279"/>
      <c r="L104" s="292">
        <f t="shared" si="2"/>
        <v>0.06945275617437714</v>
      </c>
      <c r="M104" s="292"/>
      <c r="N104" s="293"/>
    </row>
    <row r="105" spans="1:14" ht="13.5" thickBot="1">
      <c r="A105" s="286" t="s">
        <v>448</v>
      </c>
      <c r="B105" s="287"/>
      <c r="C105" s="287"/>
      <c r="D105" s="288">
        <f>IF('Intersection Tables'!$C$56="No",HLOOKUP($J$9,'Intersection Tables'!$B$58:$K$65,8,FALSE),HLOOKUP($J$9,'Intersection Tables'!$B$68:$K$75,8,FALSE))</f>
        <v>0.015</v>
      </c>
      <c r="E105" s="289"/>
      <c r="F105" s="288">
        <f t="shared" si="0"/>
        <v>0.0010129553253292343</v>
      </c>
      <c r="G105" s="289"/>
      <c r="H105" s="288">
        <f>IF('Intersection Tables'!$C$56="No",IF($J$9="3ST",'Intersection Tables'!E65,IF($J$9="3SG",'Intersection Tables'!G65,IF($J$9="4ST",'Intersection Tables'!I65,'Intersection Tables'!K65))),IF($J$9="3ST",'Intersection Tables'!E75,IF($J$9="3SG",'Intersection Tables'!G75,IF($J$9="4ST",'Intersection Tables'!I75,'Intersection Tables'!K75))))</f>
        <v>0.222</v>
      </c>
      <c r="I105" s="289"/>
      <c r="J105" s="288">
        <f t="shared" si="1"/>
        <v>0.037604425055442786</v>
      </c>
      <c r="K105" s="289"/>
      <c r="L105" s="290">
        <f t="shared" si="2"/>
        <v>0.03861738038077202</v>
      </c>
      <c r="M105" s="290"/>
      <c r="N105" s="291"/>
    </row>
    <row r="108" ht="13.5" thickBot="1"/>
    <row r="109" spans="1:14" ht="14.25" thickBot="1" thickTop="1">
      <c r="A109" s="285" t="s">
        <v>455</v>
      </c>
      <c r="B109" s="323"/>
      <c r="C109" s="323"/>
      <c r="D109" s="323"/>
      <c r="E109" s="323"/>
      <c r="F109" s="323"/>
      <c r="G109" s="323"/>
      <c r="H109" s="323"/>
      <c r="I109" s="324"/>
      <c r="J109" s="324"/>
      <c r="K109" s="324"/>
      <c r="L109" s="324"/>
      <c r="M109" s="324"/>
      <c r="N109" s="324"/>
    </row>
    <row r="110" spans="1:14" ht="12.75">
      <c r="A110" s="280" t="s">
        <v>16</v>
      </c>
      <c r="B110" s="281"/>
      <c r="C110" s="281"/>
      <c r="D110" s="270" t="s">
        <v>17</v>
      </c>
      <c r="E110" s="270"/>
      <c r="F110" s="270" t="s">
        <v>18</v>
      </c>
      <c r="G110" s="270"/>
      <c r="H110" s="123" t="s">
        <v>19</v>
      </c>
      <c r="I110" s="270" t="s">
        <v>20</v>
      </c>
      <c r="J110" s="270"/>
      <c r="K110" s="270" t="s">
        <v>21</v>
      </c>
      <c r="L110" s="270"/>
      <c r="M110" s="270" t="s">
        <v>22</v>
      </c>
      <c r="N110" s="271"/>
    </row>
    <row r="111" spans="1:14" ht="12.75" customHeight="1">
      <c r="A111" s="282" t="s">
        <v>32</v>
      </c>
      <c r="B111" s="283"/>
      <c r="C111" s="283"/>
      <c r="D111" s="485" t="s">
        <v>436</v>
      </c>
      <c r="E111" s="485"/>
      <c r="F111" s="485" t="s">
        <v>445</v>
      </c>
      <c r="G111" s="485"/>
      <c r="H111" s="272" t="s">
        <v>458</v>
      </c>
      <c r="I111" s="272" t="s">
        <v>460</v>
      </c>
      <c r="J111" s="272"/>
      <c r="K111" s="272" t="s">
        <v>461</v>
      </c>
      <c r="L111" s="272"/>
      <c r="M111" s="272" t="s">
        <v>462</v>
      </c>
      <c r="N111" s="484"/>
    </row>
    <row r="112" spans="1:14" ht="12.75">
      <c r="A112" s="284"/>
      <c r="B112" s="283"/>
      <c r="C112" s="283"/>
      <c r="D112" s="485"/>
      <c r="E112" s="485"/>
      <c r="F112" s="485"/>
      <c r="G112" s="485"/>
      <c r="H112" s="272"/>
      <c r="I112" s="272"/>
      <c r="J112" s="272"/>
      <c r="K112" s="272"/>
      <c r="L112" s="272"/>
      <c r="M112" s="272"/>
      <c r="N112" s="484"/>
    </row>
    <row r="113" spans="1:14" ht="12.75" customHeight="1">
      <c r="A113" s="284"/>
      <c r="B113" s="283"/>
      <c r="C113" s="283"/>
      <c r="D113" s="312" t="s">
        <v>456</v>
      </c>
      <c r="E113" s="362"/>
      <c r="F113" s="312" t="s">
        <v>457</v>
      </c>
      <c r="G113" s="362"/>
      <c r="H113" s="312" t="s">
        <v>459</v>
      </c>
      <c r="I113" s="312" t="s">
        <v>692</v>
      </c>
      <c r="J113" s="295"/>
      <c r="K113" s="362"/>
      <c r="L113" s="362"/>
      <c r="M113" s="312" t="s">
        <v>340</v>
      </c>
      <c r="N113" s="349"/>
    </row>
    <row r="114" spans="1:14" ht="12.75">
      <c r="A114" s="284"/>
      <c r="B114" s="283"/>
      <c r="C114" s="283"/>
      <c r="D114" s="362"/>
      <c r="E114" s="362"/>
      <c r="F114" s="362"/>
      <c r="G114" s="362"/>
      <c r="H114" s="362"/>
      <c r="I114" s="274"/>
      <c r="J114" s="295"/>
      <c r="K114" s="362"/>
      <c r="L114" s="362"/>
      <c r="M114" s="362"/>
      <c r="N114" s="349"/>
    </row>
    <row r="115" spans="1:14" ht="12.75">
      <c r="A115" s="275" t="s">
        <v>35</v>
      </c>
      <c r="B115" s="276"/>
      <c r="C115" s="276"/>
      <c r="D115" s="278" t="str">
        <f>IF($J$9="3SG","--",IF($J$9="4SG","--",N51))</f>
        <v>--</v>
      </c>
      <c r="E115" s="315"/>
      <c r="F115" s="278" t="str">
        <f>IF($J$9="3SG","--",IF($J$9="4SG","--",N83))</f>
        <v>--</v>
      </c>
      <c r="G115" s="315"/>
      <c r="H115" s="197" t="str">
        <f>IF($J$9="3SG","--",IF($J$9="4SG","--",(D115+F115)))</f>
        <v>--</v>
      </c>
      <c r="I115" s="278" t="str">
        <f>IF($J$9="3ST",0.021,IF($J$9="4ST",0.022,"--"))</f>
        <v>--</v>
      </c>
      <c r="J115" s="279"/>
      <c r="K115" s="488">
        <f>+$J$13</f>
        <v>1.05</v>
      </c>
      <c r="L115" s="315"/>
      <c r="M115" s="278" t="str">
        <f>IF(J9="3SG","--",IF(J9="4SG","--",$H$115*$I$115*$K$115))</f>
        <v>--</v>
      </c>
      <c r="N115" s="486"/>
    </row>
    <row r="116" spans="1:14" ht="13.5" thickBot="1">
      <c r="A116" s="255" t="s">
        <v>140</v>
      </c>
      <c r="B116" s="256"/>
      <c r="C116" s="256"/>
      <c r="D116" s="473" t="s">
        <v>14</v>
      </c>
      <c r="E116" s="474"/>
      <c r="F116" s="473" t="s">
        <v>14</v>
      </c>
      <c r="G116" s="474"/>
      <c r="H116" s="195" t="s">
        <v>14</v>
      </c>
      <c r="I116" s="473" t="s">
        <v>14</v>
      </c>
      <c r="J116" s="474"/>
      <c r="K116" s="477">
        <f>+$J$13</f>
        <v>1.05</v>
      </c>
      <c r="L116" s="474"/>
      <c r="M116" s="288" t="str">
        <f>+M115</f>
        <v>--</v>
      </c>
      <c r="N116" s="489"/>
    </row>
    <row r="119" spans="13:15" ht="13.5" thickBot="1">
      <c r="M119" s="22"/>
      <c r="N119" s="22"/>
      <c r="O119" s="22"/>
    </row>
    <row r="120" spans="2:15" ht="14.25" thickBot="1" thickTop="1">
      <c r="B120" s="696" t="s">
        <v>463</v>
      </c>
      <c r="C120" s="697"/>
      <c r="D120" s="697"/>
      <c r="E120" s="697"/>
      <c r="F120" s="697"/>
      <c r="G120" s="697"/>
      <c r="H120" s="697"/>
      <c r="I120" s="697"/>
      <c r="J120" s="697"/>
      <c r="K120" s="697"/>
      <c r="L120" s="697"/>
      <c r="M120" s="697"/>
      <c r="N120" s="149"/>
      <c r="O120" s="149"/>
    </row>
    <row r="121" spans="2:13" ht="12.75">
      <c r="B121" s="280" t="s">
        <v>16</v>
      </c>
      <c r="C121" s="281"/>
      <c r="D121" s="281"/>
      <c r="E121" s="361" t="s">
        <v>17</v>
      </c>
      <c r="F121" s="281"/>
      <c r="G121" s="281"/>
      <c r="H121" s="361" t="s">
        <v>18</v>
      </c>
      <c r="I121" s="281"/>
      <c r="J121" s="281"/>
      <c r="K121" s="361" t="s">
        <v>19</v>
      </c>
      <c r="L121" s="281"/>
      <c r="M121" s="281"/>
    </row>
    <row r="122" spans="2:13" ht="12.75">
      <c r="B122" s="563" t="s">
        <v>464</v>
      </c>
      <c r="C122" s="273"/>
      <c r="D122" s="273"/>
      <c r="E122" s="273" t="s">
        <v>465</v>
      </c>
      <c r="F122" s="273"/>
      <c r="G122" s="273"/>
      <c r="H122" s="273" t="s">
        <v>466</v>
      </c>
      <c r="I122" s="273"/>
      <c r="J122" s="273"/>
      <c r="K122" s="312" t="s">
        <v>84</v>
      </c>
      <c r="L122" s="312"/>
      <c r="M122" s="265"/>
    </row>
    <row r="123" spans="2:13" ht="15.75">
      <c r="B123" s="563" t="s">
        <v>467</v>
      </c>
      <c r="C123" s="273"/>
      <c r="D123" s="273"/>
      <c r="E123" s="273" t="s">
        <v>468</v>
      </c>
      <c r="F123" s="273"/>
      <c r="G123" s="273"/>
      <c r="H123" s="273" t="s">
        <v>469</v>
      </c>
      <c r="I123" s="273"/>
      <c r="J123" s="273"/>
      <c r="K123" s="362"/>
      <c r="L123" s="362"/>
      <c r="M123" s="349"/>
    </row>
    <row r="124" spans="2:13" ht="12.75">
      <c r="B124" s="563" t="s">
        <v>693</v>
      </c>
      <c r="C124" s="273"/>
      <c r="D124" s="273"/>
      <c r="E124" s="273" t="s">
        <v>694</v>
      </c>
      <c r="F124" s="273"/>
      <c r="G124" s="273"/>
      <c r="H124" s="273" t="s">
        <v>695</v>
      </c>
      <c r="I124" s="273"/>
      <c r="J124" s="273"/>
      <c r="K124" s="273" t="s">
        <v>470</v>
      </c>
      <c r="L124" s="274"/>
      <c r="M124" s="297"/>
    </row>
    <row r="125" spans="2:13" ht="13.5" thickBot="1">
      <c r="B125" s="698">
        <f>IF($J$9="3ST","--",IF($J$9="4ST","--",IF($J$29=0,1,IF($J$29&lt;3,2.78,4.15))))</f>
        <v>1</v>
      </c>
      <c r="C125" s="267"/>
      <c r="D125" s="267"/>
      <c r="E125" s="267">
        <f>IF($J$9="3ST","--",IF($J$9="4ST","--",IF($J$30="Present",1.35,1)))</f>
        <v>1</v>
      </c>
      <c r="F125" s="267"/>
      <c r="G125" s="267"/>
      <c r="H125" s="267">
        <f>IF(J9="3ST","--",IF(J9="4ST","--",IF(J31=0,1,IF(J31&lt;9,1.12,1.56))))</f>
        <v>1</v>
      </c>
      <c r="I125" s="267"/>
      <c r="J125" s="267"/>
      <c r="K125" s="267">
        <f>IF(J9="3ST","--",IF(J9="4ST","--",B125*E125*H125))</f>
        <v>1</v>
      </c>
      <c r="L125" s="267"/>
      <c r="M125" s="477"/>
    </row>
    <row r="128" ht="13.5" thickBot="1"/>
    <row r="129" spans="1:14" ht="14.25" thickBot="1" thickTop="1">
      <c r="A129" s="285" t="s">
        <v>471</v>
      </c>
      <c r="B129" s="323"/>
      <c r="C129" s="323"/>
      <c r="D129" s="323"/>
      <c r="E129" s="323"/>
      <c r="F129" s="323"/>
      <c r="G129" s="323"/>
      <c r="H129" s="323"/>
      <c r="I129" s="324"/>
      <c r="J129" s="324"/>
      <c r="K129" s="324"/>
      <c r="L129" s="324"/>
      <c r="M129" s="324"/>
      <c r="N129" s="324"/>
    </row>
    <row r="130" spans="1:14" ht="12.75">
      <c r="A130" s="280" t="s">
        <v>16</v>
      </c>
      <c r="B130" s="316"/>
      <c r="C130" s="270" t="s">
        <v>17</v>
      </c>
      <c r="D130" s="270"/>
      <c r="E130" s="270"/>
      <c r="F130" s="270"/>
      <c r="G130" s="270"/>
      <c r="H130" s="123" t="s">
        <v>18</v>
      </c>
      <c r="I130" s="270" t="s">
        <v>19</v>
      </c>
      <c r="J130" s="270"/>
      <c r="K130" s="270" t="s">
        <v>20</v>
      </c>
      <c r="L130" s="270"/>
      <c r="M130" s="123" t="s">
        <v>21</v>
      </c>
      <c r="N130" s="146" t="s">
        <v>22</v>
      </c>
    </row>
    <row r="131" spans="1:14" ht="12.75" customHeight="1">
      <c r="A131" s="668" t="s">
        <v>32</v>
      </c>
      <c r="B131" s="694"/>
      <c r="C131" s="357" t="s">
        <v>89</v>
      </c>
      <c r="D131" s="357"/>
      <c r="E131" s="357"/>
      <c r="F131" s="357"/>
      <c r="G131" s="357"/>
      <c r="H131" s="272" t="s">
        <v>33</v>
      </c>
      <c r="I131" s="272" t="s">
        <v>474</v>
      </c>
      <c r="J131" s="272"/>
      <c r="K131" s="272" t="s">
        <v>84</v>
      </c>
      <c r="L131" s="272"/>
      <c r="M131" s="272" t="s">
        <v>461</v>
      </c>
      <c r="N131" s="484" t="s">
        <v>709</v>
      </c>
    </row>
    <row r="132" spans="1:14" ht="12.75">
      <c r="A132" s="695"/>
      <c r="B132" s="309"/>
      <c r="C132" s="357"/>
      <c r="D132" s="357"/>
      <c r="E132" s="357"/>
      <c r="F132" s="357"/>
      <c r="G132" s="357"/>
      <c r="H132" s="272"/>
      <c r="I132" s="272"/>
      <c r="J132" s="272"/>
      <c r="K132" s="272"/>
      <c r="L132" s="272"/>
      <c r="M132" s="272"/>
      <c r="N132" s="484"/>
    </row>
    <row r="133" spans="1:14" ht="12.75">
      <c r="A133" s="695"/>
      <c r="B133" s="309"/>
      <c r="C133" s="273" t="s">
        <v>696</v>
      </c>
      <c r="D133" s="273"/>
      <c r="E133" s="273"/>
      <c r="F133" s="273"/>
      <c r="G133" s="273"/>
      <c r="H133" s="272"/>
      <c r="I133" s="312" t="s">
        <v>573</v>
      </c>
      <c r="J133" s="362"/>
      <c r="K133" s="312" t="s">
        <v>475</v>
      </c>
      <c r="L133" s="362"/>
      <c r="M133" s="272"/>
      <c r="N133" s="265" t="s">
        <v>340</v>
      </c>
    </row>
    <row r="134" spans="1:14" ht="12.75">
      <c r="A134" s="310"/>
      <c r="B134" s="310"/>
      <c r="C134" s="188" t="s">
        <v>90</v>
      </c>
      <c r="D134" s="188" t="s">
        <v>91</v>
      </c>
      <c r="E134" s="188" t="s">
        <v>434</v>
      </c>
      <c r="F134" s="125" t="s">
        <v>472</v>
      </c>
      <c r="G134" s="125" t="s">
        <v>473</v>
      </c>
      <c r="H134" s="272"/>
      <c r="I134" s="362"/>
      <c r="J134" s="362"/>
      <c r="K134" s="362"/>
      <c r="L134" s="362"/>
      <c r="M134" s="272"/>
      <c r="N134" s="349"/>
    </row>
    <row r="135" spans="1:14" ht="12.75">
      <c r="A135" s="299" t="s">
        <v>35</v>
      </c>
      <c r="B135" s="322"/>
      <c r="C135" s="12">
        <f>IF($J$9="3ST","--",IF($J$9="4ST","--",(VLOOKUP($J$9,'Intersection Tables'!$P$9:$V$10,2,FALSE))))</f>
        <v>-9.53</v>
      </c>
      <c r="D135" s="12">
        <f>IF($J$9="3ST","--",IF($J$9="4ST","--",(VLOOKUP($J$9,'Intersection Tables'!$P$9:$V$10,3,FALSE))))</f>
        <v>0.4</v>
      </c>
      <c r="E135" s="12">
        <f>IF($J$9="3ST","--",IF($J$9="4ST","--",(VLOOKUP($J$9,'Intersection Tables'!$P$9:$V$10,4,FALSE))))</f>
        <v>0.26</v>
      </c>
      <c r="F135" s="12">
        <f>IF($J$9="3ST","--",IF($J$9="4ST","--",(VLOOKUP($J$9,'Intersection Tables'!$P$9:$V$10,5,FALSE))))</f>
        <v>0.45</v>
      </c>
      <c r="G135" s="12">
        <f>IF($J$9="3ST","--",IF($J$9="4ST","--",(VLOOKUP($J$9,'Intersection Tables'!$P$9:$V$10,6,FALSE))))</f>
        <v>0.04</v>
      </c>
      <c r="H135" s="12">
        <f>IF($J$9="3ST","--",IF($J$9="4ST","--",(VLOOKUP($J$9,'Intersection Tables'!$P$9:$V$10,7,FALSE))))</f>
        <v>0.24</v>
      </c>
      <c r="I135" s="278">
        <f>IF($J$9="3ST","--",IF($J$9="4ST","--",EXP(+$C135+($D135*LN($J$10+J$11))+(E$135*LN($J$11/$J$10))+(F$135*LN($J$27))+(G$135*$J$28))))</f>
        <v>0.007444317679418728</v>
      </c>
      <c r="J135" s="279"/>
      <c r="K135" s="488">
        <f>+$K$125</f>
        <v>1</v>
      </c>
      <c r="L135" s="676"/>
      <c r="M135" s="12">
        <f>+$J$13</f>
        <v>1.05</v>
      </c>
      <c r="N135" s="128">
        <f>IF($J$9="3ST","--",IF($J$9="4ST","--",(I135*K135*M135)))</f>
        <v>0.007816533563389664</v>
      </c>
    </row>
    <row r="136" spans="1:14" ht="13.5" thickBot="1">
      <c r="A136" s="692" t="s">
        <v>36</v>
      </c>
      <c r="B136" s="693"/>
      <c r="C136" s="207" t="s">
        <v>14</v>
      </c>
      <c r="D136" s="207" t="s">
        <v>14</v>
      </c>
      <c r="E136" s="207" t="s">
        <v>14</v>
      </c>
      <c r="F136" s="207" t="s">
        <v>14</v>
      </c>
      <c r="G136" s="207" t="s">
        <v>14</v>
      </c>
      <c r="H136" s="207" t="s">
        <v>14</v>
      </c>
      <c r="I136" s="675" t="s">
        <v>14</v>
      </c>
      <c r="J136" s="289"/>
      <c r="K136" s="473" t="s">
        <v>14</v>
      </c>
      <c r="L136" s="474"/>
      <c r="M136" s="193">
        <f>+$J$13</f>
        <v>1.05</v>
      </c>
      <c r="N136" s="208">
        <f>N135</f>
        <v>0.007816533563389664</v>
      </c>
    </row>
    <row r="139" ht="13.5" thickBot="1"/>
    <row r="140" spans="1:14" ht="14.25" thickBot="1" thickTop="1">
      <c r="A140" s="696" t="s">
        <v>706</v>
      </c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  <c r="M140" s="360"/>
      <c r="N140" s="360"/>
    </row>
    <row r="141" spans="1:14" ht="12.75">
      <c r="A141" s="280" t="s">
        <v>16</v>
      </c>
      <c r="B141" s="281"/>
      <c r="C141" s="281"/>
      <c r="D141" s="270" t="s">
        <v>17</v>
      </c>
      <c r="E141" s="270"/>
      <c r="F141" s="270" t="s">
        <v>18</v>
      </c>
      <c r="G141" s="270"/>
      <c r="H141" s="123" t="s">
        <v>19</v>
      </c>
      <c r="I141" s="270" t="s">
        <v>20</v>
      </c>
      <c r="J141" s="270"/>
      <c r="K141" s="270" t="s">
        <v>21</v>
      </c>
      <c r="L141" s="270"/>
      <c r="M141" s="270" t="s">
        <v>22</v>
      </c>
      <c r="N141" s="271"/>
    </row>
    <row r="142" spans="1:14" ht="12.75" customHeight="1">
      <c r="A142" s="282" t="s">
        <v>32</v>
      </c>
      <c r="B142" s="283"/>
      <c r="C142" s="283"/>
      <c r="D142" s="485" t="s">
        <v>436</v>
      </c>
      <c r="E142" s="485"/>
      <c r="F142" s="485" t="s">
        <v>445</v>
      </c>
      <c r="G142" s="485"/>
      <c r="H142" s="272" t="s">
        <v>458</v>
      </c>
      <c r="I142" s="272" t="s">
        <v>476</v>
      </c>
      <c r="J142" s="272"/>
      <c r="K142" s="272" t="s">
        <v>461</v>
      </c>
      <c r="L142" s="272"/>
      <c r="M142" s="272" t="s">
        <v>710</v>
      </c>
      <c r="N142" s="484"/>
    </row>
    <row r="143" spans="1:14" ht="12.75">
      <c r="A143" s="284"/>
      <c r="B143" s="283"/>
      <c r="C143" s="283"/>
      <c r="D143" s="485"/>
      <c r="E143" s="485"/>
      <c r="F143" s="485"/>
      <c r="G143" s="485"/>
      <c r="H143" s="272"/>
      <c r="I143" s="272"/>
      <c r="J143" s="272"/>
      <c r="K143" s="272"/>
      <c r="L143" s="272"/>
      <c r="M143" s="272"/>
      <c r="N143" s="484"/>
    </row>
    <row r="144" spans="1:14" ht="12.75">
      <c r="A144" s="284"/>
      <c r="B144" s="283"/>
      <c r="C144" s="283"/>
      <c r="D144" s="312" t="s">
        <v>456</v>
      </c>
      <c r="E144" s="362"/>
      <c r="F144" s="312" t="s">
        <v>457</v>
      </c>
      <c r="G144" s="362"/>
      <c r="H144" s="312" t="s">
        <v>459</v>
      </c>
      <c r="I144" s="312" t="s">
        <v>697</v>
      </c>
      <c r="J144" s="295"/>
      <c r="K144" s="362"/>
      <c r="L144" s="362"/>
      <c r="M144" s="312" t="s">
        <v>340</v>
      </c>
      <c r="N144" s="349"/>
    </row>
    <row r="145" spans="1:14" ht="12.75">
      <c r="A145" s="284"/>
      <c r="B145" s="283"/>
      <c r="C145" s="283"/>
      <c r="D145" s="362"/>
      <c r="E145" s="362"/>
      <c r="F145" s="362"/>
      <c r="G145" s="362"/>
      <c r="H145" s="362"/>
      <c r="I145" s="274"/>
      <c r="J145" s="295"/>
      <c r="K145" s="362"/>
      <c r="L145" s="362"/>
      <c r="M145" s="362"/>
      <c r="N145" s="349"/>
    </row>
    <row r="146" spans="1:14" ht="12.75">
      <c r="A146" s="275" t="s">
        <v>35</v>
      </c>
      <c r="B146" s="276"/>
      <c r="C146" s="276"/>
      <c r="D146" s="278">
        <f>+$N$51</f>
        <v>3.2267025606878144</v>
      </c>
      <c r="E146" s="315"/>
      <c r="F146" s="455">
        <f>+$N$83</f>
        <v>0.23691965707349302</v>
      </c>
      <c r="G146" s="455"/>
      <c r="H146" s="3">
        <f>+D146+F146</f>
        <v>3.463622217761307</v>
      </c>
      <c r="I146" s="690">
        <f>IF(J9="3ST",0.016,IF(J9="3SG",0.011,IF(J9="4ST",0.018,0.015)))</f>
        <v>0.015</v>
      </c>
      <c r="J146" s="691"/>
      <c r="K146" s="488">
        <f>+$J$13</f>
        <v>1.05</v>
      </c>
      <c r="L146" s="315"/>
      <c r="M146" s="278">
        <f>+$H$146*$I$146*K146</f>
        <v>0.05455204992974059</v>
      </c>
      <c r="N146" s="486"/>
    </row>
    <row r="147" spans="1:14" ht="13.5" thickBot="1">
      <c r="A147" s="255" t="s">
        <v>140</v>
      </c>
      <c r="B147" s="256"/>
      <c r="C147" s="256"/>
      <c r="D147" s="473" t="s">
        <v>14</v>
      </c>
      <c r="E147" s="474"/>
      <c r="F147" s="473" t="s">
        <v>14</v>
      </c>
      <c r="G147" s="474"/>
      <c r="H147" s="195" t="s">
        <v>14</v>
      </c>
      <c r="I147" s="473" t="s">
        <v>14</v>
      </c>
      <c r="J147" s="474"/>
      <c r="K147" s="477">
        <f>+$J$13</f>
        <v>1.05</v>
      </c>
      <c r="L147" s="474"/>
      <c r="M147" s="288">
        <f>+$H$146*$I$146*K147</f>
        <v>0.05455204992974059</v>
      </c>
      <c r="N147" s="489"/>
    </row>
    <row r="150" ht="13.5" thickBot="1"/>
    <row r="151" spans="1:14" ht="14.25" thickBot="1" thickTop="1">
      <c r="A151" s="285" t="s">
        <v>477</v>
      </c>
      <c r="B151" s="323"/>
      <c r="C151" s="323"/>
      <c r="D151" s="323"/>
      <c r="E151" s="323"/>
      <c r="F151" s="323"/>
      <c r="G151" s="323"/>
      <c r="H151" s="323"/>
      <c r="I151" s="324"/>
      <c r="J151" s="324"/>
      <c r="K151" s="324"/>
      <c r="L151" s="324"/>
      <c r="M151" s="324"/>
      <c r="N151" s="324"/>
    </row>
    <row r="152" spans="1:14" ht="12.75">
      <c r="A152" s="464" t="s">
        <v>16</v>
      </c>
      <c r="B152" s="465"/>
      <c r="C152" s="465"/>
      <c r="D152" s="465"/>
      <c r="E152" s="465"/>
      <c r="F152" s="499" t="s">
        <v>17</v>
      </c>
      <c r="G152" s="499"/>
      <c r="H152" s="499"/>
      <c r="I152" s="499" t="s">
        <v>18</v>
      </c>
      <c r="J152" s="499"/>
      <c r="K152" s="499"/>
      <c r="L152" s="499" t="s">
        <v>19</v>
      </c>
      <c r="M152" s="499"/>
      <c r="N152" s="500"/>
    </row>
    <row r="153" spans="1:14" ht="12.75">
      <c r="A153" s="682" t="s">
        <v>52</v>
      </c>
      <c r="B153" s="683"/>
      <c r="C153" s="683"/>
      <c r="D153" s="683"/>
      <c r="E153" s="684"/>
      <c r="F153" s="508" t="s">
        <v>140</v>
      </c>
      <c r="G153" s="508"/>
      <c r="H153" s="508"/>
      <c r="I153" s="508" t="s">
        <v>141</v>
      </c>
      <c r="J153" s="508"/>
      <c r="K153" s="508"/>
      <c r="L153" s="508" t="s">
        <v>35</v>
      </c>
      <c r="M153" s="508"/>
      <c r="N153" s="509"/>
    </row>
    <row r="154" spans="1:14" ht="12.75">
      <c r="A154" s="685"/>
      <c r="B154" s="685"/>
      <c r="C154" s="685"/>
      <c r="D154" s="685"/>
      <c r="E154" s="458"/>
      <c r="F154" s="502" t="s">
        <v>478</v>
      </c>
      <c r="G154" s="502"/>
      <c r="H154" s="502"/>
      <c r="I154" s="502" t="s">
        <v>480</v>
      </c>
      <c r="J154" s="502"/>
      <c r="K154" s="502"/>
      <c r="L154" s="502" t="s">
        <v>481</v>
      </c>
      <c r="M154" s="502"/>
      <c r="N154" s="505"/>
    </row>
    <row r="155" spans="1:14" ht="12.75">
      <c r="A155" s="686"/>
      <c r="B155" s="686"/>
      <c r="C155" s="686"/>
      <c r="D155" s="686"/>
      <c r="E155" s="460"/>
      <c r="F155" s="506" t="s">
        <v>479</v>
      </c>
      <c r="G155" s="506"/>
      <c r="H155" s="506"/>
      <c r="I155" s="687"/>
      <c r="J155" s="688"/>
      <c r="K155" s="689"/>
      <c r="L155" s="506" t="s">
        <v>479</v>
      </c>
      <c r="M155" s="506"/>
      <c r="N155" s="507"/>
    </row>
    <row r="156" spans="1:14" ht="12.75">
      <c r="A156" s="510" t="s">
        <v>358</v>
      </c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511"/>
    </row>
    <row r="157" spans="1:14" ht="12.75">
      <c r="A157" s="275" t="s">
        <v>482</v>
      </c>
      <c r="B157" s="512"/>
      <c r="C157" s="512"/>
      <c r="D157" s="512"/>
      <c r="E157" s="512"/>
      <c r="F157" s="455">
        <f>+F68</f>
        <v>0.5156814329439294</v>
      </c>
      <c r="G157" s="274"/>
      <c r="H157" s="274"/>
      <c r="I157" s="455">
        <f>+J68</f>
        <v>0.8833541179325103</v>
      </c>
      <c r="J157" s="274"/>
      <c r="K157" s="274"/>
      <c r="L157" s="455">
        <f>+L68</f>
        <v>1.3990355508764396</v>
      </c>
      <c r="M157" s="274"/>
      <c r="N157" s="297"/>
    </row>
    <row r="158" spans="1:14" ht="12.75">
      <c r="A158" s="275" t="s">
        <v>483</v>
      </c>
      <c r="B158" s="512"/>
      <c r="C158" s="512"/>
      <c r="D158" s="512"/>
      <c r="E158" s="512"/>
      <c r="F158" s="455">
        <f>+F69</f>
        <v>0.002058608514746225</v>
      </c>
      <c r="G158" s="274"/>
      <c r="H158" s="274"/>
      <c r="I158" s="455">
        <f>+J69</f>
        <v>0</v>
      </c>
      <c r="J158" s="274"/>
      <c r="K158" s="274"/>
      <c r="L158" s="455">
        <f>+L69</f>
        <v>0.002058608514746225</v>
      </c>
      <c r="M158" s="274"/>
      <c r="N158" s="297"/>
    </row>
    <row r="159" spans="1:14" ht="12.75">
      <c r="A159" s="275" t="s">
        <v>484</v>
      </c>
      <c r="B159" s="512"/>
      <c r="C159" s="512"/>
      <c r="D159" s="512"/>
      <c r="E159" s="512"/>
      <c r="F159" s="455">
        <f>+F70</f>
        <v>0.24291580474005456</v>
      </c>
      <c r="G159" s="274"/>
      <c r="H159" s="274"/>
      <c r="I159" s="455">
        <f>+J70</f>
        <v>0.47244063521266094</v>
      </c>
      <c r="J159" s="274"/>
      <c r="K159" s="274"/>
      <c r="L159" s="455">
        <f>+L70</f>
        <v>0.7153564399527155</v>
      </c>
      <c r="M159" s="274"/>
      <c r="N159" s="297"/>
    </row>
    <row r="160" spans="1:14" ht="12.75">
      <c r="A160" s="513" t="s">
        <v>485</v>
      </c>
      <c r="B160" s="514"/>
      <c r="C160" s="514"/>
      <c r="D160" s="514"/>
      <c r="E160" s="514"/>
      <c r="F160" s="455">
        <f>+F71</f>
        <v>0.00411721702949245</v>
      </c>
      <c r="G160" s="274"/>
      <c r="H160" s="274"/>
      <c r="I160" s="455">
        <f>+J71</f>
        <v>0.026368779639776425</v>
      </c>
      <c r="J160" s="274"/>
      <c r="K160" s="274"/>
      <c r="L160" s="455">
        <f>+L71</f>
        <v>0.030485996669268874</v>
      </c>
      <c r="M160" s="274"/>
      <c r="N160" s="297"/>
    </row>
    <row r="161" spans="1:14" ht="12.75">
      <c r="A161" s="513" t="s">
        <v>486</v>
      </c>
      <c r="B161" s="514"/>
      <c r="C161" s="514"/>
      <c r="D161" s="514"/>
      <c r="E161" s="514"/>
      <c r="F161" s="455">
        <f>+F72</f>
        <v>0.26453119414488996</v>
      </c>
      <c r="G161" s="274"/>
      <c r="H161" s="274"/>
      <c r="I161" s="455">
        <f>+J72</f>
        <v>0.8130373722264397</v>
      </c>
      <c r="J161" s="274"/>
      <c r="K161" s="274"/>
      <c r="L161" s="455">
        <f>+L72</f>
        <v>1.0775685663713297</v>
      </c>
      <c r="M161" s="274"/>
      <c r="N161" s="297"/>
    </row>
    <row r="162" spans="1:14" ht="13.5" thickBot="1">
      <c r="A162" s="515" t="s">
        <v>367</v>
      </c>
      <c r="B162" s="516"/>
      <c r="C162" s="516"/>
      <c r="D162" s="516"/>
      <c r="E162" s="516"/>
      <c r="F162" s="517">
        <f>SUM(F157:H161)</f>
        <v>1.0293042573731126</v>
      </c>
      <c r="G162" s="453"/>
      <c r="H162" s="453"/>
      <c r="I162" s="517">
        <f>SUM(I157:K161)</f>
        <v>2.1952009050113874</v>
      </c>
      <c r="J162" s="453"/>
      <c r="K162" s="453"/>
      <c r="L162" s="517">
        <f>SUM(L157:N161)</f>
        <v>3.2245051623845</v>
      </c>
      <c r="M162" s="453"/>
      <c r="N162" s="531"/>
    </row>
    <row r="163" spans="1:14" ht="12.75">
      <c r="A163" s="518" t="s">
        <v>359</v>
      </c>
      <c r="B163" s="519"/>
      <c r="C163" s="519"/>
      <c r="D163" s="519"/>
      <c r="E163" s="519"/>
      <c r="F163" s="519"/>
      <c r="G163" s="519"/>
      <c r="H163" s="519"/>
      <c r="I163" s="519"/>
      <c r="J163" s="519"/>
      <c r="K163" s="519"/>
      <c r="L163" s="519"/>
      <c r="M163" s="519"/>
      <c r="N163" s="520"/>
    </row>
    <row r="164" spans="1:14" ht="12.75">
      <c r="A164" s="513" t="s">
        <v>487</v>
      </c>
      <c r="B164" s="514"/>
      <c r="C164" s="514"/>
      <c r="D164" s="514"/>
      <c r="E164" s="514"/>
      <c r="F164" s="455">
        <f aca="true" t="shared" si="3" ref="F164:F169">+F100</f>
        <v>0</v>
      </c>
      <c r="G164" s="274"/>
      <c r="H164" s="274"/>
      <c r="I164" s="455">
        <f aca="true" t="shared" si="4" ref="I164:I169">+J100</f>
        <v>0</v>
      </c>
      <c r="J164" s="274"/>
      <c r="K164" s="274"/>
      <c r="L164" s="455">
        <f aca="true" t="shared" si="5" ref="L164:L169">+L100</f>
        <v>0</v>
      </c>
      <c r="M164" s="274"/>
      <c r="N164" s="297"/>
    </row>
    <row r="165" spans="1:14" ht="12.75">
      <c r="A165" s="513" t="s">
        <v>488</v>
      </c>
      <c r="B165" s="514"/>
      <c r="C165" s="514"/>
      <c r="D165" s="514"/>
      <c r="E165" s="514"/>
      <c r="F165" s="455">
        <f t="shared" si="3"/>
        <v>0</v>
      </c>
      <c r="G165" s="274"/>
      <c r="H165" s="274"/>
      <c r="I165" s="455">
        <f t="shared" si="4"/>
        <v>0</v>
      </c>
      <c r="J165" s="274"/>
      <c r="K165" s="274"/>
      <c r="L165" s="455">
        <f t="shared" si="5"/>
        <v>0</v>
      </c>
      <c r="M165" s="274"/>
      <c r="N165" s="297"/>
    </row>
    <row r="166" spans="1:14" ht="12.75">
      <c r="A166" s="513" t="s">
        <v>489</v>
      </c>
      <c r="B166" s="514"/>
      <c r="C166" s="514"/>
      <c r="D166" s="514"/>
      <c r="E166" s="514"/>
      <c r="F166" s="455">
        <f t="shared" si="3"/>
        <v>0.006550444437129049</v>
      </c>
      <c r="G166" s="274"/>
      <c r="H166" s="274"/>
      <c r="I166" s="455">
        <f t="shared" si="4"/>
        <v>0.1222990760812148</v>
      </c>
      <c r="J166" s="274"/>
      <c r="K166" s="274"/>
      <c r="L166" s="455">
        <f t="shared" si="5"/>
        <v>0.12884952051834386</v>
      </c>
      <c r="M166" s="274"/>
      <c r="N166" s="297"/>
    </row>
    <row r="167" spans="1:14" ht="12.75">
      <c r="A167" s="513" t="s">
        <v>490</v>
      </c>
      <c r="B167" s="514"/>
      <c r="C167" s="514"/>
      <c r="D167" s="514"/>
      <c r="E167" s="514"/>
      <c r="F167" s="455">
        <f t="shared" si="3"/>
        <v>0</v>
      </c>
      <c r="G167" s="274"/>
      <c r="H167" s="274"/>
      <c r="I167" s="455">
        <f t="shared" si="4"/>
        <v>0</v>
      </c>
      <c r="J167" s="274"/>
      <c r="K167" s="274"/>
      <c r="L167" s="455">
        <f t="shared" si="5"/>
        <v>0</v>
      </c>
      <c r="M167" s="274"/>
      <c r="N167" s="297"/>
    </row>
    <row r="168" spans="1:14" ht="12.75">
      <c r="A168" s="513" t="s">
        <v>491</v>
      </c>
      <c r="B168" s="514"/>
      <c r="C168" s="514"/>
      <c r="D168" s="514"/>
      <c r="E168" s="514"/>
      <c r="F168" s="455">
        <f t="shared" si="3"/>
        <v>0.059966955259490674</v>
      </c>
      <c r="G168" s="274"/>
      <c r="H168" s="274"/>
      <c r="I168" s="455">
        <f t="shared" si="4"/>
        <v>0.009485800914886468</v>
      </c>
      <c r="J168" s="274"/>
      <c r="K168" s="274"/>
      <c r="L168" s="455">
        <f t="shared" si="5"/>
        <v>0.06945275617437714</v>
      </c>
      <c r="M168" s="274"/>
      <c r="N168" s="297"/>
    </row>
    <row r="169" spans="1:14" ht="12.75">
      <c r="A169" s="513" t="s">
        <v>492</v>
      </c>
      <c r="B169" s="514"/>
      <c r="C169" s="514"/>
      <c r="D169" s="514"/>
      <c r="E169" s="514"/>
      <c r="F169" s="455">
        <f t="shared" si="3"/>
        <v>0.0010129553253292343</v>
      </c>
      <c r="G169" s="274"/>
      <c r="H169" s="274"/>
      <c r="I169" s="455">
        <f t="shared" si="4"/>
        <v>0.037604425055442786</v>
      </c>
      <c r="J169" s="274"/>
      <c r="K169" s="274"/>
      <c r="L169" s="455">
        <f t="shared" si="5"/>
        <v>0.03861738038077202</v>
      </c>
      <c r="M169" s="274"/>
      <c r="N169" s="297"/>
    </row>
    <row r="170" spans="1:14" ht="12.75">
      <c r="A170" s="513" t="s">
        <v>493</v>
      </c>
      <c r="B170" s="514"/>
      <c r="C170" s="514"/>
      <c r="D170" s="514"/>
      <c r="E170" s="514"/>
      <c r="F170" s="455">
        <f>IF(J9="3ST",M116,IF(J9="4ST",M116,N136))</f>
        <v>0.007816533563389664</v>
      </c>
      <c r="G170" s="274"/>
      <c r="H170" s="274"/>
      <c r="I170" s="455">
        <v>0</v>
      </c>
      <c r="J170" s="455"/>
      <c r="K170" s="455"/>
      <c r="L170" s="455">
        <f>+F170+I170</f>
        <v>0.007816533563389664</v>
      </c>
      <c r="M170" s="274"/>
      <c r="N170" s="297"/>
    </row>
    <row r="171" spans="1:14" ht="12.75">
      <c r="A171" s="513" t="s">
        <v>494</v>
      </c>
      <c r="B171" s="514"/>
      <c r="C171" s="514"/>
      <c r="D171" s="514"/>
      <c r="E171" s="514"/>
      <c r="F171" s="455">
        <f>+M147</f>
        <v>0.05455204992974059</v>
      </c>
      <c r="G171" s="274"/>
      <c r="H171" s="274"/>
      <c r="I171" s="455">
        <v>0</v>
      </c>
      <c r="J171" s="455"/>
      <c r="K171" s="455"/>
      <c r="L171" s="455">
        <f>+F171+I171</f>
        <v>0.05455204992974059</v>
      </c>
      <c r="M171" s="274"/>
      <c r="N171" s="297"/>
    </row>
    <row r="172" spans="1:14" ht="13.5" thickBot="1">
      <c r="A172" s="515" t="s">
        <v>367</v>
      </c>
      <c r="B172" s="516"/>
      <c r="C172" s="516"/>
      <c r="D172" s="516"/>
      <c r="E172" s="516"/>
      <c r="F172" s="517">
        <f>SUM(F164:H171)</f>
        <v>0.12989893851507922</v>
      </c>
      <c r="G172" s="453"/>
      <c r="H172" s="453"/>
      <c r="I172" s="517">
        <f>SUM(I164:K171)</f>
        <v>0.16938930205154407</v>
      </c>
      <c r="J172" s="453"/>
      <c r="K172" s="453"/>
      <c r="L172" s="517">
        <f>SUM(L164:N171)</f>
        <v>0.29928824056662323</v>
      </c>
      <c r="M172" s="453"/>
      <c r="N172" s="531"/>
    </row>
    <row r="173" spans="1:14" ht="13.5" thickBot="1">
      <c r="A173" s="529" t="s">
        <v>35</v>
      </c>
      <c r="B173" s="530"/>
      <c r="C173" s="530"/>
      <c r="D173" s="530"/>
      <c r="E173" s="530"/>
      <c r="F173" s="521">
        <f>+F162+F172</f>
        <v>1.1592031958881919</v>
      </c>
      <c r="G173" s="522"/>
      <c r="H173" s="522"/>
      <c r="I173" s="521">
        <f>+I162+I172</f>
        <v>2.3645902070629314</v>
      </c>
      <c r="J173" s="522"/>
      <c r="K173" s="522"/>
      <c r="L173" s="521">
        <f>+L162+L172</f>
        <v>3.523793402951123</v>
      </c>
      <c r="M173" s="522"/>
      <c r="N173" s="532"/>
    </row>
    <row r="176" ht="13.5" thickBot="1"/>
    <row r="177" spans="5:11" ht="14.25" thickBot="1" thickTop="1">
      <c r="E177" s="681" t="s">
        <v>495</v>
      </c>
      <c r="F177" s="681"/>
      <c r="G177" s="681"/>
      <c r="H177" s="681"/>
      <c r="I177" s="681"/>
      <c r="J177" s="681"/>
      <c r="K177" s="681"/>
    </row>
    <row r="178" spans="5:11" ht="12.75">
      <c r="E178" s="361" t="s">
        <v>16</v>
      </c>
      <c r="F178" s="270"/>
      <c r="G178" s="270"/>
      <c r="H178" s="270" t="s">
        <v>17</v>
      </c>
      <c r="I178" s="270"/>
      <c r="J178" s="270"/>
      <c r="K178" s="271"/>
    </row>
    <row r="179" spans="5:11" ht="12.75">
      <c r="E179" s="282" t="s">
        <v>43</v>
      </c>
      <c r="F179" s="283"/>
      <c r="G179" s="283"/>
      <c r="H179" s="272" t="s">
        <v>496</v>
      </c>
      <c r="I179" s="272"/>
      <c r="J179" s="272"/>
      <c r="K179" s="484"/>
    </row>
    <row r="180" spans="5:11" ht="12.75">
      <c r="E180" s="284"/>
      <c r="F180" s="283"/>
      <c r="G180" s="283"/>
      <c r="H180" s="272"/>
      <c r="I180" s="272"/>
      <c r="J180" s="272"/>
      <c r="K180" s="484"/>
    </row>
    <row r="181" spans="5:11" ht="12.75">
      <c r="E181" s="284"/>
      <c r="F181" s="283"/>
      <c r="G181" s="283"/>
      <c r="H181" s="362"/>
      <c r="I181" s="362"/>
      <c r="J181" s="362"/>
      <c r="K181" s="349"/>
    </row>
    <row r="182" spans="5:11" ht="12.75">
      <c r="E182" s="284"/>
      <c r="F182" s="283"/>
      <c r="G182" s="283"/>
      <c r="H182" s="273" t="s">
        <v>497</v>
      </c>
      <c r="I182" s="273"/>
      <c r="J182" s="273"/>
      <c r="K182" s="377"/>
    </row>
    <row r="183" spans="5:11" ht="12.75">
      <c r="E183" s="275" t="s">
        <v>35</v>
      </c>
      <c r="F183" s="276"/>
      <c r="G183" s="276"/>
      <c r="H183" s="257">
        <f>+L173</f>
        <v>3.523793402951123</v>
      </c>
      <c r="I183" s="257"/>
      <c r="J183" s="257"/>
      <c r="K183" s="268"/>
    </row>
    <row r="184" spans="5:11" ht="12.75">
      <c r="E184" s="275" t="s">
        <v>140</v>
      </c>
      <c r="F184" s="276"/>
      <c r="G184" s="276"/>
      <c r="H184" s="257">
        <f>+F173</f>
        <v>1.1592031958881919</v>
      </c>
      <c r="I184" s="257"/>
      <c r="J184" s="257"/>
      <c r="K184" s="268"/>
    </row>
    <row r="185" spans="5:11" ht="13.5" thickBot="1">
      <c r="E185" s="255" t="s">
        <v>141</v>
      </c>
      <c r="F185" s="256"/>
      <c r="G185" s="256"/>
      <c r="H185" s="258">
        <f>+I173</f>
        <v>2.3645902070629314</v>
      </c>
      <c r="I185" s="258"/>
      <c r="J185" s="258"/>
      <c r="K185" s="269"/>
    </row>
  </sheetData>
  <sheetProtection/>
  <mergeCells count="548">
    <mergeCell ref="A15:G15"/>
    <mergeCell ref="H15:I15"/>
    <mergeCell ref="J15:N15"/>
    <mergeCell ref="A16:G16"/>
    <mergeCell ref="H16:I16"/>
    <mergeCell ref="J16:N16"/>
    <mergeCell ref="A2:N2"/>
    <mergeCell ref="A3:G3"/>
    <mergeCell ref="H3:N3"/>
    <mergeCell ref="A4:C4"/>
    <mergeCell ref="E4:G4"/>
    <mergeCell ref="H4:J4"/>
    <mergeCell ref="K4:N4"/>
    <mergeCell ref="A5:C5"/>
    <mergeCell ref="E5:G5"/>
    <mergeCell ref="H5:J5"/>
    <mergeCell ref="K5:N5"/>
    <mergeCell ref="A6:C6"/>
    <mergeCell ref="E6:G6"/>
    <mergeCell ref="H6:J6"/>
    <mergeCell ref="K6:N6"/>
    <mergeCell ref="A7:C7"/>
    <mergeCell ref="E7:G7"/>
    <mergeCell ref="H7:J7"/>
    <mergeCell ref="K7:N7"/>
    <mergeCell ref="A8:G8"/>
    <mergeCell ref="H8:I8"/>
    <mergeCell ref="J8:N8"/>
    <mergeCell ref="A9:G9"/>
    <mergeCell ref="H9:I9"/>
    <mergeCell ref="J9:N9"/>
    <mergeCell ref="H10:I10"/>
    <mergeCell ref="J10:N10"/>
    <mergeCell ref="A10:D10"/>
    <mergeCell ref="H11:I11"/>
    <mergeCell ref="J11:N11"/>
    <mergeCell ref="A12:G12"/>
    <mergeCell ref="H12:I12"/>
    <mergeCell ref="I39:J39"/>
    <mergeCell ref="M36:N36"/>
    <mergeCell ref="M37:N38"/>
    <mergeCell ref="M39:N39"/>
    <mergeCell ref="A13:G13"/>
    <mergeCell ref="A11:D11"/>
    <mergeCell ref="H13:I13"/>
    <mergeCell ref="J13:N13"/>
    <mergeCell ref="A14:G14"/>
    <mergeCell ref="H14:I14"/>
    <mergeCell ref="J14:N14"/>
    <mergeCell ref="J12:N12"/>
    <mergeCell ref="E37:F38"/>
    <mergeCell ref="E39:F39"/>
    <mergeCell ref="E40:F40"/>
    <mergeCell ref="E41:F41"/>
    <mergeCell ref="G37:H38"/>
    <mergeCell ref="G39:H39"/>
    <mergeCell ref="G40:H40"/>
    <mergeCell ref="G41:H41"/>
    <mergeCell ref="H18:I18"/>
    <mergeCell ref="J18:N18"/>
    <mergeCell ref="A37:B38"/>
    <mergeCell ref="A18:G18"/>
    <mergeCell ref="H19:I19"/>
    <mergeCell ref="J19:N19"/>
    <mergeCell ref="H20:I20"/>
    <mergeCell ref="I37:J38"/>
    <mergeCell ref="C37:D38"/>
    <mergeCell ref="J20:N20"/>
    <mergeCell ref="A20:G20"/>
    <mergeCell ref="H21:I21"/>
    <mergeCell ref="J21:N21"/>
    <mergeCell ref="H26:I26"/>
    <mergeCell ref="J26:N26"/>
    <mergeCell ref="A29:G29"/>
    <mergeCell ref="H29:I29"/>
    <mergeCell ref="J29:N29"/>
    <mergeCell ref="A23:G23"/>
    <mergeCell ref="H23:I23"/>
    <mergeCell ref="J28:N28"/>
    <mergeCell ref="A21:G21"/>
    <mergeCell ref="A28:G28"/>
    <mergeCell ref="A27:G27"/>
    <mergeCell ref="J24:N24"/>
    <mergeCell ref="A35:N35"/>
    <mergeCell ref="A30:G30"/>
    <mergeCell ref="J23:N23"/>
    <mergeCell ref="A22:G22"/>
    <mergeCell ref="H22:I22"/>
    <mergeCell ref="K37:L38"/>
    <mergeCell ref="K39:L39"/>
    <mergeCell ref="E36:F36"/>
    <mergeCell ref="G36:H36"/>
    <mergeCell ref="I36:J36"/>
    <mergeCell ref="A19:G19"/>
    <mergeCell ref="A26:G26"/>
    <mergeCell ref="H27:I27"/>
    <mergeCell ref="J27:N27"/>
    <mergeCell ref="H28:I28"/>
    <mergeCell ref="A31:G31"/>
    <mergeCell ref="H31:I31"/>
    <mergeCell ref="J31:N31"/>
    <mergeCell ref="A36:B36"/>
    <mergeCell ref="C36:D36"/>
    <mergeCell ref="H30:I30"/>
    <mergeCell ref="J30:N30"/>
    <mergeCell ref="K36:L36"/>
    <mergeCell ref="A40:B40"/>
    <mergeCell ref="C39:D39"/>
    <mergeCell ref="C40:D40"/>
    <mergeCell ref="A45:N45"/>
    <mergeCell ref="A46:B46"/>
    <mergeCell ref="I46:J46"/>
    <mergeCell ref="C46:E46"/>
    <mergeCell ref="I40:J40"/>
    <mergeCell ref="I41:J41"/>
    <mergeCell ref="A39:B39"/>
    <mergeCell ref="A41:B41"/>
    <mergeCell ref="A47:B50"/>
    <mergeCell ref="I47:J50"/>
    <mergeCell ref="K47:K48"/>
    <mergeCell ref="C47:E48"/>
    <mergeCell ref="C49:E49"/>
    <mergeCell ref="H47:H48"/>
    <mergeCell ref="C41:D41"/>
    <mergeCell ref="K49:K50"/>
    <mergeCell ref="F46:G46"/>
    <mergeCell ref="K52:K53"/>
    <mergeCell ref="L52:L53"/>
    <mergeCell ref="M52:M53"/>
    <mergeCell ref="K40:L40"/>
    <mergeCell ref="K41:L41"/>
    <mergeCell ref="M41:N41"/>
    <mergeCell ref="M40:N40"/>
    <mergeCell ref="L47:L48"/>
    <mergeCell ref="M47:M50"/>
    <mergeCell ref="N47:N48"/>
    <mergeCell ref="E52:E53"/>
    <mergeCell ref="A51:B51"/>
    <mergeCell ref="I51:J51"/>
    <mergeCell ref="A52:B53"/>
    <mergeCell ref="C52:C53"/>
    <mergeCell ref="D52:D53"/>
    <mergeCell ref="I52:J52"/>
    <mergeCell ref="A54:B55"/>
    <mergeCell ref="C54:C55"/>
    <mergeCell ref="D54:D55"/>
    <mergeCell ref="I54:J54"/>
    <mergeCell ref="K54:K55"/>
    <mergeCell ref="L54:L55"/>
    <mergeCell ref="F47:G48"/>
    <mergeCell ref="F49:G50"/>
    <mergeCell ref="F51:G51"/>
    <mergeCell ref="F52:G53"/>
    <mergeCell ref="H52:H53"/>
    <mergeCell ref="F60:G60"/>
    <mergeCell ref="H60:I60"/>
    <mergeCell ref="J60:K60"/>
    <mergeCell ref="N54:N55"/>
    <mergeCell ref="I55:J55"/>
    <mergeCell ref="H49:H50"/>
    <mergeCell ref="N52:N53"/>
    <mergeCell ref="I53:J53"/>
    <mergeCell ref="M54:M55"/>
    <mergeCell ref="L60:N60"/>
    <mergeCell ref="L49:L50"/>
    <mergeCell ref="N49:N50"/>
    <mergeCell ref="F64:G65"/>
    <mergeCell ref="H64:I65"/>
    <mergeCell ref="J64:K65"/>
    <mergeCell ref="L64:N65"/>
    <mergeCell ref="F54:G55"/>
    <mergeCell ref="E54:E55"/>
    <mergeCell ref="H54:H55"/>
    <mergeCell ref="A59:N59"/>
    <mergeCell ref="A60:C60"/>
    <mergeCell ref="D60:E60"/>
    <mergeCell ref="H66:I66"/>
    <mergeCell ref="J66:K66"/>
    <mergeCell ref="L66:N66"/>
    <mergeCell ref="H61:I63"/>
    <mergeCell ref="J61:K63"/>
    <mergeCell ref="L61:N63"/>
    <mergeCell ref="A61:C65"/>
    <mergeCell ref="D61:E63"/>
    <mergeCell ref="F61:G63"/>
    <mergeCell ref="A67:C67"/>
    <mergeCell ref="D67:E67"/>
    <mergeCell ref="F67:G67"/>
    <mergeCell ref="A66:C66"/>
    <mergeCell ref="D66:E66"/>
    <mergeCell ref="F66:G66"/>
    <mergeCell ref="D64:E65"/>
    <mergeCell ref="H67:I67"/>
    <mergeCell ref="J67:K67"/>
    <mergeCell ref="L67:N67"/>
    <mergeCell ref="A68:C68"/>
    <mergeCell ref="D68:E68"/>
    <mergeCell ref="F68:G68"/>
    <mergeCell ref="H68:I68"/>
    <mergeCell ref="J68:K68"/>
    <mergeCell ref="L68:N68"/>
    <mergeCell ref="A69:C69"/>
    <mergeCell ref="D69:E69"/>
    <mergeCell ref="F69:G69"/>
    <mergeCell ref="H69:I69"/>
    <mergeCell ref="J69:K69"/>
    <mergeCell ref="L69:N69"/>
    <mergeCell ref="A70:C70"/>
    <mergeCell ref="D70:E70"/>
    <mergeCell ref="F70:G70"/>
    <mergeCell ref="H70:I70"/>
    <mergeCell ref="J70:K70"/>
    <mergeCell ref="L70:N70"/>
    <mergeCell ref="A76:N76"/>
    <mergeCell ref="A77:B77"/>
    <mergeCell ref="C77:E77"/>
    <mergeCell ref="F77:G77"/>
    <mergeCell ref="I77:J77"/>
    <mergeCell ref="C78:E79"/>
    <mergeCell ref="F78:G79"/>
    <mergeCell ref="H78:H79"/>
    <mergeCell ref="I78:J81"/>
    <mergeCell ref="K78:K79"/>
    <mergeCell ref="A71:C71"/>
    <mergeCell ref="D71:E71"/>
    <mergeCell ref="F71:G71"/>
    <mergeCell ref="H71:I71"/>
    <mergeCell ref="J71:K71"/>
    <mergeCell ref="L71:N71"/>
    <mergeCell ref="A72:C72"/>
    <mergeCell ref="D72:E72"/>
    <mergeCell ref="F72:G72"/>
    <mergeCell ref="H72:I72"/>
    <mergeCell ref="J72:K72"/>
    <mergeCell ref="L72:N72"/>
    <mergeCell ref="L78:L79"/>
    <mergeCell ref="M78:M81"/>
    <mergeCell ref="N78:N79"/>
    <mergeCell ref="C80:E80"/>
    <mergeCell ref="K80:K81"/>
    <mergeCell ref="L80:L81"/>
    <mergeCell ref="N80:N81"/>
    <mergeCell ref="I83:J83"/>
    <mergeCell ref="A84:B85"/>
    <mergeCell ref="C84:C85"/>
    <mergeCell ref="D84:D85"/>
    <mergeCell ref="E84:E85"/>
    <mergeCell ref="F84:G85"/>
    <mergeCell ref="H84:H85"/>
    <mergeCell ref="I84:J84"/>
    <mergeCell ref="A86:B87"/>
    <mergeCell ref="C86:C87"/>
    <mergeCell ref="D86:D87"/>
    <mergeCell ref="E86:E87"/>
    <mergeCell ref="F86:G87"/>
    <mergeCell ref="A83:B83"/>
    <mergeCell ref="F83:G83"/>
    <mergeCell ref="L86:L87"/>
    <mergeCell ref="M86:M87"/>
    <mergeCell ref="N86:N87"/>
    <mergeCell ref="I87:J87"/>
    <mergeCell ref="K84:K85"/>
    <mergeCell ref="L84:L85"/>
    <mergeCell ref="M84:M85"/>
    <mergeCell ref="N84:N85"/>
    <mergeCell ref="I85:J85"/>
    <mergeCell ref="L92:N92"/>
    <mergeCell ref="A78:B82"/>
    <mergeCell ref="C81:C82"/>
    <mergeCell ref="D81:D82"/>
    <mergeCell ref="E81:E82"/>
    <mergeCell ref="F80:G82"/>
    <mergeCell ref="H80:H82"/>
    <mergeCell ref="H86:H87"/>
    <mergeCell ref="I86:J86"/>
    <mergeCell ref="K86:K87"/>
    <mergeCell ref="F96:G97"/>
    <mergeCell ref="H96:I97"/>
    <mergeCell ref="J96:K97"/>
    <mergeCell ref="L96:N97"/>
    <mergeCell ref="A91:N91"/>
    <mergeCell ref="A92:C92"/>
    <mergeCell ref="D92:E92"/>
    <mergeCell ref="F92:G92"/>
    <mergeCell ref="H92:I92"/>
    <mergeCell ref="J92:K92"/>
    <mergeCell ref="H98:I98"/>
    <mergeCell ref="J98:K98"/>
    <mergeCell ref="L98:N98"/>
    <mergeCell ref="H93:I95"/>
    <mergeCell ref="J93:K95"/>
    <mergeCell ref="L93:N95"/>
    <mergeCell ref="A93:C97"/>
    <mergeCell ref="D93:E95"/>
    <mergeCell ref="F93:G95"/>
    <mergeCell ref="A99:C99"/>
    <mergeCell ref="D99:E99"/>
    <mergeCell ref="F99:G99"/>
    <mergeCell ref="A98:C98"/>
    <mergeCell ref="D98:E98"/>
    <mergeCell ref="F98:G98"/>
    <mergeCell ref="D96:E97"/>
    <mergeCell ref="H99:I99"/>
    <mergeCell ref="J99:K99"/>
    <mergeCell ref="L99:N99"/>
    <mergeCell ref="A100:C100"/>
    <mergeCell ref="D100:E100"/>
    <mergeCell ref="F100:G100"/>
    <mergeCell ref="H100:I100"/>
    <mergeCell ref="J100:K100"/>
    <mergeCell ref="L100:N100"/>
    <mergeCell ref="A101:C101"/>
    <mergeCell ref="D101:E101"/>
    <mergeCell ref="F101:G101"/>
    <mergeCell ref="H101:I101"/>
    <mergeCell ref="J101:K101"/>
    <mergeCell ref="L101:N101"/>
    <mergeCell ref="A103:C103"/>
    <mergeCell ref="D103:E103"/>
    <mergeCell ref="F103:G103"/>
    <mergeCell ref="H103:I103"/>
    <mergeCell ref="J103:K103"/>
    <mergeCell ref="L103:N103"/>
    <mergeCell ref="A104:C104"/>
    <mergeCell ref="D104:E104"/>
    <mergeCell ref="F104:G104"/>
    <mergeCell ref="H104:I104"/>
    <mergeCell ref="J104:K104"/>
    <mergeCell ref="L104:N104"/>
    <mergeCell ref="A105:C105"/>
    <mergeCell ref="D105:E105"/>
    <mergeCell ref="F105:G105"/>
    <mergeCell ref="H105:I105"/>
    <mergeCell ref="J105:K105"/>
    <mergeCell ref="L105:N105"/>
    <mergeCell ref="A102:C102"/>
    <mergeCell ref="D102:E102"/>
    <mergeCell ref="F102:G102"/>
    <mergeCell ref="H102:I102"/>
    <mergeCell ref="J102:K102"/>
    <mergeCell ref="L102:N102"/>
    <mergeCell ref="A109:N109"/>
    <mergeCell ref="A110:C110"/>
    <mergeCell ref="D110:E110"/>
    <mergeCell ref="F110:G110"/>
    <mergeCell ref="I110:J110"/>
    <mergeCell ref="K110:L110"/>
    <mergeCell ref="M110:N110"/>
    <mergeCell ref="A111:C114"/>
    <mergeCell ref="D111:E112"/>
    <mergeCell ref="F111:G112"/>
    <mergeCell ref="H111:H112"/>
    <mergeCell ref="I111:J112"/>
    <mergeCell ref="K111:L114"/>
    <mergeCell ref="M111:N112"/>
    <mergeCell ref="D113:E114"/>
    <mergeCell ref="F113:G114"/>
    <mergeCell ref="H113:H114"/>
    <mergeCell ref="I113:J114"/>
    <mergeCell ref="M113:N114"/>
    <mergeCell ref="A115:C115"/>
    <mergeCell ref="D115:E115"/>
    <mergeCell ref="F115:G115"/>
    <mergeCell ref="I115:J115"/>
    <mergeCell ref="K115:L115"/>
    <mergeCell ref="M115:N115"/>
    <mergeCell ref="B120:M120"/>
    <mergeCell ref="B121:D121"/>
    <mergeCell ref="E121:G121"/>
    <mergeCell ref="H121:J121"/>
    <mergeCell ref="K121:M121"/>
    <mergeCell ref="B122:D122"/>
    <mergeCell ref="A116:C116"/>
    <mergeCell ref="D116:E116"/>
    <mergeCell ref="F116:G116"/>
    <mergeCell ref="I116:J116"/>
    <mergeCell ref="K116:L116"/>
    <mergeCell ref="M116:N116"/>
    <mergeCell ref="B123:D123"/>
    <mergeCell ref="E122:G122"/>
    <mergeCell ref="H122:J122"/>
    <mergeCell ref="E123:G123"/>
    <mergeCell ref="H123:J123"/>
    <mergeCell ref="K122:M123"/>
    <mergeCell ref="M142:N143"/>
    <mergeCell ref="B124:D124"/>
    <mergeCell ref="E124:G124"/>
    <mergeCell ref="H124:J124"/>
    <mergeCell ref="K124:M124"/>
    <mergeCell ref="B125:D125"/>
    <mergeCell ref="E125:G125"/>
    <mergeCell ref="H125:J125"/>
    <mergeCell ref="K125:M125"/>
    <mergeCell ref="A142:C145"/>
    <mergeCell ref="D142:E143"/>
    <mergeCell ref="F142:G143"/>
    <mergeCell ref="H142:H143"/>
    <mergeCell ref="I142:J143"/>
    <mergeCell ref="K142:L145"/>
    <mergeCell ref="A141:C141"/>
    <mergeCell ref="D141:E141"/>
    <mergeCell ref="F141:G141"/>
    <mergeCell ref="I141:J141"/>
    <mergeCell ref="K141:L141"/>
    <mergeCell ref="A136:B136"/>
    <mergeCell ref="C130:G130"/>
    <mergeCell ref="C131:G132"/>
    <mergeCell ref="C133:G133"/>
    <mergeCell ref="A131:B134"/>
    <mergeCell ref="A140:N140"/>
    <mergeCell ref="A135:B135"/>
    <mergeCell ref="H131:H134"/>
    <mergeCell ref="I130:J130"/>
    <mergeCell ref="I133:J134"/>
    <mergeCell ref="I131:J132"/>
    <mergeCell ref="K131:L132"/>
    <mergeCell ref="K133:L134"/>
    <mergeCell ref="N133:N134"/>
    <mergeCell ref="M141:N141"/>
    <mergeCell ref="D144:E145"/>
    <mergeCell ref="F144:G145"/>
    <mergeCell ref="H144:H145"/>
    <mergeCell ref="I144:J145"/>
    <mergeCell ref="M144:N145"/>
    <mergeCell ref="A146:C146"/>
    <mergeCell ref="D146:E146"/>
    <mergeCell ref="F146:G146"/>
    <mergeCell ref="I146:J146"/>
    <mergeCell ref="K146:L146"/>
    <mergeCell ref="M146:N146"/>
    <mergeCell ref="A147:C147"/>
    <mergeCell ref="D147:E147"/>
    <mergeCell ref="F147:G147"/>
    <mergeCell ref="I147:J147"/>
    <mergeCell ref="K147:L147"/>
    <mergeCell ref="M147:N147"/>
    <mergeCell ref="E185:G185"/>
    <mergeCell ref="H185:K185"/>
    <mergeCell ref="A151:N151"/>
    <mergeCell ref="A152:E152"/>
    <mergeCell ref="F152:H152"/>
    <mergeCell ref="I152:K152"/>
    <mergeCell ref="L152:N152"/>
    <mergeCell ref="F153:H153"/>
    <mergeCell ref="I153:K153"/>
    <mergeCell ref="L153:N153"/>
    <mergeCell ref="A158:E158"/>
    <mergeCell ref="F158:H158"/>
    <mergeCell ref="I158:K158"/>
    <mergeCell ref="L158:N158"/>
    <mergeCell ref="I154:K154"/>
    <mergeCell ref="L154:N154"/>
    <mergeCell ref="F155:H155"/>
    <mergeCell ref="L155:N155"/>
    <mergeCell ref="I155:K155"/>
    <mergeCell ref="F154:H154"/>
    <mergeCell ref="L159:N159"/>
    <mergeCell ref="A160:E160"/>
    <mergeCell ref="F160:H160"/>
    <mergeCell ref="I160:K160"/>
    <mergeCell ref="L160:N160"/>
    <mergeCell ref="A156:N156"/>
    <mergeCell ref="A157:E157"/>
    <mergeCell ref="F157:H157"/>
    <mergeCell ref="I157:K157"/>
    <mergeCell ref="L157:N157"/>
    <mergeCell ref="E183:G183"/>
    <mergeCell ref="E184:G184"/>
    <mergeCell ref="H183:K183"/>
    <mergeCell ref="H184:K184"/>
    <mergeCell ref="A159:E159"/>
    <mergeCell ref="F159:H159"/>
    <mergeCell ref="I159:K159"/>
    <mergeCell ref="F162:H162"/>
    <mergeCell ref="I162:K162"/>
    <mergeCell ref="A161:E161"/>
    <mergeCell ref="L162:N162"/>
    <mergeCell ref="H179:K181"/>
    <mergeCell ref="H182:K182"/>
    <mergeCell ref="E179:G182"/>
    <mergeCell ref="A166:E166"/>
    <mergeCell ref="F165:H165"/>
    <mergeCell ref="I165:K165"/>
    <mergeCell ref="L165:N165"/>
    <mergeCell ref="I166:K166"/>
    <mergeCell ref="A169:E169"/>
    <mergeCell ref="F161:H161"/>
    <mergeCell ref="I161:K161"/>
    <mergeCell ref="L161:N161"/>
    <mergeCell ref="A162:E162"/>
    <mergeCell ref="I171:K171"/>
    <mergeCell ref="L171:N171"/>
    <mergeCell ref="A168:E168"/>
    <mergeCell ref="F168:H168"/>
    <mergeCell ref="I168:K168"/>
    <mergeCell ref="L168:N168"/>
    <mergeCell ref="F169:H169"/>
    <mergeCell ref="I169:K169"/>
    <mergeCell ref="L169:N169"/>
    <mergeCell ref="A173:E173"/>
    <mergeCell ref="F173:H173"/>
    <mergeCell ref="I173:K173"/>
    <mergeCell ref="L173:N173"/>
    <mergeCell ref="A170:E170"/>
    <mergeCell ref="F170:H170"/>
    <mergeCell ref="I170:K170"/>
    <mergeCell ref="L170:N170"/>
    <mergeCell ref="A171:E171"/>
    <mergeCell ref="F171:H171"/>
    <mergeCell ref="A153:E155"/>
    <mergeCell ref="A164:E164"/>
    <mergeCell ref="A167:E167"/>
    <mergeCell ref="A165:E165"/>
    <mergeCell ref="F166:H166"/>
    <mergeCell ref="F167:H167"/>
    <mergeCell ref="A163:N163"/>
    <mergeCell ref="F164:H164"/>
    <mergeCell ref="I164:K164"/>
    <mergeCell ref="L164:N164"/>
    <mergeCell ref="I167:K167"/>
    <mergeCell ref="L166:N166"/>
    <mergeCell ref="L167:N167"/>
    <mergeCell ref="E177:K177"/>
    <mergeCell ref="E178:G178"/>
    <mergeCell ref="H178:K178"/>
    <mergeCell ref="A172:E172"/>
    <mergeCell ref="F172:H172"/>
    <mergeCell ref="I172:K172"/>
    <mergeCell ref="L172:N172"/>
    <mergeCell ref="A25:G25"/>
    <mergeCell ref="H25:I25"/>
    <mergeCell ref="J25:N25"/>
    <mergeCell ref="A17:G17"/>
    <mergeCell ref="H17:I17"/>
    <mergeCell ref="J17:N17"/>
    <mergeCell ref="A43:B43"/>
    <mergeCell ref="A24:G24"/>
    <mergeCell ref="H24:I24"/>
    <mergeCell ref="J22:N22"/>
    <mergeCell ref="I135:J135"/>
    <mergeCell ref="I136:J136"/>
    <mergeCell ref="K135:L135"/>
    <mergeCell ref="K136:L136"/>
    <mergeCell ref="A129:N129"/>
    <mergeCell ref="A130:B130"/>
    <mergeCell ref="K130:L130"/>
    <mergeCell ref="M131:M134"/>
    <mergeCell ref="N131:N132"/>
  </mergeCells>
  <conditionalFormatting sqref="J10:N10">
    <cfRule type="cellIs" priority="2" dxfId="0" operator="greaterThan" stopIfTrue="1">
      <formula>$F$10</formula>
    </cfRule>
  </conditionalFormatting>
  <conditionalFormatting sqref="J11:N11">
    <cfRule type="cellIs" priority="1" dxfId="0" operator="greaterThan" stopIfTrue="1">
      <formula>$F$11</formula>
    </cfRule>
  </conditionalFormatting>
  <dataValidations count="10">
    <dataValidation type="whole" operator="greaterThanOrEqual" allowBlank="1" showInputMessage="1" showErrorMessage="1" sqref="J31:N31 J28:N29">
      <formula1>0</formula1>
    </dataValidation>
    <dataValidation type="list" allowBlank="1" showInputMessage="1" showErrorMessage="1" sqref="J26:N26 J30:N30 J12:N12">
      <formula1>PresOrNot</formula1>
    </dataValidation>
    <dataValidation type="list" operator="greaterThanOrEqual" allowBlank="1" showInputMessage="1" showErrorMessage="1" sqref="J21:N24">
      <formula1>Phasing2</formula1>
    </dataValidation>
    <dataValidation type="list" operator="greaterThanOrEqual" allowBlank="1" showInputMessage="1" showErrorMessage="1" sqref="J18:N20 J25:N25">
      <formula1>TLanes</formula1>
    </dataValidation>
    <dataValidation type="whole" operator="greaterThan" allowBlank="1" showInputMessage="1" showErrorMessage="1" sqref="K7:N7">
      <formula1>1990</formula1>
    </dataValidation>
    <dataValidation type="whole" allowBlank="1" showInputMessage="1" showErrorMessage="1" sqref="J11:N11">
      <formula1>0</formula1>
      <formula2>49100</formula2>
    </dataValidation>
    <dataValidation type="whole" allowBlank="1" showInputMessage="1" showErrorMessage="1" sqref="J10:N10">
      <formula1>0</formula1>
      <formula2>80200</formula2>
    </dataValidation>
    <dataValidation type="list" operator="greaterThan" allowBlank="1" showInputMessage="1" showErrorMessage="1" sqref="J9:N9">
      <formula1>IType2</formula1>
    </dataValidation>
    <dataValidation type="list" operator="greaterThanOrEqual" allowBlank="1" showInputMessage="1" showErrorMessage="1" sqref="J15:N16">
      <formula1>UnsigApproach</formula1>
    </dataValidation>
    <dataValidation type="whole" allowBlank="1" showInputMessage="1" showErrorMessage="1" promptTitle="Warning" prompt="The signalized intersection SPFs assume that there are some pedestrians present (value &gt; 0), so this input value should be a whole number of 1 or greater.  This field is not used for unsignalized intersections." sqref="J27:N27">
      <formula1>0</formula1>
      <formula2>34200</formula2>
    </dataValidation>
  </dataValidations>
  <printOptions/>
  <pageMargins left="0.88" right="0.29" top="0.79" bottom="0.75" header="0.3" footer="0.3"/>
  <pageSetup fitToHeight="4" horizontalDpi="600" verticalDpi="600" orientation="landscape" scale="77" r:id="rId1"/>
  <headerFooter>
    <oddHeader>&amp;CUrban and Suburban Arterial Predictive Method</oddHeader>
    <oddFooter>&amp;R&amp;P</oddFooter>
  </headerFooter>
  <rowBreaks count="3" manualBreakCount="3">
    <brk id="42" max="13" man="1"/>
    <brk id="89" max="13" man="1"/>
    <brk id="1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85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7" width="11.7109375" style="0" customWidth="1"/>
    <col min="8" max="8" width="15.7109375" style="0" customWidth="1"/>
    <col min="9" max="10" width="10.7109375" style="0" customWidth="1"/>
    <col min="11" max="11" width="11.7109375" style="0" customWidth="1"/>
    <col min="12" max="12" width="13.421875" style="0" customWidth="1"/>
    <col min="13" max="14" width="10.7109375" style="0" customWidth="1"/>
    <col min="16" max="16" width="62.421875" style="0" customWidth="1"/>
    <col min="19" max="19" width="16.7109375" style="0" customWidth="1"/>
    <col min="20" max="22" width="13.7109375" style="0" customWidth="1"/>
  </cols>
  <sheetData>
    <row r="1" spans="1:2" ht="13.5" thickBot="1">
      <c r="A1" s="26"/>
      <c r="B1" s="26"/>
    </row>
    <row r="2" spans="1:14" ht="14.25" customHeight="1" thickBot="1" thickTop="1">
      <c r="A2" s="285" t="s">
        <v>404</v>
      </c>
      <c r="B2" s="323"/>
      <c r="C2" s="323"/>
      <c r="D2" s="323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9" ht="14.25">
      <c r="A3" s="378" t="s">
        <v>0</v>
      </c>
      <c r="B3" s="379"/>
      <c r="C3" s="379"/>
      <c r="D3" s="379"/>
      <c r="E3" s="379"/>
      <c r="F3" s="379"/>
      <c r="G3" s="380"/>
      <c r="H3" s="381" t="s">
        <v>8</v>
      </c>
      <c r="I3" s="382"/>
      <c r="J3" s="382"/>
      <c r="K3" s="382"/>
      <c r="L3" s="382"/>
      <c r="M3" s="382"/>
      <c r="N3" s="382"/>
      <c r="S3" s="116" t="s">
        <v>550</v>
      </c>
    </row>
    <row r="4" spans="1:14" ht="13.5" customHeight="1">
      <c r="A4" s="391" t="s">
        <v>1</v>
      </c>
      <c r="B4" s="391"/>
      <c r="C4" s="391"/>
      <c r="D4" s="20"/>
      <c r="E4" s="392" t="s">
        <v>195</v>
      </c>
      <c r="F4" s="393"/>
      <c r="G4" s="394"/>
      <c r="H4" s="395" t="s">
        <v>9</v>
      </c>
      <c r="I4" s="391"/>
      <c r="J4" s="396"/>
      <c r="K4" s="392" t="s">
        <v>196</v>
      </c>
      <c r="L4" s="393"/>
      <c r="M4" s="393"/>
      <c r="N4" s="393"/>
    </row>
    <row r="5" spans="1:21" ht="12.75" customHeight="1">
      <c r="A5" s="383" t="s">
        <v>2</v>
      </c>
      <c r="B5" s="383"/>
      <c r="C5" s="383"/>
      <c r="D5" s="16"/>
      <c r="E5" s="384" t="s">
        <v>51</v>
      </c>
      <c r="F5" s="385"/>
      <c r="G5" s="386"/>
      <c r="H5" s="387" t="s">
        <v>73</v>
      </c>
      <c r="I5" s="388"/>
      <c r="J5" s="389"/>
      <c r="K5" s="390" t="s">
        <v>699</v>
      </c>
      <c r="L5" s="385"/>
      <c r="M5" s="385"/>
      <c r="N5" s="385"/>
      <c r="S5" s="26" t="s">
        <v>551</v>
      </c>
      <c r="T5" s="28">
        <f>IF($J$20&gt;0,IF($J$9="3ST",1,IF($J$9="4ST",1,IF($J$21="Permissive",1,IF($J$21="Protected",0.94,0.99)))),1)</f>
        <v>0.99</v>
      </c>
      <c r="U5" s="29"/>
    </row>
    <row r="6" spans="1:20" ht="14.25" customHeight="1">
      <c r="A6" s="383" t="s">
        <v>3</v>
      </c>
      <c r="B6" s="383"/>
      <c r="C6" s="383"/>
      <c r="D6" s="16"/>
      <c r="E6" s="397">
        <v>40262</v>
      </c>
      <c r="F6" s="385"/>
      <c r="G6" s="386"/>
      <c r="H6" s="387" t="s">
        <v>11</v>
      </c>
      <c r="I6" s="388"/>
      <c r="J6" s="389"/>
      <c r="K6" s="390" t="s">
        <v>198</v>
      </c>
      <c r="L6" s="385"/>
      <c r="M6" s="385"/>
      <c r="N6" s="385"/>
      <c r="S6" s="26" t="s">
        <v>552</v>
      </c>
      <c r="T6" s="28">
        <f>IF($J$20&gt;1,IF($J$9="3ST",1,IF($J$9="4ST",1,IF($J$22="Permissive",1,IF($J$22="Protected",0.94,0.99)))),1)</f>
        <v>0.99</v>
      </c>
    </row>
    <row r="7" spans="1:20" ht="12.75">
      <c r="A7" s="402"/>
      <c r="B7" s="402"/>
      <c r="C7" s="402"/>
      <c r="D7" s="23"/>
      <c r="E7" s="387"/>
      <c r="F7" s="388"/>
      <c r="G7" s="389"/>
      <c r="H7" s="387" t="s">
        <v>12</v>
      </c>
      <c r="I7" s="388"/>
      <c r="J7" s="389"/>
      <c r="K7" s="403">
        <v>2010</v>
      </c>
      <c r="L7" s="404"/>
      <c r="M7" s="404"/>
      <c r="N7" s="404"/>
      <c r="S7" s="26" t="s">
        <v>553</v>
      </c>
      <c r="T7" s="28">
        <f>IF($J$20&gt;2,IF($J$9="3ST",1,IF($J$9="4ST",1,IF($J$23="Permissive",1,IF($J$23="Protected",0.94,0.99)))),1)</f>
        <v>1</v>
      </c>
    </row>
    <row r="8" spans="1:20" ht="12.75">
      <c r="A8" s="398" t="s">
        <v>4</v>
      </c>
      <c r="B8" s="399"/>
      <c r="C8" s="399"/>
      <c r="D8" s="399"/>
      <c r="E8" s="399"/>
      <c r="F8" s="399"/>
      <c r="G8" s="400"/>
      <c r="H8" s="401" t="s">
        <v>13</v>
      </c>
      <c r="I8" s="400"/>
      <c r="J8" s="401" t="s">
        <v>15</v>
      </c>
      <c r="K8" s="399"/>
      <c r="L8" s="399"/>
      <c r="M8" s="399"/>
      <c r="N8" s="399"/>
      <c r="S8" s="26" t="s">
        <v>554</v>
      </c>
      <c r="T8" s="28">
        <f>IF($J$9="3SG",1,IF($J$9="3ST",1,IF($J$9="4ST",1,IF($J$24="Permissive",1,IF($J$24="Protected",0.94,0.99)))))</f>
        <v>1</v>
      </c>
    </row>
    <row r="9" spans="1:20" ht="13.5" thickBot="1">
      <c r="A9" s="367" t="s">
        <v>405</v>
      </c>
      <c r="B9" s="368"/>
      <c r="C9" s="368"/>
      <c r="D9" s="368"/>
      <c r="E9" s="368"/>
      <c r="F9" s="368"/>
      <c r="G9" s="299"/>
      <c r="H9" s="406" t="s">
        <v>14</v>
      </c>
      <c r="I9" s="396"/>
      <c r="J9" s="738" t="s">
        <v>504</v>
      </c>
      <c r="K9" s="408"/>
      <c r="L9" s="408"/>
      <c r="M9" s="408"/>
      <c r="N9" s="408"/>
      <c r="P9" t="str">
        <f>IF($J$9="3ST","Unsignalized three-leg intersection (stop control on minor-road approaches)",IF($J$9="3SG","Signalized three-leg intersections",IF($J$9="4ST","Unsignalized four-leg intersection (stop control on minor-road approaches)","Signalized four-leg intersections")))</f>
        <v>Signalized three-leg intersections</v>
      </c>
      <c r="S9" s="26" t="s">
        <v>555</v>
      </c>
      <c r="T9" s="12">
        <f>T5*T6*T7*T8</f>
        <v>0.9801</v>
      </c>
    </row>
    <row r="10" spans="1:15" ht="16.5" thickBot="1">
      <c r="A10" s="367" t="s">
        <v>406</v>
      </c>
      <c r="B10" s="368"/>
      <c r="C10" s="368"/>
      <c r="D10" s="737"/>
      <c r="E10" s="248" t="s">
        <v>708</v>
      </c>
      <c r="F10" s="250">
        <f>IF($J$9="3ST",45700,IF($J$9="4ST",46800,IF($J$9="3SG",58100,67700)))</f>
        <v>58100</v>
      </c>
      <c r="G10" s="249" t="s">
        <v>707</v>
      </c>
      <c r="H10" s="371" t="s">
        <v>14</v>
      </c>
      <c r="I10" s="299"/>
      <c r="J10" s="739">
        <v>15000</v>
      </c>
      <c r="K10" s="740"/>
      <c r="L10" s="740"/>
      <c r="M10" s="740"/>
      <c r="N10" s="740"/>
      <c r="O10" s="160" t="str">
        <f>IF(J10&gt;F10,"AADT out of range","AADT OK")</f>
        <v>AADT OK</v>
      </c>
    </row>
    <row r="11" spans="1:15" ht="16.5" thickBot="1">
      <c r="A11" s="367" t="s">
        <v>407</v>
      </c>
      <c r="B11" s="368"/>
      <c r="C11" s="368"/>
      <c r="D11" s="737"/>
      <c r="E11" s="248" t="s">
        <v>708</v>
      </c>
      <c r="F11" s="250">
        <f>IF($J$9="3ST",9300,IF($J$9="4ST",5900,IF($J$9="3SG",16400,33400)))</f>
        <v>16400</v>
      </c>
      <c r="G11" s="249" t="s">
        <v>707</v>
      </c>
      <c r="H11" s="371" t="s">
        <v>14</v>
      </c>
      <c r="I11" s="299"/>
      <c r="J11" s="410">
        <v>9000</v>
      </c>
      <c r="K11" s="411"/>
      <c r="L11" s="411"/>
      <c r="M11" s="411"/>
      <c r="N11" s="411"/>
      <c r="O11" s="160" t="str">
        <f>IF(J11&gt;F11,"AADT out of range","AADT OK")</f>
        <v>AADT OK</v>
      </c>
    </row>
    <row r="12" spans="1:14" ht="12.75">
      <c r="A12" s="367" t="s">
        <v>74</v>
      </c>
      <c r="B12" s="368"/>
      <c r="C12" s="368"/>
      <c r="D12" s="368"/>
      <c r="E12" s="368"/>
      <c r="F12" s="368"/>
      <c r="G12" s="299"/>
      <c r="H12" s="377" t="s">
        <v>60</v>
      </c>
      <c r="I12" s="299"/>
      <c r="J12" s="414" t="s">
        <v>61</v>
      </c>
      <c r="K12" s="414"/>
      <c r="L12" s="414"/>
      <c r="M12" s="414"/>
      <c r="N12" s="414"/>
    </row>
    <row r="13" spans="1:19" ht="15.75">
      <c r="A13" s="367" t="s">
        <v>408</v>
      </c>
      <c r="B13" s="368"/>
      <c r="C13" s="368"/>
      <c r="D13" s="368"/>
      <c r="E13" s="368"/>
      <c r="F13" s="368"/>
      <c r="G13" s="299"/>
      <c r="H13" s="733">
        <v>1</v>
      </c>
      <c r="I13" s="734"/>
      <c r="J13" s="735">
        <f>VLOOKUP(J9,'Construction - do not delete'!F71:G74,2,FALSE)</f>
        <v>0.73</v>
      </c>
      <c r="K13" s="736"/>
      <c r="L13" s="736"/>
      <c r="M13" s="736"/>
      <c r="N13" s="736"/>
      <c r="O13" s="29" t="s">
        <v>722</v>
      </c>
      <c r="S13" s="116" t="s">
        <v>560</v>
      </c>
    </row>
    <row r="14" spans="1:14" ht="12.75">
      <c r="A14" s="367" t="s">
        <v>409</v>
      </c>
      <c r="B14" s="368"/>
      <c r="C14" s="368"/>
      <c r="D14" s="368"/>
      <c r="E14" s="368"/>
      <c r="F14" s="368"/>
      <c r="G14" s="299"/>
      <c r="H14" s="371" t="s">
        <v>14</v>
      </c>
      <c r="I14" s="299"/>
      <c r="J14" s="680" t="s">
        <v>14</v>
      </c>
      <c r="K14" s="399"/>
      <c r="L14" s="399"/>
      <c r="M14" s="399"/>
      <c r="N14" s="399"/>
    </row>
    <row r="15" spans="1:22" ht="15.75">
      <c r="A15" s="732" t="s">
        <v>541</v>
      </c>
      <c r="B15" s="678"/>
      <c r="C15" s="678"/>
      <c r="D15" s="678"/>
      <c r="E15" s="678"/>
      <c r="F15" s="678"/>
      <c r="G15" s="679"/>
      <c r="H15" s="371">
        <v>0</v>
      </c>
      <c r="I15" s="299"/>
      <c r="J15" s="413">
        <v>0</v>
      </c>
      <c r="K15" s="418"/>
      <c r="L15" s="418"/>
      <c r="M15" s="418"/>
      <c r="N15" s="418"/>
      <c r="S15" s="145" t="s">
        <v>561</v>
      </c>
      <c r="T15" s="206">
        <f>IF('Intersection Tables'!$C$33="No",(IF($J$9="3ST",'Intersection Tables'!$D$39,IF($J$9="3SG",'Intersection Tables'!$F$39,IF($J$9="4ST",'Intersection Tables'!$H$39,'Intersection Tables'!$J$39)))),(IF($J$9="3ST",'Intersection Tables'!$D$48,IF($J$9="3SG",'Intersection Tables'!$F$48,IF($J$9="4ST",'Intersection Tables'!$H$48,'Intersection Tables'!$J$48)))))</f>
        <v>0.06</v>
      </c>
      <c r="U15" s="145" t="s">
        <v>567</v>
      </c>
      <c r="V15" s="206">
        <f>IF('Intersection Tables'!$C$33="No",(IF($J$9="3ST",'Intersection Tables'!$D$37,IF($J$9="3SG",'Intersection Tables'!$F$37,IF($J$9="4ST",'Intersection Tables'!$H$37,'Intersection Tables'!$J$37)))),(IF($J$9="3ST",'Intersection Tables'!$D$46,IF($J$9="3SG",'Intersection Tables'!$F$46,IF($J$9="4ST",'Intersection Tables'!$H$46,'Intersection Tables'!$J$46)))))</f>
        <v>0.58</v>
      </c>
    </row>
    <row r="16" spans="1:22" ht="15.75">
      <c r="A16" s="732" t="s">
        <v>542</v>
      </c>
      <c r="B16" s="678"/>
      <c r="C16" s="678"/>
      <c r="D16" s="678"/>
      <c r="E16" s="678"/>
      <c r="F16" s="678"/>
      <c r="G16" s="679"/>
      <c r="H16" s="371">
        <v>0</v>
      </c>
      <c r="I16" s="299"/>
      <c r="J16" s="413">
        <v>0</v>
      </c>
      <c r="K16" s="418"/>
      <c r="L16" s="418"/>
      <c r="M16" s="418"/>
      <c r="N16" s="418"/>
      <c r="S16" s="145" t="s">
        <v>562</v>
      </c>
      <c r="T16" s="206">
        <f>IF('Intersection Tables'!$C$33="No",(IF($J$9="3ST",'Intersection Tables'!$E$39,IF($J$9="3SG",'Intersection Tables'!$G$39,IF($J$9="4ST",'Intersection Tables'!$I$39,'Intersection Tables'!$K$39)))),(IF($J$9="3ST",'Intersection Tables'!$E$48,IF($J$9="3SG",'Intersection Tables'!$G$48,IF($J$9="4ST",'Intersection Tables'!$I$48,'Intersection Tables'!$K$48)))))</f>
        <v>0.055</v>
      </c>
      <c r="U16" s="145" t="s">
        <v>568</v>
      </c>
      <c r="V16" s="206">
        <f>IF('Intersection Tables'!$C$33="No",(IF($J$9="3ST",'Intersection Tables'!$E$37,IF($J$9="3SG",'Intersection Tables'!$G$37,IF($J$9="4ST",'Intersection Tables'!$I$37,'Intersection Tables'!$K$37)))),(IF($J$9="3ST",'Intersection Tables'!$E$46,IF($J$9="3SG",'Intersection Tables'!$G$46,IF($J$9="4ST",'Intersection Tables'!$I$46,'Intersection Tables'!$K$46)))))</f>
        <v>0.53</v>
      </c>
    </row>
    <row r="17" spans="1:22" ht="15.75">
      <c r="A17" s="367" t="s">
        <v>540</v>
      </c>
      <c r="B17" s="368"/>
      <c r="C17" s="368"/>
      <c r="D17" s="368"/>
      <c r="E17" s="368"/>
      <c r="F17" s="368"/>
      <c r="G17" s="299"/>
      <c r="H17" s="371" t="s">
        <v>14</v>
      </c>
      <c r="I17" s="299"/>
      <c r="J17" s="680" t="s">
        <v>14</v>
      </c>
      <c r="K17" s="399"/>
      <c r="L17" s="399"/>
      <c r="M17" s="399"/>
      <c r="N17" s="399"/>
      <c r="S17" s="145" t="s">
        <v>563</v>
      </c>
      <c r="T17" s="206">
        <f>+$K$52</f>
        <v>0.837446040745962</v>
      </c>
      <c r="U17" s="145" t="s">
        <v>563</v>
      </c>
      <c r="V17" s="206">
        <f>+$K$52</f>
        <v>0.837446040745962</v>
      </c>
    </row>
    <row r="18" spans="1:22" ht="15.75">
      <c r="A18" s="732" t="s">
        <v>558</v>
      </c>
      <c r="B18" s="678"/>
      <c r="C18" s="678"/>
      <c r="D18" s="678"/>
      <c r="E18" s="678"/>
      <c r="F18" s="678"/>
      <c r="G18" s="679"/>
      <c r="H18" s="371">
        <v>0</v>
      </c>
      <c r="I18" s="299"/>
      <c r="J18" s="413">
        <v>2</v>
      </c>
      <c r="K18" s="418"/>
      <c r="L18" s="418"/>
      <c r="M18" s="418"/>
      <c r="N18" s="418"/>
      <c r="S18" s="145" t="s">
        <v>564</v>
      </c>
      <c r="T18" s="206">
        <f>+$K$54</f>
        <v>1.648961329812884</v>
      </c>
      <c r="U18" s="145" t="s">
        <v>564</v>
      </c>
      <c r="V18" s="206">
        <f>+$K$54</f>
        <v>1.648961329812884</v>
      </c>
    </row>
    <row r="19" spans="1:22" ht="15.75">
      <c r="A19" s="732" t="s">
        <v>556</v>
      </c>
      <c r="B19" s="678"/>
      <c r="C19" s="678"/>
      <c r="D19" s="678"/>
      <c r="E19" s="678"/>
      <c r="F19" s="678"/>
      <c r="G19" s="679"/>
      <c r="H19" s="371">
        <v>0</v>
      </c>
      <c r="I19" s="299"/>
      <c r="J19" s="413">
        <v>2</v>
      </c>
      <c r="K19" s="418"/>
      <c r="L19" s="418"/>
      <c r="M19" s="418"/>
      <c r="N19" s="418"/>
      <c r="S19" s="145" t="s">
        <v>565</v>
      </c>
      <c r="T19" s="206">
        <f>+$H$83</f>
        <v>0.2620107472989803</v>
      </c>
      <c r="U19" s="145" t="s">
        <v>565</v>
      </c>
      <c r="V19" s="206">
        <f>+$H$83</f>
        <v>0.2620107472989803</v>
      </c>
    </row>
    <row r="20" spans="1:22" ht="15.75">
      <c r="A20" s="732" t="s">
        <v>557</v>
      </c>
      <c r="B20" s="678"/>
      <c r="C20" s="678"/>
      <c r="D20" s="678"/>
      <c r="E20" s="678"/>
      <c r="F20" s="678"/>
      <c r="G20" s="679"/>
      <c r="H20" s="371" t="s">
        <v>14</v>
      </c>
      <c r="I20" s="299"/>
      <c r="J20" s="413">
        <v>2</v>
      </c>
      <c r="K20" s="418"/>
      <c r="L20" s="418"/>
      <c r="M20" s="418"/>
      <c r="N20" s="418"/>
      <c r="S20" s="145" t="s">
        <v>566</v>
      </c>
      <c r="T20" s="206">
        <f>((+T15*T17)+(+T16*T18))/(+T17+T18+T19)</f>
        <v>0.05128027452181024</v>
      </c>
      <c r="U20" s="145" t="s">
        <v>569</v>
      </c>
      <c r="V20" s="206">
        <f>((+V15*V17)+(+V16*V18))/(+V17+V18+V19)</f>
        <v>0.49470937467594633</v>
      </c>
    </row>
    <row r="21" spans="1:14" ht="12.75">
      <c r="A21" s="677" t="s">
        <v>548</v>
      </c>
      <c r="B21" s="678"/>
      <c r="C21" s="678"/>
      <c r="D21" s="678"/>
      <c r="E21" s="678"/>
      <c r="F21" s="678"/>
      <c r="G21" s="679"/>
      <c r="H21" s="377" t="s">
        <v>415</v>
      </c>
      <c r="I21" s="299"/>
      <c r="J21" s="413" t="s">
        <v>538</v>
      </c>
      <c r="K21" s="418"/>
      <c r="L21" s="418"/>
      <c r="M21" s="418"/>
      <c r="N21" s="418"/>
    </row>
    <row r="22" spans="1:20" ht="15.75">
      <c r="A22" s="677" t="s">
        <v>549</v>
      </c>
      <c r="B22" s="678"/>
      <c r="C22" s="678"/>
      <c r="D22" s="678"/>
      <c r="E22" s="678"/>
      <c r="F22" s="678"/>
      <c r="G22" s="679"/>
      <c r="H22" s="371" t="s">
        <v>14</v>
      </c>
      <c r="I22" s="299"/>
      <c r="J22" s="413" t="s">
        <v>538</v>
      </c>
      <c r="K22" s="418"/>
      <c r="L22" s="418"/>
      <c r="M22" s="418"/>
      <c r="N22" s="418"/>
      <c r="S22" s="145" t="s">
        <v>570</v>
      </c>
      <c r="T22" s="12">
        <f>1-(T20*(1-0.74))-(V20*(1-1.18))</f>
        <v>1.0757148160659997</v>
      </c>
    </row>
    <row r="23" spans="1:14" ht="12.75">
      <c r="A23" s="677" t="s">
        <v>547</v>
      </c>
      <c r="B23" s="678"/>
      <c r="C23" s="678"/>
      <c r="D23" s="678"/>
      <c r="E23" s="678"/>
      <c r="F23" s="678"/>
      <c r="G23" s="679"/>
      <c r="H23" s="371" t="s">
        <v>14</v>
      </c>
      <c r="I23" s="299"/>
      <c r="J23" s="413" t="s">
        <v>545</v>
      </c>
      <c r="K23" s="418"/>
      <c r="L23" s="418"/>
      <c r="M23" s="418"/>
      <c r="N23" s="418"/>
    </row>
    <row r="24" spans="1:14" ht="12.75">
      <c r="A24" s="677" t="s">
        <v>546</v>
      </c>
      <c r="B24" s="678"/>
      <c r="C24" s="678"/>
      <c r="D24" s="678"/>
      <c r="E24" s="678"/>
      <c r="F24" s="678"/>
      <c r="G24" s="679"/>
      <c r="H24" s="371" t="s">
        <v>14</v>
      </c>
      <c r="I24" s="299"/>
      <c r="J24" s="413" t="s">
        <v>545</v>
      </c>
      <c r="K24" s="418"/>
      <c r="L24" s="418"/>
      <c r="M24" s="418"/>
      <c r="N24" s="418"/>
    </row>
    <row r="25" spans="1:14" ht="12.75">
      <c r="A25" s="677" t="s">
        <v>559</v>
      </c>
      <c r="B25" s="678"/>
      <c r="C25" s="678"/>
      <c r="D25" s="678"/>
      <c r="E25" s="678"/>
      <c r="F25" s="678"/>
      <c r="G25" s="679"/>
      <c r="H25" s="371">
        <v>0</v>
      </c>
      <c r="I25" s="299"/>
      <c r="J25" s="413">
        <v>0</v>
      </c>
      <c r="K25" s="418"/>
      <c r="L25" s="418"/>
      <c r="M25" s="418"/>
      <c r="N25" s="418"/>
    </row>
    <row r="26" spans="1:14" ht="12.75">
      <c r="A26" s="732" t="s">
        <v>414</v>
      </c>
      <c r="B26" s="678"/>
      <c r="C26" s="678"/>
      <c r="D26" s="678"/>
      <c r="E26" s="678"/>
      <c r="F26" s="678"/>
      <c r="G26" s="679"/>
      <c r="H26" s="377" t="s">
        <v>60</v>
      </c>
      <c r="I26" s="299"/>
      <c r="J26" s="414" t="s">
        <v>60</v>
      </c>
      <c r="K26" s="414"/>
      <c r="L26" s="414"/>
      <c r="M26" s="414"/>
      <c r="N26" s="414"/>
    </row>
    <row r="27" spans="1:14" ht="12.75">
      <c r="A27" s="732" t="s">
        <v>684</v>
      </c>
      <c r="B27" s="678"/>
      <c r="C27" s="678"/>
      <c r="D27" s="678"/>
      <c r="E27" s="678"/>
      <c r="F27" s="678"/>
      <c r="G27" s="679"/>
      <c r="H27" s="371"/>
      <c r="I27" s="299"/>
      <c r="J27" s="410">
        <v>1500</v>
      </c>
      <c r="K27" s="411"/>
      <c r="L27" s="411"/>
      <c r="M27" s="411"/>
      <c r="N27" s="411"/>
    </row>
    <row r="28" spans="1:14" ht="15.75">
      <c r="A28" s="732" t="s">
        <v>413</v>
      </c>
      <c r="B28" s="678"/>
      <c r="C28" s="678"/>
      <c r="D28" s="678"/>
      <c r="E28" s="678"/>
      <c r="F28" s="678"/>
      <c r="G28" s="679"/>
      <c r="H28" s="371" t="s">
        <v>14</v>
      </c>
      <c r="I28" s="299"/>
      <c r="J28" s="253">
        <v>4</v>
      </c>
      <c r="K28" s="254"/>
      <c r="L28" s="254"/>
      <c r="M28" s="254"/>
      <c r="N28" s="254"/>
    </row>
    <row r="29" spans="1:14" ht="12.75">
      <c r="A29" s="732" t="s">
        <v>412</v>
      </c>
      <c r="B29" s="678"/>
      <c r="C29" s="678"/>
      <c r="D29" s="678"/>
      <c r="E29" s="678"/>
      <c r="F29" s="678"/>
      <c r="G29" s="679"/>
      <c r="H29" s="377">
        <v>0</v>
      </c>
      <c r="I29" s="315"/>
      <c r="J29" s="253">
        <v>2</v>
      </c>
      <c r="K29" s="372"/>
      <c r="L29" s="372"/>
      <c r="M29" s="372"/>
      <c r="N29" s="372"/>
    </row>
    <row r="30" spans="1:14" ht="12.75">
      <c r="A30" s="732" t="s">
        <v>411</v>
      </c>
      <c r="B30" s="678"/>
      <c r="C30" s="678"/>
      <c r="D30" s="678"/>
      <c r="E30" s="678"/>
      <c r="F30" s="678"/>
      <c r="G30" s="679"/>
      <c r="H30" s="377" t="s">
        <v>60</v>
      </c>
      <c r="I30" s="315"/>
      <c r="J30" s="414" t="s">
        <v>61</v>
      </c>
      <c r="K30" s="414"/>
      <c r="L30" s="414"/>
      <c r="M30" s="414"/>
      <c r="N30" s="414"/>
    </row>
    <row r="31" spans="1:14" ht="13.5" thickBot="1">
      <c r="A31" s="725" t="s">
        <v>410</v>
      </c>
      <c r="B31" s="726"/>
      <c r="C31" s="726"/>
      <c r="D31" s="726"/>
      <c r="E31" s="726"/>
      <c r="F31" s="726"/>
      <c r="G31" s="727"/>
      <c r="H31" s="728">
        <v>0</v>
      </c>
      <c r="I31" s="729"/>
      <c r="J31" s="730">
        <v>6</v>
      </c>
      <c r="K31" s="731"/>
      <c r="L31" s="731"/>
      <c r="M31" s="731"/>
      <c r="N31" s="731"/>
    </row>
    <row r="32" ht="13.5" thickTop="1"/>
    <row r="34" ht="13.5" thickBot="1"/>
    <row r="35" spans="1:14" ht="14.25" thickBot="1" thickTop="1">
      <c r="A35" s="285" t="s">
        <v>417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</row>
    <row r="36" spans="1:14" ht="12.75">
      <c r="A36" s="280" t="s">
        <v>16</v>
      </c>
      <c r="B36" s="281"/>
      <c r="C36" s="361" t="s">
        <v>17</v>
      </c>
      <c r="D36" s="281"/>
      <c r="E36" s="361" t="s">
        <v>18</v>
      </c>
      <c r="F36" s="281"/>
      <c r="G36" s="361" t="s">
        <v>19</v>
      </c>
      <c r="H36" s="281"/>
      <c r="I36" s="361" t="s">
        <v>20</v>
      </c>
      <c r="J36" s="281"/>
      <c r="K36" s="361" t="s">
        <v>21</v>
      </c>
      <c r="L36" s="281"/>
      <c r="M36" s="270" t="s">
        <v>22</v>
      </c>
      <c r="N36" s="316"/>
    </row>
    <row r="37" spans="1:14" ht="12.75">
      <c r="A37" s="432" t="s">
        <v>82</v>
      </c>
      <c r="B37" s="426"/>
      <c r="C37" s="432" t="s">
        <v>419</v>
      </c>
      <c r="D37" s="426"/>
      <c r="E37" s="432" t="s">
        <v>83</v>
      </c>
      <c r="F37" s="426"/>
      <c r="G37" s="432" t="s">
        <v>422</v>
      </c>
      <c r="H37" s="426"/>
      <c r="I37" s="432" t="s">
        <v>29</v>
      </c>
      <c r="J37" s="426"/>
      <c r="K37" s="432" t="s">
        <v>429</v>
      </c>
      <c r="L37" s="426"/>
      <c r="M37" s="373" t="s">
        <v>84</v>
      </c>
      <c r="N37" s="374"/>
    </row>
    <row r="38" spans="1:14" ht="12.75">
      <c r="A38" s="433"/>
      <c r="B38" s="375"/>
      <c r="C38" s="433"/>
      <c r="D38" s="375"/>
      <c r="E38" s="433"/>
      <c r="F38" s="375"/>
      <c r="G38" s="433"/>
      <c r="H38" s="375"/>
      <c r="I38" s="433"/>
      <c r="J38" s="375"/>
      <c r="K38" s="433"/>
      <c r="L38" s="375"/>
      <c r="M38" s="375"/>
      <c r="N38" s="376"/>
    </row>
    <row r="39" spans="1:14" ht="15.75">
      <c r="A39" s="431" t="s">
        <v>418</v>
      </c>
      <c r="B39" s="295"/>
      <c r="C39" s="431" t="s">
        <v>420</v>
      </c>
      <c r="D39" s="295"/>
      <c r="E39" s="431" t="s">
        <v>421</v>
      </c>
      <c r="F39" s="295"/>
      <c r="G39" s="431" t="s">
        <v>423</v>
      </c>
      <c r="H39" s="295"/>
      <c r="I39" s="431" t="s">
        <v>425</v>
      </c>
      <c r="J39" s="295"/>
      <c r="K39" s="431" t="s">
        <v>427</v>
      </c>
      <c r="L39" s="295"/>
      <c r="M39" s="363" t="s">
        <v>430</v>
      </c>
      <c r="N39" s="322"/>
    </row>
    <row r="40" spans="1:17" ht="12.75">
      <c r="A40" s="429" t="s">
        <v>685</v>
      </c>
      <c r="B40" s="274"/>
      <c r="C40" s="429" t="s">
        <v>686</v>
      </c>
      <c r="D40" s="274"/>
      <c r="E40" s="429" t="s">
        <v>687</v>
      </c>
      <c r="F40" s="274"/>
      <c r="G40" s="429" t="s">
        <v>424</v>
      </c>
      <c r="H40" s="274"/>
      <c r="I40" s="429" t="s">
        <v>426</v>
      </c>
      <c r="J40" s="274"/>
      <c r="K40" s="429" t="s">
        <v>428</v>
      </c>
      <c r="L40" s="274"/>
      <c r="M40" s="430" t="s">
        <v>431</v>
      </c>
      <c r="N40" s="297"/>
      <c r="P40" s="15"/>
      <c r="Q40" s="15"/>
    </row>
    <row r="41" spans="1:17" ht="13.5" thickBot="1">
      <c r="A41" s="423">
        <f>IF(J9="3ST",IF(J15=0,1,IF(J15=1,'Intersection Tables'!AB9,'Intersection Tables'!AC9)),IF(J9="4ST",IF(J15=0,1,IF(J15=1,'Intersection Tables'!AB11,'Intersection Tables'!AC11)),IF(J18=0,1,IF(J18=1,VLOOKUP(J9,'Intersection Tables'!Y10:AE12,4,FALSE),IF(J18=2,VLOOKUP(J9,'Intersection Tables'!Y10:AE12,5,FALSE),IF(J18=3,VLOOKUP(J9,'Intersection Tables'!Y10:AE12,6,FALSE),VLOOKUP(J9,'Intersection Tables'!Y10:AE12,7,FALSE)))))))</f>
        <v>0.86</v>
      </c>
      <c r="B41" s="424"/>
      <c r="C41" s="423">
        <f>IF($J$9="3ST",1,IF($J$9="4ST",1,T9))</f>
        <v>0.9801</v>
      </c>
      <c r="D41" s="424"/>
      <c r="E41" s="423">
        <f>IF(J9="3ST",POWER(0.86,J16),IF(J9="4ST",POWER(0.86,J16),POWER(0.96,J19)))</f>
        <v>0.9216</v>
      </c>
      <c r="F41" s="424"/>
      <c r="G41" s="423">
        <f>IF($J$9="3ST",1,IF(J$9="4ST",1,POWER(0.98,$J$25)))</f>
        <v>1</v>
      </c>
      <c r="H41" s="424"/>
      <c r="I41" s="423">
        <f>IF($J$12="Not Present",1,(1-(IF('Intersection Tables'!$C$81="No",VLOOKUP($J$9,'Intersection Tables'!$B$84:$G$87,3,FALSE),VLOOKUP($J$9,'Intersection Tables'!$B$84:$G$87,5,FALSE)))*0.38))</f>
        <v>0.9392</v>
      </c>
      <c r="J41" s="724"/>
      <c r="K41" s="423">
        <f>IF($J$26="Not Present",1,$T$22)</f>
        <v>1</v>
      </c>
      <c r="L41" s="724"/>
      <c r="M41" s="365">
        <f>+A41*C41*E41*G41*I41*K41</f>
        <v>0.7295740703539199</v>
      </c>
      <c r="N41" s="425"/>
      <c r="P41" s="28"/>
      <c r="Q41" s="247"/>
    </row>
    <row r="42" spans="16:17" ht="12.75">
      <c r="P42" s="15"/>
      <c r="Q42" s="15"/>
    </row>
    <row r="43" spans="1:6" ht="12.75">
      <c r="A43" s="427"/>
      <c r="B43" s="379"/>
      <c r="E43" s="28"/>
      <c r="F43" s="29"/>
    </row>
    <row r="44" ht="13.5" thickBot="1"/>
    <row r="45" spans="1:14" ht="14.25" thickBot="1" thickTop="1">
      <c r="A45" s="285" t="s">
        <v>432</v>
      </c>
      <c r="B45" s="323"/>
      <c r="C45" s="323"/>
      <c r="D45" s="323"/>
      <c r="E45" s="323"/>
      <c r="F45" s="323"/>
      <c r="G45" s="323"/>
      <c r="H45" s="323"/>
      <c r="I45" s="323"/>
      <c r="J45" s="360"/>
      <c r="K45" s="360"/>
      <c r="L45" s="360"/>
      <c r="M45" s="360"/>
      <c r="N45" s="360"/>
    </row>
    <row r="46" spans="1:14" ht="12.75">
      <c r="A46" s="280" t="s">
        <v>16</v>
      </c>
      <c r="B46" s="281"/>
      <c r="C46" s="500" t="s">
        <v>17</v>
      </c>
      <c r="D46" s="716"/>
      <c r="E46" s="717"/>
      <c r="F46" s="718" t="s">
        <v>18</v>
      </c>
      <c r="G46" s="717"/>
      <c r="H46" s="2" t="s">
        <v>19</v>
      </c>
      <c r="I46" s="313" t="s">
        <v>20</v>
      </c>
      <c r="J46" s="281"/>
      <c r="K46" s="2" t="s">
        <v>21</v>
      </c>
      <c r="L46" s="123" t="s">
        <v>22</v>
      </c>
      <c r="M46" s="123" t="s">
        <v>23</v>
      </c>
      <c r="N46" s="146" t="s">
        <v>24</v>
      </c>
    </row>
    <row r="47" spans="1:14" ht="12.75">
      <c r="A47" s="434" t="s">
        <v>32</v>
      </c>
      <c r="B47" s="435"/>
      <c r="C47" s="719" t="s">
        <v>89</v>
      </c>
      <c r="D47" s="720"/>
      <c r="E47" s="553"/>
      <c r="F47" s="722" t="s">
        <v>33</v>
      </c>
      <c r="G47" s="553"/>
      <c r="H47" s="723" t="s">
        <v>433</v>
      </c>
      <c r="I47" s="302" t="s">
        <v>265</v>
      </c>
      <c r="J47" s="358"/>
      <c r="K47" s="359" t="s">
        <v>435</v>
      </c>
      <c r="L47" s="302" t="s">
        <v>34</v>
      </c>
      <c r="M47" s="302" t="s">
        <v>109</v>
      </c>
      <c r="N47" s="319" t="s">
        <v>436</v>
      </c>
    </row>
    <row r="48" spans="1:14" ht="12.75">
      <c r="A48" s="436"/>
      <c r="B48" s="436"/>
      <c r="C48" s="376"/>
      <c r="D48" s="721"/>
      <c r="E48" s="433"/>
      <c r="F48" s="376"/>
      <c r="G48" s="433"/>
      <c r="H48" s="375"/>
      <c r="I48" s="358"/>
      <c r="J48" s="358"/>
      <c r="K48" s="317"/>
      <c r="L48" s="317"/>
      <c r="M48" s="317"/>
      <c r="N48" s="319"/>
    </row>
    <row r="49" spans="1:14" ht="12.75">
      <c r="A49" s="436"/>
      <c r="B49" s="436"/>
      <c r="C49" s="377" t="s">
        <v>688</v>
      </c>
      <c r="D49" s="628"/>
      <c r="E49" s="299"/>
      <c r="F49" s="701" t="s">
        <v>688</v>
      </c>
      <c r="G49" s="553"/>
      <c r="H49" s="447" t="s">
        <v>571</v>
      </c>
      <c r="I49" s="358"/>
      <c r="J49" s="358"/>
      <c r="K49" s="312" t="s">
        <v>269</v>
      </c>
      <c r="L49" s="348" t="s">
        <v>444</v>
      </c>
      <c r="M49" s="318"/>
      <c r="N49" s="265" t="s">
        <v>271</v>
      </c>
    </row>
    <row r="50" spans="1:14" ht="12.75">
      <c r="A50" s="437"/>
      <c r="B50" s="437"/>
      <c r="C50" s="125" t="s">
        <v>90</v>
      </c>
      <c r="D50" s="125" t="s">
        <v>91</v>
      </c>
      <c r="E50" s="125" t="s">
        <v>434</v>
      </c>
      <c r="F50" s="376"/>
      <c r="G50" s="433"/>
      <c r="H50" s="375"/>
      <c r="I50" s="358"/>
      <c r="J50" s="358"/>
      <c r="K50" s="283"/>
      <c r="L50" s="317"/>
      <c r="M50" s="318"/>
      <c r="N50" s="349"/>
    </row>
    <row r="51" spans="1:14" ht="12.75">
      <c r="A51" s="299" t="s">
        <v>35</v>
      </c>
      <c r="B51" s="322"/>
      <c r="C51" s="12">
        <f>VLOOKUP($J$9,'Intersection Tables'!$B$9:$F$12,2,FALSE)</f>
        <v>-12.13</v>
      </c>
      <c r="D51" s="12">
        <f>VLOOKUP($J$9,'Intersection Tables'!$B$9:$F$12,3,FALSE)</f>
        <v>1.11</v>
      </c>
      <c r="E51" s="12">
        <f>VLOOKUP($J$9,'Intersection Tables'!$B$9:$F$12,4,FALSE)</f>
        <v>0.26</v>
      </c>
      <c r="F51" s="350">
        <f>VLOOKUP($J$9,'Intersection Tables'!$B$9:$F$12,5,FALSE)</f>
        <v>0.33</v>
      </c>
      <c r="G51" s="351"/>
      <c r="H51" s="3">
        <f>EXP(C51+(D51*LN($J$10))+(E51*LN($J$11)))</f>
        <v>2.486407370558846</v>
      </c>
      <c r="I51" s="278">
        <v>1</v>
      </c>
      <c r="J51" s="279"/>
      <c r="K51" s="3">
        <f>H51*I51</f>
        <v>2.486407370558846</v>
      </c>
      <c r="L51" s="12">
        <f>+M41</f>
        <v>0.7295740703539199</v>
      </c>
      <c r="M51" s="12">
        <f>+$J$13</f>
        <v>0.73</v>
      </c>
      <c r="N51" s="128">
        <f>+K51*L51*M51</f>
        <v>1.324233392504521</v>
      </c>
    </row>
    <row r="52" spans="1:14" ht="15.75">
      <c r="A52" s="343" t="s">
        <v>36</v>
      </c>
      <c r="B52" s="343"/>
      <c r="C52" s="327">
        <f>VLOOKUP($J$9,'Intersection Tables'!$B$14:$F$17,2,FALSE)</f>
        <v>-11.58</v>
      </c>
      <c r="D52" s="327">
        <f>VLOOKUP($J$9,'Intersection Tables'!$B$14:$F$17,3,FALSE)</f>
        <v>1.02</v>
      </c>
      <c r="E52" s="327">
        <f>VLOOKUP($J$9,'Intersection Tables'!$B$14:$F$17,4,FALSE)</f>
        <v>0.17</v>
      </c>
      <c r="F52" s="337">
        <f>VLOOKUP($J$9,'Intersection Tables'!$B$14:$F$17,5,FALSE)</f>
        <v>0.3</v>
      </c>
      <c r="G52" s="338"/>
      <c r="H52" s="325">
        <f>EXP(C52+(D52*LN($J$10))+(E52*LN($J$11)))</f>
        <v>0.7992896887850378</v>
      </c>
      <c r="I52" s="273" t="s">
        <v>272</v>
      </c>
      <c r="J52" s="274"/>
      <c r="K52" s="325">
        <f>H51*I53</f>
        <v>0.837446040745962</v>
      </c>
      <c r="L52" s="327">
        <f>+M41</f>
        <v>0.7295740703539199</v>
      </c>
      <c r="M52" s="327">
        <f>+$J$13</f>
        <v>0.73</v>
      </c>
      <c r="N52" s="329">
        <f>+K52*L52*M52</f>
        <v>0.44601460915362845</v>
      </c>
    </row>
    <row r="53" spans="1:14" ht="12.75">
      <c r="A53" s="344"/>
      <c r="B53" s="344"/>
      <c r="C53" s="332"/>
      <c r="D53" s="332"/>
      <c r="E53" s="332"/>
      <c r="F53" s="345"/>
      <c r="G53" s="346"/>
      <c r="H53" s="332"/>
      <c r="I53" s="278">
        <f>+H52/(H52+H54)</f>
        <v>0.3368096679015785</v>
      </c>
      <c r="J53" s="279"/>
      <c r="K53" s="331"/>
      <c r="L53" s="332"/>
      <c r="M53" s="332"/>
      <c r="N53" s="333"/>
    </row>
    <row r="54" spans="1:14" ht="15.75">
      <c r="A54" s="284" t="s">
        <v>37</v>
      </c>
      <c r="B54" s="334"/>
      <c r="C54" s="327">
        <f>VLOOKUP($J$9,'Intersection Tables'!$B$19:$F$22,2,FALSE)</f>
        <v>-13.24</v>
      </c>
      <c r="D54" s="327">
        <f>VLOOKUP($J$9,'Intersection Tables'!$B$19:$F$22,3,FALSE)</f>
        <v>1.14</v>
      </c>
      <c r="E54" s="327">
        <f>VLOOKUP($J$9,'Intersection Tables'!$B$19:$F$22,4,FALSE)</f>
        <v>0.3</v>
      </c>
      <c r="F54" s="337">
        <f>VLOOKUP($J$9,'Intersection Tables'!$B$19:$F$22,5,FALSE)</f>
        <v>0.36</v>
      </c>
      <c r="G54" s="338"/>
      <c r="H54" s="325">
        <f>EXP(C54+(D54*LN($J$10))+(E54*LN($J$11)))</f>
        <v>1.5738301024752408</v>
      </c>
      <c r="I54" s="273" t="s">
        <v>273</v>
      </c>
      <c r="J54" s="274"/>
      <c r="K54" s="325">
        <f>H51*I55</f>
        <v>1.648961329812884</v>
      </c>
      <c r="L54" s="327">
        <f>+M41</f>
        <v>0.7295740703539199</v>
      </c>
      <c r="M54" s="327">
        <f>+$J$13</f>
        <v>0.73</v>
      </c>
      <c r="N54" s="329">
        <f>+K54*L54*M54</f>
        <v>0.8782187833508928</v>
      </c>
    </row>
    <row r="55" spans="1:14" ht="13.5" thickBot="1">
      <c r="A55" s="335"/>
      <c r="B55" s="336"/>
      <c r="C55" s="328"/>
      <c r="D55" s="328"/>
      <c r="E55" s="328"/>
      <c r="F55" s="339"/>
      <c r="G55" s="340"/>
      <c r="H55" s="328"/>
      <c r="I55" s="288">
        <f>I51-I53</f>
        <v>0.6631903320984215</v>
      </c>
      <c r="J55" s="289"/>
      <c r="K55" s="326"/>
      <c r="L55" s="328"/>
      <c r="M55" s="328"/>
      <c r="N55" s="330"/>
    </row>
    <row r="58" ht="13.5" thickBot="1"/>
    <row r="59" spans="1:14" ht="14.25" thickBot="1" thickTop="1">
      <c r="A59" s="285" t="s">
        <v>437</v>
      </c>
      <c r="B59" s="323"/>
      <c r="C59" s="323"/>
      <c r="D59" s="323"/>
      <c r="E59" s="323"/>
      <c r="F59" s="323"/>
      <c r="G59" s="323"/>
      <c r="H59" s="323"/>
      <c r="I59" s="324"/>
      <c r="J59" s="324"/>
      <c r="K59" s="324"/>
      <c r="L59" s="324"/>
      <c r="M59" s="324"/>
      <c r="N59" s="324"/>
    </row>
    <row r="60" spans="1:14" ht="12.75">
      <c r="A60" s="280" t="s">
        <v>16</v>
      </c>
      <c r="B60" s="281"/>
      <c r="C60" s="281"/>
      <c r="D60" s="313" t="s">
        <v>17</v>
      </c>
      <c r="E60" s="314"/>
      <c r="F60" s="313" t="s">
        <v>18</v>
      </c>
      <c r="G60" s="313"/>
      <c r="H60" s="270" t="s">
        <v>19</v>
      </c>
      <c r="I60" s="314"/>
      <c r="J60" s="313" t="s">
        <v>20</v>
      </c>
      <c r="K60" s="313"/>
      <c r="L60" s="270" t="s">
        <v>21</v>
      </c>
      <c r="M60" s="314"/>
      <c r="N60" s="316"/>
    </row>
    <row r="61" spans="1:14" ht="12.75">
      <c r="A61" s="439" t="s">
        <v>38</v>
      </c>
      <c r="B61" s="302"/>
      <c r="C61" s="295"/>
      <c r="D61" s="272" t="s">
        <v>39</v>
      </c>
      <c r="E61" s="304"/>
      <c r="F61" s="272" t="s">
        <v>438</v>
      </c>
      <c r="G61" s="272"/>
      <c r="H61" s="272" t="s">
        <v>300</v>
      </c>
      <c r="I61" s="304"/>
      <c r="J61" s="272" t="s">
        <v>440</v>
      </c>
      <c r="K61" s="272"/>
      <c r="L61" s="272" t="s">
        <v>441</v>
      </c>
      <c r="M61" s="272"/>
      <c r="N61" s="303"/>
    </row>
    <row r="62" spans="1:14" ht="12.75">
      <c r="A62" s="439"/>
      <c r="B62" s="302"/>
      <c r="C62" s="295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3"/>
    </row>
    <row r="63" spans="1:14" ht="12.75">
      <c r="A63" s="315"/>
      <c r="B63" s="274"/>
      <c r="C63" s="295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3"/>
    </row>
    <row r="64" spans="1:14" ht="12.75">
      <c r="A64" s="315"/>
      <c r="B64" s="274"/>
      <c r="C64" s="295"/>
      <c r="D64" s="312" t="s">
        <v>689</v>
      </c>
      <c r="E64" s="295"/>
      <c r="F64" s="320" t="s">
        <v>439</v>
      </c>
      <c r="G64" s="321"/>
      <c r="H64" s="312" t="s">
        <v>689</v>
      </c>
      <c r="I64" s="295"/>
      <c r="J64" s="320" t="s">
        <v>449</v>
      </c>
      <c r="K64" s="321"/>
      <c r="L64" s="320" t="s">
        <v>449</v>
      </c>
      <c r="M64" s="321"/>
      <c r="N64" s="322"/>
    </row>
    <row r="65" spans="1:14" ht="12.75">
      <c r="A65" s="315"/>
      <c r="B65" s="274"/>
      <c r="C65" s="295"/>
      <c r="D65" s="274"/>
      <c r="E65" s="295"/>
      <c r="F65" s="274"/>
      <c r="G65" s="274"/>
      <c r="H65" s="274"/>
      <c r="I65" s="295"/>
      <c r="J65" s="274"/>
      <c r="K65" s="274"/>
      <c r="L65" s="274"/>
      <c r="M65" s="274"/>
      <c r="N65" s="322"/>
    </row>
    <row r="66" spans="1:14" ht="12.75">
      <c r="A66" s="299" t="s">
        <v>35</v>
      </c>
      <c r="B66" s="295"/>
      <c r="C66" s="295"/>
      <c r="D66" s="292">
        <v>1</v>
      </c>
      <c r="E66" s="292"/>
      <c r="F66" s="293">
        <f>+N52</f>
        <v>0.44601460915362845</v>
      </c>
      <c r="G66" s="300"/>
      <c r="H66" s="292">
        <v>1</v>
      </c>
      <c r="I66" s="292"/>
      <c r="J66" s="278">
        <f>+N54</f>
        <v>0.8782187833508928</v>
      </c>
      <c r="K66" s="315"/>
      <c r="L66" s="293">
        <f>+N51</f>
        <v>1.324233392504521</v>
      </c>
      <c r="M66" s="301"/>
      <c r="N66" s="301"/>
    </row>
    <row r="67" spans="1:14" ht="15.75">
      <c r="A67" s="299"/>
      <c r="B67" s="295"/>
      <c r="C67" s="295"/>
      <c r="D67" s="295"/>
      <c r="E67" s="295"/>
      <c r="F67" s="296" t="s">
        <v>291</v>
      </c>
      <c r="G67" s="274"/>
      <c r="H67" s="295"/>
      <c r="I67" s="295"/>
      <c r="J67" s="296" t="s">
        <v>292</v>
      </c>
      <c r="K67" s="274"/>
      <c r="L67" s="296" t="s">
        <v>293</v>
      </c>
      <c r="M67" s="274"/>
      <c r="N67" s="297"/>
    </row>
    <row r="68" spans="1:14" ht="12.75">
      <c r="A68" s="298" t="s">
        <v>42</v>
      </c>
      <c r="B68" s="295"/>
      <c r="C68" s="295"/>
      <c r="D68" s="278">
        <f>IF('Intersection Tables'!$C$33="No",HLOOKUP($J$9,'Intersection Tables'!$B$35:$K$41,3,FALSE),HLOOKUP($J$9,'Intersection Tables'!$B$44:$K$50,3,FALSE))</f>
        <v>0.58</v>
      </c>
      <c r="E68" s="279"/>
      <c r="F68" s="278">
        <f>+D68*$F$66</f>
        <v>0.2586884733091045</v>
      </c>
      <c r="G68" s="279"/>
      <c r="H68" s="278">
        <f>IF('Intersection Tables'!$C$33="No",IF($J$9="3ST",'Intersection Tables'!E37,IF($J$9="3SG",'Intersection Tables'!G37,IF($J$9="4ST",'Intersection Tables'!I37,'Intersection Tables'!K37))),IF($J$9="3ST",'Intersection Tables'!E46,IF($J$9="3SG",'Intersection Tables'!G46,IF($J$9="4ST",'Intersection Tables'!I46,'Intersection Tables'!K46))))</f>
        <v>0.53</v>
      </c>
      <c r="I68" s="279"/>
      <c r="J68" s="278">
        <f>+H68*$J$66</f>
        <v>0.4654559551759732</v>
      </c>
      <c r="K68" s="279"/>
      <c r="L68" s="292">
        <f>+F68+J68</f>
        <v>0.7241444284850778</v>
      </c>
      <c r="M68" s="292"/>
      <c r="N68" s="293"/>
    </row>
    <row r="69" spans="1:14" ht="12.75">
      <c r="A69" s="294" t="s">
        <v>41</v>
      </c>
      <c r="B69" s="295"/>
      <c r="C69" s="295"/>
      <c r="D69" s="278">
        <f>IF('Intersection Tables'!$C$33="No",HLOOKUP($J$9,'Intersection Tables'!$B$35:$K$41,4,FALSE),HLOOKUP($J$9,'Intersection Tables'!$B$44:$K$50,4,FALSE))</f>
        <v>0.005</v>
      </c>
      <c r="E69" s="279"/>
      <c r="F69" s="278">
        <f>+D69*$F$66</f>
        <v>0.0022300730457681423</v>
      </c>
      <c r="G69" s="279"/>
      <c r="H69" s="278">
        <f>IF('Intersection Tables'!$C$33="No",IF($J$9="3ST",'Intersection Tables'!E38,IF($J$9="3SG",'Intersection Tables'!G38,IF($J$9="4ST",'Intersection Tables'!I38,'Intersection Tables'!K38))),IF($J$9="3ST",'Intersection Tables'!E47,IF($J$9="3SG",'Intersection Tables'!G47,IF($J$9="4ST",'Intersection Tables'!I47,'Intersection Tables'!K47))))</f>
        <v>0</v>
      </c>
      <c r="I69" s="279"/>
      <c r="J69" s="278">
        <f>+H69*$J$66</f>
        <v>0</v>
      </c>
      <c r="K69" s="279"/>
      <c r="L69" s="292">
        <f>+F69+J69</f>
        <v>0.0022300730457681423</v>
      </c>
      <c r="M69" s="292"/>
      <c r="N69" s="293"/>
    </row>
    <row r="70" spans="1:14" ht="12.75">
      <c r="A70" s="294" t="s">
        <v>40</v>
      </c>
      <c r="B70" s="295"/>
      <c r="C70" s="295"/>
      <c r="D70" s="278">
        <f>IF('Intersection Tables'!$C$33="No",HLOOKUP($J$9,'Intersection Tables'!$B$35:$K$41,5,FALSE),HLOOKUP($J$9,'Intersection Tables'!$B$44:$K$50,5,FALSE))</f>
        <v>0.06</v>
      </c>
      <c r="E70" s="279"/>
      <c r="F70" s="278">
        <f>+D70*$F$66</f>
        <v>0.026760876549217705</v>
      </c>
      <c r="G70" s="279"/>
      <c r="H70" s="278">
        <f>IF('Intersection Tables'!$C$33="No",IF($J$9="3ST",'Intersection Tables'!E39,IF($J$9="3SG",'Intersection Tables'!G39,IF($J$9="4ST",'Intersection Tables'!I39,'Intersection Tables'!K39))),IF($J$9="3ST",'Intersection Tables'!E48,IF($J$9="3SG",'Intersection Tables'!G48,IF($J$9="4ST",'Intersection Tables'!I48,'Intersection Tables'!K48))))</f>
        <v>0.055</v>
      </c>
      <c r="I70" s="279"/>
      <c r="J70" s="278">
        <f>+H70*$J$66</f>
        <v>0.048302033084299104</v>
      </c>
      <c r="K70" s="279"/>
      <c r="L70" s="292">
        <f>+F70+J70</f>
        <v>0.0750629096335168</v>
      </c>
      <c r="M70" s="292"/>
      <c r="N70" s="293"/>
    </row>
    <row r="71" spans="1:14" ht="12.75">
      <c r="A71" s="294" t="s">
        <v>96</v>
      </c>
      <c r="B71" s="295"/>
      <c r="C71" s="295"/>
      <c r="D71" s="278">
        <f>IF('Intersection Tables'!$C$33="No",HLOOKUP($J$9,'Intersection Tables'!$B$35:$K$41,6,FALSE),HLOOKUP($J$9,'Intersection Tables'!$B$44:$K$50,6,FALSE))</f>
        <v>0.011</v>
      </c>
      <c r="E71" s="279"/>
      <c r="F71" s="278">
        <f>+D71*$F$66</f>
        <v>0.004906160700689913</v>
      </c>
      <c r="G71" s="279"/>
      <c r="H71" s="278">
        <f>IF('Intersection Tables'!$C$33="No",IF($J$9="3ST",'Intersection Tables'!E40,IF($J$9="3SG",'Intersection Tables'!G40,IF($J$9="4ST",'Intersection Tables'!I40,'Intersection Tables'!K40))),IF($J$9="3ST",'Intersection Tables'!E49,IF($J$9="3SG",'Intersection Tables'!G49,IF($J$9="4ST",'Intersection Tables'!I49,'Intersection Tables'!K49))))</f>
        <v>0.013</v>
      </c>
      <c r="I71" s="279"/>
      <c r="J71" s="278">
        <f>+H71*$J$66</f>
        <v>0.011416844183561606</v>
      </c>
      <c r="K71" s="279"/>
      <c r="L71" s="292">
        <f>+F71+J71</f>
        <v>0.016323004884251518</v>
      </c>
      <c r="M71" s="292"/>
      <c r="N71" s="293"/>
    </row>
    <row r="72" spans="1:14" ht="13.5" thickBot="1">
      <c r="A72" s="286" t="s">
        <v>299</v>
      </c>
      <c r="B72" s="287"/>
      <c r="C72" s="287"/>
      <c r="D72" s="288">
        <f>IF('Intersection Tables'!$C$33="No",HLOOKUP($J$9,'Intersection Tables'!$B$35:$K$41,7,FALSE),HLOOKUP($J$9,'Intersection Tables'!$B$44:$K$50,7,FALSE))</f>
        <v>0.343</v>
      </c>
      <c r="E72" s="289"/>
      <c r="F72" s="288">
        <f>+D72*$F$66</f>
        <v>0.15298301093969457</v>
      </c>
      <c r="G72" s="289"/>
      <c r="H72" s="288">
        <f>IF('Intersection Tables'!$C$33="No",IF($J$9="3ST",'Intersection Tables'!E41,IF($J$9="3SG",'Intersection Tables'!G41,IF($J$9="4ST",'Intersection Tables'!I41,'Intersection Tables'!K41))),IF($J$9="3ST",'Intersection Tables'!E50,IF($J$9="3SG",'Intersection Tables'!G50,IF($J$9="4ST",'Intersection Tables'!I50,'Intersection Tables'!K50))))</f>
        <v>0.402</v>
      </c>
      <c r="I72" s="289"/>
      <c r="J72" s="288">
        <f>+H72*$J$66</f>
        <v>0.3530439509070589</v>
      </c>
      <c r="K72" s="289"/>
      <c r="L72" s="290">
        <f>+F72+J72</f>
        <v>0.5060269618467534</v>
      </c>
      <c r="M72" s="290"/>
      <c r="N72" s="291"/>
    </row>
    <row r="73" ht="12.75" customHeight="1"/>
    <row r="75" ht="13.5" thickBot="1"/>
    <row r="76" spans="1:14" ht="14.25" thickBot="1" thickTop="1">
      <c r="A76" s="285" t="s">
        <v>442</v>
      </c>
      <c r="B76" s="323"/>
      <c r="C76" s="323"/>
      <c r="D76" s="323"/>
      <c r="E76" s="323"/>
      <c r="F76" s="323"/>
      <c r="G76" s="323"/>
      <c r="H76" s="323"/>
      <c r="I76" s="323"/>
      <c r="J76" s="360"/>
      <c r="K76" s="360"/>
      <c r="L76" s="360"/>
      <c r="M76" s="360"/>
      <c r="N76" s="360"/>
    </row>
    <row r="77" spans="1:14" ht="12.75">
      <c r="A77" s="280" t="s">
        <v>16</v>
      </c>
      <c r="B77" s="281"/>
      <c r="C77" s="500" t="s">
        <v>17</v>
      </c>
      <c r="D77" s="716"/>
      <c r="E77" s="717"/>
      <c r="F77" s="718" t="s">
        <v>18</v>
      </c>
      <c r="G77" s="717"/>
      <c r="H77" s="2" t="s">
        <v>19</v>
      </c>
      <c r="I77" s="313" t="s">
        <v>20</v>
      </c>
      <c r="J77" s="281"/>
      <c r="K77" s="2" t="s">
        <v>21</v>
      </c>
      <c r="L77" s="123" t="s">
        <v>22</v>
      </c>
      <c r="M77" s="123" t="s">
        <v>23</v>
      </c>
      <c r="N77" s="146" t="s">
        <v>24</v>
      </c>
    </row>
    <row r="78" spans="1:14" ht="12.75">
      <c r="A78" s="260" t="s">
        <v>32</v>
      </c>
      <c r="B78" s="684"/>
      <c r="C78" s="719" t="s">
        <v>89</v>
      </c>
      <c r="D78" s="720"/>
      <c r="E78" s="553"/>
      <c r="F78" s="722" t="s">
        <v>33</v>
      </c>
      <c r="G78" s="553"/>
      <c r="H78" s="723" t="s">
        <v>443</v>
      </c>
      <c r="I78" s="302" t="s">
        <v>265</v>
      </c>
      <c r="J78" s="358"/>
      <c r="K78" s="359" t="s">
        <v>435</v>
      </c>
      <c r="L78" s="302" t="s">
        <v>34</v>
      </c>
      <c r="M78" s="302" t="s">
        <v>109</v>
      </c>
      <c r="N78" s="319" t="s">
        <v>445</v>
      </c>
    </row>
    <row r="79" spans="1:14" ht="12.75">
      <c r="A79" s="699"/>
      <c r="B79" s="458"/>
      <c r="C79" s="376"/>
      <c r="D79" s="721"/>
      <c r="E79" s="433"/>
      <c r="F79" s="376"/>
      <c r="G79" s="433"/>
      <c r="H79" s="375"/>
      <c r="I79" s="358"/>
      <c r="J79" s="358"/>
      <c r="K79" s="317"/>
      <c r="L79" s="317"/>
      <c r="M79" s="317"/>
      <c r="N79" s="319"/>
    </row>
    <row r="80" spans="1:14" ht="12.75">
      <c r="A80" s="699"/>
      <c r="B80" s="458"/>
      <c r="C80" s="377" t="s">
        <v>690</v>
      </c>
      <c r="D80" s="628"/>
      <c r="E80" s="299"/>
      <c r="F80" s="701" t="s">
        <v>690</v>
      </c>
      <c r="G80" s="702"/>
      <c r="H80" s="447" t="s">
        <v>572</v>
      </c>
      <c r="I80" s="358"/>
      <c r="J80" s="358"/>
      <c r="K80" s="312" t="s">
        <v>269</v>
      </c>
      <c r="L80" s="348" t="s">
        <v>444</v>
      </c>
      <c r="M80" s="318"/>
      <c r="N80" s="265" t="s">
        <v>271</v>
      </c>
    </row>
    <row r="81" spans="1:14" ht="12.75">
      <c r="A81" s="685"/>
      <c r="B81" s="458"/>
      <c r="C81" s="469" t="s">
        <v>90</v>
      </c>
      <c r="D81" s="469" t="s">
        <v>91</v>
      </c>
      <c r="E81" s="469" t="s">
        <v>434</v>
      </c>
      <c r="F81" s="703"/>
      <c r="G81" s="704"/>
      <c r="H81" s="707"/>
      <c r="I81" s="358"/>
      <c r="J81" s="358"/>
      <c r="K81" s="283"/>
      <c r="L81" s="317"/>
      <c r="M81" s="318"/>
      <c r="N81" s="349"/>
    </row>
    <row r="82" spans="1:14" ht="12.75">
      <c r="A82" s="686"/>
      <c r="B82" s="460"/>
      <c r="C82" s="700"/>
      <c r="D82" s="700"/>
      <c r="E82" s="700"/>
      <c r="F82" s="705"/>
      <c r="G82" s="706"/>
      <c r="H82" s="708"/>
      <c r="I82" s="187"/>
      <c r="J82" s="194"/>
      <c r="K82" s="183"/>
      <c r="L82" s="184"/>
      <c r="M82" s="185"/>
      <c r="N82" s="186"/>
    </row>
    <row r="83" spans="1:14" ht="12.75">
      <c r="A83" s="299" t="s">
        <v>35</v>
      </c>
      <c r="B83" s="322"/>
      <c r="C83" s="12">
        <f>VLOOKUP($J$9,'Intersection Tables'!$I$9:$M$12,2,FALSE)</f>
        <v>-9.02</v>
      </c>
      <c r="D83" s="12">
        <f>VLOOKUP($J$9,'Intersection Tables'!$I$9:$M$12,3,FALSE)</f>
        <v>0.42</v>
      </c>
      <c r="E83" s="12">
        <f>VLOOKUP($J$9,'Intersection Tables'!$I$9:$M$12,4,FALSE)</f>
        <v>0.4</v>
      </c>
      <c r="F83" s="488">
        <f>VLOOKUP($J$9,'Intersection Tables'!$I$9:$M$12,5,FALSE)</f>
        <v>0.36</v>
      </c>
      <c r="G83" s="299"/>
      <c r="H83" s="3">
        <f>EXP(C83+(D83*LN($J$10))+(E83*LN($J$11)))</f>
        <v>0.2620107472989803</v>
      </c>
      <c r="I83" s="278">
        <v>1</v>
      </c>
      <c r="J83" s="279"/>
      <c r="K83" s="3">
        <f>H83*I83</f>
        <v>0.2620107472989803</v>
      </c>
      <c r="L83" s="12">
        <f>+M41</f>
        <v>0.7295740703539199</v>
      </c>
      <c r="M83" s="12">
        <f>+$J$13</f>
        <v>0.73</v>
      </c>
      <c r="N83" s="128">
        <f>+K83*L83*M83</f>
        <v>0.13954406058987423</v>
      </c>
    </row>
    <row r="84" spans="1:14" ht="15.75">
      <c r="A84" s="343" t="s">
        <v>36</v>
      </c>
      <c r="B84" s="343"/>
      <c r="C84" s="327">
        <f>VLOOKUP($J$9,'Intersection Tables'!$I$14:$M$17,2,FALSE)</f>
        <v>-9.75</v>
      </c>
      <c r="D84" s="327">
        <f>VLOOKUP($J$9,'Intersection Tables'!$I$14:$M$17,3,FALSE)</f>
        <v>0.27</v>
      </c>
      <c r="E84" s="327">
        <f>VLOOKUP($J$9,'Intersection Tables'!$I$14:$M$17,4,FALSE)</f>
        <v>0.51</v>
      </c>
      <c r="F84" s="711">
        <f>VLOOKUP($J$9,'Intersection Tables'!$I$14:$M$17,5,FALSE)</f>
        <v>0.24</v>
      </c>
      <c r="G84" s="712"/>
      <c r="H84" s="325">
        <f>IF(J9="3ST",H83*0.31,IF(J9="4ST",H83*0.28,(EXP(C84+(D84*LN($J$10))+(E84*LN($J$11))))))</f>
        <v>0.08125257275027263</v>
      </c>
      <c r="I84" s="273" t="s">
        <v>272</v>
      </c>
      <c r="J84" s="274"/>
      <c r="K84" s="325">
        <f>H83*I85</f>
        <v>0.08337793799882727</v>
      </c>
      <c r="L84" s="327">
        <f>+M41</f>
        <v>0.7295740703539199</v>
      </c>
      <c r="M84" s="327">
        <f>+$J$13</f>
        <v>0.73</v>
      </c>
      <c r="N84" s="329">
        <f>+K84*L84*M84</f>
        <v>0.044406178570570456</v>
      </c>
    </row>
    <row r="85" spans="1:14" ht="12.75">
      <c r="A85" s="344"/>
      <c r="B85" s="344"/>
      <c r="C85" s="332"/>
      <c r="D85" s="332"/>
      <c r="E85" s="332"/>
      <c r="F85" s="482"/>
      <c r="G85" s="715"/>
      <c r="H85" s="332"/>
      <c r="I85" s="278">
        <f>+H84/(H84+H86)</f>
        <v>0.3182233509821823</v>
      </c>
      <c r="J85" s="279"/>
      <c r="K85" s="331"/>
      <c r="L85" s="332"/>
      <c r="M85" s="332"/>
      <c r="N85" s="333"/>
    </row>
    <row r="86" spans="1:14" ht="15.75">
      <c r="A86" s="284" t="s">
        <v>37</v>
      </c>
      <c r="B86" s="334"/>
      <c r="C86" s="710">
        <f>VLOOKUP($J$9,'Intersection Tables'!$I$19:$M$22,2,FALSE)</f>
        <v>-9.08</v>
      </c>
      <c r="D86" s="327">
        <f>VLOOKUP($J$9,'Intersection Tables'!$I$19:$M$22,3,FALSE)</f>
        <v>0.45</v>
      </c>
      <c r="E86" s="327">
        <f>VLOOKUP($J$9,'Intersection Tables'!$I$19:$M$22,4,FALSE)</f>
        <v>0.33</v>
      </c>
      <c r="F86" s="711">
        <f>VLOOKUP($J$9,'Intersection Tables'!$I$19:$M$22,5,FALSE)</f>
        <v>0.53</v>
      </c>
      <c r="G86" s="712"/>
      <c r="H86" s="709">
        <f>EXP(C86+(D86*LN($J$10))+(E86*LN($J$11)))</f>
        <v>0.1740793269971537</v>
      </c>
      <c r="I86" s="273" t="s">
        <v>273</v>
      </c>
      <c r="J86" s="274"/>
      <c r="K86" s="325">
        <f>H83*I87</f>
        <v>0.178632809300153</v>
      </c>
      <c r="L86" s="327">
        <f>+M41</f>
        <v>0.7295740703539199</v>
      </c>
      <c r="M86" s="327">
        <f>+$J$13</f>
        <v>0.73</v>
      </c>
      <c r="N86" s="329">
        <f>+K86*L86*M86</f>
        <v>0.09513788201930375</v>
      </c>
    </row>
    <row r="87" spans="1:14" ht="13.5" thickBot="1">
      <c r="A87" s="335"/>
      <c r="B87" s="336"/>
      <c r="C87" s="328"/>
      <c r="D87" s="328"/>
      <c r="E87" s="328"/>
      <c r="F87" s="713"/>
      <c r="G87" s="714"/>
      <c r="H87" s="328"/>
      <c r="I87" s="288">
        <f>I83-I85</f>
        <v>0.6817766490178176</v>
      </c>
      <c r="J87" s="289"/>
      <c r="K87" s="326"/>
      <c r="L87" s="328"/>
      <c r="M87" s="328"/>
      <c r="N87" s="330"/>
    </row>
    <row r="89" spans="6:7" ht="12.75">
      <c r="F89" s="137"/>
      <c r="G89" s="15"/>
    </row>
    <row r="90" ht="13.5" thickBot="1"/>
    <row r="91" spans="1:14" ht="14.25" thickBot="1" thickTop="1">
      <c r="A91" s="285" t="s">
        <v>446</v>
      </c>
      <c r="B91" s="323"/>
      <c r="C91" s="323"/>
      <c r="D91" s="323"/>
      <c r="E91" s="323"/>
      <c r="F91" s="323"/>
      <c r="G91" s="323"/>
      <c r="H91" s="323"/>
      <c r="I91" s="324"/>
      <c r="J91" s="324"/>
      <c r="K91" s="324"/>
      <c r="L91" s="324"/>
      <c r="M91" s="324"/>
      <c r="N91" s="324"/>
    </row>
    <row r="92" spans="1:14" ht="12.75">
      <c r="A92" s="280" t="s">
        <v>16</v>
      </c>
      <c r="B92" s="281"/>
      <c r="C92" s="281"/>
      <c r="D92" s="313" t="s">
        <v>17</v>
      </c>
      <c r="E92" s="314"/>
      <c r="F92" s="313" t="s">
        <v>18</v>
      </c>
      <c r="G92" s="313"/>
      <c r="H92" s="270" t="s">
        <v>19</v>
      </c>
      <c r="I92" s="314"/>
      <c r="J92" s="313" t="s">
        <v>20</v>
      </c>
      <c r="K92" s="313"/>
      <c r="L92" s="270" t="s">
        <v>21</v>
      </c>
      <c r="M92" s="314"/>
      <c r="N92" s="316"/>
    </row>
    <row r="93" spans="1:14" ht="12.75">
      <c r="A93" s="439" t="s">
        <v>38</v>
      </c>
      <c r="B93" s="302"/>
      <c r="C93" s="295"/>
      <c r="D93" s="272" t="s">
        <v>39</v>
      </c>
      <c r="E93" s="304"/>
      <c r="F93" s="272" t="s">
        <v>454</v>
      </c>
      <c r="G93" s="272"/>
      <c r="H93" s="272" t="s">
        <v>300</v>
      </c>
      <c r="I93" s="304"/>
      <c r="J93" s="272" t="s">
        <v>453</v>
      </c>
      <c r="K93" s="272"/>
      <c r="L93" s="272" t="s">
        <v>452</v>
      </c>
      <c r="M93" s="272"/>
      <c r="N93" s="303"/>
    </row>
    <row r="94" spans="1:14" ht="12.75">
      <c r="A94" s="439"/>
      <c r="B94" s="302"/>
      <c r="C94" s="295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3"/>
    </row>
    <row r="95" spans="1:14" ht="12.75">
      <c r="A95" s="315"/>
      <c r="B95" s="274"/>
      <c r="C95" s="295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3"/>
    </row>
    <row r="96" spans="1:14" ht="12.75">
      <c r="A96" s="315"/>
      <c r="B96" s="274"/>
      <c r="C96" s="295"/>
      <c r="D96" s="312" t="s">
        <v>691</v>
      </c>
      <c r="E96" s="295"/>
      <c r="F96" s="320" t="s">
        <v>450</v>
      </c>
      <c r="G96" s="321"/>
      <c r="H96" s="312" t="s">
        <v>691</v>
      </c>
      <c r="I96" s="295"/>
      <c r="J96" s="320" t="s">
        <v>451</v>
      </c>
      <c r="K96" s="321"/>
      <c r="L96" s="320" t="s">
        <v>451</v>
      </c>
      <c r="M96" s="321"/>
      <c r="N96" s="322"/>
    </row>
    <row r="97" spans="1:14" ht="12.75">
      <c r="A97" s="315"/>
      <c r="B97" s="274"/>
      <c r="C97" s="295"/>
      <c r="D97" s="274"/>
      <c r="E97" s="295"/>
      <c r="F97" s="274"/>
      <c r="G97" s="274"/>
      <c r="H97" s="274"/>
      <c r="I97" s="295"/>
      <c r="J97" s="274"/>
      <c r="K97" s="274"/>
      <c r="L97" s="274"/>
      <c r="M97" s="274"/>
      <c r="N97" s="322"/>
    </row>
    <row r="98" spans="1:14" ht="12.75">
      <c r="A98" s="299" t="s">
        <v>35</v>
      </c>
      <c r="B98" s="295"/>
      <c r="C98" s="295"/>
      <c r="D98" s="292">
        <v>1</v>
      </c>
      <c r="E98" s="292"/>
      <c r="F98" s="293">
        <f>+N84</f>
        <v>0.044406178570570456</v>
      </c>
      <c r="G98" s="300"/>
      <c r="H98" s="292">
        <v>1</v>
      </c>
      <c r="I98" s="292"/>
      <c r="J98" s="278">
        <f>+N86</f>
        <v>0.09513788201930375</v>
      </c>
      <c r="K98" s="315"/>
      <c r="L98" s="293">
        <f>+N83</f>
        <v>0.13954406058987423</v>
      </c>
      <c r="M98" s="301"/>
      <c r="N98" s="301"/>
    </row>
    <row r="99" spans="1:14" ht="13.5" customHeight="1">
      <c r="A99" s="299"/>
      <c r="B99" s="295"/>
      <c r="C99" s="295"/>
      <c r="D99" s="295"/>
      <c r="E99" s="295"/>
      <c r="F99" s="296" t="s">
        <v>291</v>
      </c>
      <c r="G99" s="274"/>
      <c r="H99" s="295"/>
      <c r="I99" s="295"/>
      <c r="J99" s="296" t="s">
        <v>292</v>
      </c>
      <c r="K99" s="274"/>
      <c r="L99" s="296" t="s">
        <v>293</v>
      </c>
      <c r="M99" s="274"/>
      <c r="N99" s="297"/>
    </row>
    <row r="100" spans="1:14" ht="13.5" customHeight="1">
      <c r="A100" s="298" t="s">
        <v>447</v>
      </c>
      <c r="B100" s="295"/>
      <c r="C100" s="295"/>
      <c r="D100" s="278">
        <f>IF('Intersection Tables'!$C$56="No",HLOOKUP($J$9,'Intersection Tables'!$B$58:$K$65,3,FALSE),HLOOKUP($J$9,'Intersection Tables'!$B$68:$K$75,3,FALSE))</f>
        <v>0</v>
      </c>
      <c r="E100" s="279"/>
      <c r="F100" s="278">
        <f aca="true" t="shared" si="0" ref="F100:F105">+D100*$F$98</f>
        <v>0</v>
      </c>
      <c r="G100" s="279"/>
      <c r="H100" s="278">
        <f>IF('Intersection Tables'!$C$56="No",IF($J$9="3ST",'Intersection Tables'!E60,IF($J$9="3SG",'Intersection Tables'!G60,IF($J$9="4ST",'Intersection Tables'!I60,'Intersection Tables'!K60))),IF($J$9="3ST",'Intersection Tables'!E70,IF($J$9="3SG",'Intersection Tables'!G70,IF($J$9="4ST",'Intersection Tables'!I70,'Intersection Tables'!K70))))</f>
        <v>0</v>
      </c>
      <c r="I100" s="279"/>
      <c r="J100" s="278">
        <f aca="true" t="shared" si="1" ref="J100:J105">+H100*$J$98</f>
        <v>0</v>
      </c>
      <c r="K100" s="279"/>
      <c r="L100" s="292">
        <f aca="true" t="shared" si="2" ref="L100:L105">+F100+J100</f>
        <v>0</v>
      </c>
      <c r="M100" s="292"/>
      <c r="N100" s="293"/>
    </row>
    <row r="101" spans="1:14" ht="13.5" customHeight="1">
      <c r="A101" s="294" t="s">
        <v>308</v>
      </c>
      <c r="B101" s="295"/>
      <c r="C101" s="295"/>
      <c r="D101" s="278">
        <f>IF('Intersection Tables'!$C$56="No",HLOOKUP($J$9,'Intersection Tables'!$B$58:$K$65,4,FALSE),HLOOKUP($J$9,'Intersection Tables'!$B$68:$K$75,4,FALSE))</f>
        <v>0</v>
      </c>
      <c r="E101" s="279"/>
      <c r="F101" s="278">
        <f t="shared" si="0"/>
        <v>0</v>
      </c>
      <c r="G101" s="279"/>
      <c r="H101" s="278">
        <f>IF('Intersection Tables'!$C$56="No",IF($J$9="3ST",'Intersection Tables'!E61,IF($J$9="3SG",'Intersection Tables'!G61,IF($J$9="4ST",'Intersection Tables'!I61,'Intersection Tables'!K61))),IF($J$9="3ST",'Intersection Tables'!E71,IF($J$9="3SG",'Intersection Tables'!G71,IF($J$9="4ST",'Intersection Tables'!I71,'Intersection Tables'!K71))))</f>
        <v>0</v>
      </c>
      <c r="I101" s="279"/>
      <c r="J101" s="278">
        <f t="shared" si="1"/>
        <v>0</v>
      </c>
      <c r="K101" s="279"/>
      <c r="L101" s="292">
        <f t="shared" si="2"/>
        <v>0</v>
      </c>
      <c r="M101" s="292"/>
      <c r="N101" s="293"/>
    </row>
    <row r="102" spans="1:14" ht="13.5" customHeight="1">
      <c r="A102" s="294" t="s">
        <v>309</v>
      </c>
      <c r="B102" s="295"/>
      <c r="C102" s="295"/>
      <c r="D102" s="278">
        <f>IF('Intersection Tables'!$C$56="No",HLOOKUP($J$9,'Intersection Tables'!$B$58:$K$65,5,FALSE),HLOOKUP($J$9,'Intersection Tables'!$B$68:$K$75,5,FALSE))</f>
        <v>0.115</v>
      </c>
      <c r="E102" s="279"/>
      <c r="F102" s="278">
        <f t="shared" si="0"/>
        <v>0.005106710535615603</v>
      </c>
      <c r="G102" s="279"/>
      <c r="H102" s="278">
        <f>IF('Intersection Tables'!$C$56="No",IF($J$9="3ST",'Intersection Tables'!E62,IF($J$9="3SG",'Intersection Tables'!G62,IF($J$9="4ST",'Intersection Tables'!I62,'Intersection Tables'!K62))),IF($J$9="3ST",'Intersection Tables'!E72,IF($J$9="3SG",'Intersection Tables'!G72,IF($J$9="4ST",'Intersection Tables'!I72,'Intersection Tables'!K72))))</f>
        <v>0.875</v>
      </c>
      <c r="I102" s="279"/>
      <c r="J102" s="278">
        <f t="shared" si="1"/>
        <v>0.08324564676689078</v>
      </c>
      <c r="K102" s="279"/>
      <c r="L102" s="292">
        <f t="shared" si="2"/>
        <v>0.08835235730250639</v>
      </c>
      <c r="M102" s="292"/>
      <c r="N102" s="293"/>
    </row>
    <row r="103" spans="1:14" ht="13.5" customHeight="1">
      <c r="A103" s="294" t="s">
        <v>310</v>
      </c>
      <c r="B103" s="295"/>
      <c r="C103" s="295"/>
      <c r="D103" s="278">
        <f>IF('Intersection Tables'!$C$56="No",HLOOKUP($J$9,'Intersection Tables'!$B$58:$K$65,6,FALSE),HLOOKUP($J$9,'Intersection Tables'!$B$68:$K$75,6,FALSE))</f>
        <v>0</v>
      </c>
      <c r="E103" s="279"/>
      <c r="F103" s="278">
        <f t="shared" si="0"/>
        <v>0</v>
      </c>
      <c r="G103" s="279"/>
      <c r="H103" s="278">
        <f>IF('Intersection Tables'!$C$56="No",IF($J$9="3ST",'Intersection Tables'!E63,IF($J$9="3SG",'Intersection Tables'!G63,IF($J$9="4ST",'Intersection Tables'!I63,'Intersection Tables'!K63))),IF($J$9="3ST",'Intersection Tables'!E73,IF($J$9="3SG",'Intersection Tables'!G73,IF($J$9="4ST",'Intersection Tables'!I73,'Intersection Tables'!K73))))</f>
        <v>0.125</v>
      </c>
      <c r="I103" s="279"/>
      <c r="J103" s="278">
        <f t="shared" si="1"/>
        <v>0.011892235252412968</v>
      </c>
      <c r="K103" s="279"/>
      <c r="L103" s="292">
        <f t="shared" si="2"/>
        <v>0.011892235252412968</v>
      </c>
      <c r="M103" s="292"/>
      <c r="N103" s="293"/>
    </row>
    <row r="104" spans="1:14" ht="12.75">
      <c r="A104" s="294" t="s">
        <v>311</v>
      </c>
      <c r="B104" s="295"/>
      <c r="C104" s="295"/>
      <c r="D104" s="278">
        <f>IF('Intersection Tables'!$C$56="No",HLOOKUP($J$9,'Intersection Tables'!$B$58:$K$65,7,FALSE),HLOOKUP($J$9,'Intersection Tables'!$B$68:$K$75,7,FALSE))</f>
        <v>0.769</v>
      </c>
      <c r="E104" s="279"/>
      <c r="F104" s="278">
        <f t="shared" si="0"/>
        <v>0.03414835132076868</v>
      </c>
      <c r="G104" s="279"/>
      <c r="H104" s="278">
        <f>IF('Intersection Tables'!$C$56="No",IF($J$9="3ST",'Intersection Tables'!E64,IF($J$9="3SG",'Intersection Tables'!G64,IF($J$9="4ST",'Intersection Tables'!I64,'Intersection Tables'!K64))),IF($J$9="3ST",'Intersection Tables'!E74,IF($J$9="3SG",'Intersection Tables'!G74,IF($J$9="4ST",'Intersection Tables'!I74,'Intersection Tables'!K74))))</f>
        <v>0</v>
      </c>
      <c r="I104" s="279"/>
      <c r="J104" s="278">
        <f t="shared" si="1"/>
        <v>0</v>
      </c>
      <c r="K104" s="279"/>
      <c r="L104" s="292">
        <f t="shared" si="2"/>
        <v>0.03414835132076868</v>
      </c>
      <c r="M104" s="292"/>
      <c r="N104" s="293"/>
    </row>
    <row r="105" spans="1:14" ht="13.5" thickBot="1">
      <c r="A105" s="286" t="s">
        <v>448</v>
      </c>
      <c r="B105" s="287"/>
      <c r="C105" s="287"/>
      <c r="D105" s="288">
        <f>IF('Intersection Tables'!$C$56="No",HLOOKUP($J$9,'Intersection Tables'!$B$58:$K$65,8,FALSE),HLOOKUP($J$9,'Intersection Tables'!$B$68:$K$75,8,FALSE))</f>
        <v>0.115</v>
      </c>
      <c r="E105" s="289"/>
      <c r="F105" s="288">
        <f t="shared" si="0"/>
        <v>0.005106710535615603</v>
      </c>
      <c r="G105" s="289"/>
      <c r="H105" s="288">
        <f>IF('Intersection Tables'!$C$56="No",IF($J$9="3ST",'Intersection Tables'!E65,IF($J$9="3SG",'Intersection Tables'!G65,IF($J$9="4ST",'Intersection Tables'!I65,'Intersection Tables'!K65))),IF($J$9="3ST",'Intersection Tables'!E75,IF($J$9="3SG",'Intersection Tables'!G75,IF($J$9="4ST",'Intersection Tables'!I75,'Intersection Tables'!K75))))</f>
        <v>0</v>
      </c>
      <c r="I105" s="289"/>
      <c r="J105" s="288">
        <f t="shared" si="1"/>
        <v>0</v>
      </c>
      <c r="K105" s="289"/>
      <c r="L105" s="290">
        <f t="shared" si="2"/>
        <v>0.005106710535615603</v>
      </c>
      <c r="M105" s="290"/>
      <c r="N105" s="291"/>
    </row>
    <row r="108" ht="13.5" thickBot="1"/>
    <row r="109" spans="1:14" ht="14.25" thickBot="1" thickTop="1">
      <c r="A109" s="285" t="s">
        <v>455</v>
      </c>
      <c r="B109" s="323"/>
      <c r="C109" s="323"/>
      <c r="D109" s="323"/>
      <c r="E109" s="323"/>
      <c r="F109" s="323"/>
      <c r="G109" s="323"/>
      <c r="H109" s="323"/>
      <c r="I109" s="324"/>
      <c r="J109" s="324"/>
      <c r="K109" s="324"/>
      <c r="L109" s="324"/>
      <c r="M109" s="324"/>
      <c r="N109" s="324"/>
    </row>
    <row r="110" spans="1:14" ht="12.75">
      <c r="A110" s="280" t="s">
        <v>16</v>
      </c>
      <c r="B110" s="281"/>
      <c r="C110" s="281"/>
      <c r="D110" s="270" t="s">
        <v>17</v>
      </c>
      <c r="E110" s="270"/>
      <c r="F110" s="270" t="s">
        <v>18</v>
      </c>
      <c r="G110" s="270"/>
      <c r="H110" s="123" t="s">
        <v>19</v>
      </c>
      <c r="I110" s="270" t="s">
        <v>20</v>
      </c>
      <c r="J110" s="270"/>
      <c r="K110" s="270" t="s">
        <v>21</v>
      </c>
      <c r="L110" s="270"/>
      <c r="M110" s="270" t="s">
        <v>22</v>
      </c>
      <c r="N110" s="271"/>
    </row>
    <row r="111" spans="1:14" ht="12.75" customHeight="1">
      <c r="A111" s="282" t="s">
        <v>32</v>
      </c>
      <c r="B111" s="283"/>
      <c r="C111" s="283"/>
      <c r="D111" s="485" t="s">
        <v>436</v>
      </c>
      <c r="E111" s="485"/>
      <c r="F111" s="485" t="s">
        <v>445</v>
      </c>
      <c r="G111" s="485"/>
      <c r="H111" s="272" t="s">
        <v>458</v>
      </c>
      <c r="I111" s="272" t="s">
        <v>460</v>
      </c>
      <c r="J111" s="272"/>
      <c r="K111" s="272" t="s">
        <v>461</v>
      </c>
      <c r="L111" s="272"/>
      <c r="M111" s="272" t="s">
        <v>462</v>
      </c>
      <c r="N111" s="484"/>
    </row>
    <row r="112" spans="1:14" ht="12.75">
      <c r="A112" s="284"/>
      <c r="B112" s="283"/>
      <c r="C112" s="283"/>
      <c r="D112" s="485"/>
      <c r="E112" s="485"/>
      <c r="F112" s="485"/>
      <c r="G112" s="485"/>
      <c r="H112" s="272"/>
      <c r="I112" s="272"/>
      <c r="J112" s="272"/>
      <c r="K112" s="272"/>
      <c r="L112" s="272"/>
      <c r="M112" s="272"/>
      <c r="N112" s="484"/>
    </row>
    <row r="113" spans="1:14" ht="12.75" customHeight="1">
      <c r="A113" s="284"/>
      <c r="B113" s="283"/>
      <c r="C113" s="283"/>
      <c r="D113" s="312" t="s">
        <v>456</v>
      </c>
      <c r="E113" s="362"/>
      <c r="F113" s="312" t="s">
        <v>457</v>
      </c>
      <c r="G113" s="362"/>
      <c r="H113" s="312" t="s">
        <v>459</v>
      </c>
      <c r="I113" s="312" t="s">
        <v>692</v>
      </c>
      <c r="J113" s="295"/>
      <c r="K113" s="362"/>
      <c r="L113" s="362"/>
      <c r="M113" s="312" t="s">
        <v>340</v>
      </c>
      <c r="N113" s="349"/>
    </row>
    <row r="114" spans="1:14" ht="12.75">
      <c r="A114" s="284"/>
      <c r="B114" s="283"/>
      <c r="C114" s="283"/>
      <c r="D114" s="362"/>
      <c r="E114" s="362"/>
      <c r="F114" s="362"/>
      <c r="G114" s="362"/>
      <c r="H114" s="362"/>
      <c r="I114" s="274"/>
      <c r="J114" s="295"/>
      <c r="K114" s="362"/>
      <c r="L114" s="362"/>
      <c r="M114" s="362"/>
      <c r="N114" s="349"/>
    </row>
    <row r="115" spans="1:14" ht="12.75">
      <c r="A115" s="275" t="s">
        <v>35</v>
      </c>
      <c r="B115" s="276"/>
      <c r="C115" s="276"/>
      <c r="D115" s="278" t="str">
        <f>IF($J$9="3SG","--",IF($J$9="4SG","--",N51))</f>
        <v>--</v>
      </c>
      <c r="E115" s="315"/>
      <c r="F115" s="278" t="str">
        <f>IF($J$9="3SG","--",IF($J$9="4SG","--",N83))</f>
        <v>--</v>
      </c>
      <c r="G115" s="315"/>
      <c r="H115" s="197" t="str">
        <f>IF($J$9="3SG","--",IF($J$9="4SG","--",(D115+F115)))</f>
        <v>--</v>
      </c>
      <c r="I115" s="278" t="str">
        <f>IF($J$9="3ST",0.021,IF($J$9="4ST",0.022,"--"))</f>
        <v>--</v>
      </c>
      <c r="J115" s="279"/>
      <c r="K115" s="488">
        <f>+$J$13</f>
        <v>0.73</v>
      </c>
      <c r="L115" s="315"/>
      <c r="M115" s="278" t="str">
        <f>IF(J9="3SG","--",IF(J9="4SG","--",$H$115*$I$115*$K$115))</f>
        <v>--</v>
      </c>
      <c r="N115" s="486"/>
    </row>
    <row r="116" spans="1:14" ht="13.5" thickBot="1">
      <c r="A116" s="255" t="s">
        <v>140</v>
      </c>
      <c r="B116" s="256"/>
      <c r="C116" s="256"/>
      <c r="D116" s="473" t="s">
        <v>14</v>
      </c>
      <c r="E116" s="474"/>
      <c r="F116" s="473" t="s">
        <v>14</v>
      </c>
      <c r="G116" s="474"/>
      <c r="H116" s="195" t="s">
        <v>14</v>
      </c>
      <c r="I116" s="473" t="s">
        <v>14</v>
      </c>
      <c r="J116" s="474"/>
      <c r="K116" s="477">
        <f>+$J$13</f>
        <v>0.73</v>
      </c>
      <c r="L116" s="474"/>
      <c r="M116" s="288" t="str">
        <f>+M115</f>
        <v>--</v>
      </c>
      <c r="N116" s="489"/>
    </row>
    <row r="119" spans="13:15" ht="13.5" thickBot="1">
      <c r="M119" s="22"/>
      <c r="N119" s="22"/>
      <c r="O119" s="22"/>
    </row>
    <row r="120" spans="2:15" ht="14.25" thickBot="1" thickTop="1">
      <c r="B120" s="696" t="s">
        <v>463</v>
      </c>
      <c r="C120" s="697"/>
      <c r="D120" s="697"/>
      <c r="E120" s="697"/>
      <c r="F120" s="697"/>
      <c r="G120" s="697"/>
      <c r="H120" s="697"/>
      <c r="I120" s="697"/>
      <c r="J120" s="697"/>
      <c r="K120" s="697"/>
      <c r="L120" s="697"/>
      <c r="M120" s="697"/>
      <c r="N120" s="149"/>
      <c r="O120" s="149"/>
    </row>
    <row r="121" spans="2:13" ht="12.75">
      <c r="B121" s="280" t="s">
        <v>16</v>
      </c>
      <c r="C121" s="281"/>
      <c r="D121" s="281"/>
      <c r="E121" s="361" t="s">
        <v>17</v>
      </c>
      <c r="F121" s="281"/>
      <c r="G121" s="281"/>
      <c r="H121" s="361" t="s">
        <v>18</v>
      </c>
      <c r="I121" s="281"/>
      <c r="J121" s="281"/>
      <c r="K121" s="361" t="s">
        <v>19</v>
      </c>
      <c r="L121" s="281"/>
      <c r="M121" s="281"/>
    </row>
    <row r="122" spans="2:13" ht="12.75">
      <c r="B122" s="563" t="s">
        <v>464</v>
      </c>
      <c r="C122" s="273"/>
      <c r="D122" s="273"/>
      <c r="E122" s="273" t="s">
        <v>465</v>
      </c>
      <c r="F122" s="273"/>
      <c r="G122" s="273"/>
      <c r="H122" s="273" t="s">
        <v>466</v>
      </c>
      <c r="I122" s="273"/>
      <c r="J122" s="273"/>
      <c r="K122" s="312" t="s">
        <v>84</v>
      </c>
      <c r="L122" s="312"/>
      <c r="M122" s="265"/>
    </row>
    <row r="123" spans="2:13" ht="15.75">
      <c r="B123" s="563" t="s">
        <v>467</v>
      </c>
      <c r="C123" s="273"/>
      <c r="D123" s="273"/>
      <c r="E123" s="273" t="s">
        <v>468</v>
      </c>
      <c r="F123" s="273"/>
      <c r="G123" s="273"/>
      <c r="H123" s="273" t="s">
        <v>469</v>
      </c>
      <c r="I123" s="273"/>
      <c r="J123" s="273"/>
      <c r="K123" s="362"/>
      <c r="L123" s="362"/>
      <c r="M123" s="349"/>
    </row>
    <row r="124" spans="2:13" ht="12.75">
      <c r="B124" s="563" t="s">
        <v>693</v>
      </c>
      <c r="C124" s="273"/>
      <c r="D124" s="273"/>
      <c r="E124" s="273" t="s">
        <v>694</v>
      </c>
      <c r="F124" s="273"/>
      <c r="G124" s="273"/>
      <c r="H124" s="273" t="s">
        <v>695</v>
      </c>
      <c r="I124" s="273"/>
      <c r="J124" s="273"/>
      <c r="K124" s="273" t="s">
        <v>470</v>
      </c>
      <c r="L124" s="274"/>
      <c r="M124" s="297"/>
    </row>
    <row r="125" spans="2:13" ht="13.5" thickBot="1">
      <c r="B125" s="698">
        <f>IF($J$9="3ST","--",IF($J$9="4ST","--",IF($J$29=0,1,IF($J$29&lt;3,2.78,4.15))))</f>
        <v>2.78</v>
      </c>
      <c r="C125" s="267"/>
      <c r="D125" s="267"/>
      <c r="E125" s="267">
        <f>IF($J$9="3ST","--",IF($J$9="4ST","--",IF($J$30="Present",1.35,1)))</f>
        <v>1.35</v>
      </c>
      <c r="F125" s="267"/>
      <c r="G125" s="267"/>
      <c r="H125" s="267">
        <f>IF(J9="3ST","--",IF(J9="4ST","--",IF(J31=0,1,IF(J31&lt;9,1.12,1.56))))</f>
        <v>1.12</v>
      </c>
      <c r="I125" s="267"/>
      <c r="J125" s="267"/>
      <c r="K125" s="267">
        <f>IF(J9="3ST","--",IF(J9="4ST","--",B125*E125*H125))</f>
        <v>4.203360000000001</v>
      </c>
      <c r="L125" s="267"/>
      <c r="M125" s="477"/>
    </row>
    <row r="128" ht="13.5" thickBot="1"/>
    <row r="129" spans="1:14" ht="14.25" thickBot="1" thickTop="1">
      <c r="A129" s="285" t="s">
        <v>471</v>
      </c>
      <c r="B129" s="323"/>
      <c r="C129" s="323"/>
      <c r="D129" s="323"/>
      <c r="E129" s="323"/>
      <c r="F129" s="323"/>
      <c r="G129" s="323"/>
      <c r="H129" s="323"/>
      <c r="I129" s="324"/>
      <c r="J129" s="324"/>
      <c r="K129" s="324"/>
      <c r="L129" s="324"/>
      <c r="M129" s="324"/>
      <c r="N129" s="324"/>
    </row>
    <row r="130" spans="1:14" ht="12.75">
      <c r="A130" s="280" t="s">
        <v>16</v>
      </c>
      <c r="B130" s="316"/>
      <c r="C130" s="270" t="s">
        <v>17</v>
      </c>
      <c r="D130" s="270"/>
      <c r="E130" s="270"/>
      <c r="F130" s="270"/>
      <c r="G130" s="270"/>
      <c r="H130" s="123" t="s">
        <v>18</v>
      </c>
      <c r="I130" s="270" t="s">
        <v>19</v>
      </c>
      <c r="J130" s="270"/>
      <c r="K130" s="270" t="s">
        <v>20</v>
      </c>
      <c r="L130" s="270"/>
      <c r="M130" s="123" t="s">
        <v>21</v>
      </c>
      <c r="N130" s="146" t="s">
        <v>22</v>
      </c>
    </row>
    <row r="131" spans="1:14" ht="12.75" customHeight="1">
      <c r="A131" s="668" t="s">
        <v>32</v>
      </c>
      <c r="B131" s="694"/>
      <c r="C131" s="357" t="s">
        <v>89</v>
      </c>
      <c r="D131" s="357"/>
      <c r="E131" s="357"/>
      <c r="F131" s="357"/>
      <c r="G131" s="357"/>
      <c r="H131" s="272" t="s">
        <v>33</v>
      </c>
      <c r="I131" s="272" t="s">
        <v>474</v>
      </c>
      <c r="J131" s="272"/>
      <c r="K131" s="272" t="s">
        <v>84</v>
      </c>
      <c r="L131" s="272"/>
      <c r="M131" s="272" t="s">
        <v>461</v>
      </c>
      <c r="N131" s="484" t="s">
        <v>709</v>
      </c>
    </row>
    <row r="132" spans="1:14" ht="12.75">
      <c r="A132" s="695"/>
      <c r="B132" s="309"/>
      <c r="C132" s="357"/>
      <c r="D132" s="357"/>
      <c r="E132" s="357"/>
      <c r="F132" s="357"/>
      <c r="G132" s="357"/>
      <c r="H132" s="272"/>
      <c r="I132" s="272"/>
      <c r="J132" s="272"/>
      <c r="K132" s="272"/>
      <c r="L132" s="272"/>
      <c r="M132" s="272"/>
      <c r="N132" s="484"/>
    </row>
    <row r="133" spans="1:14" ht="12.75">
      <c r="A133" s="695"/>
      <c r="B133" s="309"/>
      <c r="C133" s="273" t="s">
        <v>696</v>
      </c>
      <c r="D133" s="273"/>
      <c r="E133" s="273"/>
      <c r="F133" s="273"/>
      <c r="G133" s="273"/>
      <c r="H133" s="272"/>
      <c r="I133" s="312" t="s">
        <v>573</v>
      </c>
      <c r="J133" s="362"/>
      <c r="K133" s="312" t="s">
        <v>475</v>
      </c>
      <c r="L133" s="362"/>
      <c r="M133" s="272"/>
      <c r="N133" s="265" t="s">
        <v>340</v>
      </c>
    </row>
    <row r="134" spans="1:14" ht="12.75">
      <c r="A134" s="310"/>
      <c r="B134" s="310"/>
      <c r="C134" s="188" t="s">
        <v>90</v>
      </c>
      <c r="D134" s="188" t="s">
        <v>91</v>
      </c>
      <c r="E134" s="188" t="s">
        <v>434</v>
      </c>
      <c r="F134" s="125" t="s">
        <v>472</v>
      </c>
      <c r="G134" s="125" t="s">
        <v>473</v>
      </c>
      <c r="H134" s="272"/>
      <c r="I134" s="362"/>
      <c r="J134" s="362"/>
      <c r="K134" s="362"/>
      <c r="L134" s="362"/>
      <c r="M134" s="272"/>
      <c r="N134" s="349"/>
    </row>
    <row r="135" spans="1:14" ht="12.75">
      <c r="A135" s="299" t="s">
        <v>35</v>
      </c>
      <c r="B135" s="322"/>
      <c r="C135" s="12">
        <f>IF($J$9="3ST","--",IF($J$9="4ST","--",(VLOOKUP($J$9,'Intersection Tables'!$P$9:$V$10,2,FALSE))))</f>
        <v>-6.6</v>
      </c>
      <c r="D135" s="12">
        <f>IF($J$9="3ST","--",IF($J$9="4ST","--",(VLOOKUP($J$9,'Intersection Tables'!$P$9:$V$10,3,FALSE))))</f>
        <v>0.05</v>
      </c>
      <c r="E135" s="12">
        <f>IF($J$9="3ST","--",IF($J$9="4ST","--",(VLOOKUP($J$9,'Intersection Tables'!$P$9:$V$10,4,FALSE))))</f>
        <v>0.24</v>
      </c>
      <c r="F135" s="12">
        <f>IF($J$9="3ST","--",IF($J$9="4ST","--",(VLOOKUP($J$9,'Intersection Tables'!$P$9:$V$10,5,FALSE))))</f>
        <v>0.41</v>
      </c>
      <c r="G135" s="12">
        <f>IF($J$9="3ST","--",IF($J$9="4ST","--",(VLOOKUP($J$9,'Intersection Tables'!$P$9:$V$10,6,FALSE))))</f>
        <v>0.09</v>
      </c>
      <c r="H135" s="12">
        <f>IF($J$9="3ST","--",IF($J$9="4ST","--",(VLOOKUP($J$9,'Intersection Tables'!$P$9:$V$10,7,FALSE))))</f>
        <v>0.52</v>
      </c>
      <c r="I135" s="278">
        <f>IF($J$9="3ST","--",IF($J$9="4ST","--",EXP(+$C135+($D135*LN($J$10+J$11))+(E$135*LN($J$11/$J$10))+(F$135*LN($J$27))+(G$135*$J$28))))</f>
        <v>0.05727521278345038</v>
      </c>
      <c r="J135" s="279"/>
      <c r="K135" s="488">
        <f>+$K$125</f>
        <v>4.203360000000001</v>
      </c>
      <c r="L135" s="676"/>
      <c r="M135" s="12">
        <f>+$J$13</f>
        <v>0.73</v>
      </c>
      <c r="N135" s="128">
        <f>IF($J$9="3ST","--",IF($J$9="4ST","--",(I135*K135*M135)))</f>
        <v>0.17574628703597414</v>
      </c>
    </row>
    <row r="136" spans="1:14" ht="13.5" thickBot="1">
      <c r="A136" s="692" t="s">
        <v>36</v>
      </c>
      <c r="B136" s="693"/>
      <c r="C136" s="207" t="s">
        <v>14</v>
      </c>
      <c r="D136" s="207" t="s">
        <v>14</v>
      </c>
      <c r="E136" s="207" t="s">
        <v>14</v>
      </c>
      <c r="F136" s="207" t="s">
        <v>14</v>
      </c>
      <c r="G136" s="207" t="s">
        <v>14</v>
      </c>
      <c r="H136" s="207" t="s">
        <v>14</v>
      </c>
      <c r="I136" s="675" t="s">
        <v>14</v>
      </c>
      <c r="J136" s="289"/>
      <c r="K136" s="473" t="s">
        <v>14</v>
      </c>
      <c r="L136" s="474"/>
      <c r="M136" s="193">
        <f>+$J$13</f>
        <v>0.73</v>
      </c>
      <c r="N136" s="208">
        <f>N135</f>
        <v>0.17574628703597414</v>
      </c>
    </row>
    <row r="139" ht="13.5" thickBot="1"/>
    <row r="140" spans="1:14" ht="14.25" customHeight="1" thickBot="1" thickTop="1">
      <c r="A140" s="696" t="s">
        <v>706</v>
      </c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  <c r="M140" s="360"/>
      <c r="N140" s="360"/>
    </row>
    <row r="141" spans="1:14" ht="12.75">
      <c r="A141" s="280" t="s">
        <v>16</v>
      </c>
      <c r="B141" s="281"/>
      <c r="C141" s="281"/>
      <c r="D141" s="270" t="s">
        <v>17</v>
      </c>
      <c r="E141" s="270"/>
      <c r="F141" s="270" t="s">
        <v>18</v>
      </c>
      <c r="G141" s="270"/>
      <c r="H141" s="123" t="s">
        <v>19</v>
      </c>
      <c r="I141" s="270" t="s">
        <v>20</v>
      </c>
      <c r="J141" s="270"/>
      <c r="K141" s="270" t="s">
        <v>21</v>
      </c>
      <c r="L141" s="270"/>
      <c r="M141" s="270" t="s">
        <v>22</v>
      </c>
      <c r="N141" s="271"/>
    </row>
    <row r="142" spans="1:14" ht="12.75">
      <c r="A142" s="282" t="s">
        <v>32</v>
      </c>
      <c r="B142" s="283"/>
      <c r="C142" s="283"/>
      <c r="D142" s="485" t="s">
        <v>436</v>
      </c>
      <c r="E142" s="485"/>
      <c r="F142" s="485" t="s">
        <v>445</v>
      </c>
      <c r="G142" s="485"/>
      <c r="H142" s="272" t="s">
        <v>458</v>
      </c>
      <c r="I142" s="272" t="s">
        <v>476</v>
      </c>
      <c r="J142" s="272"/>
      <c r="K142" s="272" t="s">
        <v>461</v>
      </c>
      <c r="L142" s="272"/>
      <c r="M142" s="272" t="s">
        <v>710</v>
      </c>
      <c r="N142" s="484"/>
    </row>
    <row r="143" spans="1:14" ht="12.75">
      <c r="A143" s="284"/>
      <c r="B143" s="283"/>
      <c r="C143" s="283"/>
      <c r="D143" s="485"/>
      <c r="E143" s="485"/>
      <c r="F143" s="485"/>
      <c r="G143" s="485"/>
      <c r="H143" s="272"/>
      <c r="I143" s="272"/>
      <c r="J143" s="272"/>
      <c r="K143" s="272"/>
      <c r="L143" s="272"/>
      <c r="M143" s="272"/>
      <c r="N143" s="484"/>
    </row>
    <row r="144" spans="1:14" ht="12.75">
      <c r="A144" s="284"/>
      <c r="B144" s="283"/>
      <c r="C144" s="283"/>
      <c r="D144" s="312" t="s">
        <v>456</v>
      </c>
      <c r="E144" s="362"/>
      <c r="F144" s="312" t="s">
        <v>457</v>
      </c>
      <c r="G144" s="362"/>
      <c r="H144" s="312" t="s">
        <v>459</v>
      </c>
      <c r="I144" s="312" t="s">
        <v>697</v>
      </c>
      <c r="J144" s="295"/>
      <c r="K144" s="362"/>
      <c r="L144" s="362"/>
      <c r="M144" s="312" t="s">
        <v>340</v>
      </c>
      <c r="N144" s="349"/>
    </row>
    <row r="145" spans="1:14" ht="12.75">
      <c r="A145" s="284"/>
      <c r="B145" s="283"/>
      <c r="C145" s="283"/>
      <c r="D145" s="362"/>
      <c r="E145" s="362"/>
      <c r="F145" s="362"/>
      <c r="G145" s="362"/>
      <c r="H145" s="362"/>
      <c r="I145" s="274"/>
      <c r="J145" s="295"/>
      <c r="K145" s="362"/>
      <c r="L145" s="362"/>
      <c r="M145" s="362"/>
      <c r="N145" s="349"/>
    </row>
    <row r="146" spans="1:14" ht="12.75">
      <c r="A146" s="275" t="s">
        <v>35</v>
      </c>
      <c r="B146" s="276"/>
      <c r="C146" s="276"/>
      <c r="D146" s="278">
        <f>+$N$51</f>
        <v>1.324233392504521</v>
      </c>
      <c r="E146" s="315"/>
      <c r="F146" s="455">
        <f>+$N$83</f>
        <v>0.13954406058987423</v>
      </c>
      <c r="G146" s="455"/>
      <c r="H146" s="3">
        <f>+D146+F146</f>
        <v>1.4637774530943952</v>
      </c>
      <c r="I146" s="690">
        <f>IF(J9="3ST",0.016,IF(J9="3SG",0.011,IF(J9="4ST",0.018,0.015)))</f>
        <v>0.011</v>
      </c>
      <c r="J146" s="691"/>
      <c r="K146" s="488">
        <f>+$J$13</f>
        <v>0.73</v>
      </c>
      <c r="L146" s="315"/>
      <c r="M146" s="278">
        <f>+$H$146*$I$146*K146</f>
        <v>0.011754132948347993</v>
      </c>
      <c r="N146" s="486"/>
    </row>
    <row r="147" spans="1:14" ht="13.5" thickBot="1">
      <c r="A147" s="255" t="s">
        <v>140</v>
      </c>
      <c r="B147" s="256"/>
      <c r="C147" s="256"/>
      <c r="D147" s="473" t="s">
        <v>14</v>
      </c>
      <c r="E147" s="474"/>
      <c r="F147" s="473" t="s">
        <v>14</v>
      </c>
      <c r="G147" s="474"/>
      <c r="H147" s="195" t="s">
        <v>14</v>
      </c>
      <c r="I147" s="473" t="s">
        <v>14</v>
      </c>
      <c r="J147" s="474"/>
      <c r="K147" s="477">
        <f>+$J$13</f>
        <v>0.73</v>
      </c>
      <c r="L147" s="474"/>
      <c r="M147" s="288">
        <f>+$H$146*$I$146*K147</f>
        <v>0.011754132948347993</v>
      </c>
      <c r="N147" s="489"/>
    </row>
    <row r="150" ht="13.5" thickBot="1"/>
    <row r="151" spans="1:14" ht="14.25" thickBot="1" thickTop="1">
      <c r="A151" s="285" t="s">
        <v>477</v>
      </c>
      <c r="B151" s="323"/>
      <c r="C151" s="323"/>
      <c r="D151" s="323"/>
      <c r="E151" s="323"/>
      <c r="F151" s="323"/>
      <c r="G151" s="323"/>
      <c r="H151" s="323"/>
      <c r="I151" s="324"/>
      <c r="J151" s="324"/>
      <c r="K151" s="324"/>
      <c r="L151" s="324"/>
      <c r="M151" s="324"/>
      <c r="N151" s="324"/>
    </row>
    <row r="152" spans="1:14" ht="12.75">
      <c r="A152" s="464" t="s">
        <v>16</v>
      </c>
      <c r="B152" s="465"/>
      <c r="C152" s="465"/>
      <c r="D152" s="465"/>
      <c r="E152" s="465"/>
      <c r="F152" s="499" t="s">
        <v>17</v>
      </c>
      <c r="G152" s="499"/>
      <c r="H152" s="499"/>
      <c r="I152" s="499" t="s">
        <v>18</v>
      </c>
      <c r="J152" s="499"/>
      <c r="K152" s="499"/>
      <c r="L152" s="499" t="s">
        <v>19</v>
      </c>
      <c r="M152" s="499"/>
      <c r="N152" s="500"/>
    </row>
    <row r="153" spans="1:14" ht="12.75">
      <c r="A153" s="682" t="s">
        <v>52</v>
      </c>
      <c r="B153" s="683"/>
      <c r="C153" s="683"/>
      <c r="D153" s="683"/>
      <c r="E153" s="684"/>
      <c r="F153" s="508" t="s">
        <v>140</v>
      </c>
      <c r="G153" s="508"/>
      <c r="H153" s="508"/>
      <c r="I153" s="508" t="s">
        <v>141</v>
      </c>
      <c r="J153" s="508"/>
      <c r="K153" s="508"/>
      <c r="L153" s="508" t="s">
        <v>35</v>
      </c>
      <c r="M153" s="508"/>
      <c r="N153" s="509"/>
    </row>
    <row r="154" spans="1:14" ht="12.75">
      <c r="A154" s="685"/>
      <c r="B154" s="685"/>
      <c r="C154" s="685"/>
      <c r="D154" s="685"/>
      <c r="E154" s="458"/>
      <c r="F154" s="502" t="s">
        <v>478</v>
      </c>
      <c r="G154" s="502"/>
      <c r="H154" s="502"/>
      <c r="I154" s="502" t="s">
        <v>480</v>
      </c>
      <c r="J154" s="502"/>
      <c r="K154" s="502"/>
      <c r="L154" s="502" t="s">
        <v>481</v>
      </c>
      <c r="M154" s="502"/>
      <c r="N154" s="505"/>
    </row>
    <row r="155" spans="1:14" ht="12.75">
      <c r="A155" s="686"/>
      <c r="B155" s="686"/>
      <c r="C155" s="686"/>
      <c r="D155" s="686"/>
      <c r="E155" s="460"/>
      <c r="F155" s="506" t="s">
        <v>479</v>
      </c>
      <c r="G155" s="506"/>
      <c r="H155" s="506"/>
      <c r="I155" s="687"/>
      <c r="J155" s="688"/>
      <c r="K155" s="689"/>
      <c r="L155" s="506" t="s">
        <v>479</v>
      </c>
      <c r="M155" s="506"/>
      <c r="N155" s="507"/>
    </row>
    <row r="156" spans="1:14" ht="12.75">
      <c r="A156" s="510" t="s">
        <v>358</v>
      </c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511"/>
    </row>
    <row r="157" spans="1:14" ht="12.75">
      <c r="A157" s="275" t="s">
        <v>482</v>
      </c>
      <c r="B157" s="512"/>
      <c r="C157" s="512"/>
      <c r="D157" s="512"/>
      <c r="E157" s="512"/>
      <c r="F157" s="455">
        <f>+F68</f>
        <v>0.2586884733091045</v>
      </c>
      <c r="G157" s="274"/>
      <c r="H157" s="274"/>
      <c r="I157" s="455">
        <f>+J68</f>
        <v>0.4654559551759732</v>
      </c>
      <c r="J157" s="274"/>
      <c r="K157" s="274"/>
      <c r="L157" s="455">
        <f>+L68</f>
        <v>0.7241444284850778</v>
      </c>
      <c r="M157" s="274"/>
      <c r="N157" s="297"/>
    </row>
    <row r="158" spans="1:14" ht="12.75">
      <c r="A158" s="275" t="s">
        <v>483</v>
      </c>
      <c r="B158" s="512"/>
      <c r="C158" s="512"/>
      <c r="D158" s="512"/>
      <c r="E158" s="512"/>
      <c r="F158" s="455">
        <f>+F69</f>
        <v>0.0022300730457681423</v>
      </c>
      <c r="G158" s="274"/>
      <c r="H158" s="274"/>
      <c r="I158" s="455">
        <f>+J69</f>
        <v>0</v>
      </c>
      <c r="J158" s="274"/>
      <c r="K158" s="274"/>
      <c r="L158" s="455">
        <f>+L69</f>
        <v>0.0022300730457681423</v>
      </c>
      <c r="M158" s="274"/>
      <c r="N158" s="297"/>
    </row>
    <row r="159" spans="1:14" ht="12.75">
      <c r="A159" s="275" t="s">
        <v>484</v>
      </c>
      <c r="B159" s="512"/>
      <c r="C159" s="512"/>
      <c r="D159" s="512"/>
      <c r="E159" s="512"/>
      <c r="F159" s="455">
        <f>+F70</f>
        <v>0.026760876549217705</v>
      </c>
      <c r="G159" s="274"/>
      <c r="H159" s="274"/>
      <c r="I159" s="455">
        <f>+J70</f>
        <v>0.048302033084299104</v>
      </c>
      <c r="J159" s="274"/>
      <c r="K159" s="274"/>
      <c r="L159" s="455">
        <f>+L70</f>
        <v>0.0750629096335168</v>
      </c>
      <c r="M159" s="274"/>
      <c r="N159" s="297"/>
    </row>
    <row r="160" spans="1:14" ht="12.75">
      <c r="A160" s="513" t="s">
        <v>485</v>
      </c>
      <c r="B160" s="514"/>
      <c r="C160" s="514"/>
      <c r="D160" s="514"/>
      <c r="E160" s="514"/>
      <c r="F160" s="455">
        <f>+F71</f>
        <v>0.004906160700689913</v>
      </c>
      <c r="G160" s="274"/>
      <c r="H160" s="274"/>
      <c r="I160" s="455">
        <f>+J71</f>
        <v>0.011416844183561606</v>
      </c>
      <c r="J160" s="274"/>
      <c r="K160" s="274"/>
      <c r="L160" s="455">
        <f>+L71</f>
        <v>0.016323004884251518</v>
      </c>
      <c r="M160" s="274"/>
      <c r="N160" s="297"/>
    </row>
    <row r="161" spans="1:14" ht="12.75">
      <c r="A161" s="513" t="s">
        <v>486</v>
      </c>
      <c r="B161" s="514"/>
      <c r="C161" s="514"/>
      <c r="D161" s="514"/>
      <c r="E161" s="514"/>
      <c r="F161" s="455">
        <f>+F72</f>
        <v>0.15298301093969457</v>
      </c>
      <c r="G161" s="274"/>
      <c r="H161" s="274"/>
      <c r="I161" s="455">
        <f>+J72</f>
        <v>0.3530439509070589</v>
      </c>
      <c r="J161" s="274"/>
      <c r="K161" s="274"/>
      <c r="L161" s="455">
        <f>+L72</f>
        <v>0.5060269618467534</v>
      </c>
      <c r="M161" s="274"/>
      <c r="N161" s="297"/>
    </row>
    <row r="162" spans="1:14" ht="13.5" thickBot="1">
      <c r="A162" s="515" t="s">
        <v>367</v>
      </c>
      <c r="B162" s="516"/>
      <c r="C162" s="516"/>
      <c r="D162" s="516"/>
      <c r="E162" s="516"/>
      <c r="F162" s="517">
        <f>SUM(F157:H161)</f>
        <v>0.44556859454447484</v>
      </c>
      <c r="G162" s="453"/>
      <c r="H162" s="453"/>
      <c r="I162" s="517">
        <f>SUM(I157:K161)</f>
        <v>0.8782187833508928</v>
      </c>
      <c r="J162" s="453"/>
      <c r="K162" s="453"/>
      <c r="L162" s="517">
        <f>SUM(L157:N161)</f>
        <v>1.3237873778953677</v>
      </c>
      <c r="M162" s="453"/>
      <c r="N162" s="531"/>
    </row>
    <row r="163" spans="1:14" ht="12.75">
      <c r="A163" s="518" t="s">
        <v>359</v>
      </c>
      <c r="B163" s="519"/>
      <c r="C163" s="519"/>
      <c r="D163" s="519"/>
      <c r="E163" s="519"/>
      <c r="F163" s="519"/>
      <c r="G163" s="519"/>
      <c r="H163" s="519"/>
      <c r="I163" s="519"/>
      <c r="J163" s="519"/>
      <c r="K163" s="519"/>
      <c r="L163" s="519"/>
      <c r="M163" s="519"/>
      <c r="N163" s="520"/>
    </row>
    <row r="164" spans="1:14" ht="12.75">
      <c r="A164" s="513" t="s">
        <v>487</v>
      </c>
      <c r="B164" s="514"/>
      <c r="C164" s="514"/>
      <c r="D164" s="514"/>
      <c r="E164" s="514"/>
      <c r="F164" s="455">
        <f aca="true" t="shared" si="3" ref="F164:F169">+F100</f>
        <v>0</v>
      </c>
      <c r="G164" s="274"/>
      <c r="H164" s="274"/>
      <c r="I164" s="455">
        <f aca="true" t="shared" si="4" ref="I164:I169">+J100</f>
        <v>0</v>
      </c>
      <c r="J164" s="274"/>
      <c r="K164" s="274"/>
      <c r="L164" s="455">
        <f aca="true" t="shared" si="5" ref="L164:L169">+L100</f>
        <v>0</v>
      </c>
      <c r="M164" s="274"/>
      <c r="N164" s="297"/>
    </row>
    <row r="165" spans="1:14" ht="12.75">
      <c r="A165" s="513" t="s">
        <v>488</v>
      </c>
      <c r="B165" s="514"/>
      <c r="C165" s="514"/>
      <c r="D165" s="514"/>
      <c r="E165" s="514"/>
      <c r="F165" s="455">
        <f t="shared" si="3"/>
        <v>0</v>
      </c>
      <c r="G165" s="274"/>
      <c r="H165" s="274"/>
      <c r="I165" s="455">
        <f t="shared" si="4"/>
        <v>0</v>
      </c>
      <c r="J165" s="274"/>
      <c r="K165" s="274"/>
      <c r="L165" s="455">
        <f t="shared" si="5"/>
        <v>0</v>
      </c>
      <c r="M165" s="274"/>
      <c r="N165" s="297"/>
    </row>
    <row r="166" spans="1:14" ht="12.75">
      <c r="A166" s="513" t="s">
        <v>489</v>
      </c>
      <c r="B166" s="514"/>
      <c r="C166" s="514"/>
      <c r="D166" s="514"/>
      <c r="E166" s="514"/>
      <c r="F166" s="455">
        <f t="shared" si="3"/>
        <v>0.005106710535615603</v>
      </c>
      <c r="G166" s="274"/>
      <c r="H166" s="274"/>
      <c r="I166" s="455">
        <f t="shared" si="4"/>
        <v>0.08324564676689078</v>
      </c>
      <c r="J166" s="274"/>
      <c r="K166" s="274"/>
      <c r="L166" s="455">
        <f t="shared" si="5"/>
        <v>0.08835235730250639</v>
      </c>
      <c r="M166" s="274"/>
      <c r="N166" s="297"/>
    </row>
    <row r="167" spans="1:14" ht="12.75">
      <c r="A167" s="513" t="s">
        <v>490</v>
      </c>
      <c r="B167" s="514"/>
      <c r="C167" s="514"/>
      <c r="D167" s="514"/>
      <c r="E167" s="514"/>
      <c r="F167" s="455">
        <f t="shared" si="3"/>
        <v>0</v>
      </c>
      <c r="G167" s="274"/>
      <c r="H167" s="274"/>
      <c r="I167" s="455">
        <f t="shared" si="4"/>
        <v>0.011892235252412968</v>
      </c>
      <c r="J167" s="274"/>
      <c r="K167" s="274"/>
      <c r="L167" s="455">
        <f t="shared" si="5"/>
        <v>0.011892235252412968</v>
      </c>
      <c r="M167" s="274"/>
      <c r="N167" s="297"/>
    </row>
    <row r="168" spans="1:14" ht="12.75">
      <c r="A168" s="513" t="s">
        <v>491</v>
      </c>
      <c r="B168" s="514"/>
      <c r="C168" s="514"/>
      <c r="D168" s="514"/>
      <c r="E168" s="514"/>
      <c r="F168" s="455">
        <f t="shared" si="3"/>
        <v>0.03414835132076868</v>
      </c>
      <c r="G168" s="274"/>
      <c r="H168" s="274"/>
      <c r="I168" s="455">
        <f t="shared" si="4"/>
        <v>0</v>
      </c>
      <c r="J168" s="274"/>
      <c r="K168" s="274"/>
      <c r="L168" s="455">
        <f t="shared" si="5"/>
        <v>0.03414835132076868</v>
      </c>
      <c r="M168" s="274"/>
      <c r="N168" s="297"/>
    </row>
    <row r="169" spans="1:14" ht="12.75">
      <c r="A169" s="513" t="s">
        <v>492</v>
      </c>
      <c r="B169" s="514"/>
      <c r="C169" s="514"/>
      <c r="D169" s="514"/>
      <c r="E169" s="514"/>
      <c r="F169" s="455">
        <f t="shared" si="3"/>
        <v>0.005106710535615603</v>
      </c>
      <c r="G169" s="274"/>
      <c r="H169" s="274"/>
      <c r="I169" s="455">
        <f t="shared" si="4"/>
        <v>0</v>
      </c>
      <c r="J169" s="274"/>
      <c r="K169" s="274"/>
      <c r="L169" s="455">
        <f t="shared" si="5"/>
        <v>0.005106710535615603</v>
      </c>
      <c r="M169" s="274"/>
      <c r="N169" s="297"/>
    </row>
    <row r="170" spans="1:14" ht="12.75">
      <c r="A170" s="513" t="s">
        <v>493</v>
      </c>
      <c r="B170" s="514"/>
      <c r="C170" s="514"/>
      <c r="D170" s="514"/>
      <c r="E170" s="514"/>
      <c r="F170" s="455">
        <f>IF(J9="3ST",M116,IF(J9="4ST",M116,N136))</f>
        <v>0.17574628703597414</v>
      </c>
      <c r="G170" s="274"/>
      <c r="H170" s="274"/>
      <c r="I170" s="455">
        <v>0</v>
      </c>
      <c r="J170" s="455"/>
      <c r="K170" s="455"/>
      <c r="L170" s="455">
        <f>+F170+I170</f>
        <v>0.17574628703597414</v>
      </c>
      <c r="M170" s="274"/>
      <c r="N170" s="297"/>
    </row>
    <row r="171" spans="1:14" ht="12.75">
      <c r="A171" s="513" t="s">
        <v>494</v>
      </c>
      <c r="B171" s="514"/>
      <c r="C171" s="514"/>
      <c r="D171" s="514"/>
      <c r="E171" s="514"/>
      <c r="F171" s="455">
        <f>+M147</f>
        <v>0.011754132948347993</v>
      </c>
      <c r="G171" s="274"/>
      <c r="H171" s="274"/>
      <c r="I171" s="455">
        <v>0</v>
      </c>
      <c r="J171" s="455"/>
      <c r="K171" s="455"/>
      <c r="L171" s="455">
        <f>+F171+I171</f>
        <v>0.011754132948347993</v>
      </c>
      <c r="M171" s="274"/>
      <c r="N171" s="297"/>
    </row>
    <row r="172" spans="1:14" ht="13.5" thickBot="1">
      <c r="A172" s="515" t="s">
        <v>367</v>
      </c>
      <c r="B172" s="516"/>
      <c r="C172" s="516"/>
      <c r="D172" s="516"/>
      <c r="E172" s="516"/>
      <c r="F172" s="517">
        <f>SUM(F164:H171)</f>
        <v>0.231862192376322</v>
      </c>
      <c r="G172" s="453"/>
      <c r="H172" s="453"/>
      <c r="I172" s="517">
        <f>SUM(I164:K171)</f>
        <v>0.09513788201930375</v>
      </c>
      <c r="J172" s="453"/>
      <c r="K172" s="453"/>
      <c r="L172" s="517">
        <f>SUM(L164:N171)</f>
        <v>0.3270000743956258</v>
      </c>
      <c r="M172" s="453"/>
      <c r="N172" s="531"/>
    </row>
    <row r="173" spans="1:14" ht="13.5" thickBot="1">
      <c r="A173" s="529" t="s">
        <v>35</v>
      </c>
      <c r="B173" s="530"/>
      <c r="C173" s="530"/>
      <c r="D173" s="530"/>
      <c r="E173" s="530"/>
      <c r="F173" s="521">
        <f>+F162+F172</f>
        <v>0.6774307869207968</v>
      </c>
      <c r="G173" s="522"/>
      <c r="H173" s="522"/>
      <c r="I173" s="521">
        <f>+I162+I172</f>
        <v>0.9733566653701965</v>
      </c>
      <c r="J173" s="522"/>
      <c r="K173" s="522"/>
      <c r="L173" s="521">
        <f>+L162+L172</f>
        <v>1.6507874522909936</v>
      </c>
      <c r="M173" s="522"/>
      <c r="N173" s="532"/>
    </row>
    <row r="176" ht="13.5" thickBot="1"/>
    <row r="177" spans="5:11" ht="14.25" thickBot="1" thickTop="1">
      <c r="E177" s="681" t="s">
        <v>495</v>
      </c>
      <c r="F177" s="681"/>
      <c r="G177" s="681"/>
      <c r="H177" s="681"/>
      <c r="I177" s="681"/>
      <c r="J177" s="681"/>
      <c r="K177" s="681"/>
    </row>
    <row r="178" spans="5:11" ht="12.75">
      <c r="E178" s="361" t="s">
        <v>16</v>
      </c>
      <c r="F178" s="270"/>
      <c r="G178" s="270"/>
      <c r="H178" s="270" t="s">
        <v>17</v>
      </c>
      <c r="I178" s="270"/>
      <c r="J178" s="270"/>
      <c r="K178" s="271"/>
    </row>
    <row r="179" spans="5:11" ht="12.75">
      <c r="E179" s="282" t="s">
        <v>43</v>
      </c>
      <c r="F179" s="283"/>
      <c r="G179" s="283"/>
      <c r="H179" s="272" t="s">
        <v>496</v>
      </c>
      <c r="I179" s="272"/>
      <c r="J179" s="272"/>
      <c r="K179" s="484"/>
    </row>
    <row r="180" spans="5:11" ht="12.75">
      <c r="E180" s="284"/>
      <c r="F180" s="283"/>
      <c r="G180" s="283"/>
      <c r="H180" s="272"/>
      <c r="I180" s="272"/>
      <c r="J180" s="272"/>
      <c r="K180" s="484"/>
    </row>
    <row r="181" spans="5:11" ht="12.75">
      <c r="E181" s="284"/>
      <c r="F181" s="283"/>
      <c r="G181" s="283"/>
      <c r="H181" s="362"/>
      <c r="I181" s="362"/>
      <c r="J181" s="362"/>
      <c r="K181" s="349"/>
    </row>
    <row r="182" spans="5:11" ht="12.75">
      <c r="E182" s="284"/>
      <c r="F182" s="283"/>
      <c r="G182" s="283"/>
      <c r="H182" s="273" t="s">
        <v>497</v>
      </c>
      <c r="I182" s="273"/>
      <c r="J182" s="273"/>
      <c r="K182" s="377"/>
    </row>
    <row r="183" spans="5:11" ht="12.75">
      <c r="E183" s="275" t="s">
        <v>35</v>
      </c>
      <c r="F183" s="276"/>
      <c r="G183" s="276"/>
      <c r="H183" s="257">
        <f>+L173</f>
        <v>1.6507874522909936</v>
      </c>
      <c r="I183" s="257"/>
      <c r="J183" s="257"/>
      <c r="K183" s="268"/>
    </row>
    <row r="184" spans="5:11" ht="12.75">
      <c r="E184" s="275" t="s">
        <v>140</v>
      </c>
      <c r="F184" s="276"/>
      <c r="G184" s="276"/>
      <c r="H184" s="257">
        <f>+F173</f>
        <v>0.6774307869207968</v>
      </c>
      <c r="I184" s="257"/>
      <c r="J184" s="257"/>
      <c r="K184" s="268"/>
    </row>
    <row r="185" spans="5:11" ht="13.5" thickBot="1">
      <c r="E185" s="255" t="s">
        <v>141</v>
      </c>
      <c r="F185" s="256"/>
      <c r="G185" s="256"/>
      <c r="H185" s="258">
        <f>+I173</f>
        <v>0.9733566653701965</v>
      </c>
      <c r="I185" s="258"/>
      <c r="J185" s="258"/>
      <c r="K185" s="269"/>
    </row>
  </sheetData>
  <sheetProtection/>
  <mergeCells count="548">
    <mergeCell ref="A2:N2"/>
    <mergeCell ref="A3:G3"/>
    <mergeCell ref="H3:N3"/>
    <mergeCell ref="K7:N7"/>
    <mergeCell ref="A4:C4"/>
    <mergeCell ref="E4:G4"/>
    <mergeCell ref="H4:J4"/>
    <mergeCell ref="K4:N4"/>
    <mergeCell ref="A5:C5"/>
    <mergeCell ref="E5:G5"/>
    <mergeCell ref="H5:J5"/>
    <mergeCell ref="K5:N5"/>
    <mergeCell ref="A8:G8"/>
    <mergeCell ref="H8:I8"/>
    <mergeCell ref="J8:N8"/>
    <mergeCell ref="A6:C6"/>
    <mergeCell ref="E6:G6"/>
    <mergeCell ref="H6:J6"/>
    <mergeCell ref="K6:N6"/>
    <mergeCell ref="A7:C7"/>
    <mergeCell ref="E7:G7"/>
    <mergeCell ref="H7:J7"/>
    <mergeCell ref="A9:G9"/>
    <mergeCell ref="H9:I9"/>
    <mergeCell ref="J9:N9"/>
    <mergeCell ref="H10:I10"/>
    <mergeCell ref="J10:N10"/>
    <mergeCell ref="A10:D10"/>
    <mergeCell ref="A13:G13"/>
    <mergeCell ref="H13:I13"/>
    <mergeCell ref="J13:N13"/>
    <mergeCell ref="H11:I11"/>
    <mergeCell ref="J11:N11"/>
    <mergeCell ref="A12:G12"/>
    <mergeCell ref="H12:I12"/>
    <mergeCell ref="J12:N12"/>
    <mergeCell ref="A11:D11"/>
    <mergeCell ref="A14:G14"/>
    <mergeCell ref="H14:I14"/>
    <mergeCell ref="J14:N14"/>
    <mergeCell ref="A15:G15"/>
    <mergeCell ref="H15:I15"/>
    <mergeCell ref="J15:N15"/>
    <mergeCell ref="A16:G16"/>
    <mergeCell ref="H16:I16"/>
    <mergeCell ref="J16:N16"/>
    <mergeCell ref="A17:G17"/>
    <mergeCell ref="H17:I17"/>
    <mergeCell ref="J17:N17"/>
    <mergeCell ref="A18:G18"/>
    <mergeCell ref="H18:I18"/>
    <mergeCell ref="J18:N18"/>
    <mergeCell ref="A19:G19"/>
    <mergeCell ref="H19:I19"/>
    <mergeCell ref="J19:N19"/>
    <mergeCell ref="H22:I22"/>
    <mergeCell ref="J22:N22"/>
    <mergeCell ref="A20:G20"/>
    <mergeCell ref="H20:I20"/>
    <mergeCell ref="J20:N20"/>
    <mergeCell ref="A21:G21"/>
    <mergeCell ref="H21:I21"/>
    <mergeCell ref="J21:N21"/>
    <mergeCell ref="A22:G22"/>
    <mergeCell ref="A25:G25"/>
    <mergeCell ref="H25:I25"/>
    <mergeCell ref="J25:N25"/>
    <mergeCell ref="A23:G23"/>
    <mergeCell ref="H23:I23"/>
    <mergeCell ref="J23:N23"/>
    <mergeCell ref="A24:G24"/>
    <mergeCell ref="H24:I24"/>
    <mergeCell ref="J24:N24"/>
    <mergeCell ref="A26:G26"/>
    <mergeCell ref="H26:I26"/>
    <mergeCell ref="J26:N26"/>
    <mergeCell ref="A27:G27"/>
    <mergeCell ref="H27:I27"/>
    <mergeCell ref="J27:N27"/>
    <mergeCell ref="A28:G28"/>
    <mergeCell ref="H28:I28"/>
    <mergeCell ref="J28:N28"/>
    <mergeCell ref="A29:G29"/>
    <mergeCell ref="H29:I29"/>
    <mergeCell ref="J29:N29"/>
    <mergeCell ref="M36:N36"/>
    <mergeCell ref="A35:N35"/>
    <mergeCell ref="A30:G30"/>
    <mergeCell ref="H30:I30"/>
    <mergeCell ref="J30:N30"/>
    <mergeCell ref="A31:G31"/>
    <mergeCell ref="H31:I31"/>
    <mergeCell ref="J31:N31"/>
    <mergeCell ref="A36:B36"/>
    <mergeCell ref="C36:D36"/>
    <mergeCell ref="E36:F36"/>
    <mergeCell ref="G36:H36"/>
    <mergeCell ref="I36:J36"/>
    <mergeCell ref="K36:L36"/>
    <mergeCell ref="A37:B38"/>
    <mergeCell ref="C37:D38"/>
    <mergeCell ref="E37:F38"/>
    <mergeCell ref="G37:H38"/>
    <mergeCell ref="I37:J38"/>
    <mergeCell ref="K37:L38"/>
    <mergeCell ref="K40:L40"/>
    <mergeCell ref="M40:N40"/>
    <mergeCell ref="M37:N38"/>
    <mergeCell ref="A39:B39"/>
    <mergeCell ref="C39:D39"/>
    <mergeCell ref="E39:F39"/>
    <mergeCell ref="G39:H39"/>
    <mergeCell ref="I39:J39"/>
    <mergeCell ref="K39:L39"/>
    <mergeCell ref="M39:N39"/>
    <mergeCell ref="I41:J41"/>
    <mergeCell ref="A40:B40"/>
    <mergeCell ref="C40:D40"/>
    <mergeCell ref="E40:F40"/>
    <mergeCell ref="G40:H40"/>
    <mergeCell ref="I40:J40"/>
    <mergeCell ref="M41:N41"/>
    <mergeCell ref="K41:L41"/>
    <mergeCell ref="K49:K50"/>
    <mergeCell ref="L49:L50"/>
    <mergeCell ref="N49:N50"/>
    <mergeCell ref="A43:B43"/>
    <mergeCell ref="A41:B41"/>
    <mergeCell ref="C41:D41"/>
    <mergeCell ref="E41:F41"/>
    <mergeCell ref="G41:H41"/>
    <mergeCell ref="K47:K48"/>
    <mergeCell ref="A45:N45"/>
    <mergeCell ref="A46:B46"/>
    <mergeCell ref="C46:E46"/>
    <mergeCell ref="F46:G46"/>
    <mergeCell ref="I46:J46"/>
    <mergeCell ref="L47:L48"/>
    <mergeCell ref="M47:M50"/>
    <mergeCell ref="N47:N48"/>
    <mergeCell ref="C49:E49"/>
    <mergeCell ref="A51:B51"/>
    <mergeCell ref="F51:G51"/>
    <mergeCell ref="I51:J51"/>
    <mergeCell ref="A47:B50"/>
    <mergeCell ref="C47:E48"/>
    <mergeCell ref="F47:G48"/>
    <mergeCell ref="H47:H48"/>
    <mergeCell ref="H49:H50"/>
    <mergeCell ref="I47:J50"/>
    <mergeCell ref="F49:G50"/>
    <mergeCell ref="A52:B53"/>
    <mergeCell ref="C52:C53"/>
    <mergeCell ref="D52:D53"/>
    <mergeCell ref="E52:E53"/>
    <mergeCell ref="F52:G53"/>
    <mergeCell ref="H52:H53"/>
    <mergeCell ref="I52:J52"/>
    <mergeCell ref="K52:K53"/>
    <mergeCell ref="L52:L53"/>
    <mergeCell ref="M52:M53"/>
    <mergeCell ref="N52:N53"/>
    <mergeCell ref="I53:J53"/>
    <mergeCell ref="A54:B55"/>
    <mergeCell ref="C54:C55"/>
    <mergeCell ref="D54:D55"/>
    <mergeCell ref="E54:E55"/>
    <mergeCell ref="F54:G55"/>
    <mergeCell ref="H54:H55"/>
    <mergeCell ref="I54:J54"/>
    <mergeCell ref="K54:K55"/>
    <mergeCell ref="L54:L55"/>
    <mergeCell ref="M54:M55"/>
    <mergeCell ref="N54:N55"/>
    <mergeCell ref="I55:J55"/>
    <mergeCell ref="L61:N63"/>
    <mergeCell ref="A59:N59"/>
    <mergeCell ref="A60:C60"/>
    <mergeCell ref="D60:E60"/>
    <mergeCell ref="F60:G60"/>
    <mergeCell ref="H60:I60"/>
    <mergeCell ref="J60:K60"/>
    <mergeCell ref="L60:N60"/>
    <mergeCell ref="D64:E65"/>
    <mergeCell ref="F64:G65"/>
    <mergeCell ref="H64:I65"/>
    <mergeCell ref="J64:K65"/>
    <mergeCell ref="L64:N65"/>
    <mergeCell ref="A61:C65"/>
    <mergeCell ref="D61:E63"/>
    <mergeCell ref="F61:G63"/>
    <mergeCell ref="H61:I63"/>
    <mergeCell ref="J61:K63"/>
    <mergeCell ref="A68:C68"/>
    <mergeCell ref="A66:C66"/>
    <mergeCell ref="D66:E66"/>
    <mergeCell ref="F66:G66"/>
    <mergeCell ref="H66:I66"/>
    <mergeCell ref="J66:K66"/>
    <mergeCell ref="A67:C67"/>
    <mergeCell ref="D67:E67"/>
    <mergeCell ref="F67:G67"/>
    <mergeCell ref="H67:I67"/>
    <mergeCell ref="J69:K69"/>
    <mergeCell ref="L69:N69"/>
    <mergeCell ref="L66:N66"/>
    <mergeCell ref="J67:K67"/>
    <mergeCell ref="L67:N67"/>
    <mergeCell ref="F68:G68"/>
    <mergeCell ref="H68:I68"/>
    <mergeCell ref="J68:K68"/>
    <mergeCell ref="L68:N68"/>
    <mergeCell ref="D68:E68"/>
    <mergeCell ref="A70:C70"/>
    <mergeCell ref="D70:E70"/>
    <mergeCell ref="F70:G70"/>
    <mergeCell ref="H70:I70"/>
    <mergeCell ref="J70:K70"/>
    <mergeCell ref="A69:C69"/>
    <mergeCell ref="D69:E69"/>
    <mergeCell ref="F69:G69"/>
    <mergeCell ref="H69:I69"/>
    <mergeCell ref="A76:N76"/>
    <mergeCell ref="L72:N72"/>
    <mergeCell ref="L70:N70"/>
    <mergeCell ref="A71:C71"/>
    <mergeCell ref="D71:E71"/>
    <mergeCell ref="F71:G71"/>
    <mergeCell ref="H71:I71"/>
    <mergeCell ref="J71:K71"/>
    <mergeCell ref="L71:N71"/>
    <mergeCell ref="E81:E82"/>
    <mergeCell ref="A77:B77"/>
    <mergeCell ref="C77:E77"/>
    <mergeCell ref="F77:G77"/>
    <mergeCell ref="I77:J77"/>
    <mergeCell ref="D72:E72"/>
    <mergeCell ref="F72:G72"/>
    <mergeCell ref="H72:I72"/>
    <mergeCell ref="J72:K72"/>
    <mergeCell ref="A72:C72"/>
    <mergeCell ref="N78:N79"/>
    <mergeCell ref="C80:E80"/>
    <mergeCell ref="F80:G82"/>
    <mergeCell ref="H80:H82"/>
    <mergeCell ref="K80:K81"/>
    <mergeCell ref="L80:L81"/>
    <mergeCell ref="N80:N81"/>
    <mergeCell ref="C78:E79"/>
    <mergeCell ref="F78:G79"/>
    <mergeCell ref="H78:H79"/>
    <mergeCell ref="A83:B83"/>
    <mergeCell ref="F83:G83"/>
    <mergeCell ref="I83:J83"/>
    <mergeCell ref="A78:B82"/>
    <mergeCell ref="L78:L79"/>
    <mergeCell ref="M78:M81"/>
    <mergeCell ref="I78:J81"/>
    <mergeCell ref="K78:K79"/>
    <mergeCell ref="C81:C82"/>
    <mergeCell ref="D81:D82"/>
    <mergeCell ref="A84:B85"/>
    <mergeCell ref="C84:C85"/>
    <mergeCell ref="D84:D85"/>
    <mergeCell ref="E84:E85"/>
    <mergeCell ref="F84:G85"/>
    <mergeCell ref="H84:H85"/>
    <mergeCell ref="I85:J85"/>
    <mergeCell ref="I84:J84"/>
    <mergeCell ref="K84:K85"/>
    <mergeCell ref="L84:L85"/>
    <mergeCell ref="M84:M85"/>
    <mergeCell ref="N84:N85"/>
    <mergeCell ref="A86:B87"/>
    <mergeCell ref="C86:C87"/>
    <mergeCell ref="D86:D87"/>
    <mergeCell ref="E86:E87"/>
    <mergeCell ref="F86:G87"/>
    <mergeCell ref="H86:H87"/>
    <mergeCell ref="L92:N92"/>
    <mergeCell ref="I87:J87"/>
    <mergeCell ref="I86:J86"/>
    <mergeCell ref="K86:K87"/>
    <mergeCell ref="L86:L87"/>
    <mergeCell ref="M86:M87"/>
    <mergeCell ref="N86:N87"/>
    <mergeCell ref="F96:G97"/>
    <mergeCell ref="H96:I97"/>
    <mergeCell ref="J96:K97"/>
    <mergeCell ref="L96:N97"/>
    <mergeCell ref="A91:N91"/>
    <mergeCell ref="A92:C92"/>
    <mergeCell ref="D92:E92"/>
    <mergeCell ref="F92:G92"/>
    <mergeCell ref="H92:I92"/>
    <mergeCell ref="J92:K92"/>
    <mergeCell ref="H98:I98"/>
    <mergeCell ref="J98:K98"/>
    <mergeCell ref="L98:N98"/>
    <mergeCell ref="H93:I95"/>
    <mergeCell ref="J93:K95"/>
    <mergeCell ref="L93:N95"/>
    <mergeCell ref="A93:C97"/>
    <mergeCell ref="D93:E95"/>
    <mergeCell ref="F93:G95"/>
    <mergeCell ref="A99:C99"/>
    <mergeCell ref="D99:E99"/>
    <mergeCell ref="F99:G99"/>
    <mergeCell ref="A98:C98"/>
    <mergeCell ref="D98:E98"/>
    <mergeCell ref="F98:G98"/>
    <mergeCell ref="D96:E97"/>
    <mergeCell ref="H99:I99"/>
    <mergeCell ref="J99:K99"/>
    <mergeCell ref="L99:N99"/>
    <mergeCell ref="A100:C100"/>
    <mergeCell ref="D100:E100"/>
    <mergeCell ref="F100:G100"/>
    <mergeCell ref="H100:I100"/>
    <mergeCell ref="J100:K100"/>
    <mergeCell ref="L100:N100"/>
    <mergeCell ref="A101:C101"/>
    <mergeCell ref="D101:E101"/>
    <mergeCell ref="F101:G101"/>
    <mergeCell ref="H101:I101"/>
    <mergeCell ref="J101:K101"/>
    <mergeCell ref="L101:N101"/>
    <mergeCell ref="A102:C102"/>
    <mergeCell ref="D102:E102"/>
    <mergeCell ref="F102:G102"/>
    <mergeCell ref="H102:I102"/>
    <mergeCell ref="J102:K102"/>
    <mergeCell ref="L102:N102"/>
    <mergeCell ref="A103:C103"/>
    <mergeCell ref="D103:E103"/>
    <mergeCell ref="F103:G103"/>
    <mergeCell ref="H103:I103"/>
    <mergeCell ref="J103:K103"/>
    <mergeCell ref="L103:N103"/>
    <mergeCell ref="A104:C104"/>
    <mergeCell ref="D104:E104"/>
    <mergeCell ref="F104:G104"/>
    <mergeCell ref="H104:I104"/>
    <mergeCell ref="J104:K104"/>
    <mergeCell ref="L104:N104"/>
    <mergeCell ref="A105:C105"/>
    <mergeCell ref="D105:E105"/>
    <mergeCell ref="F105:G105"/>
    <mergeCell ref="H105:I105"/>
    <mergeCell ref="J105:K105"/>
    <mergeCell ref="L105:N105"/>
    <mergeCell ref="A109:N109"/>
    <mergeCell ref="A110:C110"/>
    <mergeCell ref="D110:E110"/>
    <mergeCell ref="F110:G110"/>
    <mergeCell ref="I110:J110"/>
    <mergeCell ref="K110:L110"/>
    <mergeCell ref="M110:N110"/>
    <mergeCell ref="A111:C114"/>
    <mergeCell ref="D111:E112"/>
    <mergeCell ref="F111:G112"/>
    <mergeCell ref="H111:H112"/>
    <mergeCell ref="I111:J112"/>
    <mergeCell ref="K111:L114"/>
    <mergeCell ref="M111:N112"/>
    <mergeCell ref="D113:E114"/>
    <mergeCell ref="F113:G114"/>
    <mergeCell ref="H113:H114"/>
    <mergeCell ref="I113:J114"/>
    <mergeCell ref="M113:N114"/>
    <mergeCell ref="A115:C115"/>
    <mergeCell ref="D115:E115"/>
    <mergeCell ref="F115:G115"/>
    <mergeCell ref="I115:J115"/>
    <mergeCell ref="K115:L115"/>
    <mergeCell ref="M115:N115"/>
    <mergeCell ref="A116:C116"/>
    <mergeCell ref="D116:E116"/>
    <mergeCell ref="F116:G116"/>
    <mergeCell ref="I116:J116"/>
    <mergeCell ref="K116:L116"/>
    <mergeCell ref="M116:N116"/>
    <mergeCell ref="B120:M120"/>
    <mergeCell ref="B121:D121"/>
    <mergeCell ref="E121:G121"/>
    <mergeCell ref="H121:J121"/>
    <mergeCell ref="K121:M121"/>
    <mergeCell ref="B122:D122"/>
    <mergeCell ref="E122:G122"/>
    <mergeCell ref="H122:J122"/>
    <mergeCell ref="K122:M123"/>
    <mergeCell ref="B123:D123"/>
    <mergeCell ref="C130:G130"/>
    <mergeCell ref="I130:J130"/>
    <mergeCell ref="K130:L130"/>
    <mergeCell ref="E123:G123"/>
    <mergeCell ref="H123:J123"/>
    <mergeCell ref="B124:D124"/>
    <mergeCell ref="E124:G124"/>
    <mergeCell ref="H124:J124"/>
    <mergeCell ref="K124:M124"/>
    <mergeCell ref="H131:H134"/>
    <mergeCell ref="I131:J132"/>
    <mergeCell ref="K131:L132"/>
    <mergeCell ref="M131:M134"/>
    <mergeCell ref="B125:D125"/>
    <mergeCell ref="E125:G125"/>
    <mergeCell ref="H125:J125"/>
    <mergeCell ref="K125:M125"/>
    <mergeCell ref="A129:N129"/>
    <mergeCell ref="A130:B130"/>
    <mergeCell ref="N131:N132"/>
    <mergeCell ref="C133:G133"/>
    <mergeCell ref="I133:J134"/>
    <mergeCell ref="K133:L134"/>
    <mergeCell ref="N133:N134"/>
    <mergeCell ref="A135:B135"/>
    <mergeCell ref="I135:J135"/>
    <mergeCell ref="K135:L135"/>
    <mergeCell ref="A131:B134"/>
    <mergeCell ref="C131:G132"/>
    <mergeCell ref="A136:B136"/>
    <mergeCell ref="I136:J136"/>
    <mergeCell ref="K136:L136"/>
    <mergeCell ref="A140:N140"/>
    <mergeCell ref="A141:C141"/>
    <mergeCell ref="D141:E141"/>
    <mergeCell ref="F141:G141"/>
    <mergeCell ref="I141:J141"/>
    <mergeCell ref="K141:L141"/>
    <mergeCell ref="M141:N141"/>
    <mergeCell ref="A142:C145"/>
    <mergeCell ref="D142:E143"/>
    <mergeCell ref="F142:G143"/>
    <mergeCell ref="H142:H143"/>
    <mergeCell ref="I142:J143"/>
    <mergeCell ref="K142:L145"/>
    <mergeCell ref="M142:N143"/>
    <mergeCell ref="D144:E145"/>
    <mergeCell ref="F144:G145"/>
    <mergeCell ref="H144:H145"/>
    <mergeCell ref="I144:J145"/>
    <mergeCell ref="M144:N145"/>
    <mergeCell ref="A146:C146"/>
    <mergeCell ref="D146:E146"/>
    <mergeCell ref="F146:G146"/>
    <mergeCell ref="I146:J146"/>
    <mergeCell ref="K146:L146"/>
    <mergeCell ref="M146:N146"/>
    <mergeCell ref="A147:C147"/>
    <mergeCell ref="D147:E147"/>
    <mergeCell ref="F147:G147"/>
    <mergeCell ref="I147:J147"/>
    <mergeCell ref="K147:L147"/>
    <mergeCell ref="M147:N147"/>
    <mergeCell ref="A151:N151"/>
    <mergeCell ref="A152:E152"/>
    <mergeCell ref="F152:H152"/>
    <mergeCell ref="I152:K152"/>
    <mergeCell ref="L152:N152"/>
    <mergeCell ref="A153:E155"/>
    <mergeCell ref="F153:H153"/>
    <mergeCell ref="I153:K153"/>
    <mergeCell ref="L153:N153"/>
    <mergeCell ref="F154:H154"/>
    <mergeCell ref="I154:K154"/>
    <mergeCell ref="L154:N154"/>
    <mergeCell ref="F155:H155"/>
    <mergeCell ref="I155:K155"/>
    <mergeCell ref="L155:N155"/>
    <mergeCell ref="A156:N156"/>
    <mergeCell ref="A157:E157"/>
    <mergeCell ref="F157:H157"/>
    <mergeCell ref="I157:K157"/>
    <mergeCell ref="L157:N157"/>
    <mergeCell ref="A158:E158"/>
    <mergeCell ref="F158:H158"/>
    <mergeCell ref="I158:K158"/>
    <mergeCell ref="L158:N158"/>
    <mergeCell ref="A159:E159"/>
    <mergeCell ref="F159:H159"/>
    <mergeCell ref="I159:K159"/>
    <mergeCell ref="L159:N159"/>
    <mergeCell ref="A160:E160"/>
    <mergeCell ref="F160:H160"/>
    <mergeCell ref="I160:K160"/>
    <mergeCell ref="L160:N160"/>
    <mergeCell ref="A161:E161"/>
    <mergeCell ref="F161:H161"/>
    <mergeCell ref="I161:K161"/>
    <mergeCell ref="L161:N161"/>
    <mergeCell ref="A162:E162"/>
    <mergeCell ref="F162:H162"/>
    <mergeCell ref="I162:K162"/>
    <mergeCell ref="L162:N162"/>
    <mergeCell ref="A163:N163"/>
    <mergeCell ref="A164:E164"/>
    <mergeCell ref="F164:H164"/>
    <mergeCell ref="I164:K164"/>
    <mergeCell ref="L164:N164"/>
    <mergeCell ref="A165:E165"/>
    <mergeCell ref="F165:H165"/>
    <mergeCell ref="I165:K165"/>
    <mergeCell ref="L165:N165"/>
    <mergeCell ref="A166:E166"/>
    <mergeCell ref="F166:H166"/>
    <mergeCell ref="I166:K166"/>
    <mergeCell ref="L166:N166"/>
    <mergeCell ref="A167:E167"/>
    <mergeCell ref="F167:H167"/>
    <mergeCell ref="I167:K167"/>
    <mergeCell ref="L167:N167"/>
    <mergeCell ref="A168:E168"/>
    <mergeCell ref="F168:H168"/>
    <mergeCell ref="I168:K168"/>
    <mergeCell ref="L168:N168"/>
    <mergeCell ref="A169:E169"/>
    <mergeCell ref="F169:H169"/>
    <mergeCell ref="I169:K169"/>
    <mergeCell ref="L169:N169"/>
    <mergeCell ref="A170:E170"/>
    <mergeCell ref="F170:H170"/>
    <mergeCell ref="I170:K170"/>
    <mergeCell ref="L170:N170"/>
    <mergeCell ref="A171:E171"/>
    <mergeCell ref="F171:H171"/>
    <mergeCell ref="I171:K171"/>
    <mergeCell ref="L171:N171"/>
    <mergeCell ref="A172:E172"/>
    <mergeCell ref="F172:H172"/>
    <mergeCell ref="I172:K172"/>
    <mergeCell ref="L172:N172"/>
    <mergeCell ref="A173:E173"/>
    <mergeCell ref="F173:H173"/>
    <mergeCell ref="I173:K173"/>
    <mergeCell ref="L173:N173"/>
    <mergeCell ref="E177:K177"/>
    <mergeCell ref="E178:G178"/>
    <mergeCell ref="H178:K178"/>
    <mergeCell ref="E179:G182"/>
    <mergeCell ref="H179:K181"/>
    <mergeCell ref="H182:K182"/>
    <mergeCell ref="E183:G183"/>
    <mergeCell ref="H183:K183"/>
    <mergeCell ref="E184:G184"/>
    <mergeCell ref="H184:K184"/>
    <mergeCell ref="E185:G185"/>
    <mergeCell ref="H185:K185"/>
  </mergeCells>
  <conditionalFormatting sqref="J10:N10">
    <cfRule type="cellIs" priority="2" dxfId="0" operator="greaterThan" stopIfTrue="1">
      <formula>$F$10</formula>
    </cfRule>
  </conditionalFormatting>
  <conditionalFormatting sqref="J11:N11">
    <cfRule type="cellIs" priority="1" dxfId="0" operator="greaterThan" stopIfTrue="1">
      <formula>$F$11</formula>
    </cfRule>
  </conditionalFormatting>
  <dataValidations count="10">
    <dataValidation type="list" operator="greaterThanOrEqual" allowBlank="1" showInputMessage="1" showErrorMessage="1" sqref="J21:N24">
      <formula1>Phasing2</formula1>
    </dataValidation>
    <dataValidation type="list" operator="greaterThanOrEqual" allowBlank="1" showInputMessage="1" showErrorMessage="1" sqref="J15:N16">
      <formula1>UnsigApproach</formula1>
    </dataValidation>
    <dataValidation type="list" operator="greaterThan" allowBlank="1" showInputMessage="1" showErrorMessage="1" sqref="J9:N9">
      <formula1>IType2</formula1>
    </dataValidation>
    <dataValidation type="whole" operator="greaterThan" allowBlank="1" showInputMessage="1" showErrorMessage="1" sqref="K7:N7">
      <formula1>1990</formula1>
    </dataValidation>
    <dataValidation type="list" operator="greaterThanOrEqual" allowBlank="1" showInputMessage="1" showErrorMessage="1" sqref="J18:N20 J25:N25">
      <formula1>TLanes</formula1>
    </dataValidation>
    <dataValidation type="list" allowBlank="1" showInputMessage="1" showErrorMessage="1" sqref="J26:N26 J30:N30 J12:N12">
      <formula1>PresOrNot</formula1>
    </dataValidation>
    <dataValidation type="whole" operator="greaterThanOrEqual" allowBlank="1" showInputMessage="1" showErrorMessage="1" sqref="J31:N31 J28:N29">
      <formula1>0</formula1>
    </dataValidation>
    <dataValidation type="whole" allowBlank="1" showInputMessage="1" showErrorMessage="1" promptTitle="Warning" prompt="The signalized intersection SPFs assume that there are some pedestrians present (value &gt; 0), so this input value should be a whole number of 1 or greater.  This field is not used for unsignalized intersections." sqref="J27:N27">
      <formula1>0</formula1>
      <formula2>34200</formula2>
    </dataValidation>
    <dataValidation type="whole" allowBlank="1" showInputMessage="1" showErrorMessage="1" sqref="J10:N10">
      <formula1>0</formula1>
      <formula2>80200</formula2>
    </dataValidation>
    <dataValidation type="whole" allowBlank="1" showInputMessage="1" showErrorMessage="1" sqref="J11:N11">
      <formula1>0</formula1>
      <formula2>49100</formula2>
    </dataValidation>
  </dataValidations>
  <printOptions/>
  <pageMargins left="0.7" right="0.7" top="0.75" bottom="0.75" header="0.3" footer="0.3"/>
  <pageSetup fitToHeight="4" horizontalDpi="600" verticalDpi="600" orientation="landscape" scale="65" r:id="rId1"/>
  <headerFooter>
    <oddHeader>&amp;CUrban and Suburban Predictive Methods</oddHeader>
    <oddFooter>&amp;R&amp;P</oddFooter>
  </headerFooter>
  <rowBreaks count="3" manualBreakCount="3">
    <brk id="43" max="13" man="1"/>
    <brk id="88" max="13" man="1"/>
    <brk id="13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E87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5" width="13.7109375" style="0" customWidth="1"/>
    <col min="6" max="6" width="14.421875" style="0" customWidth="1"/>
    <col min="7" max="12" width="13.7109375" style="0" customWidth="1"/>
    <col min="13" max="13" width="14.57421875" style="0" customWidth="1"/>
    <col min="14" max="33" width="13.7109375" style="0" customWidth="1"/>
  </cols>
  <sheetData>
    <row r="1" spans="2:25" ht="12.75">
      <c r="B1" s="116" t="s">
        <v>498</v>
      </c>
      <c r="Y1" s="116" t="s">
        <v>521</v>
      </c>
    </row>
    <row r="2" ht="13.5" thickBot="1"/>
    <row r="3" spans="2:31" ht="13.5" thickTop="1">
      <c r="B3" s="560" t="s">
        <v>661</v>
      </c>
      <c r="C3" s="560"/>
      <c r="D3" s="560"/>
      <c r="E3" s="560"/>
      <c r="F3" s="560"/>
      <c r="I3" s="560" t="s">
        <v>664</v>
      </c>
      <c r="J3" s="560"/>
      <c r="K3" s="560"/>
      <c r="L3" s="560"/>
      <c r="M3" s="560"/>
      <c r="P3" s="560" t="s">
        <v>667</v>
      </c>
      <c r="Q3" s="560"/>
      <c r="R3" s="560"/>
      <c r="S3" s="560"/>
      <c r="T3" s="560"/>
      <c r="U3" s="560"/>
      <c r="V3" s="560"/>
      <c r="Y3" s="626" t="s">
        <v>673</v>
      </c>
      <c r="Z3" s="561"/>
      <c r="AA3" s="561"/>
      <c r="AB3" s="561"/>
      <c r="AC3" s="561"/>
      <c r="AD3" s="602"/>
      <c r="AE3" s="602"/>
    </row>
    <row r="4" spans="2:31" ht="13.5" thickBot="1">
      <c r="B4" s="570"/>
      <c r="C4" s="570"/>
      <c r="D4" s="570"/>
      <c r="E4" s="570"/>
      <c r="F4" s="570"/>
      <c r="I4" s="570"/>
      <c r="J4" s="570"/>
      <c r="K4" s="570"/>
      <c r="L4" s="570"/>
      <c r="M4" s="570"/>
      <c r="P4" s="570"/>
      <c r="Q4" s="570"/>
      <c r="R4" s="570"/>
      <c r="S4" s="570"/>
      <c r="T4" s="570"/>
      <c r="U4" s="570"/>
      <c r="V4" s="570"/>
      <c r="Y4" s="562"/>
      <c r="Z4" s="562"/>
      <c r="AA4" s="562"/>
      <c r="AB4" s="562"/>
      <c r="AC4" s="562"/>
      <c r="AD4" s="604"/>
      <c r="AE4" s="604"/>
    </row>
    <row r="5" spans="2:31" ht="12.75">
      <c r="B5" s="638" t="s">
        <v>500</v>
      </c>
      <c r="C5" s="166" t="s">
        <v>503</v>
      </c>
      <c r="D5" s="166"/>
      <c r="E5" s="166"/>
      <c r="F5" s="635" t="s">
        <v>275</v>
      </c>
      <c r="I5" s="638" t="s">
        <v>500</v>
      </c>
      <c r="J5" s="166" t="s">
        <v>505</v>
      </c>
      <c r="K5" s="166"/>
      <c r="L5" s="166"/>
      <c r="M5" s="635" t="s">
        <v>275</v>
      </c>
      <c r="P5" s="638" t="s">
        <v>500</v>
      </c>
      <c r="Q5" s="166" t="s">
        <v>509</v>
      </c>
      <c r="R5" s="166"/>
      <c r="S5" s="166"/>
      <c r="T5" s="166"/>
      <c r="U5" s="166"/>
      <c r="V5" s="635" t="s">
        <v>275</v>
      </c>
      <c r="Y5" s="743" t="s">
        <v>519</v>
      </c>
      <c r="Z5" s="744" t="s">
        <v>522</v>
      </c>
      <c r="AA5" s="745"/>
      <c r="AB5" s="261" t="s">
        <v>532</v>
      </c>
      <c r="AC5" s="746"/>
      <c r="AD5" s="746"/>
      <c r="AE5" s="746"/>
    </row>
    <row r="6" spans="2:31" ht="14.25">
      <c r="B6" s="639"/>
      <c r="C6" s="168" t="s">
        <v>279</v>
      </c>
      <c r="D6" s="167" t="s">
        <v>501</v>
      </c>
      <c r="E6" s="167" t="s">
        <v>502</v>
      </c>
      <c r="F6" s="636"/>
      <c r="I6" s="639"/>
      <c r="J6" s="168" t="s">
        <v>279</v>
      </c>
      <c r="K6" s="167" t="s">
        <v>501</v>
      </c>
      <c r="L6" s="167" t="s">
        <v>502</v>
      </c>
      <c r="M6" s="636"/>
      <c r="P6" s="639"/>
      <c r="Q6" s="168" t="s">
        <v>279</v>
      </c>
      <c r="R6" s="167" t="s">
        <v>510</v>
      </c>
      <c r="S6" s="167" t="s">
        <v>511</v>
      </c>
      <c r="T6" s="167" t="s">
        <v>513</v>
      </c>
      <c r="U6" s="167" t="s">
        <v>515</v>
      </c>
      <c r="V6" s="636"/>
      <c r="Y6" s="354"/>
      <c r="Z6" s="480"/>
      <c r="AA6" s="745"/>
      <c r="AB6" s="263"/>
      <c r="AC6" s="264"/>
      <c r="AD6" s="264"/>
      <c r="AE6" s="264"/>
    </row>
    <row r="7" spans="2:31" ht="12.75">
      <c r="B7" s="640"/>
      <c r="C7" s="169" t="s">
        <v>277</v>
      </c>
      <c r="D7" s="118" t="s">
        <v>278</v>
      </c>
      <c r="E7" s="118" t="s">
        <v>499</v>
      </c>
      <c r="F7" s="637"/>
      <c r="I7" s="640"/>
      <c r="J7" s="169" t="s">
        <v>277</v>
      </c>
      <c r="K7" s="118" t="s">
        <v>278</v>
      </c>
      <c r="L7" s="118" t="s">
        <v>499</v>
      </c>
      <c r="M7" s="637"/>
      <c r="P7" s="640"/>
      <c r="Q7" s="169" t="s">
        <v>277</v>
      </c>
      <c r="R7" s="118" t="s">
        <v>278</v>
      </c>
      <c r="S7" s="118" t="s">
        <v>499</v>
      </c>
      <c r="T7" s="118" t="s">
        <v>512</v>
      </c>
      <c r="U7" s="118" t="s">
        <v>514</v>
      </c>
      <c r="V7" s="637"/>
      <c r="Y7" s="354"/>
      <c r="Z7" s="480"/>
      <c r="AA7" s="745"/>
      <c r="AB7" s="747" t="s">
        <v>529</v>
      </c>
      <c r="AC7" s="747" t="s">
        <v>528</v>
      </c>
      <c r="AD7" s="747" t="s">
        <v>530</v>
      </c>
      <c r="AE7" s="749" t="s">
        <v>531</v>
      </c>
    </row>
    <row r="8" spans="2:31" ht="12.75">
      <c r="B8" s="627" t="s">
        <v>281</v>
      </c>
      <c r="C8" s="628"/>
      <c r="D8" s="628"/>
      <c r="E8" s="628"/>
      <c r="F8" s="628"/>
      <c r="I8" s="627" t="s">
        <v>281</v>
      </c>
      <c r="J8" s="628"/>
      <c r="K8" s="628"/>
      <c r="L8" s="628"/>
      <c r="M8" s="628"/>
      <c r="P8" s="627" t="s">
        <v>281</v>
      </c>
      <c r="Q8" s="628"/>
      <c r="R8" s="628"/>
      <c r="S8" s="628"/>
      <c r="T8" s="628"/>
      <c r="U8" s="628"/>
      <c r="V8" s="628"/>
      <c r="Y8" s="356"/>
      <c r="Z8" s="482"/>
      <c r="AA8" s="715"/>
      <c r="AB8" s="748"/>
      <c r="AC8" s="748"/>
      <c r="AD8" s="748"/>
      <c r="AE8" s="750"/>
    </row>
    <row r="9" spans="2:31" ht="14.25">
      <c r="B9" s="131" t="s">
        <v>76</v>
      </c>
      <c r="C9" s="57">
        <v>-13.36</v>
      </c>
      <c r="D9" s="57">
        <v>1.11</v>
      </c>
      <c r="E9" s="57">
        <v>0.41</v>
      </c>
      <c r="F9" s="80">
        <v>0.8</v>
      </c>
      <c r="I9" s="131" t="s">
        <v>76</v>
      </c>
      <c r="J9" s="57">
        <v>-6.81</v>
      </c>
      <c r="K9" s="57">
        <v>0.16</v>
      </c>
      <c r="L9" s="57">
        <v>0.51</v>
      </c>
      <c r="M9" s="80">
        <v>1.14</v>
      </c>
      <c r="P9" s="131" t="s">
        <v>504</v>
      </c>
      <c r="Q9" s="57">
        <v>-6.6</v>
      </c>
      <c r="R9" s="57">
        <v>0.05</v>
      </c>
      <c r="S9" s="57">
        <v>0.24</v>
      </c>
      <c r="T9" s="57">
        <v>0.41</v>
      </c>
      <c r="U9" s="57">
        <v>0.09</v>
      </c>
      <c r="V9" s="80">
        <v>0.52</v>
      </c>
      <c r="Y9" s="196" t="s">
        <v>76</v>
      </c>
      <c r="Z9" s="751" t="s">
        <v>523</v>
      </c>
      <c r="AA9" s="752"/>
      <c r="AB9" s="57">
        <v>0.67</v>
      </c>
      <c r="AC9" s="80">
        <v>0.45</v>
      </c>
      <c r="AD9" s="202" t="s">
        <v>14</v>
      </c>
      <c r="AE9" s="202" t="s">
        <v>14</v>
      </c>
    </row>
    <row r="10" spans="2:31" ht="13.5" thickBot="1">
      <c r="B10" s="131" t="s">
        <v>504</v>
      </c>
      <c r="C10" s="57">
        <v>-12.13</v>
      </c>
      <c r="D10" s="57">
        <v>1.11</v>
      </c>
      <c r="E10" s="57">
        <v>0.26</v>
      </c>
      <c r="F10" s="80">
        <v>0.33</v>
      </c>
      <c r="I10" s="131" t="s">
        <v>504</v>
      </c>
      <c r="J10" s="57">
        <v>-9.02</v>
      </c>
      <c r="K10" s="57">
        <v>0.42</v>
      </c>
      <c r="L10" s="57">
        <v>0.4</v>
      </c>
      <c r="M10" s="80">
        <v>0.36</v>
      </c>
      <c r="P10" s="135" t="s">
        <v>78</v>
      </c>
      <c r="Q10" s="14">
        <v>-9.53</v>
      </c>
      <c r="R10" s="14">
        <v>0.4</v>
      </c>
      <c r="S10" s="14">
        <v>0.26</v>
      </c>
      <c r="T10" s="14">
        <v>0.45</v>
      </c>
      <c r="U10" s="14">
        <v>0.04</v>
      </c>
      <c r="V10" s="124">
        <v>0.24</v>
      </c>
      <c r="Y10" s="196" t="s">
        <v>504</v>
      </c>
      <c r="Z10" s="753" t="s">
        <v>524</v>
      </c>
      <c r="AA10" s="315"/>
      <c r="AB10" s="57">
        <v>0.93</v>
      </c>
      <c r="AC10" s="80">
        <v>0.86</v>
      </c>
      <c r="AD10" s="12">
        <v>0.8</v>
      </c>
      <c r="AE10" s="13">
        <v>0.8</v>
      </c>
    </row>
    <row r="11" spans="2:31" ht="14.25">
      <c r="B11" s="170" t="s">
        <v>77</v>
      </c>
      <c r="C11" s="57">
        <v>-8.9</v>
      </c>
      <c r="D11" s="57">
        <v>0.82</v>
      </c>
      <c r="E11" s="57">
        <v>0.25</v>
      </c>
      <c r="F11" s="80">
        <v>0.4</v>
      </c>
      <c r="I11" s="170" t="s">
        <v>77</v>
      </c>
      <c r="J11" s="57">
        <v>-5.33</v>
      </c>
      <c r="K11" s="57">
        <v>0.33</v>
      </c>
      <c r="L11" s="57">
        <v>0.12</v>
      </c>
      <c r="M11" s="80">
        <v>0.65</v>
      </c>
      <c r="Y11" s="204" t="s">
        <v>77</v>
      </c>
      <c r="Z11" s="751" t="s">
        <v>525</v>
      </c>
      <c r="AA11" s="752"/>
      <c r="AB11" s="57">
        <v>0.73</v>
      </c>
      <c r="AC11" s="80">
        <v>0.53</v>
      </c>
      <c r="AD11" s="202" t="s">
        <v>14</v>
      </c>
      <c r="AE11" s="202" t="s">
        <v>14</v>
      </c>
    </row>
    <row r="12" spans="2:31" ht="13.5" thickBot="1">
      <c r="B12" s="131" t="s">
        <v>78</v>
      </c>
      <c r="C12" s="57">
        <v>-10.99</v>
      </c>
      <c r="D12" s="57">
        <v>1.07</v>
      </c>
      <c r="E12" s="57">
        <v>0.23</v>
      </c>
      <c r="F12" s="80">
        <v>0.39</v>
      </c>
      <c r="I12" s="131" t="s">
        <v>78</v>
      </c>
      <c r="J12" s="57">
        <v>-10.21</v>
      </c>
      <c r="K12" s="57">
        <v>0.68</v>
      </c>
      <c r="L12" s="57">
        <v>0.27</v>
      </c>
      <c r="M12" s="80">
        <v>0.36</v>
      </c>
      <c r="Y12" s="205" t="s">
        <v>78</v>
      </c>
      <c r="Z12" s="754" t="s">
        <v>524</v>
      </c>
      <c r="AA12" s="534"/>
      <c r="AB12" s="14">
        <v>0.9</v>
      </c>
      <c r="AC12" s="124">
        <v>0.81</v>
      </c>
      <c r="AD12" s="193">
        <v>0.73</v>
      </c>
      <c r="AE12" s="192">
        <v>0.66</v>
      </c>
    </row>
    <row r="13" spans="2:31" ht="12.75">
      <c r="B13" s="541" t="s">
        <v>282</v>
      </c>
      <c r="C13" s="274"/>
      <c r="D13" s="274"/>
      <c r="E13" s="274"/>
      <c r="F13" s="297"/>
      <c r="I13" s="541" t="s">
        <v>282</v>
      </c>
      <c r="J13" s="274"/>
      <c r="K13" s="274"/>
      <c r="L13" s="274"/>
      <c r="M13" s="297"/>
      <c r="Y13" s="741" t="s">
        <v>526</v>
      </c>
      <c r="Z13" s="472"/>
      <c r="AA13" s="472"/>
      <c r="AB13" s="472"/>
      <c r="AC13" s="472"/>
      <c r="AD13" s="472"/>
      <c r="AE13" s="472"/>
    </row>
    <row r="14" spans="2:31" ht="12.75">
      <c r="B14" s="131" t="s">
        <v>76</v>
      </c>
      <c r="C14" s="57">
        <v>-14.01</v>
      </c>
      <c r="D14" s="57">
        <v>1.16</v>
      </c>
      <c r="E14" s="57">
        <v>0.3</v>
      </c>
      <c r="F14" s="80">
        <v>0.69</v>
      </c>
      <c r="I14" s="131" t="s">
        <v>76</v>
      </c>
      <c r="J14" s="198" t="s">
        <v>14</v>
      </c>
      <c r="K14" s="198" t="s">
        <v>14</v>
      </c>
      <c r="L14" s="198" t="s">
        <v>14</v>
      </c>
      <c r="M14" s="199" t="s">
        <v>14</v>
      </c>
      <c r="Y14" s="742" t="s">
        <v>527</v>
      </c>
      <c r="Z14" s="388"/>
      <c r="AA14" s="388"/>
      <c r="AB14" s="388"/>
      <c r="AC14" s="388"/>
      <c r="AD14" s="388"/>
      <c r="AE14" s="388"/>
    </row>
    <row r="15" spans="2:13" ht="12.75">
      <c r="B15" s="131" t="s">
        <v>504</v>
      </c>
      <c r="C15" s="57">
        <v>-11.58</v>
      </c>
      <c r="D15" s="57">
        <v>1.02</v>
      </c>
      <c r="E15" s="57">
        <v>0.17</v>
      </c>
      <c r="F15" s="80">
        <v>0.3</v>
      </c>
      <c r="I15" s="131" t="s">
        <v>504</v>
      </c>
      <c r="J15" s="57">
        <v>-9.75</v>
      </c>
      <c r="K15" s="57">
        <v>0.27</v>
      </c>
      <c r="L15" s="57">
        <v>0.51</v>
      </c>
      <c r="M15" s="80">
        <v>0.24</v>
      </c>
    </row>
    <row r="16" spans="2:13" ht="12.75">
      <c r="B16" s="170" t="s">
        <v>77</v>
      </c>
      <c r="C16" s="57">
        <v>-11.13</v>
      </c>
      <c r="D16" s="57">
        <v>0.93</v>
      </c>
      <c r="E16" s="57">
        <v>0.28</v>
      </c>
      <c r="F16" s="80">
        <v>0.48</v>
      </c>
      <c r="I16" s="170" t="s">
        <v>77</v>
      </c>
      <c r="J16" s="198" t="s">
        <v>14</v>
      </c>
      <c r="K16" s="198" t="s">
        <v>14</v>
      </c>
      <c r="L16" s="198" t="s">
        <v>14</v>
      </c>
      <c r="M16" s="199" t="s">
        <v>14</v>
      </c>
    </row>
    <row r="17" spans="2:13" ht="13.5" thickBot="1">
      <c r="B17" s="131" t="s">
        <v>78</v>
      </c>
      <c r="C17" s="57">
        <v>-13.14</v>
      </c>
      <c r="D17" s="57">
        <v>1.18</v>
      </c>
      <c r="E17" s="57">
        <v>0.22</v>
      </c>
      <c r="F17" s="80">
        <v>0.33</v>
      </c>
      <c r="I17" s="131" t="s">
        <v>78</v>
      </c>
      <c r="J17" s="57">
        <v>-9.25</v>
      </c>
      <c r="K17" s="57">
        <v>0.43</v>
      </c>
      <c r="L17" s="57">
        <v>0.29</v>
      </c>
      <c r="M17" s="80">
        <v>0.09</v>
      </c>
    </row>
    <row r="18" spans="2:31" ht="13.5" thickTop="1">
      <c r="B18" s="541" t="s">
        <v>283</v>
      </c>
      <c r="C18" s="274"/>
      <c r="D18" s="274"/>
      <c r="E18" s="274"/>
      <c r="F18" s="297"/>
      <c r="I18" s="541" t="s">
        <v>283</v>
      </c>
      <c r="J18" s="274"/>
      <c r="K18" s="274"/>
      <c r="L18" s="274"/>
      <c r="M18" s="297"/>
      <c r="Y18" s="626" t="s">
        <v>674</v>
      </c>
      <c r="Z18" s="561"/>
      <c r="AA18" s="561"/>
      <c r="AB18" s="561"/>
      <c r="AC18" s="561"/>
      <c r="AD18" s="602"/>
      <c r="AE18" s="602"/>
    </row>
    <row r="19" spans="2:31" ht="13.5" thickBot="1">
      <c r="B19" s="131" t="s">
        <v>76</v>
      </c>
      <c r="C19" s="57">
        <v>-15.38</v>
      </c>
      <c r="D19" s="57">
        <v>1.2</v>
      </c>
      <c r="E19" s="57">
        <v>0.51</v>
      </c>
      <c r="F19" s="80">
        <v>0.77</v>
      </c>
      <c r="I19" s="131" t="s">
        <v>76</v>
      </c>
      <c r="J19" s="57">
        <v>-8.36</v>
      </c>
      <c r="K19" s="57">
        <v>0.25</v>
      </c>
      <c r="L19" s="57">
        <v>0.55</v>
      </c>
      <c r="M19" s="80">
        <v>1.29</v>
      </c>
      <c r="Y19" s="562"/>
      <c r="Z19" s="562"/>
      <c r="AA19" s="562"/>
      <c r="AB19" s="562"/>
      <c r="AC19" s="562"/>
      <c r="AD19" s="604"/>
      <c r="AE19" s="604"/>
    </row>
    <row r="20" spans="2:31" ht="12.75">
      <c r="B20" s="131" t="s">
        <v>504</v>
      </c>
      <c r="C20" s="57">
        <v>-13.24</v>
      </c>
      <c r="D20" s="57">
        <v>1.14</v>
      </c>
      <c r="E20" s="57">
        <v>0.3</v>
      </c>
      <c r="F20" s="80">
        <v>0.36</v>
      </c>
      <c r="I20" s="131" t="s">
        <v>504</v>
      </c>
      <c r="J20" s="57">
        <v>-9.08</v>
      </c>
      <c r="K20" s="57">
        <v>0.45</v>
      </c>
      <c r="L20" s="57">
        <v>0.33</v>
      </c>
      <c r="M20" s="80">
        <v>0.53</v>
      </c>
      <c r="Y20" s="743" t="s">
        <v>519</v>
      </c>
      <c r="Z20" s="744" t="s">
        <v>522</v>
      </c>
      <c r="AA20" s="745"/>
      <c r="AB20" s="261" t="s">
        <v>533</v>
      </c>
      <c r="AC20" s="746"/>
      <c r="AD20" s="746"/>
      <c r="AE20" s="746"/>
    </row>
    <row r="21" spans="2:31" ht="12.75">
      <c r="B21" s="170" t="s">
        <v>77</v>
      </c>
      <c r="C21" s="57">
        <v>-8.74</v>
      </c>
      <c r="D21" s="57">
        <v>0.77</v>
      </c>
      <c r="E21" s="57">
        <v>0.23</v>
      </c>
      <c r="F21" s="80">
        <v>0.4</v>
      </c>
      <c r="I21" s="170" t="s">
        <v>77</v>
      </c>
      <c r="J21" s="57">
        <v>-7.04</v>
      </c>
      <c r="K21" s="57">
        <v>0.36</v>
      </c>
      <c r="L21" s="57">
        <v>0.25</v>
      </c>
      <c r="M21" s="80">
        <v>0.54</v>
      </c>
      <c r="Y21" s="354"/>
      <c r="Z21" s="480"/>
      <c r="AA21" s="745"/>
      <c r="AB21" s="263"/>
      <c r="AC21" s="264"/>
      <c r="AD21" s="264"/>
      <c r="AE21" s="264"/>
    </row>
    <row r="22" spans="2:31" ht="13.5" thickBot="1">
      <c r="B22" s="135" t="s">
        <v>78</v>
      </c>
      <c r="C22" s="14">
        <v>-11.02</v>
      </c>
      <c r="D22" s="14">
        <v>1.02</v>
      </c>
      <c r="E22" s="14">
        <v>0.24</v>
      </c>
      <c r="F22" s="124">
        <v>0.44</v>
      </c>
      <c r="I22" s="135" t="s">
        <v>78</v>
      </c>
      <c r="J22" s="14">
        <v>-11.34</v>
      </c>
      <c r="K22" s="14">
        <v>0.78</v>
      </c>
      <c r="L22" s="14">
        <v>0.25</v>
      </c>
      <c r="M22" s="124">
        <v>0.44</v>
      </c>
      <c r="Y22" s="354"/>
      <c r="Z22" s="480"/>
      <c r="AA22" s="745"/>
      <c r="AB22" s="747" t="s">
        <v>529</v>
      </c>
      <c r="AC22" s="747" t="s">
        <v>528</v>
      </c>
      <c r="AD22" s="747" t="s">
        <v>530</v>
      </c>
      <c r="AE22" s="749" t="s">
        <v>531</v>
      </c>
    </row>
    <row r="23" spans="2:31" ht="12.75">
      <c r="B23" s="22"/>
      <c r="C23" s="22"/>
      <c r="D23" s="22"/>
      <c r="E23" s="22"/>
      <c r="F23" s="22"/>
      <c r="G23" s="22"/>
      <c r="I23" s="200" t="s">
        <v>506</v>
      </c>
      <c r="Y23" s="356"/>
      <c r="Z23" s="482"/>
      <c r="AA23" s="715"/>
      <c r="AB23" s="748"/>
      <c r="AC23" s="748"/>
      <c r="AD23" s="748"/>
      <c r="AE23" s="750"/>
    </row>
    <row r="24" spans="2:31" ht="14.25">
      <c r="B24" s="39"/>
      <c r="C24" s="28"/>
      <c r="D24" s="28"/>
      <c r="E24" s="28"/>
      <c r="F24" s="28"/>
      <c r="G24" s="22"/>
      <c r="I24" s="763" t="s">
        <v>507</v>
      </c>
      <c r="J24" s="764"/>
      <c r="K24" s="764"/>
      <c r="L24" s="764"/>
      <c r="M24" s="764"/>
      <c r="Y24" s="196" t="s">
        <v>76</v>
      </c>
      <c r="Z24" s="751" t="s">
        <v>523</v>
      </c>
      <c r="AA24" s="752"/>
      <c r="AB24" s="57">
        <v>0.86</v>
      </c>
      <c r="AC24" s="80">
        <v>0.74</v>
      </c>
      <c r="AD24" s="201" t="s">
        <v>14</v>
      </c>
      <c r="AE24" s="202" t="s">
        <v>14</v>
      </c>
    </row>
    <row r="25" spans="2:31" ht="13.5" thickBot="1">
      <c r="B25" s="22"/>
      <c r="C25" s="22"/>
      <c r="D25" s="22"/>
      <c r="E25" s="22"/>
      <c r="F25" s="22"/>
      <c r="G25" s="22"/>
      <c r="I25" s="762" t="s">
        <v>508</v>
      </c>
      <c r="J25" s="594"/>
      <c r="K25" s="594"/>
      <c r="L25" s="594"/>
      <c r="M25" s="594"/>
      <c r="Y25" s="196" t="s">
        <v>504</v>
      </c>
      <c r="Z25" s="753" t="s">
        <v>524</v>
      </c>
      <c r="AA25" s="315"/>
      <c r="AB25" s="57">
        <v>0.96</v>
      </c>
      <c r="AC25" s="80">
        <v>0.92</v>
      </c>
      <c r="AD25" s="201" t="s">
        <v>14</v>
      </c>
      <c r="AE25" s="202" t="s">
        <v>14</v>
      </c>
    </row>
    <row r="26" spans="25:31" ht="14.25">
      <c r="Y26" s="204" t="s">
        <v>77</v>
      </c>
      <c r="Z26" s="751" t="s">
        <v>525</v>
      </c>
      <c r="AA26" s="752"/>
      <c r="AB26" s="57">
        <v>0.86</v>
      </c>
      <c r="AC26" s="80">
        <v>0.74</v>
      </c>
      <c r="AD26" s="201" t="s">
        <v>14</v>
      </c>
      <c r="AE26" s="202" t="s">
        <v>14</v>
      </c>
    </row>
    <row r="27" spans="25:31" ht="13.5" thickBot="1">
      <c r="Y27" s="205" t="s">
        <v>78</v>
      </c>
      <c r="Z27" s="754" t="s">
        <v>524</v>
      </c>
      <c r="AA27" s="534"/>
      <c r="AB27" s="14">
        <v>0.96</v>
      </c>
      <c r="AC27" s="124">
        <v>0.92</v>
      </c>
      <c r="AD27" s="193">
        <v>0.88</v>
      </c>
      <c r="AE27" s="192">
        <v>0.85</v>
      </c>
    </row>
    <row r="28" spans="25:31" ht="12.75">
      <c r="Y28" s="741" t="s">
        <v>534</v>
      </c>
      <c r="Z28" s="472"/>
      <c r="AA28" s="472"/>
      <c r="AB28" s="472"/>
      <c r="AC28" s="472"/>
      <c r="AD28" s="472"/>
      <c r="AE28" s="472"/>
    </row>
    <row r="29" spans="2:31" ht="12.75">
      <c r="B29" s="116" t="s">
        <v>517</v>
      </c>
      <c r="Y29" s="742" t="s">
        <v>527</v>
      </c>
      <c r="Z29" s="388"/>
      <c r="AA29" s="388"/>
      <c r="AB29" s="388"/>
      <c r="AC29" s="388"/>
      <c r="AD29" s="388"/>
      <c r="AE29" s="388"/>
    </row>
    <row r="30" spans="12:13" ht="13.5" thickBot="1">
      <c r="L30" s="22"/>
      <c r="M30" s="22"/>
    </row>
    <row r="31" spans="2:13" ht="13.5" thickTop="1">
      <c r="B31" s="560" t="s">
        <v>663</v>
      </c>
      <c r="C31" s="602"/>
      <c r="D31" s="602"/>
      <c r="E31" s="602"/>
      <c r="F31" s="602"/>
      <c r="G31" s="602"/>
      <c r="H31" s="602"/>
      <c r="I31" s="602"/>
      <c r="J31" s="602"/>
      <c r="K31" s="602"/>
      <c r="L31" s="178"/>
      <c r="M31" s="15"/>
    </row>
    <row r="32" spans="2:13" ht="13.5" thickBot="1">
      <c r="B32" s="604"/>
      <c r="C32" s="604"/>
      <c r="D32" s="604"/>
      <c r="E32" s="604"/>
      <c r="F32" s="604"/>
      <c r="G32" s="604"/>
      <c r="H32" s="604"/>
      <c r="I32" s="604"/>
      <c r="J32" s="604"/>
      <c r="K32" s="604"/>
      <c r="L32" s="178"/>
      <c r="M32" s="15"/>
    </row>
    <row r="33" spans="2:13" ht="12.75">
      <c r="B33" s="552" t="s">
        <v>72</v>
      </c>
      <c r="C33" s="555" t="s">
        <v>70</v>
      </c>
      <c r="D33" s="520" t="s">
        <v>516</v>
      </c>
      <c r="E33" s="614"/>
      <c r="F33" s="614"/>
      <c r="G33" s="614"/>
      <c r="H33" s="614"/>
      <c r="I33" s="614"/>
      <c r="J33" s="614"/>
      <c r="K33" s="614"/>
      <c r="L33" s="24"/>
      <c r="M33" s="24"/>
    </row>
    <row r="34" spans="2:13" ht="12.75">
      <c r="B34" s="659"/>
      <c r="C34" s="660"/>
      <c r="D34" s="401" t="s">
        <v>49</v>
      </c>
      <c r="E34" s="628"/>
      <c r="F34" s="628"/>
      <c r="G34" s="628"/>
      <c r="H34" s="628"/>
      <c r="I34" s="628"/>
      <c r="J34" s="628"/>
      <c r="K34" s="628"/>
      <c r="L34" s="24"/>
      <c r="M34" s="24"/>
    </row>
    <row r="35" spans="2:13" ht="12.75">
      <c r="B35" s="668" t="s">
        <v>52</v>
      </c>
      <c r="C35" s="306"/>
      <c r="D35" s="511" t="s">
        <v>76</v>
      </c>
      <c r="E35" s="510"/>
      <c r="F35" s="545" t="s">
        <v>504</v>
      </c>
      <c r="G35" s="490"/>
      <c r="H35" s="545" t="s">
        <v>77</v>
      </c>
      <c r="I35" s="490"/>
      <c r="J35" s="545" t="s">
        <v>78</v>
      </c>
      <c r="K35" s="401"/>
      <c r="L35" s="378"/>
      <c r="M35" s="378"/>
    </row>
    <row r="36" spans="2:13" ht="12.75">
      <c r="B36" s="310"/>
      <c r="C36" s="311"/>
      <c r="D36" s="132" t="s">
        <v>297</v>
      </c>
      <c r="E36" s="121" t="s">
        <v>98</v>
      </c>
      <c r="F36" s="132" t="s">
        <v>297</v>
      </c>
      <c r="G36" s="121" t="s">
        <v>98</v>
      </c>
      <c r="H36" s="132" t="s">
        <v>297</v>
      </c>
      <c r="I36" s="121" t="s">
        <v>98</v>
      </c>
      <c r="J36" s="132" t="s">
        <v>297</v>
      </c>
      <c r="K36" s="174" t="s">
        <v>98</v>
      </c>
      <c r="L36" s="161"/>
      <c r="M36" s="161"/>
    </row>
    <row r="37" spans="2:13" ht="12.75">
      <c r="B37" s="577" t="s">
        <v>42</v>
      </c>
      <c r="C37" s="368"/>
      <c r="D37" s="129">
        <v>0.421</v>
      </c>
      <c r="E37" s="129">
        <v>0.44</v>
      </c>
      <c r="F37" s="129">
        <v>0.549</v>
      </c>
      <c r="G37" s="129">
        <v>0.546</v>
      </c>
      <c r="H37" s="129">
        <v>0.338</v>
      </c>
      <c r="I37" s="129">
        <v>0.374</v>
      </c>
      <c r="J37" s="129">
        <v>0.45</v>
      </c>
      <c r="K37" s="130">
        <v>0.483</v>
      </c>
      <c r="L37" s="181"/>
      <c r="M37" s="181"/>
    </row>
    <row r="38" spans="2:13" ht="12.75">
      <c r="B38" s="601" t="s">
        <v>41</v>
      </c>
      <c r="C38" s="368"/>
      <c r="D38" s="56">
        <v>0.045</v>
      </c>
      <c r="E38" s="56">
        <v>0.023</v>
      </c>
      <c r="F38" s="56">
        <v>0.038</v>
      </c>
      <c r="G38" s="56">
        <v>0.02</v>
      </c>
      <c r="H38" s="56">
        <v>0.041</v>
      </c>
      <c r="I38" s="56">
        <v>0.03</v>
      </c>
      <c r="J38" s="56">
        <v>0.049</v>
      </c>
      <c r="K38" s="58">
        <v>0.03</v>
      </c>
      <c r="L38" s="34"/>
      <c r="M38" s="34"/>
    </row>
    <row r="39" spans="2:13" ht="12.75">
      <c r="B39" s="601" t="s">
        <v>40</v>
      </c>
      <c r="C39" s="368"/>
      <c r="D39" s="56">
        <v>0.343</v>
      </c>
      <c r="E39" s="56">
        <v>0.262</v>
      </c>
      <c r="F39" s="56">
        <v>0.28</v>
      </c>
      <c r="G39" s="56">
        <v>0.204</v>
      </c>
      <c r="H39" s="56">
        <v>0.44</v>
      </c>
      <c r="I39" s="56">
        <v>0.335</v>
      </c>
      <c r="J39" s="56">
        <v>0.347</v>
      </c>
      <c r="K39" s="58">
        <v>0.244</v>
      </c>
      <c r="L39" s="34"/>
      <c r="M39" s="34"/>
    </row>
    <row r="40" spans="2:13" ht="12.75">
      <c r="B40" s="601" t="s">
        <v>96</v>
      </c>
      <c r="C40" s="368"/>
      <c r="D40" s="56">
        <v>0.126</v>
      </c>
      <c r="E40" s="56">
        <v>0.04</v>
      </c>
      <c r="F40" s="56">
        <v>0.076</v>
      </c>
      <c r="G40" s="56">
        <v>0.032</v>
      </c>
      <c r="H40" s="56">
        <v>0.121</v>
      </c>
      <c r="I40" s="56">
        <v>0.044</v>
      </c>
      <c r="J40" s="56">
        <v>0.099</v>
      </c>
      <c r="K40" s="58">
        <v>0.032</v>
      </c>
      <c r="L40" s="34"/>
      <c r="M40" s="34"/>
    </row>
    <row r="41" spans="2:13" ht="12.75">
      <c r="B41" s="601" t="s">
        <v>299</v>
      </c>
      <c r="C41" s="299"/>
      <c r="D41" s="56">
        <v>0.065</v>
      </c>
      <c r="E41" s="56">
        <v>0.235</v>
      </c>
      <c r="F41" s="56">
        <v>0.057</v>
      </c>
      <c r="G41" s="56">
        <v>0.198</v>
      </c>
      <c r="H41" s="56">
        <v>0.06</v>
      </c>
      <c r="I41" s="56">
        <v>0.217</v>
      </c>
      <c r="J41" s="56">
        <v>0.055</v>
      </c>
      <c r="K41" s="58">
        <v>0.211</v>
      </c>
      <c r="L41" s="34"/>
      <c r="M41" s="34"/>
    </row>
    <row r="42" spans="2:13" ht="12.75">
      <c r="B42" s="761" t="s">
        <v>298</v>
      </c>
      <c r="C42" s="391"/>
      <c r="D42" s="391"/>
      <c r="E42" s="391"/>
      <c r="F42" s="391"/>
      <c r="G42" s="391"/>
      <c r="H42" s="391"/>
      <c r="I42" s="391"/>
      <c r="J42" s="391"/>
      <c r="K42" s="391"/>
      <c r="L42" s="34"/>
      <c r="M42" s="34"/>
    </row>
    <row r="43" spans="2:13" ht="12.75">
      <c r="B43" s="668" t="s">
        <v>52</v>
      </c>
      <c r="C43" s="306"/>
      <c r="D43" s="545" t="s">
        <v>719</v>
      </c>
      <c r="E43" s="274"/>
      <c r="F43" s="274"/>
      <c r="G43" s="274"/>
      <c r="H43" s="274"/>
      <c r="I43" s="274"/>
      <c r="J43" s="274"/>
      <c r="K43" s="297"/>
      <c r="L43" s="10"/>
      <c r="M43" s="10"/>
    </row>
    <row r="44" spans="2:13" ht="12.75">
      <c r="B44" s="309"/>
      <c r="C44" s="308"/>
      <c r="D44" s="511" t="s">
        <v>76</v>
      </c>
      <c r="E44" s="510"/>
      <c r="F44" s="545" t="s">
        <v>504</v>
      </c>
      <c r="G44" s="490"/>
      <c r="H44" s="545" t="s">
        <v>77</v>
      </c>
      <c r="I44" s="490"/>
      <c r="J44" s="545" t="s">
        <v>78</v>
      </c>
      <c r="K44" s="401"/>
      <c r="L44" s="24"/>
      <c r="M44" s="24"/>
    </row>
    <row r="45" spans="2:13" ht="12.75">
      <c r="B45" s="344"/>
      <c r="C45" s="669"/>
      <c r="D45" s="132" t="s">
        <v>297</v>
      </c>
      <c r="E45" s="121" t="s">
        <v>98</v>
      </c>
      <c r="F45" s="132" t="s">
        <v>297</v>
      </c>
      <c r="G45" s="121" t="s">
        <v>98</v>
      </c>
      <c r="H45" s="132" t="s">
        <v>297</v>
      </c>
      <c r="I45" s="121" t="s">
        <v>98</v>
      </c>
      <c r="J45" s="132" t="s">
        <v>297</v>
      </c>
      <c r="K45" s="174" t="s">
        <v>98</v>
      </c>
      <c r="L45" s="378"/>
      <c r="M45" s="378"/>
    </row>
    <row r="46" spans="2:13" ht="12.75">
      <c r="B46" s="577" t="s">
        <v>42</v>
      </c>
      <c r="C46" s="368"/>
      <c r="D46" s="227">
        <v>0.186</v>
      </c>
      <c r="E46" s="227">
        <v>0.181</v>
      </c>
      <c r="F46" s="227">
        <v>0.58</v>
      </c>
      <c r="G46" s="227">
        <v>0.53</v>
      </c>
      <c r="H46" s="227">
        <v>0.165</v>
      </c>
      <c r="I46" s="227">
        <v>0.135</v>
      </c>
      <c r="J46" s="227">
        <v>0.501</v>
      </c>
      <c r="K46" s="228">
        <v>0.402</v>
      </c>
      <c r="L46" s="161"/>
      <c r="M46" s="161"/>
    </row>
    <row r="47" spans="2:11" ht="12.75">
      <c r="B47" s="601" t="s">
        <v>41</v>
      </c>
      <c r="C47" s="368"/>
      <c r="D47" s="227">
        <v>0.004</v>
      </c>
      <c r="E47" s="227">
        <v>0</v>
      </c>
      <c r="F47" s="227">
        <v>0.005</v>
      </c>
      <c r="G47" s="227">
        <v>0</v>
      </c>
      <c r="H47" s="227">
        <v>0</v>
      </c>
      <c r="I47" s="227">
        <v>0</v>
      </c>
      <c r="J47" s="227">
        <v>0.002</v>
      </c>
      <c r="K47" s="228">
        <v>0</v>
      </c>
    </row>
    <row r="48" spans="2:11" ht="12.75">
      <c r="B48" s="601" t="s">
        <v>40</v>
      </c>
      <c r="C48" s="368"/>
      <c r="D48" s="227">
        <v>0.078</v>
      </c>
      <c r="E48" s="227">
        <v>0.056</v>
      </c>
      <c r="F48" s="227">
        <v>0.06</v>
      </c>
      <c r="G48" s="227">
        <v>0.055</v>
      </c>
      <c r="H48" s="227">
        <v>0.449</v>
      </c>
      <c r="I48" s="227">
        <v>0.399</v>
      </c>
      <c r="J48" s="227">
        <v>0.236</v>
      </c>
      <c r="K48" s="228">
        <v>0.215</v>
      </c>
    </row>
    <row r="49" spans="2:11" ht="12.75">
      <c r="B49" s="601" t="s">
        <v>96</v>
      </c>
      <c r="C49" s="368"/>
      <c r="D49" s="229">
        <v>0.008</v>
      </c>
      <c r="E49" s="229">
        <v>0.016</v>
      </c>
      <c r="F49" s="229">
        <v>0.011</v>
      </c>
      <c r="G49" s="229">
        <v>0.013</v>
      </c>
      <c r="H49" s="229">
        <v>0</v>
      </c>
      <c r="I49" s="229">
        <v>0.007</v>
      </c>
      <c r="J49" s="229">
        <v>0.004</v>
      </c>
      <c r="K49" s="230">
        <v>0.012</v>
      </c>
    </row>
    <row r="50" spans="2:13" ht="13.5" thickBot="1">
      <c r="B50" s="657" t="s">
        <v>299</v>
      </c>
      <c r="C50" s="658"/>
      <c r="D50" s="231">
        <v>0.725</v>
      </c>
      <c r="E50" s="231">
        <v>0.746</v>
      </c>
      <c r="F50" s="231">
        <v>0.343</v>
      </c>
      <c r="G50" s="231">
        <v>0.402</v>
      </c>
      <c r="H50" s="231">
        <v>0.386</v>
      </c>
      <c r="I50" s="231">
        <v>0.459</v>
      </c>
      <c r="J50" s="231">
        <v>0.257</v>
      </c>
      <c r="K50" s="232">
        <v>0.37</v>
      </c>
      <c r="L50" s="49"/>
      <c r="M50" s="49"/>
    </row>
    <row r="51" spans="2:13" ht="12.75">
      <c r="B51" s="246" t="s">
        <v>662</v>
      </c>
      <c r="L51" s="49"/>
      <c r="M51" s="49"/>
    </row>
    <row r="52" spans="12:13" ht="12.75">
      <c r="L52" s="49"/>
      <c r="M52" s="49"/>
    </row>
    <row r="53" ht="13.5" thickBot="1"/>
    <row r="54" spans="2:11" ht="13.5" thickTop="1">
      <c r="B54" s="560" t="s">
        <v>666</v>
      </c>
      <c r="C54" s="602"/>
      <c r="D54" s="602"/>
      <c r="E54" s="602"/>
      <c r="F54" s="602"/>
      <c r="G54" s="602"/>
      <c r="H54" s="602"/>
      <c r="I54" s="602"/>
      <c r="J54" s="602"/>
      <c r="K54" s="602"/>
    </row>
    <row r="55" spans="2:11" ht="13.5" thickBot="1">
      <c r="B55" s="604"/>
      <c r="C55" s="604"/>
      <c r="D55" s="604"/>
      <c r="E55" s="604"/>
      <c r="F55" s="604"/>
      <c r="G55" s="604"/>
      <c r="H55" s="604"/>
      <c r="I55" s="604"/>
      <c r="J55" s="604"/>
      <c r="K55" s="604"/>
    </row>
    <row r="56" spans="2:11" ht="12.75">
      <c r="B56" s="552" t="s">
        <v>72</v>
      </c>
      <c r="C56" s="555" t="s">
        <v>70</v>
      </c>
      <c r="D56" s="520" t="s">
        <v>516</v>
      </c>
      <c r="E56" s="614"/>
      <c r="F56" s="614"/>
      <c r="G56" s="614"/>
      <c r="H56" s="614"/>
      <c r="I56" s="614"/>
      <c r="J56" s="614"/>
      <c r="K56" s="614"/>
    </row>
    <row r="57" spans="2:11" ht="12.75">
      <c r="B57" s="659"/>
      <c r="C57" s="660"/>
      <c r="D57" s="401" t="s">
        <v>49</v>
      </c>
      <c r="E57" s="628"/>
      <c r="F57" s="628"/>
      <c r="G57" s="628"/>
      <c r="H57" s="628"/>
      <c r="I57" s="628"/>
      <c r="J57" s="628"/>
      <c r="K57" s="628"/>
    </row>
    <row r="58" spans="2:11" ht="12.75">
      <c r="B58" s="668" t="s">
        <v>52</v>
      </c>
      <c r="C58" s="306"/>
      <c r="D58" s="511" t="s">
        <v>76</v>
      </c>
      <c r="E58" s="510"/>
      <c r="F58" s="545" t="s">
        <v>504</v>
      </c>
      <c r="G58" s="490"/>
      <c r="H58" s="545" t="s">
        <v>77</v>
      </c>
      <c r="I58" s="490"/>
      <c r="J58" s="545" t="s">
        <v>78</v>
      </c>
      <c r="K58" s="401"/>
    </row>
    <row r="59" spans="2:11" ht="12.75">
      <c r="B59" s="310"/>
      <c r="C59" s="311"/>
      <c r="D59" s="132" t="s">
        <v>297</v>
      </c>
      <c r="E59" s="121" t="s">
        <v>98</v>
      </c>
      <c r="F59" s="132" t="s">
        <v>297</v>
      </c>
      <c r="G59" s="121" t="s">
        <v>98</v>
      </c>
      <c r="H59" s="132" t="s">
        <v>297</v>
      </c>
      <c r="I59" s="121" t="s">
        <v>98</v>
      </c>
      <c r="J59" s="132" t="s">
        <v>297</v>
      </c>
      <c r="K59" s="174" t="s">
        <v>98</v>
      </c>
    </row>
    <row r="60" spans="2:11" ht="12.75">
      <c r="B60" s="577" t="s">
        <v>447</v>
      </c>
      <c r="C60" s="368"/>
      <c r="D60" s="129">
        <v>0.001</v>
      </c>
      <c r="E60" s="129">
        <v>0.003</v>
      </c>
      <c r="F60" s="129">
        <v>0.001</v>
      </c>
      <c r="G60" s="129">
        <v>0.001</v>
      </c>
      <c r="H60" s="129">
        <v>0.001</v>
      </c>
      <c r="I60" s="129">
        <v>0.001</v>
      </c>
      <c r="J60" s="129">
        <v>0.001</v>
      </c>
      <c r="K60" s="130">
        <v>0.001</v>
      </c>
    </row>
    <row r="61" spans="2:11" ht="12.75">
      <c r="B61" s="601" t="s">
        <v>308</v>
      </c>
      <c r="C61" s="368"/>
      <c r="D61" s="56">
        <v>0.003</v>
      </c>
      <c r="E61" s="56">
        <v>0.018</v>
      </c>
      <c r="F61" s="56">
        <v>0.001</v>
      </c>
      <c r="G61" s="56">
        <v>0.003</v>
      </c>
      <c r="H61" s="56">
        <v>0.001</v>
      </c>
      <c r="I61" s="56">
        <v>0.026</v>
      </c>
      <c r="J61" s="56">
        <v>0.002</v>
      </c>
      <c r="K61" s="58">
        <v>0.002</v>
      </c>
    </row>
    <row r="62" spans="2:11" ht="12.75">
      <c r="B62" s="601" t="s">
        <v>309</v>
      </c>
      <c r="C62" s="368"/>
      <c r="D62" s="56">
        <v>0.762</v>
      </c>
      <c r="E62" s="56">
        <v>0.8341</v>
      </c>
      <c r="F62" s="56">
        <v>0.653</v>
      </c>
      <c r="G62" s="56">
        <v>0.895</v>
      </c>
      <c r="H62" s="56">
        <v>0.679</v>
      </c>
      <c r="I62" s="56">
        <v>0.847</v>
      </c>
      <c r="J62" s="56">
        <v>0.744</v>
      </c>
      <c r="K62" s="58">
        <v>0.87</v>
      </c>
    </row>
    <row r="63" spans="2:11" ht="12.75">
      <c r="B63" s="601" t="s">
        <v>310</v>
      </c>
      <c r="C63" s="368"/>
      <c r="D63" s="56">
        <v>0.09</v>
      </c>
      <c r="E63" s="56">
        <v>0.092</v>
      </c>
      <c r="F63" s="56">
        <v>0.091</v>
      </c>
      <c r="G63" s="56">
        <v>0.069</v>
      </c>
      <c r="H63" s="56">
        <v>0.089</v>
      </c>
      <c r="I63" s="56">
        <v>0.07</v>
      </c>
      <c r="J63" s="56">
        <v>0.072</v>
      </c>
      <c r="K63" s="58">
        <v>0.07</v>
      </c>
    </row>
    <row r="64" spans="2:11" ht="12.75">
      <c r="B64" s="601" t="s">
        <v>311</v>
      </c>
      <c r="C64" s="368"/>
      <c r="D64" s="56">
        <v>0.039</v>
      </c>
      <c r="E64" s="56">
        <v>0.023</v>
      </c>
      <c r="F64" s="56">
        <v>0.045</v>
      </c>
      <c r="G64" s="56">
        <v>0.018</v>
      </c>
      <c r="H64" s="56">
        <v>0.051</v>
      </c>
      <c r="I64" s="56">
        <v>0.007</v>
      </c>
      <c r="J64" s="56">
        <v>0.04</v>
      </c>
      <c r="K64" s="58">
        <v>0.023</v>
      </c>
    </row>
    <row r="65" spans="2:11" ht="12.75">
      <c r="B65" s="601" t="s">
        <v>518</v>
      </c>
      <c r="C65" s="299"/>
      <c r="D65" s="56">
        <v>0.105</v>
      </c>
      <c r="E65" s="56">
        <v>0.03</v>
      </c>
      <c r="F65" s="56">
        <v>0.209</v>
      </c>
      <c r="G65" s="56">
        <v>0.014</v>
      </c>
      <c r="H65" s="56">
        <v>0.179</v>
      </c>
      <c r="I65" s="56">
        <v>0.049</v>
      </c>
      <c r="J65" s="56">
        <v>0.141</v>
      </c>
      <c r="K65" s="58">
        <v>0.034</v>
      </c>
    </row>
    <row r="66" spans="2:11" ht="12.75">
      <c r="B66" s="761" t="s">
        <v>665</v>
      </c>
      <c r="C66" s="391"/>
      <c r="D66" s="391"/>
      <c r="E66" s="391"/>
      <c r="F66" s="391"/>
      <c r="G66" s="391"/>
      <c r="H66" s="391"/>
      <c r="I66" s="391"/>
      <c r="J66" s="391"/>
      <c r="K66" s="391"/>
    </row>
    <row r="67" spans="2:11" ht="12.75">
      <c r="B67" s="668" t="s">
        <v>52</v>
      </c>
      <c r="C67" s="306"/>
      <c r="D67" s="545" t="s">
        <v>719</v>
      </c>
      <c r="E67" s="274"/>
      <c r="F67" s="274"/>
      <c r="G67" s="274"/>
      <c r="H67" s="274"/>
      <c r="I67" s="274"/>
      <c r="J67" s="274"/>
      <c r="K67" s="297"/>
    </row>
    <row r="68" spans="2:11" ht="12.75">
      <c r="B68" s="309"/>
      <c r="C68" s="308"/>
      <c r="D68" s="511" t="s">
        <v>76</v>
      </c>
      <c r="E68" s="510"/>
      <c r="F68" s="545" t="s">
        <v>504</v>
      </c>
      <c r="G68" s="490"/>
      <c r="H68" s="545" t="s">
        <v>77</v>
      </c>
      <c r="I68" s="490"/>
      <c r="J68" s="545" t="s">
        <v>78</v>
      </c>
      <c r="K68" s="401"/>
    </row>
    <row r="69" spans="2:11" ht="12.75">
      <c r="B69" s="344"/>
      <c r="C69" s="669"/>
      <c r="D69" s="132" t="s">
        <v>297</v>
      </c>
      <c r="E69" s="121" t="s">
        <v>98</v>
      </c>
      <c r="F69" s="132" t="s">
        <v>297</v>
      </c>
      <c r="G69" s="121" t="s">
        <v>98</v>
      </c>
      <c r="H69" s="132" t="s">
        <v>297</v>
      </c>
      <c r="I69" s="121" t="s">
        <v>98</v>
      </c>
      <c r="J69" s="132" t="s">
        <v>297</v>
      </c>
      <c r="K69" s="174" t="s">
        <v>98</v>
      </c>
    </row>
    <row r="70" spans="2:11" ht="12.75">
      <c r="B70" s="577" t="s">
        <v>447</v>
      </c>
      <c r="C70" s="368"/>
      <c r="D70" s="227">
        <v>0</v>
      </c>
      <c r="E70" s="227">
        <v>0</v>
      </c>
      <c r="F70" s="227">
        <v>0</v>
      </c>
      <c r="G70" s="227">
        <v>0</v>
      </c>
      <c r="H70" s="227">
        <v>0</v>
      </c>
      <c r="I70" s="227">
        <v>0</v>
      </c>
      <c r="J70" s="227">
        <v>0</v>
      </c>
      <c r="K70" s="228">
        <v>0</v>
      </c>
    </row>
    <row r="71" spans="2:11" ht="12.75">
      <c r="B71" s="601" t="s">
        <v>308</v>
      </c>
      <c r="C71" s="368"/>
      <c r="D71" s="227">
        <v>0</v>
      </c>
      <c r="E71" s="227">
        <v>0</v>
      </c>
      <c r="F71" s="227">
        <v>0</v>
      </c>
      <c r="G71" s="227">
        <v>0</v>
      </c>
      <c r="H71" s="227">
        <v>0</v>
      </c>
      <c r="I71" s="227">
        <v>0</v>
      </c>
      <c r="J71" s="227">
        <v>0</v>
      </c>
      <c r="K71" s="228">
        <v>0</v>
      </c>
    </row>
    <row r="72" spans="2:11" ht="12.75">
      <c r="B72" s="601" t="s">
        <v>309</v>
      </c>
      <c r="C72" s="368"/>
      <c r="D72" s="227">
        <v>0.077</v>
      </c>
      <c r="E72" s="227">
        <v>1</v>
      </c>
      <c r="F72" s="227">
        <v>0.115</v>
      </c>
      <c r="G72" s="227">
        <v>0.875</v>
      </c>
      <c r="H72" s="227">
        <v>0.138</v>
      </c>
      <c r="I72" s="227">
        <v>0.75</v>
      </c>
      <c r="J72" s="227">
        <v>0.097</v>
      </c>
      <c r="K72" s="228">
        <v>0.722</v>
      </c>
    </row>
    <row r="73" spans="2:11" ht="12.75">
      <c r="B73" s="601" t="s">
        <v>310</v>
      </c>
      <c r="C73" s="368"/>
      <c r="D73" s="229">
        <v>0</v>
      </c>
      <c r="E73" s="229">
        <v>0</v>
      </c>
      <c r="F73" s="229">
        <v>0</v>
      </c>
      <c r="G73" s="229">
        <v>0.125</v>
      </c>
      <c r="H73" s="229">
        <v>0</v>
      </c>
      <c r="I73" s="229">
        <v>0</v>
      </c>
      <c r="J73" s="229">
        <v>0</v>
      </c>
      <c r="K73" s="230">
        <v>0</v>
      </c>
    </row>
    <row r="74" spans="2:11" ht="12.75">
      <c r="B74" s="601" t="s">
        <v>311</v>
      </c>
      <c r="C74" s="368"/>
      <c r="D74" s="229">
        <v>0.923</v>
      </c>
      <c r="E74" s="229">
        <v>0</v>
      </c>
      <c r="F74" s="229">
        <v>0.769</v>
      </c>
      <c r="G74" s="229">
        <v>0</v>
      </c>
      <c r="H74" s="229">
        <v>0.862</v>
      </c>
      <c r="I74" s="229">
        <v>0</v>
      </c>
      <c r="J74" s="229">
        <v>0.888</v>
      </c>
      <c r="K74" s="230">
        <v>0.056</v>
      </c>
    </row>
    <row r="75" spans="2:11" ht="13.5" thickBot="1">
      <c r="B75" s="601" t="s">
        <v>518</v>
      </c>
      <c r="C75" s="299"/>
      <c r="D75" s="231">
        <v>0</v>
      </c>
      <c r="E75" s="231">
        <v>0</v>
      </c>
      <c r="F75" s="231">
        <v>0.115</v>
      </c>
      <c r="G75" s="231">
        <v>0</v>
      </c>
      <c r="H75" s="231">
        <v>0</v>
      </c>
      <c r="I75" s="231">
        <v>0.25</v>
      </c>
      <c r="J75" s="231">
        <v>0.015</v>
      </c>
      <c r="K75" s="232">
        <v>0.222</v>
      </c>
    </row>
    <row r="78" spans="8:12" ht="13.5" thickBot="1">
      <c r="H78" s="22"/>
      <c r="I78" s="22"/>
      <c r="J78" s="22"/>
      <c r="K78" s="22"/>
      <c r="L78" s="22"/>
    </row>
    <row r="79" spans="2:12" ht="13.5" thickTop="1">
      <c r="B79" s="560" t="s">
        <v>675</v>
      </c>
      <c r="C79" s="561"/>
      <c r="D79" s="561"/>
      <c r="E79" s="561"/>
      <c r="F79" s="561"/>
      <c r="G79" s="561"/>
      <c r="H79" s="140"/>
      <c r="I79" s="140"/>
      <c r="J79" s="140"/>
      <c r="K79" s="140"/>
      <c r="L79" s="22"/>
    </row>
    <row r="80" spans="2:12" ht="13.5" thickBot="1">
      <c r="B80" s="562"/>
      <c r="C80" s="562"/>
      <c r="D80" s="562"/>
      <c r="E80" s="562"/>
      <c r="F80" s="562"/>
      <c r="G80" s="562"/>
      <c r="H80" s="140"/>
      <c r="I80" s="140"/>
      <c r="J80" s="140"/>
      <c r="K80" s="140"/>
      <c r="L80" s="22"/>
    </row>
    <row r="81" spans="2:12" ht="14.25">
      <c r="B81" s="757" t="s">
        <v>72</v>
      </c>
      <c r="C81" s="758" t="s">
        <v>70</v>
      </c>
      <c r="D81" s="755" t="s">
        <v>520</v>
      </c>
      <c r="E81" s="755"/>
      <c r="F81" s="755"/>
      <c r="G81" s="756"/>
      <c r="H81" s="22"/>
      <c r="I81" s="22"/>
      <c r="J81" s="22"/>
      <c r="K81" s="22"/>
      <c r="L81" s="22"/>
    </row>
    <row r="82" spans="2:7" ht="12.75">
      <c r="B82" s="659"/>
      <c r="C82" s="660"/>
      <c r="D82" s="485" t="s">
        <v>49</v>
      </c>
      <c r="E82" s="485"/>
      <c r="F82" s="259" t="s">
        <v>719</v>
      </c>
      <c r="G82" s="260"/>
    </row>
    <row r="83" spans="2:7" ht="12.75">
      <c r="B83" s="759" t="s">
        <v>519</v>
      </c>
      <c r="C83" s="760"/>
      <c r="D83" s="485"/>
      <c r="E83" s="485"/>
      <c r="F83" s="482"/>
      <c r="G83" s="483"/>
    </row>
    <row r="84" spans="2:7" ht="12.75">
      <c r="B84" s="275" t="s">
        <v>76</v>
      </c>
      <c r="C84" s="276"/>
      <c r="D84" s="274">
        <v>0.238</v>
      </c>
      <c r="E84" s="274"/>
      <c r="F84" s="572">
        <v>0.321</v>
      </c>
      <c r="G84" s="547"/>
    </row>
    <row r="85" spans="2:7" ht="12.75">
      <c r="B85" s="275" t="s">
        <v>77</v>
      </c>
      <c r="C85" s="276"/>
      <c r="D85" s="274">
        <v>0.229</v>
      </c>
      <c r="E85" s="274"/>
      <c r="F85" s="572">
        <v>0.311</v>
      </c>
      <c r="G85" s="547"/>
    </row>
    <row r="86" spans="2:7" ht="12.75">
      <c r="B86" s="275" t="s">
        <v>504</v>
      </c>
      <c r="C86" s="276"/>
      <c r="D86" s="274">
        <v>0.235</v>
      </c>
      <c r="E86" s="274"/>
      <c r="F86" s="572">
        <v>0.16</v>
      </c>
      <c r="G86" s="547"/>
    </row>
    <row r="87" spans="2:7" ht="13.5" thickBot="1">
      <c r="B87" s="255" t="s">
        <v>78</v>
      </c>
      <c r="C87" s="256"/>
      <c r="D87" s="476">
        <v>0.235</v>
      </c>
      <c r="E87" s="476"/>
      <c r="F87" s="655">
        <v>0.122</v>
      </c>
      <c r="G87" s="535"/>
    </row>
  </sheetData>
  <sheetProtection/>
  <mergeCells count="123">
    <mergeCell ref="B87:C87"/>
    <mergeCell ref="D87:E87"/>
    <mergeCell ref="F87:G87"/>
    <mergeCell ref="I8:M8"/>
    <mergeCell ref="I13:M13"/>
    <mergeCell ref="I18:M18"/>
    <mergeCell ref="B49:C49"/>
    <mergeCell ref="I25:M25"/>
    <mergeCell ref="I24:M24"/>
    <mergeCell ref="L45:M45"/>
    <mergeCell ref="B3:F4"/>
    <mergeCell ref="B5:B7"/>
    <mergeCell ref="F5:F7"/>
    <mergeCell ref="B8:F8"/>
    <mergeCell ref="B13:F13"/>
    <mergeCell ref="B18:F18"/>
    <mergeCell ref="P3:V4"/>
    <mergeCell ref="P5:P7"/>
    <mergeCell ref="V5:V7"/>
    <mergeCell ref="P8:V8"/>
    <mergeCell ref="I3:M4"/>
    <mergeCell ref="I5:I7"/>
    <mergeCell ref="M5:M7"/>
    <mergeCell ref="L35:M35"/>
    <mergeCell ref="B37:C37"/>
    <mergeCell ref="B38:C38"/>
    <mergeCell ref="B39:C39"/>
    <mergeCell ref="B40:C40"/>
    <mergeCell ref="B35:C36"/>
    <mergeCell ref="D35:E35"/>
    <mergeCell ref="F35:G35"/>
    <mergeCell ref="H35:I35"/>
    <mergeCell ref="B41:C41"/>
    <mergeCell ref="B43:C45"/>
    <mergeCell ref="D33:K33"/>
    <mergeCell ref="D34:K34"/>
    <mergeCell ref="D43:K43"/>
    <mergeCell ref="B42:K42"/>
    <mergeCell ref="B33:B34"/>
    <mergeCell ref="C33:C34"/>
    <mergeCell ref="J35:K35"/>
    <mergeCell ref="F44:G44"/>
    <mergeCell ref="H44:I44"/>
    <mergeCell ref="J44:K44"/>
    <mergeCell ref="D57:K57"/>
    <mergeCell ref="B50:C50"/>
    <mergeCell ref="B56:B57"/>
    <mergeCell ref="C56:C57"/>
    <mergeCell ref="B46:C46"/>
    <mergeCell ref="D56:K56"/>
    <mergeCell ref="B48:C48"/>
    <mergeCell ref="B31:K32"/>
    <mergeCell ref="B64:C64"/>
    <mergeCell ref="B58:C59"/>
    <mergeCell ref="D58:E58"/>
    <mergeCell ref="F58:G58"/>
    <mergeCell ref="H58:I58"/>
    <mergeCell ref="J58:K58"/>
    <mergeCell ref="B60:C60"/>
    <mergeCell ref="B47:C47"/>
    <mergeCell ref="D44:E44"/>
    <mergeCell ref="H68:I68"/>
    <mergeCell ref="J68:K68"/>
    <mergeCell ref="B61:C61"/>
    <mergeCell ref="B62:C62"/>
    <mergeCell ref="B63:C63"/>
    <mergeCell ref="B65:C65"/>
    <mergeCell ref="B66:K66"/>
    <mergeCell ref="B75:C75"/>
    <mergeCell ref="B79:G80"/>
    <mergeCell ref="D84:E84"/>
    <mergeCell ref="D85:E85"/>
    <mergeCell ref="B74:C74"/>
    <mergeCell ref="B54:K55"/>
    <mergeCell ref="B67:C69"/>
    <mergeCell ref="D67:K67"/>
    <mergeCell ref="D68:E68"/>
    <mergeCell ref="F68:G68"/>
    <mergeCell ref="D81:G81"/>
    <mergeCell ref="Y28:AE28"/>
    <mergeCell ref="Y29:AE29"/>
    <mergeCell ref="B81:B82"/>
    <mergeCell ref="C81:C82"/>
    <mergeCell ref="B83:C83"/>
    <mergeCell ref="B70:C70"/>
    <mergeCell ref="B71:C71"/>
    <mergeCell ref="B72:C72"/>
    <mergeCell ref="B73:C73"/>
    <mergeCell ref="B84:C84"/>
    <mergeCell ref="D86:E86"/>
    <mergeCell ref="D82:E83"/>
    <mergeCell ref="F82:G83"/>
    <mergeCell ref="F84:G84"/>
    <mergeCell ref="F85:G85"/>
    <mergeCell ref="F86:G86"/>
    <mergeCell ref="B85:C85"/>
    <mergeCell ref="B86:C86"/>
    <mergeCell ref="AE22:AE23"/>
    <mergeCell ref="Z24:AA24"/>
    <mergeCell ref="Z25:AA25"/>
    <mergeCell ref="Z26:AA26"/>
    <mergeCell ref="Z27:AA27"/>
    <mergeCell ref="Z9:AA9"/>
    <mergeCell ref="Z10:AA10"/>
    <mergeCell ref="Z11:AA11"/>
    <mergeCell ref="Z12:AA12"/>
    <mergeCell ref="Y5:Y8"/>
    <mergeCell ref="Z5:AA8"/>
    <mergeCell ref="AB7:AB8"/>
    <mergeCell ref="AC7:AC8"/>
    <mergeCell ref="AD7:AD8"/>
    <mergeCell ref="AE7:AE8"/>
    <mergeCell ref="AB5:AE6"/>
    <mergeCell ref="Y3:AE4"/>
    <mergeCell ref="Y13:AE13"/>
    <mergeCell ref="Y14:AE14"/>
    <mergeCell ref="Y18:AE19"/>
    <mergeCell ref="Y20:Y23"/>
    <mergeCell ref="Z20:AA23"/>
    <mergeCell ref="AB20:AE21"/>
    <mergeCell ref="AB22:AB23"/>
    <mergeCell ref="AC22:AC23"/>
    <mergeCell ref="AD22:AD23"/>
  </mergeCells>
  <dataValidations count="1">
    <dataValidation type="list" allowBlank="1" showInputMessage="1" showErrorMessage="1" sqref="C33 C81 C56">
      <formula1>Local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29" customWidth="1"/>
    <col min="8" max="8" width="15.28125" style="29" customWidth="1"/>
    <col min="9" max="9" width="13.7109375" style="29" customWidth="1"/>
    <col min="10" max="10" width="15.8515625" style="29" customWidth="1"/>
    <col min="11" max="17" width="13.7109375" style="29" customWidth="1"/>
    <col min="18" max="27" width="12.7109375" style="29" customWidth="1"/>
    <col min="28" max="33" width="9.140625" style="29" customWidth="1"/>
    <col min="34" max="34" width="11.00390625" style="29" customWidth="1"/>
    <col min="35" max="35" width="12.421875" style="29" customWidth="1"/>
    <col min="36" max="36" width="10.421875" style="29" customWidth="1"/>
    <col min="37" max="37" width="10.7109375" style="29" customWidth="1"/>
    <col min="38" max="38" width="12.421875" style="29" customWidth="1"/>
    <col min="39" max="39" width="10.421875" style="29" customWidth="1"/>
    <col min="40" max="40" width="11.7109375" style="29" customWidth="1"/>
    <col min="41" max="41" width="10.421875" style="29" customWidth="1"/>
    <col min="42" max="43" width="9.140625" style="29" customWidth="1"/>
    <col min="44" max="44" width="10.140625" style="29" customWidth="1"/>
    <col min="45" max="16384" width="9.140625" style="29" customWidth="1"/>
  </cols>
  <sheetData>
    <row r="1" spans="12:21" ht="12.75">
      <c r="L1" s="30"/>
      <c r="O1" s="25"/>
      <c r="U1" s="70"/>
    </row>
    <row r="2" spans="12:21" ht="13.5" thickBot="1">
      <c r="L2" s="30"/>
      <c r="O2" s="25"/>
      <c r="U2" s="70"/>
    </row>
    <row r="3" spans="1:53" ht="13.5" thickTop="1">
      <c r="A3" s="35"/>
      <c r="B3" s="773" t="s">
        <v>580</v>
      </c>
      <c r="C3" s="806"/>
      <c r="D3" s="806"/>
      <c r="E3" s="806"/>
      <c r="F3" s="806"/>
      <c r="G3" s="806"/>
      <c r="H3" s="806"/>
      <c r="I3" s="806"/>
      <c r="J3" s="806"/>
      <c r="K3" s="66"/>
      <c r="L3" s="43"/>
      <c r="M3" s="43"/>
      <c r="N3" s="43"/>
      <c r="O3" s="43"/>
      <c r="P3" s="43"/>
      <c r="Q3" s="43"/>
      <c r="R3" s="43"/>
      <c r="S3" s="43"/>
      <c r="T3" s="43"/>
      <c r="U3" s="73"/>
      <c r="V3" s="73"/>
      <c r="W3" s="45"/>
      <c r="X3" s="45"/>
      <c r="Y3" s="45"/>
      <c r="AH3" s="45"/>
      <c r="AR3" s="45"/>
      <c r="AS3" s="45"/>
      <c r="AT3" s="45"/>
      <c r="AU3" s="45"/>
      <c r="AV3" s="45"/>
      <c r="AW3" s="45"/>
      <c r="AX3" s="45"/>
      <c r="AY3" s="45"/>
      <c r="AZ3" s="45"/>
      <c r="BA3" s="45"/>
    </row>
    <row r="4" spans="1:53" ht="13.5" thickBot="1">
      <c r="A4" s="45"/>
      <c r="B4" s="807"/>
      <c r="C4" s="807"/>
      <c r="D4" s="807"/>
      <c r="E4" s="807"/>
      <c r="F4" s="807"/>
      <c r="G4" s="807"/>
      <c r="H4" s="807"/>
      <c r="I4" s="807"/>
      <c r="J4" s="807"/>
      <c r="K4" s="25"/>
      <c r="L4" s="43"/>
      <c r="M4" s="43"/>
      <c r="N4" s="43"/>
      <c r="O4" s="43"/>
      <c r="P4" s="43"/>
      <c r="Q4" s="43"/>
      <c r="R4" s="43"/>
      <c r="S4" s="43"/>
      <c r="T4" s="43"/>
      <c r="U4" s="73"/>
      <c r="V4" s="73"/>
      <c r="W4" s="25"/>
      <c r="X4" s="25"/>
      <c r="Y4" s="25"/>
      <c r="AR4" s="45"/>
      <c r="AS4" s="45"/>
      <c r="AT4" s="45"/>
      <c r="AU4" s="45"/>
      <c r="AV4" s="45"/>
      <c r="AW4" s="45"/>
      <c r="AX4" s="45"/>
      <c r="AY4" s="45"/>
      <c r="AZ4" s="45"/>
      <c r="BA4" s="45"/>
    </row>
    <row r="5" spans="2:53" ht="12.75">
      <c r="B5" s="803" t="s">
        <v>16</v>
      </c>
      <c r="C5" s="281"/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95" t="s">
        <v>23</v>
      </c>
      <c r="K5" s="46"/>
      <c r="L5" s="42"/>
      <c r="M5" s="42"/>
      <c r="N5" s="42"/>
      <c r="O5" s="66"/>
      <c r="P5" s="66"/>
      <c r="Q5" s="66"/>
      <c r="R5" s="66"/>
      <c r="S5" s="66"/>
      <c r="T5" s="66"/>
      <c r="W5" s="66"/>
      <c r="X5" s="66"/>
      <c r="Y5" s="66"/>
      <c r="AH5" s="45"/>
      <c r="AI5" s="45"/>
      <c r="AJ5" s="45"/>
      <c r="AK5" s="25"/>
      <c r="AL5" s="45"/>
      <c r="AM5" s="25"/>
      <c r="AN5" s="25"/>
      <c r="AO5" s="2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2:53" ht="12.75" customHeight="1">
      <c r="B6" s="823" t="s">
        <v>576</v>
      </c>
      <c r="C6" s="824"/>
      <c r="D6" s="749" t="s">
        <v>44</v>
      </c>
      <c r="E6" s="682"/>
      <c r="F6" s="824"/>
      <c r="G6" s="634" t="s">
        <v>132</v>
      </c>
      <c r="H6" s="634" t="s">
        <v>33</v>
      </c>
      <c r="I6" s="634" t="s">
        <v>133</v>
      </c>
      <c r="J6" s="814" t="s">
        <v>134</v>
      </c>
      <c r="L6" s="73"/>
      <c r="M6" s="73"/>
      <c r="N6" s="73"/>
      <c r="O6" s="66"/>
      <c r="P6" s="66"/>
      <c r="Q6" s="66"/>
      <c r="S6" s="45"/>
      <c r="W6" s="45"/>
      <c r="X6" s="45"/>
      <c r="Y6" s="45"/>
      <c r="AH6" s="45"/>
      <c r="AI6" s="45"/>
      <c r="AJ6" s="25"/>
      <c r="AK6" s="25"/>
      <c r="AL6" s="25"/>
      <c r="AM6" s="25"/>
      <c r="AN6" s="25"/>
      <c r="AO6" s="25"/>
      <c r="AR6" s="45"/>
      <c r="AS6" s="45"/>
      <c r="AT6" s="45"/>
      <c r="AU6" s="45"/>
      <c r="AV6" s="45"/>
      <c r="AW6" s="45"/>
      <c r="AX6" s="45"/>
      <c r="AY6" s="45"/>
      <c r="AZ6" s="45"/>
      <c r="BA6" s="45"/>
    </row>
    <row r="7" spans="2:53" ht="12.75">
      <c r="B7" s="699"/>
      <c r="C7" s="458"/>
      <c r="D7" s="831"/>
      <c r="E7" s="832"/>
      <c r="F7" s="833"/>
      <c r="G7" s="302"/>
      <c r="H7" s="358"/>
      <c r="I7" s="302"/>
      <c r="J7" s="644"/>
      <c r="L7" s="39"/>
      <c r="M7" s="25"/>
      <c r="N7" s="25"/>
      <c r="O7" s="40"/>
      <c r="P7" s="40"/>
      <c r="Q7" s="40"/>
      <c r="R7" s="40"/>
      <c r="S7" s="40"/>
      <c r="T7" s="40"/>
      <c r="U7" s="40"/>
      <c r="V7" s="40"/>
      <c r="W7" s="25"/>
      <c r="X7" s="45"/>
      <c r="Y7" s="25"/>
      <c r="AH7" s="25"/>
      <c r="AI7" s="25"/>
      <c r="AJ7" s="25"/>
      <c r="AK7" s="25"/>
      <c r="AL7" s="91"/>
      <c r="AM7" s="91"/>
      <c r="AN7" s="91"/>
      <c r="AO7" s="91"/>
      <c r="AR7" s="31"/>
      <c r="AS7" s="28"/>
      <c r="AT7" s="28"/>
      <c r="AU7" s="28"/>
      <c r="AV7" s="28"/>
      <c r="AW7" s="28"/>
      <c r="AX7" s="28"/>
      <c r="AY7" s="28"/>
      <c r="AZ7" s="28"/>
      <c r="BA7" s="28"/>
    </row>
    <row r="8" spans="2:53" ht="12.75" customHeight="1">
      <c r="B8" s="699"/>
      <c r="C8" s="458"/>
      <c r="D8" s="834"/>
      <c r="E8" s="686"/>
      <c r="F8" s="460"/>
      <c r="G8" s="302"/>
      <c r="H8" s="358"/>
      <c r="I8" s="811"/>
      <c r="J8" s="815"/>
      <c r="K8" s="47"/>
      <c r="O8" s="37"/>
      <c r="P8" s="37"/>
      <c r="Q8" s="37"/>
      <c r="R8" s="37"/>
      <c r="S8" s="37"/>
      <c r="T8" s="37"/>
      <c r="U8" s="37"/>
      <c r="V8" s="37"/>
      <c r="W8" s="25"/>
      <c r="X8" s="25"/>
      <c r="Y8" s="25"/>
      <c r="AH8" s="25"/>
      <c r="AI8" s="25"/>
      <c r="AJ8" s="25"/>
      <c r="AK8" s="25"/>
      <c r="AL8" s="92"/>
      <c r="AM8" s="92"/>
      <c r="AN8" s="92"/>
      <c r="AO8" s="92"/>
      <c r="AR8" s="31"/>
      <c r="AS8" s="28"/>
      <c r="AT8" s="28"/>
      <c r="AU8" s="28"/>
      <c r="AV8" s="28"/>
      <c r="AW8" s="28"/>
      <c r="AX8" s="28"/>
      <c r="AY8" s="28"/>
      <c r="AZ8" s="28"/>
      <c r="BA8" s="28"/>
    </row>
    <row r="9" spans="1:53" ht="12.75">
      <c r="A9" s="45"/>
      <c r="B9" s="699"/>
      <c r="C9" s="458"/>
      <c r="D9" s="813" t="s">
        <v>114</v>
      </c>
      <c r="E9" s="813" t="s">
        <v>144</v>
      </c>
      <c r="F9" s="813" t="s">
        <v>115</v>
      </c>
      <c r="G9" s="302"/>
      <c r="H9" s="358"/>
      <c r="I9" s="813" t="s">
        <v>135</v>
      </c>
      <c r="J9" s="809" t="s">
        <v>136</v>
      </c>
      <c r="K9" s="46"/>
      <c r="M9" s="75"/>
      <c r="N9" s="75"/>
      <c r="O9" s="76"/>
      <c r="P9" s="76"/>
      <c r="Q9" s="76"/>
      <c r="R9" s="34"/>
      <c r="S9" s="34"/>
      <c r="T9" s="34"/>
      <c r="U9" s="34"/>
      <c r="V9" s="34"/>
      <c r="AH9" s="39"/>
      <c r="AI9" s="25"/>
      <c r="AJ9" s="53"/>
      <c r="AK9" s="25"/>
      <c r="AL9" s="87"/>
      <c r="AM9" s="87"/>
      <c r="AN9" s="93"/>
      <c r="AO9" s="93"/>
      <c r="AR9" s="31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12.75">
      <c r="A10" s="45"/>
      <c r="B10" s="699"/>
      <c r="C10" s="458"/>
      <c r="D10" s="358"/>
      <c r="E10" s="358"/>
      <c r="F10" s="358"/>
      <c r="G10" s="811"/>
      <c r="H10" s="811"/>
      <c r="I10" s="813"/>
      <c r="J10" s="809"/>
      <c r="K10" s="46"/>
      <c r="M10" s="75"/>
      <c r="N10" s="75"/>
      <c r="O10" s="76"/>
      <c r="P10" s="76"/>
      <c r="Q10" s="76"/>
      <c r="R10" s="34"/>
      <c r="S10" s="34"/>
      <c r="T10" s="34"/>
      <c r="U10" s="34"/>
      <c r="V10" s="34"/>
      <c r="AH10" s="39"/>
      <c r="AI10" s="25"/>
      <c r="AJ10" s="53"/>
      <c r="AK10" s="25"/>
      <c r="AL10" s="87"/>
      <c r="AM10" s="87"/>
      <c r="AN10" s="93"/>
      <c r="AO10" s="93"/>
      <c r="AR10" s="31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ht="13.5" thickBot="1">
      <c r="A11" s="31"/>
      <c r="B11" s="825"/>
      <c r="C11" s="826"/>
      <c r="D11" s="812"/>
      <c r="E11" s="812"/>
      <c r="F11" s="812"/>
      <c r="G11" s="812"/>
      <c r="H11" s="812"/>
      <c r="I11" s="812"/>
      <c r="J11" s="810"/>
      <c r="K11" s="70"/>
      <c r="L11" s="74"/>
      <c r="M11" s="75"/>
      <c r="N11" s="75"/>
      <c r="O11" s="34"/>
      <c r="P11" s="34"/>
      <c r="Q11" s="34"/>
      <c r="R11" s="34"/>
      <c r="S11" s="34"/>
      <c r="T11" s="34"/>
      <c r="U11" s="34"/>
      <c r="V11" s="34"/>
      <c r="W11" s="11"/>
      <c r="X11" s="11"/>
      <c r="Y11" s="11"/>
      <c r="AH11" s="25"/>
      <c r="AI11" s="25"/>
      <c r="AJ11" s="25"/>
      <c r="AK11" s="25"/>
      <c r="AL11" s="87"/>
      <c r="AM11" s="87"/>
      <c r="AN11" s="87"/>
      <c r="AO11" s="87"/>
      <c r="AR11" s="31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ht="12.75">
      <c r="A12" s="31"/>
      <c r="B12" s="805" t="s">
        <v>116</v>
      </c>
      <c r="C12" s="805"/>
      <c r="D12" s="805"/>
      <c r="E12" s="805"/>
      <c r="F12" s="805"/>
      <c r="G12" s="805"/>
      <c r="H12" s="805"/>
      <c r="I12" s="805"/>
      <c r="J12" s="805"/>
      <c r="K12" s="70"/>
      <c r="L12" s="74"/>
      <c r="M12" s="75"/>
      <c r="N12" s="75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AH12" s="25"/>
      <c r="AI12" s="25"/>
      <c r="AJ12" s="25"/>
      <c r="AK12" s="25"/>
      <c r="AL12" s="87"/>
      <c r="AM12" s="87"/>
      <c r="AN12" s="87"/>
      <c r="AO12" s="87"/>
      <c r="AR12" s="31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ht="12.75">
      <c r="A13" s="31"/>
      <c r="B13" s="800" t="s">
        <v>577</v>
      </c>
      <c r="C13" s="368"/>
      <c r="D13" s="368"/>
      <c r="E13" s="368"/>
      <c r="F13" s="368"/>
      <c r="G13" s="368"/>
      <c r="H13" s="368"/>
      <c r="I13" s="368"/>
      <c r="J13" s="368"/>
      <c r="K13" s="70"/>
      <c r="L13" s="74"/>
      <c r="M13" s="75"/>
      <c r="N13" s="75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AH13" s="25"/>
      <c r="AI13" s="25"/>
      <c r="AJ13" s="25"/>
      <c r="AK13" s="25"/>
      <c r="AL13" s="87"/>
      <c r="AM13" s="87"/>
      <c r="AN13" s="87"/>
      <c r="AO13" s="87"/>
      <c r="AR13" s="31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44" ht="12.75">
      <c r="A14" s="31"/>
      <c r="B14" s="462" t="s">
        <v>575</v>
      </c>
      <c r="C14" s="295"/>
      <c r="D14" s="56">
        <f>+Segment1!$N$47</f>
        <v>1.8323950260316502</v>
      </c>
      <c r="E14" s="56">
        <f>+Segment1!$N$48</f>
        <v>0.5370029676796475</v>
      </c>
      <c r="F14" s="56">
        <f>+Segment1!$N$50</f>
        <v>1.2953920583520029</v>
      </c>
      <c r="G14" s="236">
        <v>7</v>
      </c>
      <c r="H14" s="56">
        <f>+Segment1!$E$47</f>
        <v>1.32</v>
      </c>
      <c r="I14" s="104">
        <f>1/(1+H14*D14)</f>
        <v>0.29250359207549737</v>
      </c>
      <c r="J14" s="58">
        <f>+I14*+D14+((1-I14)*G14)</f>
        <v>5.48845698268705</v>
      </c>
      <c r="K14" s="70"/>
      <c r="L14" s="74"/>
      <c r="M14" s="75"/>
      <c r="N14" s="75"/>
      <c r="O14" s="34"/>
      <c r="P14" s="34"/>
      <c r="Q14" s="34"/>
      <c r="R14" s="34"/>
      <c r="S14" s="34"/>
      <c r="T14" s="34"/>
      <c r="U14" s="34"/>
      <c r="V14" s="34"/>
      <c r="W14" s="11"/>
      <c r="X14" s="11"/>
      <c r="Y14" s="11"/>
      <c r="AH14" s="54"/>
      <c r="AI14" s="36"/>
      <c r="AJ14" s="53"/>
      <c r="AK14" s="25"/>
      <c r="AL14" s="87"/>
      <c r="AM14" s="87"/>
      <c r="AN14" s="93"/>
      <c r="AO14" s="93"/>
      <c r="AR14" s="85"/>
    </row>
    <row r="15" spans="1:41" ht="12.75">
      <c r="A15" s="31"/>
      <c r="B15" s="462" t="s">
        <v>574</v>
      </c>
      <c r="C15" s="295"/>
      <c r="D15" s="56">
        <f>+Segment2!$N$47</f>
        <v>3.4096806673507425</v>
      </c>
      <c r="E15" s="56">
        <f>+Segment2!$N$48</f>
        <v>0.9965152435925788</v>
      </c>
      <c r="F15" s="56">
        <f>+Segment2!$N$50</f>
        <v>2.4131654237581635</v>
      </c>
      <c r="G15" s="236">
        <v>6</v>
      </c>
      <c r="H15" s="56">
        <f>+Segment2!$E$47</f>
        <v>0.66</v>
      </c>
      <c r="I15" s="104">
        <f>1/(1+H15*D15)</f>
        <v>0.3076554609383019</v>
      </c>
      <c r="J15" s="58">
        <f>+I15*+D15+((1-I15)*G15)</f>
        <v>5.203074111736398</v>
      </c>
      <c r="K15" s="70"/>
      <c r="L15" s="74"/>
      <c r="M15" s="75"/>
      <c r="N15" s="75"/>
      <c r="O15" s="34"/>
      <c r="P15" s="34"/>
      <c r="Q15" s="34"/>
      <c r="R15" s="34"/>
      <c r="S15" s="34"/>
      <c r="T15" s="34"/>
      <c r="U15" s="34"/>
      <c r="V15" s="34"/>
      <c r="W15" s="11"/>
      <c r="X15" s="11"/>
      <c r="Y15" s="11"/>
      <c r="AH15" s="36"/>
      <c r="AI15" s="36"/>
      <c r="AJ15" s="25"/>
      <c r="AK15" s="25"/>
      <c r="AL15" s="87"/>
      <c r="AM15" s="87"/>
      <c r="AN15" s="87"/>
      <c r="AO15" s="87"/>
    </row>
    <row r="16" spans="1:41" ht="12.75">
      <c r="A16" s="31"/>
      <c r="B16" s="462" t="s">
        <v>118</v>
      </c>
      <c r="C16" s="295"/>
      <c r="D16" s="56"/>
      <c r="E16" s="56"/>
      <c r="F16" s="56"/>
      <c r="G16" s="237"/>
      <c r="H16" s="56"/>
      <c r="I16" s="104">
        <f aca="true" t="shared" si="0" ref="I16:I27">1/(1+H16*D16)</f>
        <v>1</v>
      </c>
      <c r="J16" s="58">
        <f aca="true" t="shared" si="1" ref="J16:J27">+I16*+D16+((1-I16)*G16)</f>
        <v>0</v>
      </c>
      <c r="K16" s="70"/>
      <c r="L16" s="74"/>
      <c r="M16" s="75"/>
      <c r="N16" s="75"/>
      <c r="O16" s="34"/>
      <c r="P16" s="34"/>
      <c r="Q16" s="34"/>
      <c r="R16" s="34"/>
      <c r="S16" s="34"/>
      <c r="T16" s="34"/>
      <c r="U16" s="34"/>
      <c r="V16" s="34"/>
      <c r="W16" s="11"/>
      <c r="X16" s="11"/>
      <c r="Y16" s="11"/>
      <c r="AH16" s="36"/>
      <c r="AI16" s="36"/>
      <c r="AJ16" s="53"/>
      <c r="AK16" s="28"/>
      <c r="AL16" s="28"/>
      <c r="AM16" s="28"/>
      <c r="AN16" s="28"/>
      <c r="AO16" s="28"/>
    </row>
    <row r="17" spans="1:41" ht="12.75">
      <c r="A17" s="31"/>
      <c r="B17" s="462" t="s">
        <v>119</v>
      </c>
      <c r="C17" s="295"/>
      <c r="D17" s="56"/>
      <c r="E17" s="56"/>
      <c r="F17" s="56"/>
      <c r="G17" s="238"/>
      <c r="H17" s="56"/>
      <c r="I17" s="104">
        <f t="shared" si="0"/>
        <v>1</v>
      </c>
      <c r="J17" s="58">
        <f t="shared" si="1"/>
        <v>0</v>
      </c>
      <c r="K17" s="70"/>
      <c r="L17" s="74"/>
      <c r="M17" s="75"/>
      <c r="N17" s="75"/>
      <c r="O17" s="34"/>
      <c r="P17" s="34"/>
      <c r="Q17" s="34"/>
      <c r="R17" s="34"/>
      <c r="S17" s="34"/>
      <c r="T17" s="34"/>
      <c r="U17" s="34"/>
      <c r="V17" s="34"/>
      <c r="W17" s="11"/>
      <c r="X17" s="11"/>
      <c r="Y17" s="11"/>
      <c r="AH17" s="84"/>
      <c r="AI17" s="84"/>
      <c r="AJ17" s="79"/>
      <c r="AK17" s="79"/>
      <c r="AL17" s="79"/>
      <c r="AM17" s="79"/>
      <c r="AN17" s="79"/>
      <c r="AO17" s="79"/>
    </row>
    <row r="18" spans="1:41" ht="12.75">
      <c r="A18" s="31"/>
      <c r="B18" s="800" t="s">
        <v>578</v>
      </c>
      <c r="C18" s="368"/>
      <c r="D18" s="368"/>
      <c r="E18" s="368"/>
      <c r="F18" s="368"/>
      <c r="G18" s="368"/>
      <c r="H18" s="368"/>
      <c r="I18" s="368"/>
      <c r="J18" s="368"/>
      <c r="K18" s="70"/>
      <c r="L18" s="74"/>
      <c r="M18" s="75"/>
      <c r="N18" s="75"/>
      <c r="O18" s="34"/>
      <c r="P18" s="34"/>
      <c r="Q18" s="34"/>
      <c r="R18" s="34"/>
      <c r="S18" s="34"/>
      <c r="T18" s="34"/>
      <c r="U18" s="34"/>
      <c r="V18" s="34"/>
      <c r="W18" s="11"/>
      <c r="X18" s="11"/>
      <c r="Y18" s="11"/>
      <c r="AH18" s="84"/>
      <c r="AI18" s="84"/>
      <c r="AJ18" s="79"/>
      <c r="AK18" s="79"/>
      <c r="AL18" s="79"/>
      <c r="AM18" s="79"/>
      <c r="AN18" s="79"/>
      <c r="AO18" s="79"/>
    </row>
    <row r="19" spans="1:41" ht="12.75">
      <c r="A19" s="31"/>
      <c r="B19" s="462" t="s">
        <v>575</v>
      </c>
      <c r="C19" s="295"/>
      <c r="D19" s="56">
        <f>+Segment1!$N$79</f>
        <v>0.6794951911122789</v>
      </c>
      <c r="E19" s="56">
        <f>+Segment1!$N$80</f>
        <v>0.10356268598922631</v>
      </c>
      <c r="F19" s="56">
        <f>+Segment1!$N$82</f>
        <v>0.5759325051230525</v>
      </c>
      <c r="G19" s="237">
        <v>4</v>
      </c>
      <c r="H19" s="56">
        <f>+Segment1!$E$79</f>
        <v>0.86</v>
      </c>
      <c r="I19" s="104">
        <f>1/(1+H19*D19)</f>
        <v>0.6311673474523629</v>
      </c>
      <c r="J19" s="58">
        <f>+I19*+D19+((1-I19)*G19)</f>
        <v>1.904205787571522</v>
      </c>
      <c r="K19" s="70"/>
      <c r="L19" s="74"/>
      <c r="M19" s="75"/>
      <c r="N19" s="75"/>
      <c r="O19" s="34"/>
      <c r="P19" s="34"/>
      <c r="Q19" s="34"/>
      <c r="R19" s="34"/>
      <c r="S19" s="34"/>
      <c r="T19" s="34"/>
      <c r="U19" s="34"/>
      <c r="V19" s="34"/>
      <c r="W19" s="11"/>
      <c r="X19" s="11"/>
      <c r="Y19" s="11"/>
      <c r="AH19" s="84"/>
      <c r="AI19" s="84"/>
      <c r="AJ19" s="79"/>
      <c r="AK19" s="79"/>
      <c r="AL19" s="79"/>
      <c r="AM19" s="79"/>
      <c r="AN19" s="79"/>
      <c r="AO19" s="79"/>
    </row>
    <row r="20" spans="1:41" ht="12.75">
      <c r="A20" s="31"/>
      <c r="B20" s="462" t="s">
        <v>574</v>
      </c>
      <c r="C20" s="295"/>
      <c r="D20" s="56">
        <f>+Segment2!$N$79</f>
        <v>0.4269841356019877</v>
      </c>
      <c r="E20" s="56">
        <f>+Segment2!$N$80</f>
        <v>0.1161909736753183</v>
      </c>
      <c r="F20" s="56">
        <f>+Segment2!$N$82</f>
        <v>0.3107931619266694</v>
      </c>
      <c r="G20" s="239">
        <v>3</v>
      </c>
      <c r="H20" s="56">
        <f>+Segment2!$E$79</f>
        <v>1.37</v>
      </c>
      <c r="I20" s="104">
        <f>1/(1+H20*D20)</f>
        <v>0.6309274586713607</v>
      </c>
      <c r="J20" s="58">
        <f>+I20*+D20+((1-I20)*G20)</f>
        <v>1.3766136395542676</v>
      </c>
      <c r="K20" s="70"/>
      <c r="L20" s="74"/>
      <c r="M20" s="75"/>
      <c r="N20" s="75"/>
      <c r="O20" s="34"/>
      <c r="P20" s="34"/>
      <c r="Q20" s="34"/>
      <c r="R20" s="34"/>
      <c r="S20" s="34"/>
      <c r="T20" s="34"/>
      <c r="U20" s="34"/>
      <c r="V20" s="34"/>
      <c r="W20" s="11"/>
      <c r="X20" s="11"/>
      <c r="Y20" s="11"/>
      <c r="AH20" s="84"/>
      <c r="AI20" s="84"/>
      <c r="AJ20" s="79"/>
      <c r="AK20" s="79"/>
      <c r="AL20" s="79"/>
      <c r="AM20" s="79"/>
      <c r="AN20" s="79"/>
      <c r="AO20" s="79"/>
    </row>
    <row r="21" spans="1:41" ht="12.75">
      <c r="A21" s="31"/>
      <c r="B21" s="462" t="s">
        <v>118</v>
      </c>
      <c r="C21" s="295"/>
      <c r="D21" s="56"/>
      <c r="E21" s="56"/>
      <c r="F21" s="56"/>
      <c r="G21" s="240"/>
      <c r="H21" s="56"/>
      <c r="I21" s="104">
        <f>1/(1+H21*D21)</f>
        <v>1</v>
      </c>
      <c r="J21" s="58">
        <f>+I21*+D21+((1-I21)*G21)</f>
        <v>0</v>
      </c>
      <c r="K21" s="70"/>
      <c r="L21" s="74"/>
      <c r="M21" s="75"/>
      <c r="N21" s="75"/>
      <c r="O21" s="34"/>
      <c r="P21" s="34"/>
      <c r="Q21" s="34"/>
      <c r="R21" s="34"/>
      <c r="S21" s="34"/>
      <c r="T21" s="34"/>
      <c r="U21" s="34"/>
      <c r="V21" s="34"/>
      <c r="W21" s="11"/>
      <c r="X21" s="11"/>
      <c r="Y21" s="11"/>
      <c r="AH21" s="84"/>
      <c r="AI21" s="84"/>
      <c r="AJ21" s="79"/>
      <c r="AK21" s="79"/>
      <c r="AL21" s="79"/>
      <c r="AM21" s="79"/>
      <c r="AN21" s="79"/>
      <c r="AO21" s="79"/>
    </row>
    <row r="22" spans="1:41" ht="12.75">
      <c r="A22" s="31"/>
      <c r="B22" s="462" t="s">
        <v>119</v>
      </c>
      <c r="C22" s="295"/>
      <c r="D22" s="56"/>
      <c r="E22" s="56"/>
      <c r="F22" s="56"/>
      <c r="G22" s="236"/>
      <c r="H22" s="56"/>
      <c r="I22" s="104">
        <f>1/(1+H22*D22)</f>
        <v>1</v>
      </c>
      <c r="J22" s="58">
        <f>+I22*+D22+((1-I22)*G22)</f>
        <v>0</v>
      </c>
      <c r="K22" s="70"/>
      <c r="L22" s="74"/>
      <c r="M22" s="75"/>
      <c r="N22" s="75"/>
      <c r="O22" s="34"/>
      <c r="P22" s="34"/>
      <c r="Q22" s="34"/>
      <c r="R22" s="34"/>
      <c r="S22" s="34"/>
      <c r="T22" s="34"/>
      <c r="U22" s="34"/>
      <c r="V22" s="34"/>
      <c r="W22" s="11"/>
      <c r="X22" s="11"/>
      <c r="Y22" s="11"/>
      <c r="AH22" s="84"/>
      <c r="AI22" s="84"/>
      <c r="AJ22" s="79"/>
      <c r="AK22" s="79"/>
      <c r="AL22" s="79"/>
      <c r="AM22" s="79"/>
      <c r="AN22" s="79"/>
      <c r="AO22" s="79"/>
    </row>
    <row r="23" spans="1:41" ht="12.75">
      <c r="A23" s="31"/>
      <c r="B23" s="800" t="s">
        <v>579</v>
      </c>
      <c r="C23" s="368"/>
      <c r="D23" s="368"/>
      <c r="E23" s="368"/>
      <c r="F23" s="368"/>
      <c r="G23" s="368"/>
      <c r="H23" s="368"/>
      <c r="I23" s="368"/>
      <c r="J23" s="368"/>
      <c r="K23" s="70"/>
      <c r="L23" s="74"/>
      <c r="M23" s="75"/>
      <c r="N23" s="75"/>
      <c r="O23" s="34"/>
      <c r="P23" s="34"/>
      <c r="Q23" s="34"/>
      <c r="R23" s="34"/>
      <c r="S23" s="34"/>
      <c r="T23" s="34"/>
      <c r="U23" s="34"/>
      <c r="V23" s="34"/>
      <c r="W23" s="11"/>
      <c r="X23" s="11"/>
      <c r="Y23" s="11"/>
      <c r="AH23" s="84"/>
      <c r="AI23" s="84"/>
      <c r="AJ23" s="79"/>
      <c r="AK23" s="79"/>
      <c r="AL23" s="79"/>
      <c r="AM23" s="79"/>
      <c r="AN23" s="79"/>
      <c r="AO23" s="79"/>
    </row>
    <row r="24" spans="1:48" ht="12.75">
      <c r="A24" s="31"/>
      <c r="B24" s="462" t="s">
        <v>575</v>
      </c>
      <c r="C24" s="295"/>
      <c r="D24" s="56">
        <f>+Segment1!$M$126</f>
        <v>0.13023217618068877</v>
      </c>
      <c r="E24" s="56">
        <f>+Segment1!$M$127</f>
        <v>0.036985938035315614</v>
      </c>
      <c r="F24" s="56">
        <f>+Segment1!$M$128</f>
        <v>0.09324623814537315</v>
      </c>
      <c r="G24" s="237">
        <v>2</v>
      </c>
      <c r="H24" s="56">
        <f>+Segment1!$M$116</f>
        <v>1.39</v>
      </c>
      <c r="I24" s="104">
        <f t="shared" si="0"/>
        <v>0.8467237580819282</v>
      </c>
      <c r="J24" s="58">
        <f t="shared" si="1"/>
        <v>0.4168231614750441</v>
      </c>
      <c r="K24" s="70"/>
      <c r="L24" s="31"/>
      <c r="O24" s="34"/>
      <c r="P24" s="34"/>
      <c r="Q24" s="34"/>
      <c r="R24" s="34"/>
      <c r="S24" s="34"/>
      <c r="T24" s="34"/>
      <c r="U24" s="34"/>
      <c r="V24" s="34"/>
      <c r="W24" s="11"/>
      <c r="X24" s="11"/>
      <c r="Y24" s="11"/>
      <c r="AH24" s="79"/>
      <c r="AI24" s="79"/>
      <c r="AJ24" s="79"/>
      <c r="AK24" s="79"/>
      <c r="AL24" s="79"/>
      <c r="AM24" s="79"/>
      <c r="AN24" s="79"/>
      <c r="AO24" s="79"/>
      <c r="AR24" s="31"/>
      <c r="AV24" s="28"/>
    </row>
    <row r="25" spans="1:41" ht="12.75">
      <c r="A25" s="31"/>
      <c r="B25" s="462" t="s">
        <v>574</v>
      </c>
      <c r="C25" s="295"/>
      <c r="D25" s="56">
        <f>+Segment2!$M$126</f>
        <v>0.36902438408911487</v>
      </c>
      <c r="E25" s="56">
        <f>+Segment2!$M$127</f>
        <v>0.0896729253336549</v>
      </c>
      <c r="F25" s="56">
        <f>+Segment2!$M$128</f>
        <v>0.2793514587554599</v>
      </c>
      <c r="G25" s="239">
        <v>1</v>
      </c>
      <c r="H25" s="56">
        <f>+Segment2!$M$116</f>
        <v>1.1</v>
      </c>
      <c r="I25" s="104">
        <f t="shared" si="0"/>
        <v>0.7112745727570781</v>
      </c>
      <c r="J25" s="58">
        <f t="shared" si="1"/>
        <v>0.5512030883728509</v>
      </c>
      <c r="K25" s="70"/>
      <c r="L25" s="77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1"/>
      <c r="X25" s="11"/>
      <c r="Y25" s="11"/>
      <c r="AH25" s="79"/>
      <c r="AI25" s="84"/>
      <c r="AJ25" s="79"/>
      <c r="AK25" s="79"/>
      <c r="AL25" s="79"/>
      <c r="AM25" s="79"/>
      <c r="AN25" s="79"/>
      <c r="AO25" s="79"/>
    </row>
    <row r="26" spans="1:48" ht="12.75">
      <c r="A26" s="31"/>
      <c r="B26" s="462" t="s">
        <v>118</v>
      </c>
      <c r="C26" s="295"/>
      <c r="D26" s="56"/>
      <c r="E26" s="56"/>
      <c r="F26" s="56"/>
      <c r="G26" s="240"/>
      <c r="H26" s="56"/>
      <c r="I26" s="104">
        <f t="shared" si="0"/>
        <v>1</v>
      </c>
      <c r="J26" s="58">
        <f t="shared" si="1"/>
        <v>0</v>
      </c>
      <c r="K26" s="6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1"/>
      <c r="X26" s="11"/>
      <c r="Y26" s="11"/>
      <c r="AH26" s="79"/>
      <c r="AI26" s="79"/>
      <c r="AJ26" s="79"/>
      <c r="AK26" s="79"/>
      <c r="AL26" s="79"/>
      <c r="AM26" s="79"/>
      <c r="AN26" s="79"/>
      <c r="AO26" s="79"/>
      <c r="AR26" s="31"/>
      <c r="AV26" s="28"/>
    </row>
    <row r="27" spans="2:25" ht="13.5" thickBot="1">
      <c r="B27" s="808" t="s">
        <v>119</v>
      </c>
      <c r="C27" s="287"/>
      <c r="D27" s="63"/>
      <c r="E27" s="63"/>
      <c r="F27" s="63"/>
      <c r="G27" s="241"/>
      <c r="H27" s="63"/>
      <c r="I27" s="104">
        <f t="shared" si="0"/>
        <v>1</v>
      </c>
      <c r="J27" s="58">
        <f t="shared" si="1"/>
        <v>0</v>
      </c>
      <c r="K27" s="67"/>
      <c r="L27" s="43"/>
      <c r="M27" s="43"/>
      <c r="N27" s="43"/>
      <c r="O27" s="43"/>
      <c r="P27" s="43"/>
      <c r="Q27" s="43"/>
      <c r="R27" s="43"/>
      <c r="S27" s="43"/>
      <c r="T27" s="43"/>
      <c r="U27" s="73"/>
      <c r="V27" s="73"/>
      <c r="W27" s="11"/>
      <c r="X27" s="11"/>
      <c r="Y27" s="11"/>
    </row>
    <row r="28" spans="2:41" ht="12.75">
      <c r="B28" s="805" t="s">
        <v>117</v>
      </c>
      <c r="C28" s="805"/>
      <c r="D28" s="805"/>
      <c r="E28" s="805"/>
      <c r="F28" s="805"/>
      <c r="G28" s="805"/>
      <c r="H28" s="805"/>
      <c r="I28" s="805"/>
      <c r="J28" s="805"/>
      <c r="K28" s="66"/>
      <c r="L28" s="43"/>
      <c r="M28" s="43"/>
      <c r="N28" s="43"/>
      <c r="O28" s="43"/>
      <c r="P28" s="43"/>
      <c r="Q28" s="43"/>
      <c r="R28" s="43"/>
      <c r="S28" s="43"/>
      <c r="T28" s="43"/>
      <c r="U28" s="73"/>
      <c r="V28" s="73"/>
      <c r="W28" s="25"/>
      <c r="X28" s="25"/>
      <c r="Y28" s="25"/>
      <c r="Z28" s="25"/>
      <c r="AA28" s="25"/>
      <c r="AB28" s="25"/>
      <c r="AC28" s="25"/>
      <c r="AD28" s="25"/>
      <c r="AE28" s="25"/>
      <c r="AH28" s="45"/>
      <c r="AI28" s="45"/>
      <c r="AJ28" s="45"/>
      <c r="AK28" s="45"/>
      <c r="AL28" s="45"/>
      <c r="AM28" s="25"/>
      <c r="AN28" s="25"/>
      <c r="AO28" s="25"/>
    </row>
    <row r="29" spans="2:41" ht="12.75">
      <c r="B29" s="800" t="s">
        <v>581</v>
      </c>
      <c r="C29" s="368"/>
      <c r="D29" s="368"/>
      <c r="E29" s="368"/>
      <c r="F29" s="368"/>
      <c r="G29" s="368"/>
      <c r="H29" s="368"/>
      <c r="I29" s="368"/>
      <c r="J29" s="368"/>
      <c r="K29" s="66"/>
      <c r="L29" s="43"/>
      <c r="M29" s="43"/>
      <c r="N29" s="43"/>
      <c r="O29" s="43"/>
      <c r="P29" s="43"/>
      <c r="Q29" s="43"/>
      <c r="R29" s="43"/>
      <c r="S29" s="43"/>
      <c r="T29" s="43"/>
      <c r="U29" s="73"/>
      <c r="V29" s="73"/>
      <c r="W29" s="25"/>
      <c r="X29" s="25"/>
      <c r="Y29" s="25"/>
      <c r="Z29" s="25"/>
      <c r="AA29" s="25"/>
      <c r="AB29" s="25"/>
      <c r="AC29" s="25"/>
      <c r="AD29" s="25"/>
      <c r="AE29" s="25"/>
      <c r="AH29" s="45"/>
      <c r="AI29" s="45"/>
      <c r="AJ29" s="45"/>
      <c r="AK29" s="45"/>
      <c r="AL29" s="45"/>
      <c r="AM29" s="25"/>
      <c r="AN29" s="25"/>
      <c r="AO29" s="25"/>
    </row>
    <row r="30" spans="1:41" ht="12.75">
      <c r="A30" s="38"/>
      <c r="B30" s="462" t="s">
        <v>111</v>
      </c>
      <c r="C30" s="295"/>
      <c r="D30" s="56">
        <f>Intersection1!$L$162</f>
        <v>3.2245051623845</v>
      </c>
      <c r="E30" s="56">
        <f>+Intersection1!$F$162</f>
        <v>1.0293042573731126</v>
      </c>
      <c r="F30" s="105">
        <f>+Intersection1!$I$162</f>
        <v>2.1952009050113874</v>
      </c>
      <c r="G30" s="242">
        <v>2</v>
      </c>
      <c r="H30" s="105">
        <f>+Intersection1!$F$51</f>
        <v>0.39</v>
      </c>
      <c r="I30" s="104">
        <f>1/(1+H30*D30)</f>
        <v>0.44295669792408654</v>
      </c>
      <c r="J30" s="58">
        <f>+I30*+D30+((1-I30)*G30)</f>
        <v>2.5424027633208355</v>
      </c>
      <c r="K30" s="46"/>
      <c r="L30" s="73"/>
      <c r="M30" s="73"/>
      <c r="N30" s="73"/>
      <c r="O30" s="45"/>
      <c r="P30" s="25"/>
      <c r="Q30" s="45"/>
      <c r="S30" s="45"/>
      <c r="T30" s="25"/>
      <c r="U30" s="45"/>
      <c r="W30" s="66"/>
      <c r="X30" s="66"/>
      <c r="Y30" s="66"/>
      <c r="Z30" s="66"/>
      <c r="AA30" s="66"/>
      <c r="AB30" s="66"/>
      <c r="AC30" s="66"/>
      <c r="AD30" s="66"/>
      <c r="AE30" s="66"/>
      <c r="AH30" s="45"/>
      <c r="AI30" s="45"/>
      <c r="AJ30" s="45"/>
      <c r="AK30" s="25"/>
      <c r="AL30" s="45"/>
      <c r="AM30" s="25"/>
      <c r="AN30" s="25"/>
      <c r="AO30" s="25"/>
    </row>
    <row r="31" spans="1:41" ht="12.75">
      <c r="A31" s="101"/>
      <c r="B31" s="792" t="s">
        <v>112</v>
      </c>
      <c r="C31" s="295"/>
      <c r="D31" s="56">
        <f>Intersection2!$L$162</f>
        <v>1.3237873778953677</v>
      </c>
      <c r="E31" s="56">
        <f>+Intersection2!$F$162</f>
        <v>0.44556859454447484</v>
      </c>
      <c r="F31" s="105">
        <f>+Intersection2!$I$162</f>
        <v>0.8782187833508928</v>
      </c>
      <c r="G31" s="242">
        <v>6</v>
      </c>
      <c r="H31" s="105">
        <f>+Intersection2!$F$51</f>
        <v>0.33</v>
      </c>
      <c r="I31" s="104">
        <f aca="true" t="shared" si="2" ref="I31:I38">1/(1+H31*D31)</f>
        <v>0.6959669520405952</v>
      </c>
      <c r="J31" s="58">
        <f aca="true" t="shared" si="3" ref="J31:J38">+I31*+D31+((1-I31)*G31)</f>
        <v>2.7455105543000795</v>
      </c>
      <c r="L31" s="39"/>
      <c r="M31" s="25"/>
      <c r="N31" s="25"/>
      <c r="O31" s="25"/>
      <c r="P31" s="25"/>
      <c r="S31" s="25"/>
      <c r="T31" s="25"/>
      <c r="W31" s="43"/>
      <c r="X31" s="43"/>
      <c r="Y31" s="43"/>
      <c r="Z31" s="43"/>
      <c r="AA31" s="43"/>
      <c r="AB31" s="43"/>
      <c r="AC31" s="43"/>
      <c r="AD31" s="43"/>
      <c r="AE31" s="43"/>
      <c r="AH31" s="45"/>
      <c r="AI31" s="45"/>
      <c r="AJ31" s="25"/>
      <c r="AK31" s="25"/>
      <c r="AL31" s="25"/>
      <c r="AM31" s="25"/>
      <c r="AN31" s="25"/>
      <c r="AO31" s="25"/>
    </row>
    <row r="32" spans="1:41" ht="12.75">
      <c r="A32" s="73"/>
      <c r="B32" s="462" t="s">
        <v>120</v>
      </c>
      <c r="C32" s="295"/>
      <c r="D32" s="107"/>
      <c r="E32" s="107"/>
      <c r="F32" s="106"/>
      <c r="G32" s="242"/>
      <c r="H32" s="90"/>
      <c r="I32" s="104">
        <f t="shared" si="2"/>
        <v>1</v>
      </c>
      <c r="J32" s="58">
        <f t="shared" si="3"/>
        <v>0</v>
      </c>
      <c r="L32" s="73"/>
      <c r="W32" s="43"/>
      <c r="X32" s="43"/>
      <c r="Y32" s="43"/>
      <c r="Z32" s="43"/>
      <c r="AA32" s="43"/>
      <c r="AB32" s="43"/>
      <c r="AC32" s="43"/>
      <c r="AD32" s="43"/>
      <c r="AE32" s="43"/>
      <c r="AH32" s="25"/>
      <c r="AI32" s="25"/>
      <c r="AJ32" s="25"/>
      <c r="AK32" s="25"/>
      <c r="AL32" s="91"/>
      <c r="AM32" s="91"/>
      <c r="AN32" s="91"/>
      <c r="AO32" s="91"/>
    </row>
    <row r="33" spans="1:41" ht="12.75">
      <c r="A33" s="73"/>
      <c r="B33" s="792" t="s">
        <v>121</v>
      </c>
      <c r="C33" s="295"/>
      <c r="D33" s="108"/>
      <c r="E33" s="108"/>
      <c r="F33" s="106"/>
      <c r="G33" s="242"/>
      <c r="H33" s="90"/>
      <c r="I33" s="104">
        <f t="shared" si="2"/>
        <v>1</v>
      </c>
      <c r="J33" s="58">
        <f t="shared" si="3"/>
        <v>0</v>
      </c>
      <c r="O33" s="40"/>
      <c r="P33" s="40"/>
      <c r="Q33" s="40"/>
      <c r="R33" s="37"/>
      <c r="S33" s="40"/>
      <c r="T33" s="40"/>
      <c r="U33" s="40"/>
      <c r="V33" s="37"/>
      <c r="W33" s="71"/>
      <c r="X33" s="71"/>
      <c r="Y33" s="71"/>
      <c r="Z33" s="71"/>
      <c r="AA33" s="71"/>
      <c r="AB33" s="71"/>
      <c r="AC33" s="71"/>
      <c r="AD33" s="71"/>
      <c r="AE33" s="71"/>
      <c r="AH33" s="25"/>
      <c r="AI33" s="25"/>
      <c r="AJ33" s="25"/>
      <c r="AK33" s="25"/>
      <c r="AL33" s="92"/>
      <c r="AM33" s="92"/>
      <c r="AN33" s="92"/>
      <c r="AO33" s="92"/>
    </row>
    <row r="34" spans="1:41" ht="12.75">
      <c r="A34" s="73"/>
      <c r="B34" s="800" t="s">
        <v>578</v>
      </c>
      <c r="C34" s="368"/>
      <c r="D34" s="368"/>
      <c r="E34" s="368"/>
      <c r="F34" s="368"/>
      <c r="G34" s="368"/>
      <c r="H34" s="368"/>
      <c r="I34" s="368"/>
      <c r="J34" s="368"/>
      <c r="O34" s="40"/>
      <c r="P34" s="40"/>
      <c r="Q34" s="40"/>
      <c r="R34" s="37"/>
      <c r="S34" s="40"/>
      <c r="T34" s="40"/>
      <c r="U34" s="40"/>
      <c r="V34" s="37"/>
      <c r="W34" s="71"/>
      <c r="X34" s="71"/>
      <c r="Y34" s="71"/>
      <c r="Z34" s="71"/>
      <c r="AA34" s="71"/>
      <c r="AB34" s="71"/>
      <c r="AC34" s="71"/>
      <c r="AD34" s="71"/>
      <c r="AE34" s="71"/>
      <c r="AH34" s="25"/>
      <c r="AI34" s="25"/>
      <c r="AJ34" s="25"/>
      <c r="AK34" s="25"/>
      <c r="AL34" s="92"/>
      <c r="AM34" s="92"/>
      <c r="AN34" s="92"/>
      <c r="AO34" s="92"/>
    </row>
    <row r="35" spans="1:41" ht="12.75">
      <c r="A35" s="59"/>
      <c r="B35" s="462" t="s">
        <v>111</v>
      </c>
      <c r="C35" s="295"/>
      <c r="D35" s="104">
        <f>+Intersection1!$N$83</f>
        <v>0.23691965707349302</v>
      </c>
      <c r="E35" s="104">
        <f>+Intersection1!$N$84</f>
        <v>0.06753035502194896</v>
      </c>
      <c r="F35" s="104">
        <f>+Intersection1!$N$86</f>
        <v>0.16938930205154407</v>
      </c>
      <c r="G35" s="242">
        <v>3</v>
      </c>
      <c r="H35" s="105">
        <f>+Intersection1!$F$83</f>
        <v>0.36</v>
      </c>
      <c r="I35" s="104">
        <f t="shared" si="2"/>
        <v>0.9214117959783977</v>
      </c>
      <c r="J35" s="58">
        <f t="shared" si="3"/>
        <v>0.4540651787914801</v>
      </c>
      <c r="K35" s="47"/>
      <c r="O35" s="37"/>
      <c r="P35" s="37"/>
      <c r="Q35" s="37"/>
      <c r="R35" s="37"/>
      <c r="S35" s="37"/>
      <c r="T35" s="37"/>
      <c r="U35" s="37"/>
      <c r="V35" s="37"/>
      <c r="W35" s="72"/>
      <c r="X35" s="72"/>
      <c r="Y35" s="72"/>
      <c r="Z35" s="72"/>
      <c r="AA35" s="72"/>
      <c r="AB35" s="72"/>
      <c r="AC35" s="72"/>
      <c r="AD35" s="72"/>
      <c r="AE35" s="72"/>
      <c r="AH35" s="39"/>
      <c r="AI35" s="25"/>
      <c r="AJ35" s="53"/>
      <c r="AK35" s="25"/>
      <c r="AL35" s="87"/>
      <c r="AM35" s="87"/>
      <c r="AN35" s="93"/>
      <c r="AO35" s="93"/>
    </row>
    <row r="36" spans="1:41" ht="12.75">
      <c r="A36" s="59"/>
      <c r="B36" s="792" t="s">
        <v>112</v>
      </c>
      <c r="C36" s="295"/>
      <c r="D36" s="104">
        <f>+Intersection2!$N$83</f>
        <v>0.13954406058987423</v>
      </c>
      <c r="E36" s="104">
        <f>+Intersection2!$N$84</f>
        <v>0.044406178570570456</v>
      </c>
      <c r="F36" s="104">
        <f>+Intersection2!$N$86</f>
        <v>0.09513788201930375</v>
      </c>
      <c r="G36" s="242">
        <v>0</v>
      </c>
      <c r="H36" s="105">
        <f>+Intersection2!$F$83</f>
        <v>0.36</v>
      </c>
      <c r="I36" s="104">
        <f t="shared" si="2"/>
        <v>0.9521670668094837</v>
      </c>
      <c r="J36" s="58">
        <f t="shared" si="3"/>
        <v>0.13286925886254541</v>
      </c>
      <c r="K36" s="45"/>
      <c r="L36" s="74"/>
      <c r="M36" s="25"/>
      <c r="N36" s="25"/>
      <c r="O36" s="76"/>
      <c r="P36" s="76"/>
      <c r="Q36" s="76"/>
      <c r="R36" s="25"/>
      <c r="S36" s="34"/>
      <c r="T36" s="34"/>
      <c r="U36" s="34"/>
      <c r="V36" s="34"/>
      <c r="W36" s="45"/>
      <c r="X36" s="25"/>
      <c r="Y36" s="25"/>
      <c r="Z36" s="25"/>
      <c r="AA36" s="25"/>
      <c r="AB36" s="25"/>
      <c r="AC36" s="25"/>
      <c r="AD36" s="25"/>
      <c r="AE36" s="25"/>
      <c r="AH36" s="25"/>
      <c r="AI36" s="25"/>
      <c r="AJ36" s="25"/>
      <c r="AK36" s="25"/>
      <c r="AL36" s="87"/>
      <c r="AM36" s="87"/>
      <c r="AN36" s="87"/>
      <c r="AO36" s="87"/>
    </row>
    <row r="37" spans="1:41" ht="12.75">
      <c r="A37" s="28"/>
      <c r="B37" s="462" t="s">
        <v>120</v>
      </c>
      <c r="C37" s="295"/>
      <c r="D37" s="104"/>
      <c r="E37" s="104"/>
      <c r="F37" s="104"/>
      <c r="G37" s="242"/>
      <c r="H37" s="56"/>
      <c r="I37" s="104">
        <f t="shared" si="2"/>
        <v>1</v>
      </c>
      <c r="J37" s="58">
        <f t="shared" si="3"/>
        <v>0</v>
      </c>
      <c r="K37" s="45"/>
      <c r="L37" s="74"/>
      <c r="M37" s="25"/>
      <c r="N37" s="25"/>
      <c r="O37" s="76"/>
      <c r="P37" s="76"/>
      <c r="Q37" s="76"/>
      <c r="R37" s="25"/>
      <c r="S37" s="34"/>
      <c r="T37" s="34"/>
      <c r="U37" s="34"/>
      <c r="V37" s="34"/>
      <c r="W37" s="45"/>
      <c r="X37" s="25"/>
      <c r="Y37" s="25"/>
      <c r="Z37" s="25"/>
      <c r="AA37" s="25"/>
      <c r="AB37" s="25"/>
      <c r="AC37" s="25"/>
      <c r="AD37" s="25"/>
      <c r="AE37" s="25"/>
      <c r="AH37" s="25"/>
      <c r="AI37" s="25"/>
      <c r="AJ37" s="25"/>
      <c r="AK37" s="25"/>
      <c r="AL37" s="87"/>
      <c r="AM37" s="87"/>
      <c r="AN37" s="87"/>
      <c r="AO37" s="87"/>
    </row>
    <row r="38" spans="1:41" ht="13.5" thickBot="1">
      <c r="A38" s="31"/>
      <c r="B38" s="827" t="s">
        <v>121</v>
      </c>
      <c r="C38" s="828"/>
      <c r="D38" s="109"/>
      <c r="E38" s="109"/>
      <c r="F38" s="109"/>
      <c r="G38" s="243"/>
      <c r="H38" s="112"/>
      <c r="I38" s="104">
        <f t="shared" si="2"/>
        <v>1</v>
      </c>
      <c r="J38" s="58">
        <f t="shared" si="3"/>
        <v>0</v>
      </c>
      <c r="K38" s="67"/>
      <c r="L38" s="74"/>
      <c r="M38" s="75"/>
      <c r="N38" s="75"/>
      <c r="Q38" s="34"/>
      <c r="R38" s="34"/>
      <c r="S38" s="34"/>
      <c r="T38" s="34"/>
      <c r="U38" s="34"/>
      <c r="V38" s="34"/>
      <c r="W38" s="11"/>
      <c r="X38" s="11"/>
      <c r="Y38" s="11"/>
      <c r="Z38" s="11"/>
      <c r="AA38" s="11"/>
      <c r="AB38" s="11"/>
      <c r="AC38" s="11"/>
      <c r="AD38" s="11"/>
      <c r="AE38" s="11"/>
      <c r="AH38" s="54"/>
      <c r="AI38" s="36"/>
      <c r="AJ38" s="53"/>
      <c r="AK38" s="25"/>
      <c r="AL38" s="87"/>
      <c r="AM38" s="87"/>
      <c r="AN38" s="93"/>
      <c r="AO38" s="93"/>
    </row>
    <row r="39" spans="1:41" ht="14.25" thickBot="1" thickTop="1">
      <c r="A39" s="35"/>
      <c r="B39" s="829" t="s">
        <v>113</v>
      </c>
      <c r="C39" s="830"/>
      <c r="D39" s="110">
        <f>SUM(D14:D27)+SUM(D30:D38)</f>
        <v>11.772567838309698</v>
      </c>
      <c r="E39" s="110">
        <f>SUM(E14:E27)+SUM(E30:E38)</f>
        <v>3.4667401198158485</v>
      </c>
      <c r="F39" s="110">
        <f>SUM(F14:F27)+SUM(F30:F38)</f>
        <v>8.305827718493848</v>
      </c>
      <c r="G39" s="220">
        <f>SUM(G14:G27)+SUM(G30:G38)</f>
        <v>34</v>
      </c>
      <c r="H39" s="114" t="s">
        <v>14</v>
      </c>
      <c r="I39" s="114" t="s">
        <v>14</v>
      </c>
      <c r="J39" s="219">
        <f>SUM(J14:J27)+SUM(J30:J38)</f>
        <v>20.815224526672075</v>
      </c>
      <c r="K39" s="6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H39" s="36"/>
      <c r="AI39" s="36"/>
      <c r="AJ39" s="25"/>
      <c r="AK39" s="25"/>
      <c r="AL39" s="87"/>
      <c r="AM39" s="87"/>
      <c r="AN39" s="87"/>
      <c r="AO39" s="87"/>
    </row>
    <row r="40" spans="1:41" ht="12.75">
      <c r="A40" s="33"/>
      <c r="B40" s="44"/>
      <c r="C40" s="38"/>
      <c r="D40" s="38"/>
      <c r="F40" s="33"/>
      <c r="H40" s="33"/>
      <c r="K40" s="6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H40" s="36"/>
      <c r="AI40" s="36"/>
      <c r="AJ40" s="53"/>
      <c r="AK40" s="28"/>
      <c r="AL40" s="28"/>
      <c r="AM40" s="28"/>
      <c r="AN40" s="28"/>
      <c r="AO40" s="28"/>
    </row>
    <row r="41" spans="1:41" ht="12.75">
      <c r="A41" s="33"/>
      <c r="B41" s="44"/>
      <c r="C41" s="38"/>
      <c r="D41" s="38"/>
      <c r="F41" s="33"/>
      <c r="H41" s="33"/>
      <c r="K41" s="6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H41" s="36"/>
      <c r="AI41" s="36"/>
      <c r="AJ41" s="53"/>
      <c r="AK41" s="28"/>
      <c r="AL41" s="28"/>
      <c r="AM41" s="28"/>
      <c r="AN41" s="28"/>
      <c r="AO41" s="28"/>
    </row>
    <row r="42" spans="1:41" ht="13.5" thickBot="1">
      <c r="A42" s="33"/>
      <c r="B42" s="44"/>
      <c r="C42" s="38"/>
      <c r="D42" s="38"/>
      <c r="F42" s="33"/>
      <c r="H42" s="33"/>
      <c r="K42" s="6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H42" s="36"/>
      <c r="AI42" s="36"/>
      <c r="AJ42" s="53"/>
      <c r="AK42" s="28"/>
      <c r="AL42" s="28"/>
      <c r="AM42" s="28"/>
      <c r="AN42" s="28"/>
      <c r="AO42" s="28"/>
    </row>
    <row r="43" spans="1:41" ht="13.5" thickTop="1">
      <c r="A43" s="33"/>
      <c r="B43" s="44"/>
      <c r="C43" s="38"/>
      <c r="E43" s="773" t="s">
        <v>582</v>
      </c>
      <c r="F43" s="801"/>
      <c r="G43" s="801"/>
      <c r="H43" s="801"/>
      <c r="I43" s="6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H43" s="36"/>
      <c r="AI43" s="36"/>
      <c r="AJ43" s="53"/>
      <c r="AK43" s="28"/>
      <c r="AL43" s="28"/>
      <c r="AM43" s="28"/>
      <c r="AN43" s="28"/>
      <c r="AO43" s="28"/>
    </row>
    <row r="44" spans="1:41" ht="13.5" thickBot="1">
      <c r="A44" s="33"/>
      <c r="B44" s="44"/>
      <c r="C44" s="38"/>
      <c r="E44" s="802"/>
      <c r="F44" s="802"/>
      <c r="G44" s="802"/>
      <c r="H44" s="802"/>
      <c r="I44" s="64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H44" s="36"/>
      <c r="AI44" s="36"/>
      <c r="AJ44" s="53"/>
      <c r="AK44" s="28"/>
      <c r="AL44" s="28"/>
      <c r="AM44" s="28"/>
      <c r="AN44" s="28"/>
      <c r="AO44" s="28"/>
    </row>
    <row r="45" spans="1:41" ht="12.75">
      <c r="A45" s="33"/>
      <c r="B45" s="44"/>
      <c r="C45" s="38"/>
      <c r="E45" s="803" t="s">
        <v>16</v>
      </c>
      <c r="F45" s="281"/>
      <c r="G45" s="41" t="s">
        <v>17</v>
      </c>
      <c r="H45" s="95" t="s">
        <v>18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H45" s="36"/>
      <c r="AI45" s="36"/>
      <c r="AJ45" s="53"/>
      <c r="AK45" s="28"/>
      <c r="AL45" s="28"/>
      <c r="AM45" s="28"/>
      <c r="AN45" s="28"/>
      <c r="AO45" s="28"/>
    </row>
    <row r="46" spans="1:41" ht="15" thickBot="1">
      <c r="A46" s="33"/>
      <c r="B46" s="44"/>
      <c r="C46" s="38"/>
      <c r="E46" s="804" t="s">
        <v>583</v>
      </c>
      <c r="F46" s="804"/>
      <c r="G46" s="209" t="s">
        <v>584</v>
      </c>
      <c r="H46" s="45" t="s">
        <v>585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H46" s="36"/>
      <c r="AI46" s="36"/>
      <c r="AJ46" s="53"/>
      <c r="AK46" s="28"/>
      <c r="AL46" s="28"/>
      <c r="AM46" s="28"/>
      <c r="AN46" s="28"/>
      <c r="AO46" s="28"/>
    </row>
    <row r="47" spans="1:41" ht="12.75">
      <c r="A47" s="33"/>
      <c r="B47" s="44"/>
      <c r="C47" s="38"/>
      <c r="E47" s="805" t="s">
        <v>116</v>
      </c>
      <c r="F47" s="805"/>
      <c r="G47" s="805"/>
      <c r="H47" s="805"/>
      <c r="I47" s="4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H47" s="36"/>
      <c r="AI47" s="36"/>
      <c r="AJ47" s="53"/>
      <c r="AK47" s="28"/>
      <c r="AL47" s="28"/>
      <c r="AM47" s="28"/>
      <c r="AN47" s="28"/>
      <c r="AO47" s="28"/>
    </row>
    <row r="48" spans="1:41" ht="12.75">
      <c r="A48" s="33"/>
      <c r="B48" s="44"/>
      <c r="C48" s="38"/>
      <c r="E48" s="462" t="s">
        <v>575</v>
      </c>
      <c r="F48" s="295"/>
      <c r="G48" s="210">
        <f>+Segment1!$M$137</f>
        <v>0.021982458312460817</v>
      </c>
      <c r="H48" s="214">
        <f>+Segment1!$M$147</f>
        <v>0.015218624985549796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H48" s="36"/>
      <c r="AI48" s="36"/>
      <c r="AJ48" s="53"/>
      <c r="AK48" s="28"/>
      <c r="AL48" s="28"/>
      <c r="AM48" s="28"/>
      <c r="AN48" s="28"/>
      <c r="AO48" s="28"/>
    </row>
    <row r="49" spans="1:41" ht="12.75">
      <c r="A49" s="33"/>
      <c r="B49" s="44"/>
      <c r="C49" s="38"/>
      <c r="E49" s="462" t="s">
        <v>574</v>
      </c>
      <c r="F49" s="295"/>
      <c r="G49" s="210">
        <f>+Segment2!$M$137</f>
        <v>0.0681321648300779</v>
      </c>
      <c r="H49" s="214">
        <f>+Segment2!$M$147</f>
        <v>0.05450573186406232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H49" s="36"/>
      <c r="AI49" s="36"/>
      <c r="AJ49" s="53"/>
      <c r="AK49" s="28"/>
      <c r="AL49" s="28"/>
      <c r="AM49" s="28"/>
      <c r="AN49" s="28"/>
      <c r="AO49" s="28"/>
    </row>
    <row r="50" spans="1:41" ht="12.75">
      <c r="A50" s="33"/>
      <c r="B50" s="44"/>
      <c r="C50" s="38"/>
      <c r="E50" s="462" t="s">
        <v>118</v>
      </c>
      <c r="F50" s="295"/>
      <c r="G50" s="210"/>
      <c r="H50" s="2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H50" s="36"/>
      <c r="AI50" s="36"/>
      <c r="AJ50" s="53"/>
      <c r="AK50" s="28"/>
      <c r="AL50" s="28"/>
      <c r="AM50" s="28"/>
      <c r="AN50" s="28"/>
      <c r="AO50" s="28"/>
    </row>
    <row r="51" spans="1:41" ht="12.75">
      <c r="A51" s="33"/>
      <c r="B51" s="44"/>
      <c r="C51" s="38"/>
      <c r="E51" s="462" t="s">
        <v>119</v>
      </c>
      <c r="F51" s="295"/>
      <c r="G51" s="210"/>
      <c r="H51" s="2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H51" s="36"/>
      <c r="AI51" s="36"/>
      <c r="AJ51" s="53"/>
      <c r="AK51" s="28"/>
      <c r="AL51" s="28"/>
      <c r="AM51" s="28"/>
      <c r="AN51" s="28"/>
      <c r="AO51" s="28"/>
    </row>
    <row r="52" spans="1:41" ht="12.75">
      <c r="A52" s="33"/>
      <c r="B52" s="44"/>
      <c r="C52" s="38"/>
      <c r="E52" s="799" t="s">
        <v>117</v>
      </c>
      <c r="F52" s="545"/>
      <c r="G52" s="545"/>
      <c r="H52" s="40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H52" s="36"/>
      <c r="AI52" s="36"/>
      <c r="AJ52" s="53"/>
      <c r="AK52" s="28"/>
      <c r="AL52" s="28"/>
      <c r="AM52" s="28"/>
      <c r="AN52" s="28"/>
      <c r="AO52" s="28"/>
    </row>
    <row r="53" spans="1:41" ht="12.75">
      <c r="A53" s="33"/>
      <c r="B53" s="44"/>
      <c r="C53" s="38"/>
      <c r="E53" s="462" t="s">
        <v>111</v>
      </c>
      <c r="F53" s="295"/>
      <c r="G53" s="210">
        <f>+Intersection1!$F$170</f>
        <v>0.007816533563389664</v>
      </c>
      <c r="H53" s="214">
        <f>+Intersection1!$F$171</f>
        <v>0.05455204992974059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H53" s="36"/>
      <c r="AI53" s="36"/>
      <c r="AJ53" s="53"/>
      <c r="AK53" s="28"/>
      <c r="AL53" s="28"/>
      <c r="AM53" s="28"/>
      <c r="AN53" s="28"/>
      <c r="AO53" s="28"/>
    </row>
    <row r="54" spans="1:41" ht="12.75">
      <c r="A54" s="33"/>
      <c r="B54" s="44"/>
      <c r="C54" s="38"/>
      <c r="E54" s="792" t="s">
        <v>112</v>
      </c>
      <c r="F54" s="295"/>
      <c r="G54" s="210">
        <f>+Intersection2!$F$170</f>
        <v>0.17574628703597414</v>
      </c>
      <c r="H54" s="214">
        <f>+Intersection2!$F$171</f>
        <v>0.011754132948347993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H54" s="36"/>
      <c r="AI54" s="36"/>
      <c r="AJ54" s="53"/>
      <c r="AK54" s="28"/>
      <c r="AL54" s="28"/>
      <c r="AM54" s="28"/>
      <c r="AN54" s="28"/>
      <c r="AO54" s="28"/>
    </row>
    <row r="55" spans="1:41" ht="12.75">
      <c r="A55" s="33"/>
      <c r="B55" s="44"/>
      <c r="C55" s="38"/>
      <c r="E55" s="462" t="s">
        <v>120</v>
      </c>
      <c r="F55" s="295"/>
      <c r="G55" s="210"/>
      <c r="H55" s="2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H55" s="36"/>
      <c r="AI55" s="36"/>
      <c r="AJ55" s="53"/>
      <c r="AK55" s="28"/>
      <c r="AL55" s="28"/>
      <c r="AM55" s="28"/>
      <c r="AN55" s="28"/>
      <c r="AO55" s="28"/>
    </row>
    <row r="56" spans="1:41" ht="13.5" thickBot="1">
      <c r="A56" s="33"/>
      <c r="B56" s="44"/>
      <c r="C56" s="38"/>
      <c r="E56" s="793" t="s">
        <v>121</v>
      </c>
      <c r="F56" s="794"/>
      <c r="G56" s="212"/>
      <c r="H56" s="21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H56" s="36"/>
      <c r="AI56" s="36"/>
      <c r="AJ56" s="53"/>
      <c r="AK56" s="28"/>
      <c r="AL56" s="28"/>
      <c r="AM56" s="28"/>
      <c r="AN56" s="28"/>
      <c r="AO56" s="28"/>
    </row>
    <row r="57" spans="1:41" ht="14.25" thickBot="1" thickTop="1">
      <c r="A57" s="33"/>
      <c r="B57" s="44"/>
      <c r="C57" s="38"/>
      <c r="E57" s="795" t="s">
        <v>113</v>
      </c>
      <c r="F57" s="796"/>
      <c r="G57" s="215">
        <f>SUM($G$48:$G$51,$G$53:$G$56)</f>
        <v>0.2736774437419025</v>
      </c>
      <c r="H57" s="216">
        <f>SUM($H$48:$H$51,$H$53:$H$56)</f>
        <v>0.13603053972770068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H57" s="36"/>
      <c r="AI57" s="36"/>
      <c r="AJ57" s="53"/>
      <c r="AK57" s="28"/>
      <c r="AL57" s="28"/>
      <c r="AM57" s="28"/>
      <c r="AN57" s="28"/>
      <c r="AO57" s="28"/>
    </row>
    <row r="58" spans="1:41" ht="12.75">
      <c r="A58" s="33"/>
      <c r="B58" s="44"/>
      <c r="C58" s="38"/>
      <c r="D58" s="38"/>
      <c r="F58" s="33"/>
      <c r="H58" s="33"/>
      <c r="K58" s="6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H58" s="36"/>
      <c r="AI58" s="36"/>
      <c r="AJ58" s="53"/>
      <c r="AK58" s="28"/>
      <c r="AL58" s="28"/>
      <c r="AM58" s="28"/>
      <c r="AN58" s="28"/>
      <c r="AO58" s="28"/>
    </row>
    <row r="59" spans="1:41" ht="12.75">
      <c r="A59" s="43"/>
      <c r="B59" s="44"/>
      <c r="C59" s="78"/>
      <c r="D59" s="43"/>
      <c r="E59" s="43"/>
      <c r="F59" s="43"/>
      <c r="G59" s="25"/>
      <c r="H59" s="43"/>
      <c r="K59" s="67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H59" s="84"/>
      <c r="AI59" s="84"/>
      <c r="AJ59" s="79"/>
      <c r="AK59" s="79"/>
      <c r="AL59" s="79"/>
      <c r="AM59" s="79"/>
      <c r="AN59" s="79"/>
      <c r="AO59" s="79"/>
    </row>
    <row r="60" spans="2:41" ht="13.5" thickBot="1">
      <c r="B60" s="44"/>
      <c r="C60" s="39"/>
      <c r="D60" s="25"/>
      <c r="E60" s="25"/>
      <c r="K60" s="6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H60" s="32"/>
      <c r="AI60" s="79"/>
      <c r="AJ60" s="79"/>
      <c r="AK60" s="79"/>
      <c r="AL60" s="79"/>
      <c r="AM60" s="79"/>
      <c r="AN60" s="79"/>
      <c r="AO60" s="79"/>
    </row>
    <row r="61" spans="1:41" ht="13.5" thickTop="1">
      <c r="A61" s="773" t="s">
        <v>587</v>
      </c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H61" s="94"/>
      <c r="AI61" s="84"/>
      <c r="AJ61" s="79"/>
      <c r="AK61" s="79"/>
      <c r="AL61" s="79"/>
      <c r="AM61" s="79"/>
      <c r="AN61" s="79"/>
      <c r="AO61" s="79"/>
    </row>
    <row r="62" spans="1:41" ht="13.5" thickBot="1">
      <c r="A62" s="562"/>
      <c r="B62" s="562"/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H62" s="79"/>
      <c r="AI62" s="79"/>
      <c r="AJ62" s="79"/>
      <c r="AK62" s="79"/>
      <c r="AL62" s="79"/>
      <c r="AM62" s="79"/>
      <c r="AN62" s="79"/>
      <c r="AO62" s="79"/>
    </row>
    <row r="63" spans="1:41" ht="12.75">
      <c r="A63" s="798" t="s">
        <v>16</v>
      </c>
      <c r="B63" s="784"/>
      <c r="C63" s="783" t="s">
        <v>17</v>
      </c>
      <c r="D63" s="784"/>
      <c r="E63" s="783" t="s">
        <v>18</v>
      </c>
      <c r="F63" s="784"/>
      <c r="G63" s="783" t="s">
        <v>19</v>
      </c>
      <c r="H63" s="784"/>
      <c r="I63" s="783" t="s">
        <v>20</v>
      </c>
      <c r="J63" s="784"/>
      <c r="K63" s="769" t="s">
        <v>21</v>
      </c>
      <c r="L63" s="770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45"/>
      <c r="X63" s="45"/>
      <c r="Y63" s="45"/>
      <c r="Z63" s="45"/>
      <c r="AA63" s="45"/>
      <c r="AB63" s="45"/>
      <c r="AC63" s="45"/>
      <c r="AD63" s="45"/>
      <c r="AE63" s="45"/>
      <c r="AH63" s="79"/>
      <c r="AI63" s="79"/>
      <c r="AJ63" s="79"/>
      <c r="AK63" s="79"/>
      <c r="AL63" s="79"/>
      <c r="AM63" s="79"/>
      <c r="AN63" s="79"/>
      <c r="AO63" s="79"/>
    </row>
    <row r="64" spans="1:41" ht="14.25">
      <c r="A64" s="797" t="s">
        <v>43</v>
      </c>
      <c r="B64" s="659"/>
      <c r="C64" s="785" t="s">
        <v>137</v>
      </c>
      <c r="D64" s="786"/>
      <c r="E64" s="785" t="s">
        <v>588</v>
      </c>
      <c r="F64" s="786"/>
      <c r="G64" s="785" t="s">
        <v>591</v>
      </c>
      <c r="H64" s="786"/>
      <c r="I64" s="753" t="s">
        <v>592</v>
      </c>
      <c r="J64" s="771"/>
      <c r="K64" s="753" t="s">
        <v>138</v>
      </c>
      <c r="L64" s="77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H64" s="79"/>
      <c r="AI64" s="79"/>
      <c r="AJ64" s="79"/>
      <c r="AK64" s="79"/>
      <c r="AL64" s="79"/>
      <c r="AM64" s="79"/>
      <c r="AN64" s="79"/>
      <c r="AO64" s="79"/>
    </row>
    <row r="65" spans="1:40" ht="15.75">
      <c r="A65" s="776" t="s">
        <v>35</v>
      </c>
      <c r="B65" s="777"/>
      <c r="C65" s="774" t="s">
        <v>139</v>
      </c>
      <c r="D65" s="787"/>
      <c r="E65" s="774" t="s">
        <v>589</v>
      </c>
      <c r="F65" s="787"/>
      <c r="G65" s="774" t="s">
        <v>590</v>
      </c>
      <c r="H65" s="787"/>
      <c r="I65" s="774" t="s">
        <v>596</v>
      </c>
      <c r="J65" s="775"/>
      <c r="K65" s="767" t="s">
        <v>595</v>
      </c>
      <c r="L65" s="768"/>
      <c r="N65" s="69"/>
      <c r="O65" s="11"/>
      <c r="P65" s="11"/>
      <c r="Q65" s="11"/>
      <c r="R65" s="11"/>
      <c r="S65" s="11"/>
      <c r="T65" s="11"/>
      <c r="U65" s="11"/>
      <c r="V65" s="11"/>
      <c r="W65" s="69"/>
      <c r="X65" s="11"/>
      <c r="Y65" s="11"/>
      <c r="Z65" s="11"/>
      <c r="AA65" s="11"/>
      <c r="AB65" s="11"/>
      <c r="AC65" s="11"/>
      <c r="AD65" s="11"/>
      <c r="AE65" s="11"/>
      <c r="AH65" s="43"/>
      <c r="AI65" s="37"/>
      <c r="AJ65" s="37"/>
      <c r="AK65" s="37"/>
      <c r="AL65" s="37"/>
      <c r="AM65" s="37"/>
      <c r="AN65" s="73"/>
    </row>
    <row r="66" spans="1:40" ht="12.75">
      <c r="A66" s="778"/>
      <c r="B66" s="779"/>
      <c r="C66" s="788">
        <f>+D39</f>
        <v>11.772567838309698</v>
      </c>
      <c r="D66" s="789"/>
      <c r="E66" s="816">
        <f>+G57</f>
        <v>0.2736774437419025</v>
      </c>
      <c r="F66" s="817"/>
      <c r="G66" s="835">
        <f>+H57</f>
        <v>0.13603053972770068</v>
      </c>
      <c r="H66" s="836"/>
      <c r="I66" s="268">
        <f>+J39</f>
        <v>20.815224526672075</v>
      </c>
      <c r="J66" s="766"/>
      <c r="K66" s="268">
        <f>+E66+G66+I66</f>
        <v>21.224932510141677</v>
      </c>
      <c r="L66" s="766"/>
      <c r="N66" s="69"/>
      <c r="O66" s="11"/>
      <c r="P66" s="11"/>
      <c r="Q66" s="11"/>
      <c r="R66" s="11"/>
      <c r="S66" s="11"/>
      <c r="T66" s="11"/>
      <c r="U66" s="11"/>
      <c r="V66" s="11"/>
      <c r="W66" s="69"/>
      <c r="X66" s="11"/>
      <c r="Y66" s="11"/>
      <c r="Z66" s="11"/>
      <c r="AA66" s="11"/>
      <c r="AB66" s="11"/>
      <c r="AC66" s="11"/>
      <c r="AD66" s="11"/>
      <c r="AE66" s="11"/>
      <c r="AH66" s="43"/>
      <c r="AI66" s="37"/>
      <c r="AJ66" s="37"/>
      <c r="AK66" s="37"/>
      <c r="AL66" s="37"/>
      <c r="AM66" s="37"/>
      <c r="AN66" s="73"/>
    </row>
    <row r="67" spans="1:40" ht="15.75">
      <c r="A67" s="776" t="s">
        <v>140</v>
      </c>
      <c r="B67" s="777"/>
      <c r="C67" s="774" t="s">
        <v>142</v>
      </c>
      <c r="D67" s="787"/>
      <c r="E67" s="774" t="s">
        <v>589</v>
      </c>
      <c r="F67" s="787"/>
      <c r="G67" s="774" t="s">
        <v>590</v>
      </c>
      <c r="H67" s="787"/>
      <c r="I67" s="774" t="s">
        <v>594</v>
      </c>
      <c r="J67" s="775"/>
      <c r="K67" s="767" t="s">
        <v>595</v>
      </c>
      <c r="L67" s="768"/>
      <c r="N67" s="69"/>
      <c r="O67" s="11"/>
      <c r="P67" s="11"/>
      <c r="Q67" s="11"/>
      <c r="R67" s="11"/>
      <c r="S67" s="11"/>
      <c r="T67" s="11"/>
      <c r="U67" s="11"/>
      <c r="V67" s="11"/>
      <c r="W67" s="69"/>
      <c r="X67" s="11"/>
      <c r="Y67" s="11"/>
      <c r="Z67" s="11"/>
      <c r="AA67" s="11"/>
      <c r="AB67" s="11"/>
      <c r="AC67" s="11"/>
      <c r="AD67" s="11"/>
      <c r="AE67" s="11"/>
      <c r="AH67" s="43"/>
      <c r="AI67" s="37"/>
      <c r="AJ67" s="37"/>
      <c r="AK67" s="37"/>
      <c r="AL67" s="37"/>
      <c r="AM67" s="37"/>
      <c r="AN67" s="73"/>
    </row>
    <row r="68" spans="1:49" ht="12.75">
      <c r="A68" s="778"/>
      <c r="B68" s="779"/>
      <c r="C68" s="788">
        <f>+E39</f>
        <v>3.4667401198158485</v>
      </c>
      <c r="D68" s="789"/>
      <c r="E68" s="818">
        <f>+G57</f>
        <v>0.2736774437419025</v>
      </c>
      <c r="F68" s="819"/>
      <c r="G68" s="837">
        <f>+H57</f>
        <v>0.13603053972770068</v>
      </c>
      <c r="H68" s="838"/>
      <c r="I68" s="268">
        <f>+$I$66*C68/$C$66</f>
        <v>6.129586591530722</v>
      </c>
      <c r="J68" s="766"/>
      <c r="K68" s="268">
        <f>+E68+G68+I68</f>
        <v>6.5392945750003255</v>
      </c>
      <c r="L68" s="76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H68" s="37"/>
      <c r="AI68" s="37"/>
      <c r="AJ68" s="37"/>
      <c r="AK68" s="37"/>
      <c r="AL68" s="37"/>
      <c r="AM68" s="37"/>
      <c r="AN68" s="73"/>
      <c r="AO68" s="48"/>
      <c r="AP68" s="48"/>
      <c r="AQ68" s="48"/>
      <c r="AR68" s="48"/>
      <c r="AS68" s="48"/>
      <c r="AT68" s="48"/>
      <c r="AU68" s="48"/>
      <c r="AV68" s="48"/>
      <c r="AW68" s="48"/>
    </row>
    <row r="69" spans="1:49" ht="15.75">
      <c r="A69" s="776" t="s">
        <v>141</v>
      </c>
      <c r="B69" s="780"/>
      <c r="C69" s="774" t="s">
        <v>143</v>
      </c>
      <c r="D69" s="787"/>
      <c r="E69" s="822" t="s">
        <v>14</v>
      </c>
      <c r="F69" s="787"/>
      <c r="G69" s="822" t="s">
        <v>14</v>
      </c>
      <c r="H69" s="787"/>
      <c r="I69" s="774" t="s">
        <v>593</v>
      </c>
      <c r="J69" s="775"/>
      <c r="K69" s="767" t="s">
        <v>595</v>
      </c>
      <c r="L69" s="76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H69" s="35"/>
      <c r="AK69" s="45"/>
      <c r="AO69" s="25"/>
      <c r="AT69" s="25"/>
      <c r="AU69" s="25"/>
      <c r="AV69" s="25"/>
      <c r="AW69" s="25"/>
    </row>
    <row r="70" spans="1:48" ht="13.5" thickBot="1">
      <c r="A70" s="781"/>
      <c r="B70" s="782"/>
      <c r="C70" s="790">
        <f>+F39</f>
        <v>8.305827718493848</v>
      </c>
      <c r="D70" s="791"/>
      <c r="E70" s="820">
        <v>0</v>
      </c>
      <c r="F70" s="821"/>
      <c r="G70" s="820">
        <v>0</v>
      </c>
      <c r="H70" s="821"/>
      <c r="I70" s="269">
        <f>+$I$66*C70/$C$66</f>
        <v>14.68563793514135</v>
      </c>
      <c r="J70" s="839"/>
      <c r="K70" s="269">
        <f>+E70+G70+I70</f>
        <v>14.68563793514135</v>
      </c>
      <c r="L70" s="765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H70" s="47"/>
      <c r="AI70" s="44"/>
      <c r="AJ70" s="25"/>
      <c r="AK70" s="46"/>
      <c r="AL70" s="45"/>
      <c r="AM70" s="48"/>
      <c r="AO70" s="45"/>
      <c r="AT70" s="45"/>
      <c r="AU70" s="45"/>
      <c r="AV70" s="45"/>
    </row>
    <row r="71" spans="1:48" ht="12.75">
      <c r="A71" s="33"/>
      <c r="C71" s="33"/>
      <c r="D71" s="33"/>
      <c r="E71" s="33"/>
      <c r="F71" s="38"/>
      <c r="G71" s="33"/>
      <c r="H71" s="33"/>
      <c r="I71" s="38"/>
      <c r="K71" s="6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H71" s="39"/>
      <c r="AI71" s="25"/>
      <c r="AK71" s="49"/>
      <c r="AL71" s="25"/>
      <c r="AM71" s="49"/>
      <c r="AN71" s="49"/>
      <c r="AT71" s="45"/>
      <c r="AU71" s="45"/>
      <c r="AV71" s="45"/>
    </row>
    <row r="72" spans="1:48" ht="12.75">
      <c r="A72" s="43"/>
      <c r="B72" s="43"/>
      <c r="C72" s="43"/>
      <c r="D72" s="43"/>
      <c r="F72" s="43"/>
      <c r="G72" s="43"/>
      <c r="H72" s="43"/>
      <c r="I72" s="43"/>
      <c r="K72" s="6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H72" s="39"/>
      <c r="AI72" s="25"/>
      <c r="AK72" s="49"/>
      <c r="AL72" s="25"/>
      <c r="AM72" s="49"/>
      <c r="AN72" s="49"/>
      <c r="AT72" s="45"/>
      <c r="AU72" s="45"/>
      <c r="AV72" s="46"/>
    </row>
    <row r="73" spans="1:48" ht="12.75">
      <c r="A73" s="43"/>
      <c r="AH73" s="39"/>
      <c r="AI73" s="25"/>
      <c r="AK73" s="34"/>
      <c r="AL73" s="25"/>
      <c r="AM73" s="49"/>
      <c r="AN73" s="49"/>
      <c r="AT73" s="25"/>
      <c r="AU73" s="32"/>
      <c r="AV73" s="30"/>
    </row>
    <row r="74" ht="12.75">
      <c r="A74" s="25"/>
    </row>
    <row r="75" spans="1:9" ht="12.75">
      <c r="A75" s="25"/>
      <c r="D75" s="81"/>
      <c r="E75" s="55"/>
      <c r="F75" s="54"/>
      <c r="G75" s="81"/>
      <c r="H75" s="55"/>
      <c r="I75" s="54"/>
    </row>
    <row r="76" spans="1:9" ht="12.75">
      <c r="A76" s="25"/>
      <c r="D76" s="25"/>
      <c r="E76" s="25"/>
      <c r="F76" s="25"/>
      <c r="G76" s="25"/>
      <c r="H76" s="25"/>
      <c r="I76" s="25"/>
    </row>
    <row r="77" spans="4:9" ht="12.75">
      <c r="D77" s="34"/>
      <c r="E77" s="34"/>
      <c r="F77" s="34"/>
      <c r="G77" s="34"/>
      <c r="H77" s="34"/>
      <c r="I77" s="34"/>
    </row>
    <row r="78" spans="1:9" ht="12.75">
      <c r="A78" s="28"/>
      <c r="D78" s="53"/>
      <c r="E78" s="28"/>
      <c r="F78" s="28"/>
      <c r="G78" s="38"/>
      <c r="I78" s="28"/>
    </row>
    <row r="79" spans="1:9" ht="12.75">
      <c r="A79" s="59"/>
      <c r="C79" s="34"/>
      <c r="D79" s="34"/>
      <c r="E79" s="34"/>
      <c r="F79" s="34"/>
      <c r="G79" s="34"/>
      <c r="H79" s="34"/>
      <c r="I79" s="34"/>
    </row>
    <row r="80" spans="1:9" ht="12.75">
      <c r="A80" s="59"/>
      <c r="C80" s="34"/>
      <c r="D80" s="34"/>
      <c r="E80" s="34"/>
      <c r="F80" s="34"/>
      <c r="G80" s="34"/>
      <c r="H80" s="34"/>
      <c r="I80" s="34"/>
    </row>
    <row r="81" spans="1:9" ht="12.75">
      <c r="A81" s="47"/>
      <c r="C81" s="34"/>
      <c r="D81" s="34"/>
      <c r="E81" s="34"/>
      <c r="F81" s="34"/>
      <c r="G81" s="34"/>
      <c r="H81" s="34"/>
      <c r="I81" s="34"/>
    </row>
    <row r="82" spans="1:9" ht="12.75">
      <c r="A82" s="59"/>
      <c r="C82" s="34"/>
      <c r="D82" s="34"/>
      <c r="E82" s="34"/>
      <c r="F82" s="34"/>
      <c r="G82" s="34"/>
      <c r="H82" s="34"/>
      <c r="I82" s="34"/>
    </row>
    <row r="83" spans="1:9" ht="12.75">
      <c r="A83" s="59"/>
      <c r="C83" s="34"/>
      <c r="D83" s="34"/>
      <c r="E83" s="34"/>
      <c r="F83" s="34"/>
      <c r="G83" s="34"/>
      <c r="H83" s="34"/>
      <c r="I83" s="34"/>
    </row>
    <row r="84" spans="1:9" ht="12.75">
      <c r="A84" s="59"/>
      <c r="C84" s="34"/>
      <c r="D84" s="34"/>
      <c r="E84" s="34"/>
      <c r="F84" s="34"/>
      <c r="G84" s="34"/>
      <c r="H84" s="34"/>
      <c r="I84" s="34"/>
    </row>
    <row r="85" spans="1:9" ht="12.75">
      <c r="A85" s="77"/>
      <c r="B85" s="44"/>
      <c r="C85" s="44"/>
      <c r="D85" s="44"/>
      <c r="E85" s="44"/>
      <c r="F85" s="44"/>
      <c r="G85" s="44"/>
      <c r="H85" s="44"/>
      <c r="I85" s="44"/>
    </row>
    <row r="86" spans="3:9" ht="12.75">
      <c r="C86" s="34"/>
      <c r="D86" s="34"/>
      <c r="E86" s="34"/>
      <c r="F86" s="34"/>
      <c r="G86" s="25"/>
      <c r="H86" s="34"/>
      <c r="I86" s="34"/>
    </row>
    <row r="87" spans="1:7" ht="12.75">
      <c r="A87" s="45"/>
      <c r="B87" s="25"/>
      <c r="C87" s="25"/>
      <c r="D87" s="25"/>
      <c r="E87" s="25"/>
      <c r="F87" s="25"/>
      <c r="G87" s="2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3"/>
      <c r="B90" s="33"/>
      <c r="C90" s="33"/>
      <c r="E90" s="38"/>
      <c r="F90" s="25"/>
      <c r="G90" s="25"/>
      <c r="H90" s="25"/>
      <c r="I90" s="38"/>
    </row>
    <row r="91" spans="1:9" ht="12.75">
      <c r="A91" s="43"/>
      <c r="B91" s="43"/>
      <c r="C91" s="43"/>
      <c r="D91" s="43"/>
      <c r="E91" s="45"/>
      <c r="F91" s="45"/>
      <c r="G91" s="45"/>
      <c r="H91" s="45"/>
      <c r="I91" s="45"/>
    </row>
    <row r="92" spans="1:9" ht="12.75">
      <c r="A92" s="73"/>
      <c r="B92" s="73"/>
      <c r="C92" s="73"/>
      <c r="D92" s="73"/>
      <c r="E92" s="38"/>
      <c r="I92" s="38"/>
    </row>
    <row r="93" spans="1:9" ht="12.75">
      <c r="A93" s="44"/>
      <c r="B93" s="44"/>
      <c r="C93" s="44"/>
      <c r="E93" s="34"/>
      <c r="F93" s="25"/>
      <c r="G93" s="25"/>
      <c r="H93" s="25"/>
      <c r="I93" s="11"/>
    </row>
    <row r="94" spans="1:9" ht="12.75">
      <c r="A94" s="44"/>
      <c r="B94" s="44"/>
      <c r="C94" s="44"/>
      <c r="E94" s="34"/>
      <c r="F94" s="25"/>
      <c r="G94" s="25"/>
      <c r="H94" s="25"/>
      <c r="I94" s="11"/>
    </row>
    <row r="95" spans="1:9" ht="12.75">
      <c r="A95" s="47"/>
      <c r="B95" s="44"/>
      <c r="C95" s="44"/>
      <c r="E95" s="34"/>
      <c r="F95" s="25"/>
      <c r="G95" s="25"/>
      <c r="H95" s="25"/>
      <c r="I95" s="11"/>
    </row>
    <row r="96" spans="1:9" ht="12.75">
      <c r="A96" s="44"/>
      <c r="B96" s="44"/>
      <c r="C96" s="44"/>
      <c r="E96" s="34"/>
      <c r="F96" s="25"/>
      <c r="G96" s="25"/>
      <c r="H96" s="25"/>
      <c r="I96" s="11"/>
    </row>
    <row r="97" spans="1:9" ht="12.75">
      <c r="A97" s="77"/>
      <c r="B97" s="44"/>
      <c r="C97" s="44"/>
      <c r="D97" s="44"/>
      <c r="E97" s="44"/>
      <c r="F97" s="44"/>
      <c r="G97" s="44"/>
      <c r="H97" s="44"/>
      <c r="I97" s="44"/>
    </row>
    <row r="102" spans="1:9" ht="12.7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2.75">
      <c r="A103" s="42"/>
      <c r="B103" s="42"/>
      <c r="C103" s="42"/>
      <c r="D103" s="43"/>
      <c r="E103" s="43"/>
      <c r="F103" s="43"/>
      <c r="G103" s="43"/>
      <c r="I103" s="43"/>
    </row>
    <row r="104" spans="1:9" ht="12.75">
      <c r="A104" s="42"/>
      <c r="B104" s="42"/>
      <c r="C104" s="42"/>
      <c r="D104" s="33"/>
      <c r="G104" s="33"/>
      <c r="H104" s="33"/>
      <c r="I104" s="33"/>
    </row>
    <row r="105" spans="1:9" ht="12.75">
      <c r="A105" s="44"/>
      <c r="B105" s="44"/>
      <c r="C105" s="44"/>
      <c r="D105" s="34"/>
      <c r="E105" s="25"/>
      <c r="F105" s="25"/>
      <c r="G105" s="34"/>
      <c r="H105" s="25"/>
      <c r="I105" s="25"/>
    </row>
    <row r="106" spans="1:9" ht="12.75">
      <c r="A106" s="44"/>
      <c r="B106" s="44"/>
      <c r="C106" s="44"/>
      <c r="D106" s="34"/>
      <c r="E106" s="25"/>
      <c r="F106" s="25"/>
      <c r="G106" s="34"/>
      <c r="H106" s="25"/>
      <c r="I106" s="25"/>
    </row>
    <row r="107" spans="1:9" ht="12.75">
      <c r="A107" s="44"/>
      <c r="B107" s="44"/>
      <c r="C107" s="44"/>
      <c r="D107" s="34"/>
      <c r="E107" s="25"/>
      <c r="F107" s="25"/>
      <c r="G107" s="34"/>
      <c r="H107" s="25"/>
      <c r="I107" s="25"/>
    </row>
  </sheetData>
  <sheetProtection/>
  <mergeCells count="101">
    <mergeCell ref="G64:H64"/>
    <mergeCell ref="G63:H63"/>
    <mergeCell ref="I63:J63"/>
    <mergeCell ref="G66:H66"/>
    <mergeCell ref="G68:H68"/>
    <mergeCell ref="G70:H70"/>
    <mergeCell ref="G67:H67"/>
    <mergeCell ref="G69:H69"/>
    <mergeCell ref="G65:H65"/>
    <mergeCell ref="I70:J70"/>
    <mergeCell ref="B6:C11"/>
    <mergeCell ref="B36:C36"/>
    <mergeCell ref="B37:C37"/>
    <mergeCell ref="B38:C38"/>
    <mergeCell ref="B39:C39"/>
    <mergeCell ref="D6:F8"/>
    <mergeCell ref="D9:D11"/>
    <mergeCell ref="B28:J28"/>
    <mergeCell ref="B30:C30"/>
    <mergeCell ref="H6:H11"/>
    <mergeCell ref="E65:F65"/>
    <mergeCell ref="E66:F66"/>
    <mergeCell ref="E68:F68"/>
    <mergeCell ref="E70:F70"/>
    <mergeCell ref="E67:F67"/>
    <mergeCell ref="E69:F69"/>
    <mergeCell ref="J9:J11"/>
    <mergeCell ref="B12:J12"/>
    <mergeCell ref="B14:C14"/>
    <mergeCell ref="B15:C15"/>
    <mergeCell ref="G6:G11"/>
    <mergeCell ref="I9:I11"/>
    <mergeCell ref="I6:I8"/>
    <mergeCell ref="J6:J8"/>
    <mergeCell ref="E9:E11"/>
    <mergeCell ref="F9:F11"/>
    <mergeCell ref="B3:J4"/>
    <mergeCell ref="B5:C5"/>
    <mergeCell ref="B33:C33"/>
    <mergeCell ref="B35:C35"/>
    <mergeCell ref="B16:C16"/>
    <mergeCell ref="B17:C17"/>
    <mergeCell ref="B24:C24"/>
    <mergeCell ref="B25:C25"/>
    <mergeCell ref="B26:C26"/>
    <mergeCell ref="B27:C27"/>
    <mergeCell ref="B13:J13"/>
    <mergeCell ref="B23:J23"/>
    <mergeCell ref="B18:J18"/>
    <mergeCell ref="B19:C19"/>
    <mergeCell ref="B20:C20"/>
    <mergeCell ref="B21:C21"/>
    <mergeCell ref="B22:C22"/>
    <mergeCell ref="B29:J29"/>
    <mergeCell ref="B34:J34"/>
    <mergeCell ref="E43:H44"/>
    <mergeCell ref="E45:F45"/>
    <mergeCell ref="E46:F46"/>
    <mergeCell ref="E47:H47"/>
    <mergeCell ref="B31:C31"/>
    <mergeCell ref="B32:C32"/>
    <mergeCell ref="E48:F48"/>
    <mergeCell ref="E49:F49"/>
    <mergeCell ref="E50:F50"/>
    <mergeCell ref="E51:F51"/>
    <mergeCell ref="E52:H52"/>
    <mergeCell ref="E53:F53"/>
    <mergeCell ref="E54:F54"/>
    <mergeCell ref="E55:F55"/>
    <mergeCell ref="E56:F56"/>
    <mergeCell ref="E57:F57"/>
    <mergeCell ref="A64:B64"/>
    <mergeCell ref="A63:B63"/>
    <mergeCell ref="E64:F64"/>
    <mergeCell ref="E63:F63"/>
    <mergeCell ref="A67:B68"/>
    <mergeCell ref="A69:B70"/>
    <mergeCell ref="C63:D63"/>
    <mergeCell ref="C64:D64"/>
    <mergeCell ref="C65:D65"/>
    <mergeCell ref="C67:D67"/>
    <mergeCell ref="C69:D69"/>
    <mergeCell ref="C66:D66"/>
    <mergeCell ref="C68:D68"/>
    <mergeCell ref="C70:D70"/>
    <mergeCell ref="I64:J64"/>
    <mergeCell ref="K64:L64"/>
    <mergeCell ref="A61:L62"/>
    <mergeCell ref="I65:J65"/>
    <mergeCell ref="I69:J69"/>
    <mergeCell ref="I67:J67"/>
    <mergeCell ref="K65:L65"/>
    <mergeCell ref="I66:J66"/>
    <mergeCell ref="I68:J68"/>
    <mergeCell ref="A65:B66"/>
    <mergeCell ref="K70:L70"/>
    <mergeCell ref="K68:L68"/>
    <mergeCell ref="K66:L66"/>
    <mergeCell ref="K67:L67"/>
    <mergeCell ref="K69:L69"/>
    <mergeCell ref="K63:L63"/>
  </mergeCells>
  <dataValidations count="2">
    <dataValidation type="list" allowBlank="1" showInputMessage="1" showErrorMessage="1" sqref="AJ70 N31 N7">
      <formula1>Local</formula1>
    </dataValidation>
    <dataValidation type="whole" allowBlank="1" showInputMessage="1" showErrorMessage="1" sqref="I19:I22 I35:I38 I30:I33 I14:I17 I24:I27">
      <formula1>0</formula1>
      <formula2>78300</formula2>
    </dataValidation>
  </dataValidations>
  <printOptions/>
  <pageMargins left="0.7" right="0.7" top="0.75" bottom="0.75" header="0.3" footer="0.3"/>
  <pageSetup fitToHeight="2" horizontalDpi="600" verticalDpi="600" orientation="landscape" scale="74" r:id="rId1"/>
  <headerFooter>
    <oddHeader>&amp;CUrban and Suburban Predictive Method</oddHeader>
    <oddFooter>&amp;R&amp;P</oddFooter>
  </headerFooter>
  <rowBreaks count="1" manualBreakCount="1">
    <brk id="4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29" customWidth="1"/>
    <col min="8" max="8" width="15.28125" style="29" customWidth="1"/>
    <col min="9" max="10" width="13.7109375" style="29" customWidth="1"/>
    <col min="11" max="14" width="10.7109375" style="29" customWidth="1"/>
    <col min="15" max="15" width="12.7109375" style="29" customWidth="1"/>
    <col min="16" max="22" width="13.7109375" style="29" customWidth="1"/>
    <col min="23" max="32" width="12.7109375" style="29" customWidth="1"/>
    <col min="33" max="38" width="9.140625" style="29" customWidth="1"/>
    <col min="39" max="39" width="11.00390625" style="29" customWidth="1"/>
    <col min="40" max="40" width="12.421875" style="29" customWidth="1"/>
    <col min="41" max="41" width="10.421875" style="29" customWidth="1"/>
    <col min="42" max="42" width="10.7109375" style="29" customWidth="1"/>
    <col min="43" max="43" width="12.421875" style="29" customWidth="1"/>
    <col min="44" max="44" width="10.421875" style="29" customWidth="1"/>
    <col min="45" max="45" width="11.7109375" style="29" customWidth="1"/>
    <col min="46" max="46" width="10.421875" style="29" customWidth="1"/>
    <col min="47" max="48" width="9.140625" style="29" customWidth="1"/>
    <col min="49" max="49" width="10.140625" style="29" customWidth="1"/>
    <col min="50" max="16384" width="9.140625" style="29" customWidth="1"/>
  </cols>
  <sheetData>
    <row r="1" spans="17:26" ht="12.75">
      <c r="Q1" s="30"/>
      <c r="T1" s="25"/>
      <c r="Z1" s="70"/>
    </row>
    <row r="2" spans="17:26" ht="13.5" thickBot="1">
      <c r="Q2" s="30"/>
      <c r="T2" s="25"/>
      <c r="Z2" s="70"/>
    </row>
    <row r="3" spans="1:58" ht="13.5" thickTop="1">
      <c r="A3" s="35"/>
      <c r="B3" s="773" t="s">
        <v>597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66"/>
      <c r="Q3" s="43"/>
      <c r="R3" s="43"/>
      <c r="S3" s="43"/>
      <c r="T3" s="43"/>
      <c r="U3" s="43"/>
      <c r="V3" s="43"/>
      <c r="W3" s="43"/>
      <c r="X3" s="43"/>
      <c r="Y3" s="43"/>
      <c r="Z3" s="73"/>
      <c r="AA3" s="73"/>
      <c r="AB3" s="45"/>
      <c r="AC3" s="45"/>
      <c r="AD3" s="45"/>
      <c r="AM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3.5" thickBot="1">
      <c r="A4" s="45"/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25"/>
      <c r="Q4" s="43"/>
      <c r="R4" s="43"/>
      <c r="S4" s="43"/>
      <c r="T4" s="43"/>
      <c r="U4" s="43"/>
      <c r="V4" s="43"/>
      <c r="W4" s="43"/>
      <c r="X4" s="43"/>
      <c r="Y4" s="43"/>
      <c r="Z4" s="73"/>
      <c r="AA4" s="73"/>
      <c r="AB4" s="25"/>
      <c r="AC4" s="25"/>
      <c r="AD4" s="2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2:58" ht="12.75">
      <c r="B5" s="803" t="s">
        <v>16</v>
      </c>
      <c r="C5" s="281"/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41" t="s">
        <v>23</v>
      </c>
      <c r="K5" s="41" t="s">
        <v>24</v>
      </c>
      <c r="L5" s="41" t="s">
        <v>25</v>
      </c>
      <c r="M5" s="41" t="s">
        <v>26</v>
      </c>
      <c r="N5" s="41" t="s">
        <v>27</v>
      </c>
      <c r="O5" s="95" t="s">
        <v>28</v>
      </c>
      <c r="P5" s="46"/>
      <c r="Q5" s="42"/>
      <c r="R5" s="42"/>
      <c r="S5" s="42"/>
      <c r="T5" s="66"/>
      <c r="U5" s="66"/>
      <c r="V5" s="66"/>
      <c r="W5" s="66"/>
      <c r="X5" s="66"/>
      <c r="Y5" s="66"/>
      <c r="AB5" s="66"/>
      <c r="AC5" s="66"/>
      <c r="AD5" s="66"/>
      <c r="AM5" s="45"/>
      <c r="AN5" s="45"/>
      <c r="AO5" s="45"/>
      <c r="AP5" s="25"/>
      <c r="AQ5" s="45"/>
      <c r="AR5" s="25"/>
      <c r="AS5" s="25"/>
      <c r="AT5" s="2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2:58" ht="12.75">
      <c r="B6" s="846" t="s">
        <v>576</v>
      </c>
      <c r="C6" s="523"/>
      <c r="D6" s="559" t="s">
        <v>598</v>
      </c>
      <c r="E6" s="845"/>
      <c r="F6" s="845"/>
      <c r="G6" s="559" t="s">
        <v>132</v>
      </c>
      <c r="H6" s="634" t="s">
        <v>33</v>
      </c>
      <c r="I6" s="634" t="s">
        <v>600</v>
      </c>
      <c r="J6" s="634" t="s">
        <v>601</v>
      </c>
      <c r="K6" s="634" t="s">
        <v>122</v>
      </c>
      <c r="L6" s="634" t="s">
        <v>123</v>
      </c>
      <c r="M6" s="634" t="s">
        <v>126</v>
      </c>
      <c r="N6" s="634" t="s">
        <v>127</v>
      </c>
      <c r="O6" s="814" t="s">
        <v>602</v>
      </c>
      <c r="Q6" s="73"/>
      <c r="R6" s="73"/>
      <c r="S6" s="73"/>
      <c r="T6" s="66"/>
      <c r="U6" s="66"/>
      <c r="V6" s="66"/>
      <c r="X6" s="45"/>
      <c r="AB6" s="45"/>
      <c r="AC6" s="45"/>
      <c r="AD6" s="45"/>
      <c r="AM6" s="45"/>
      <c r="AN6" s="45"/>
      <c r="AO6" s="25"/>
      <c r="AP6" s="25"/>
      <c r="AQ6" s="25"/>
      <c r="AR6" s="25"/>
      <c r="AS6" s="25"/>
      <c r="AT6" s="2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2:58" ht="12.75">
      <c r="B7" s="847"/>
      <c r="C7" s="848"/>
      <c r="D7" s="845"/>
      <c r="E7" s="845"/>
      <c r="F7" s="845"/>
      <c r="G7" s="359"/>
      <c r="H7" s="358"/>
      <c r="I7" s="302"/>
      <c r="J7" s="302"/>
      <c r="K7" s="302"/>
      <c r="L7" s="302"/>
      <c r="M7" s="302"/>
      <c r="N7" s="302"/>
      <c r="O7" s="644"/>
      <c r="Q7" s="39"/>
      <c r="R7" s="25"/>
      <c r="S7" s="25"/>
      <c r="T7" s="40"/>
      <c r="U7" s="40"/>
      <c r="V7" s="40"/>
      <c r="W7" s="40"/>
      <c r="X7" s="40"/>
      <c r="Y7" s="40"/>
      <c r="Z7" s="40"/>
      <c r="AA7" s="40"/>
      <c r="AB7" s="25"/>
      <c r="AC7" s="45"/>
      <c r="AD7" s="25"/>
      <c r="AM7" s="25"/>
      <c r="AN7" s="25"/>
      <c r="AO7" s="25"/>
      <c r="AP7" s="25"/>
      <c r="AQ7" s="91"/>
      <c r="AR7" s="91"/>
      <c r="AS7" s="91"/>
      <c r="AT7" s="91"/>
      <c r="AW7" s="31"/>
      <c r="AX7" s="28"/>
      <c r="AY7" s="28"/>
      <c r="AZ7" s="28"/>
      <c r="BA7" s="28"/>
      <c r="BB7" s="28"/>
      <c r="BC7" s="28"/>
      <c r="BD7" s="28"/>
      <c r="BE7" s="28"/>
      <c r="BF7" s="28"/>
    </row>
    <row r="8" spans="2:58" ht="12.75">
      <c r="B8" s="847"/>
      <c r="C8" s="848"/>
      <c r="D8" s="842" t="s">
        <v>114</v>
      </c>
      <c r="E8" s="842" t="s">
        <v>599</v>
      </c>
      <c r="F8" s="842" t="s">
        <v>115</v>
      </c>
      <c r="G8" s="359"/>
      <c r="H8" s="358"/>
      <c r="I8" s="842" t="s">
        <v>124</v>
      </c>
      <c r="J8" s="842" t="s">
        <v>125</v>
      </c>
      <c r="K8" s="813" t="s">
        <v>128</v>
      </c>
      <c r="L8" s="813" t="s">
        <v>129</v>
      </c>
      <c r="M8" s="813" t="s">
        <v>130</v>
      </c>
      <c r="N8" s="813" t="s">
        <v>131</v>
      </c>
      <c r="O8" s="809" t="s">
        <v>603</v>
      </c>
      <c r="P8" s="47"/>
      <c r="T8" s="37"/>
      <c r="U8" s="37"/>
      <c r="V8" s="37"/>
      <c r="W8" s="37"/>
      <c r="X8" s="37"/>
      <c r="Y8" s="37"/>
      <c r="Z8" s="37"/>
      <c r="AA8" s="37"/>
      <c r="AB8" s="25"/>
      <c r="AC8" s="25"/>
      <c r="AD8" s="25"/>
      <c r="AM8" s="25"/>
      <c r="AN8" s="25"/>
      <c r="AO8" s="25"/>
      <c r="AP8" s="25"/>
      <c r="AQ8" s="92"/>
      <c r="AR8" s="92"/>
      <c r="AS8" s="92"/>
      <c r="AT8" s="92"/>
      <c r="AW8" s="31"/>
      <c r="AX8" s="28"/>
      <c r="AY8" s="28"/>
      <c r="AZ8" s="28"/>
      <c r="BA8" s="28"/>
      <c r="BB8" s="28"/>
      <c r="BC8" s="28"/>
      <c r="BD8" s="28"/>
      <c r="BE8" s="28"/>
      <c r="BF8" s="28"/>
    </row>
    <row r="9" spans="1:58" ht="13.5" thickBot="1">
      <c r="A9" s="45"/>
      <c r="B9" s="849"/>
      <c r="C9" s="850"/>
      <c r="D9" s="844"/>
      <c r="E9" s="844"/>
      <c r="F9" s="844"/>
      <c r="G9" s="841"/>
      <c r="H9" s="840"/>
      <c r="I9" s="843"/>
      <c r="J9" s="843"/>
      <c r="K9" s="840"/>
      <c r="L9" s="840"/>
      <c r="M9" s="840"/>
      <c r="N9" s="840"/>
      <c r="O9" s="810"/>
      <c r="P9" s="46"/>
      <c r="Q9" s="74"/>
      <c r="R9" s="75"/>
      <c r="S9" s="75"/>
      <c r="T9" s="76"/>
      <c r="U9" s="76"/>
      <c r="V9" s="76"/>
      <c r="W9" s="34"/>
      <c r="X9" s="34"/>
      <c r="Y9" s="34"/>
      <c r="Z9" s="34"/>
      <c r="AA9" s="34"/>
      <c r="AM9" s="39"/>
      <c r="AN9" s="25"/>
      <c r="AO9" s="53"/>
      <c r="AP9" s="25"/>
      <c r="AQ9" s="87"/>
      <c r="AR9" s="87"/>
      <c r="AS9" s="93"/>
      <c r="AT9" s="93"/>
      <c r="AW9" s="31"/>
      <c r="AX9" s="28"/>
      <c r="AY9" s="28"/>
      <c r="AZ9" s="28"/>
      <c r="BA9" s="28"/>
      <c r="BB9" s="28"/>
      <c r="BC9" s="28"/>
      <c r="BD9" s="28"/>
      <c r="BE9" s="28"/>
      <c r="BF9" s="28"/>
    </row>
    <row r="10" spans="1:58" ht="12.75">
      <c r="A10" s="31"/>
      <c r="B10" s="805" t="s">
        <v>116</v>
      </c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70"/>
      <c r="Q10" s="74"/>
      <c r="R10" s="75"/>
      <c r="S10" s="75"/>
      <c r="T10" s="34"/>
      <c r="U10" s="34"/>
      <c r="V10" s="34"/>
      <c r="W10" s="34"/>
      <c r="X10" s="34"/>
      <c r="Y10" s="34"/>
      <c r="Z10" s="34"/>
      <c r="AA10" s="34"/>
      <c r="AB10" s="11"/>
      <c r="AC10" s="11"/>
      <c r="AD10" s="11"/>
      <c r="AM10" s="25"/>
      <c r="AN10" s="25"/>
      <c r="AO10" s="25"/>
      <c r="AP10" s="25"/>
      <c r="AQ10" s="87"/>
      <c r="AR10" s="87"/>
      <c r="AS10" s="87"/>
      <c r="AT10" s="87"/>
      <c r="AW10" s="31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ht="12.75">
      <c r="A11" s="31"/>
      <c r="B11" s="800" t="s">
        <v>577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70"/>
      <c r="Q11" s="74"/>
      <c r="R11" s="75"/>
      <c r="S11" s="75"/>
      <c r="T11" s="34"/>
      <c r="U11" s="34"/>
      <c r="V11" s="34"/>
      <c r="W11" s="34"/>
      <c r="X11" s="34"/>
      <c r="Y11" s="34"/>
      <c r="Z11" s="34"/>
      <c r="AA11" s="34"/>
      <c r="AB11" s="11"/>
      <c r="AC11" s="11"/>
      <c r="AD11" s="11"/>
      <c r="AM11" s="25"/>
      <c r="AN11" s="25"/>
      <c r="AO11" s="25"/>
      <c r="AP11" s="25"/>
      <c r="AQ11" s="87"/>
      <c r="AR11" s="87"/>
      <c r="AS11" s="87"/>
      <c r="AT11" s="87"/>
      <c r="AW11" s="31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49" ht="12.75">
      <c r="A12" s="31"/>
      <c r="B12" s="462" t="s">
        <v>575</v>
      </c>
      <c r="C12" s="295"/>
      <c r="D12" s="56">
        <f>+Segment1!$N$47</f>
        <v>1.8323950260316502</v>
      </c>
      <c r="E12" s="56">
        <f>+Segment1!$N$48</f>
        <v>0.5370029676796475</v>
      </c>
      <c r="F12" s="56">
        <f>+Segment1!$N$50</f>
        <v>1.2953920583520029</v>
      </c>
      <c r="G12" s="100" t="s">
        <v>14</v>
      </c>
      <c r="H12" s="56">
        <f>+Segment1!$E$47</f>
        <v>1.32</v>
      </c>
      <c r="I12" s="104">
        <f>+H12*D12*D12</f>
        <v>4.432126421481702</v>
      </c>
      <c r="J12" s="104">
        <f>SQRT(H12*D12)</f>
        <v>1.5552367775878304</v>
      </c>
      <c r="K12" s="100" t="s">
        <v>14</v>
      </c>
      <c r="L12" s="100" t="s">
        <v>14</v>
      </c>
      <c r="M12" s="100" t="s">
        <v>14</v>
      </c>
      <c r="N12" s="100" t="s">
        <v>14</v>
      </c>
      <c r="O12" s="203" t="s">
        <v>14</v>
      </c>
      <c r="P12" s="70"/>
      <c r="Q12" s="74"/>
      <c r="R12" s="75"/>
      <c r="S12" s="75"/>
      <c r="T12" s="34"/>
      <c r="U12" s="34"/>
      <c r="V12" s="34"/>
      <c r="W12" s="34"/>
      <c r="X12" s="34"/>
      <c r="Y12" s="34"/>
      <c r="Z12" s="34"/>
      <c r="AA12" s="34"/>
      <c r="AB12" s="11"/>
      <c r="AC12" s="11"/>
      <c r="AD12" s="11"/>
      <c r="AM12" s="54"/>
      <c r="AN12" s="36"/>
      <c r="AO12" s="53"/>
      <c r="AP12" s="25"/>
      <c r="AQ12" s="87"/>
      <c r="AR12" s="87"/>
      <c r="AS12" s="93"/>
      <c r="AT12" s="93"/>
      <c r="AW12" s="85"/>
    </row>
    <row r="13" spans="1:46" ht="12.75">
      <c r="A13" s="31"/>
      <c r="B13" s="462" t="s">
        <v>574</v>
      </c>
      <c r="C13" s="295"/>
      <c r="D13" s="56">
        <f>+Segment2!$N$47</f>
        <v>3.4096806673507425</v>
      </c>
      <c r="E13" s="56">
        <f>+Segment2!$N$48</f>
        <v>0.9965152435925788</v>
      </c>
      <c r="F13" s="56">
        <f>+Segment2!$N$50</f>
        <v>2.4131654237581635</v>
      </c>
      <c r="G13" s="100" t="s">
        <v>14</v>
      </c>
      <c r="H13" s="56">
        <f>+Segment2!$E$47</f>
        <v>0.66</v>
      </c>
      <c r="I13" s="104">
        <f>+H13*D13*D13</f>
        <v>7.673108687181567</v>
      </c>
      <c r="J13" s="104">
        <f>SQRT(H13*D13)</f>
        <v>1.5001297412062364</v>
      </c>
      <c r="K13" s="100" t="s">
        <v>14</v>
      </c>
      <c r="L13" s="100" t="s">
        <v>14</v>
      </c>
      <c r="M13" s="100" t="s">
        <v>14</v>
      </c>
      <c r="N13" s="100" t="s">
        <v>14</v>
      </c>
      <c r="O13" s="203" t="s">
        <v>14</v>
      </c>
      <c r="P13" s="70"/>
      <c r="Q13" s="74"/>
      <c r="R13" s="75"/>
      <c r="S13" s="75"/>
      <c r="T13" s="34"/>
      <c r="U13" s="34"/>
      <c r="V13" s="34"/>
      <c r="W13" s="34"/>
      <c r="X13" s="34"/>
      <c r="Y13" s="34"/>
      <c r="Z13" s="34"/>
      <c r="AA13" s="34"/>
      <c r="AB13" s="11"/>
      <c r="AC13" s="11"/>
      <c r="AD13" s="11"/>
      <c r="AM13" s="36"/>
      <c r="AN13" s="36"/>
      <c r="AO13" s="25"/>
      <c r="AP13" s="25"/>
      <c r="AQ13" s="87"/>
      <c r="AR13" s="87"/>
      <c r="AS13" s="87"/>
      <c r="AT13" s="87"/>
    </row>
    <row r="14" spans="1:46" ht="12.75">
      <c r="A14" s="31"/>
      <c r="B14" s="462" t="s">
        <v>118</v>
      </c>
      <c r="C14" s="295"/>
      <c r="D14" s="56"/>
      <c r="E14" s="56"/>
      <c r="F14" s="56"/>
      <c r="G14" s="100" t="s">
        <v>14</v>
      </c>
      <c r="H14" s="56"/>
      <c r="I14" s="103"/>
      <c r="J14" s="60"/>
      <c r="K14" s="100" t="s">
        <v>14</v>
      </c>
      <c r="L14" s="100" t="s">
        <v>14</v>
      </c>
      <c r="M14" s="100" t="s">
        <v>14</v>
      </c>
      <c r="N14" s="100" t="s">
        <v>14</v>
      </c>
      <c r="O14" s="203" t="s">
        <v>14</v>
      </c>
      <c r="P14" s="70"/>
      <c r="Q14" s="74"/>
      <c r="R14" s="75"/>
      <c r="S14" s="75"/>
      <c r="T14" s="34"/>
      <c r="U14" s="34"/>
      <c r="V14" s="34"/>
      <c r="W14" s="34"/>
      <c r="X14" s="34"/>
      <c r="Y14" s="34"/>
      <c r="Z14" s="34"/>
      <c r="AA14" s="34"/>
      <c r="AB14" s="11"/>
      <c r="AC14" s="11"/>
      <c r="AD14" s="11"/>
      <c r="AM14" s="36"/>
      <c r="AN14" s="36"/>
      <c r="AO14" s="53"/>
      <c r="AP14" s="28"/>
      <c r="AQ14" s="28"/>
      <c r="AR14" s="28"/>
      <c r="AS14" s="28"/>
      <c r="AT14" s="28"/>
    </row>
    <row r="15" spans="1:46" ht="12.75">
      <c r="A15" s="31"/>
      <c r="B15" s="462" t="s">
        <v>119</v>
      </c>
      <c r="C15" s="295"/>
      <c r="D15" s="56"/>
      <c r="E15" s="56"/>
      <c r="F15" s="56"/>
      <c r="G15" s="100" t="s">
        <v>14</v>
      </c>
      <c r="H15" s="56"/>
      <c r="I15" s="4"/>
      <c r="J15" s="60"/>
      <c r="K15" s="100" t="s">
        <v>14</v>
      </c>
      <c r="L15" s="100" t="s">
        <v>14</v>
      </c>
      <c r="M15" s="100" t="s">
        <v>14</v>
      </c>
      <c r="N15" s="100" t="s">
        <v>14</v>
      </c>
      <c r="O15" s="203" t="s">
        <v>14</v>
      </c>
      <c r="P15" s="70"/>
      <c r="Q15" s="74"/>
      <c r="R15" s="75"/>
      <c r="S15" s="75"/>
      <c r="T15" s="34"/>
      <c r="U15" s="34"/>
      <c r="V15" s="34"/>
      <c r="W15" s="34"/>
      <c r="X15" s="34"/>
      <c r="Y15" s="34"/>
      <c r="Z15" s="34"/>
      <c r="AA15" s="34"/>
      <c r="AB15" s="11"/>
      <c r="AC15" s="11"/>
      <c r="AD15" s="11"/>
      <c r="AM15" s="84"/>
      <c r="AN15" s="84"/>
      <c r="AO15" s="79"/>
      <c r="AP15" s="79"/>
      <c r="AQ15" s="79"/>
      <c r="AR15" s="79"/>
      <c r="AS15" s="79"/>
      <c r="AT15" s="79"/>
    </row>
    <row r="16" spans="1:46" ht="12.75">
      <c r="A16" s="31"/>
      <c r="B16" s="800" t="s">
        <v>578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70"/>
      <c r="Q16" s="74"/>
      <c r="R16" s="75"/>
      <c r="S16" s="75"/>
      <c r="T16" s="34"/>
      <c r="U16" s="34"/>
      <c r="V16" s="34"/>
      <c r="W16" s="34"/>
      <c r="X16" s="34"/>
      <c r="Y16" s="34"/>
      <c r="Z16" s="34"/>
      <c r="AA16" s="34"/>
      <c r="AB16" s="11"/>
      <c r="AC16" s="11"/>
      <c r="AD16" s="11"/>
      <c r="AM16" s="84"/>
      <c r="AN16" s="84"/>
      <c r="AO16" s="79"/>
      <c r="AP16" s="79"/>
      <c r="AQ16" s="79"/>
      <c r="AR16" s="79"/>
      <c r="AS16" s="79"/>
      <c r="AT16" s="79"/>
    </row>
    <row r="17" spans="1:46" ht="12.75">
      <c r="A17" s="31"/>
      <c r="B17" s="462" t="s">
        <v>575</v>
      </c>
      <c r="C17" s="295"/>
      <c r="D17" s="56">
        <f>+Segment1!$N$79</f>
        <v>0.6794951911122789</v>
      </c>
      <c r="E17" s="56">
        <f>+Segment1!$N$80</f>
        <v>0.10356268598922631</v>
      </c>
      <c r="F17" s="56">
        <f>+Segment1!$N$82</f>
        <v>0.5759325051230525</v>
      </c>
      <c r="G17" s="100" t="s">
        <v>14</v>
      </c>
      <c r="H17" s="56">
        <f>+Segment1!$E$79</f>
        <v>0.86</v>
      </c>
      <c r="I17" s="104">
        <f>+H17*D17*D17</f>
        <v>0.3970737946804526</v>
      </c>
      <c r="J17" s="104">
        <f>SQRT(H17*D17)</f>
        <v>0.7644382671979209</v>
      </c>
      <c r="K17" s="100" t="s">
        <v>14</v>
      </c>
      <c r="L17" s="100" t="s">
        <v>14</v>
      </c>
      <c r="M17" s="100" t="s">
        <v>14</v>
      </c>
      <c r="N17" s="100" t="s">
        <v>14</v>
      </c>
      <c r="O17" s="203" t="s">
        <v>14</v>
      </c>
      <c r="P17" s="70"/>
      <c r="Q17" s="74"/>
      <c r="R17" s="75"/>
      <c r="S17" s="75"/>
      <c r="T17" s="34"/>
      <c r="U17" s="34"/>
      <c r="V17" s="34"/>
      <c r="W17" s="34"/>
      <c r="X17" s="34"/>
      <c r="Y17" s="34"/>
      <c r="Z17" s="34"/>
      <c r="AA17" s="34"/>
      <c r="AB17" s="11"/>
      <c r="AC17" s="11"/>
      <c r="AD17" s="11"/>
      <c r="AM17" s="84"/>
      <c r="AN17" s="84"/>
      <c r="AO17" s="79"/>
      <c r="AP17" s="79"/>
      <c r="AQ17" s="79"/>
      <c r="AR17" s="79"/>
      <c r="AS17" s="79"/>
      <c r="AT17" s="79"/>
    </row>
    <row r="18" spans="1:46" ht="12.75">
      <c r="A18" s="31"/>
      <c r="B18" s="462" t="s">
        <v>574</v>
      </c>
      <c r="C18" s="295"/>
      <c r="D18" s="56">
        <f>+Segment2!$N$79</f>
        <v>0.4269841356019877</v>
      </c>
      <c r="E18" s="56">
        <f>+Segment2!$N$80</f>
        <v>0.1161909736753183</v>
      </c>
      <c r="F18" s="56">
        <f>+Segment2!$N$82</f>
        <v>0.3107931619266694</v>
      </c>
      <c r="G18" s="100" t="s">
        <v>14</v>
      </c>
      <c r="H18" s="56">
        <f>+Segment2!$E$79</f>
        <v>1.37</v>
      </c>
      <c r="I18" s="104">
        <f>+H18*D18*D18</f>
        <v>0.24977216931641405</v>
      </c>
      <c r="J18" s="104">
        <f>SQRT(H18*D18)</f>
        <v>0.7648321814455268</v>
      </c>
      <c r="K18" s="100" t="s">
        <v>14</v>
      </c>
      <c r="L18" s="100" t="s">
        <v>14</v>
      </c>
      <c r="M18" s="100" t="s">
        <v>14</v>
      </c>
      <c r="N18" s="100" t="s">
        <v>14</v>
      </c>
      <c r="O18" s="203" t="s">
        <v>14</v>
      </c>
      <c r="P18" s="70"/>
      <c r="Q18" s="74"/>
      <c r="R18" s="75"/>
      <c r="S18" s="75"/>
      <c r="T18" s="34"/>
      <c r="U18" s="34"/>
      <c r="V18" s="34"/>
      <c r="W18" s="34"/>
      <c r="X18" s="34"/>
      <c r="Y18" s="34"/>
      <c r="Z18" s="34"/>
      <c r="AA18" s="34"/>
      <c r="AB18" s="11"/>
      <c r="AC18" s="11"/>
      <c r="AD18" s="11"/>
      <c r="AM18" s="84"/>
      <c r="AN18" s="84"/>
      <c r="AO18" s="79"/>
      <c r="AP18" s="79"/>
      <c r="AQ18" s="79"/>
      <c r="AR18" s="79"/>
      <c r="AS18" s="79"/>
      <c r="AT18" s="79"/>
    </row>
    <row r="19" spans="1:46" ht="12.75">
      <c r="A19" s="31"/>
      <c r="B19" s="462" t="s">
        <v>118</v>
      </c>
      <c r="C19" s="295"/>
      <c r="D19" s="56"/>
      <c r="E19" s="56"/>
      <c r="F19" s="56"/>
      <c r="G19" s="100" t="s">
        <v>14</v>
      </c>
      <c r="H19" s="56"/>
      <c r="I19" s="4"/>
      <c r="J19" s="60"/>
      <c r="K19" s="100" t="s">
        <v>14</v>
      </c>
      <c r="L19" s="100" t="s">
        <v>14</v>
      </c>
      <c r="M19" s="100" t="s">
        <v>14</v>
      </c>
      <c r="N19" s="100" t="s">
        <v>14</v>
      </c>
      <c r="O19" s="203" t="s">
        <v>14</v>
      </c>
      <c r="P19" s="70"/>
      <c r="Q19" s="74"/>
      <c r="R19" s="75"/>
      <c r="S19" s="75"/>
      <c r="T19" s="34"/>
      <c r="U19" s="34"/>
      <c r="V19" s="34"/>
      <c r="W19" s="34"/>
      <c r="X19" s="34"/>
      <c r="Y19" s="34"/>
      <c r="Z19" s="34"/>
      <c r="AA19" s="34"/>
      <c r="AB19" s="11"/>
      <c r="AC19" s="11"/>
      <c r="AD19" s="11"/>
      <c r="AM19" s="84"/>
      <c r="AN19" s="84"/>
      <c r="AO19" s="79"/>
      <c r="AP19" s="79"/>
      <c r="AQ19" s="79"/>
      <c r="AR19" s="79"/>
      <c r="AS19" s="79"/>
      <c r="AT19" s="79"/>
    </row>
    <row r="20" spans="1:46" ht="12.75">
      <c r="A20" s="31"/>
      <c r="B20" s="462" t="s">
        <v>119</v>
      </c>
      <c r="C20" s="295"/>
      <c r="D20" s="56"/>
      <c r="E20" s="56"/>
      <c r="F20" s="56"/>
      <c r="G20" s="100" t="s">
        <v>14</v>
      </c>
      <c r="H20" s="56"/>
      <c r="I20" s="4"/>
      <c r="J20" s="60"/>
      <c r="K20" s="100" t="s">
        <v>14</v>
      </c>
      <c r="L20" s="100" t="s">
        <v>14</v>
      </c>
      <c r="M20" s="100" t="s">
        <v>14</v>
      </c>
      <c r="N20" s="100" t="s">
        <v>14</v>
      </c>
      <c r="O20" s="203" t="s">
        <v>14</v>
      </c>
      <c r="P20" s="70"/>
      <c r="Q20" s="74"/>
      <c r="R20" s="75"/>
      <c r="S20" s="75"/>
      <c r="T20" s="34"/>
      <c r="U20" s="34"/>
      <c r="V20" s="34"/>
      <c r="W20" s="34"/>
      <c r="X20" s="34"/>
      <c r="Y20" s="34"/>
      <c r="Z20" s="34"/>
      <c r="AA20" s="34"/>
      <c r="AB20" s="11"/>
      <c r="AC20" s="11"/>
      <c r="AD20" s="11"/>
      <c r="AM20" s="84"/>
      <c r="AN20" s="84"/>
      <c r="AO20" s="79"/>
      <c r="AP20" s="79"/>
      <c r="AQ20" s="79"/>
      <c r="AR20" s="79"/>
      <c r="AS20" s="79"/>
      <c r="AT20" s="79"/>
    </row>
    <row r="21" spans="1:46" ht="12.75">
      <c r="A21" s="31"/>
      <c r="B21" s="800" t="s">
        <v>579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70"/>
      <c r="Q21" s="74"/>
      <c r="R21" s="75"/>
      <c r="S21" s="75"/>
      <c r="T21" s="34"/>
      <c r="U21" s="34"/>
      <c r="V21" s="34"/>
      <c r="W21" s="34"/>
      <c r="X21" s="34"/>
      <c r="Y21" s="34"/>
      <c r="Z21" s="34"/>
      <c r="AA21" s="34"/>
      <c r="AB21" s="11"/>
      <c r="AC21" s="11"/>
      <c r="AD21" s="11"/>
      <c r="AM21" s="84"/>
      <c r="AN21" s="84"/>
      <c r="AO21" s="79"/>
      <c r="AP21" s="79"/>
      <c r="AQ21" s="79"/>
      <c r="AR21" s="79"/>
      <c r="AS21" s="79"/>
      <c r="AT21" s="79"/>
    </row>
    <row r="22" spans="1:53" ht="12.75">
      <c r="A22" s="31"/>
      <c r="B22" s="462" t="s">
        <v>575</v>
      </c>
      <c r="C22" s="295"/>
      <c r="D22" s="56">
        <f>+Segment1!$M$126</f>
        <v>0.13023217618068877</v>
      </c>
      <c r="E22" s="56">
        <f>+Segment1!$M$127</f>
        <v>0.036985938035315614</v>
      </c>
      <c r="F22" s="56">
        <f>+Segment1!$M$128</f>
        <v>0.09324623814537315</v>
      </c>
      <c r="G22" s="100" t="s">
        <v>14</v>
      </c>
      <c r="H22" s="56">
        <f>+Segment1!$M$116</f>
        <v>1.39</v>
      </c>
      <c r="I22" s="104">
        <f>+H22*D22*D22</f>
        <v>0.023574983400733565</v>
      </c>
      <c r="J22" s="104">
        <f>SQRT(H22*D22)</f>
        <v>0.4254676543418517</v>
      </c>
      <c r="K22" s="100" t="s">
        <v>14</v>
      </c>
      <c r="L22" s="100" t="s">
        <v>14</v>
      </c>
      <c r="M22" s="100" t="s">
        <v>14</v>
      </c>
      <c r="N22" s="100" t="s">
        <v>14</v>
      </c>
      <c r="O22" s="203" t="s">
        <v>14</v>
      </c>
      <c r="P22" s="70"/>
      <c r="Q22" s="31"/>
      <c r="T22" s="34"/>
      <c r="U22" s="34"/>
      <c r="V22" s="34"/>
      <c r="W22" s="34"/>
      <c r="X22" s="34"/>
      <c r="Y22" s="34"/>
      <c r="Z22" s="34"/>
      <c r="AA22" s="34"/>
      <c r="AB22" s="11"/>
      <c r="AC22" s="11"/>
      <c r="AD22" s="11"/>
      <c r="AM22" s="79"/>
      <c r="AN22" s="79"/>
      <c r="AO22" s="79"/>
      <c r="AP22" s="79"/>
      <c r="AQ22" s="79"/>
      <c r="AR22" s="79"/>
      <c r="AS22" s="79"/>
      <c r="AT22" s="79"/>
      <c r="AW22" s="31"/>
      <c r="BA22" s="28"/>
    </row>
    <row r="23" spans="1:46" ht="12.75">
      <c r="A23" s="31"/>
      <c r="B23" s="462" t="s">
        <v>574</v>
      </c>
      <c r="C23" s="295"/>
      <c r="D23" s="56">
        <f>+Segment2!$M$126</f>
        <v>0.36902438408911487</v>
      </c>
      <c r="E23" s="56">
        <f>+Segment2!$M$127</f>
        <v>0.0896729253336549</v>
      </c>
      <c r="F23" s="56">
        <f>+Segment2!$M$128</f>
        <v>0.2793514587554599</v>
      </c>
      <c r="G23" s="100" t="s">
        <v>14</v>
      </c>
      <c r="H23" s="56">
        <f>+Segment2!$M$116</f>
        <v>1.1</v>
      </c>
      <c r="I23" s="104">
        <f>+H23*D23*D23</f>
        <v>0.14979689565758564</v>
      </c>
      <c r="J23" s="104">
        <f>SQRT(H23*D23)</f>
        <v>0.637123867468506</v>
      </c>
      <c r="K23" s="100" t="s">
        <v>14</v>
      </c>
      <c r="L23" s="100" t="s">
        <v>14</v>
      </c>
      <c r="M23" s="100" t="s">
        <v>14</v>
      </c>
      <c r="N23" s="100" t="s">
        <v>14</v>
      </c>
      <c r="O23" s="203" t="s">
        <v>14</v>
      </c>
      <c r="P23" s="70"/>
      <c r="Q23" s="77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1"/>
      <c r="AC23" s="11"/>
      <c r="AD23" s="11"/>
      <c r="AM23" s="79"/>
      <c r="AN23" s="84"/>
      <c r="AO23" s="79"/>
      <c r="AP23" s="79"/>
      <c r="AQ23" s="79"/>
      <c r="AR23" s="79"/>
      <c r="AS23" s="79"/>
      <c r="AT23" s="79"/>
    </row>
    <row r="24" spans="1:53" ht="12.75">
      <c r="A24" s="31"/>
      <c r="B24" s="462" t="s">
        <v>118</v>
      </c>
      <c r="C24" s="295"/>
      <c r="D24" s="56"/>
      <c r="E24" s="56"/>
      <c r="F24" s="56"/>
      <c r="G24" s="100" t="s">
        <v>14</v>
      </c>
      <c r="H24" s="56"/>
      <c r="I24" s="57"/>
      <c r="J24" s="60"/>
      <c r="K24" s="100" t="s">
        <v>14</v>
      </c>
      <c r="L24" s="100" t="s">
        <v>14</v>
      </c>
      <c r="M24" s="100" t="s">
        <v>14</v>
      </c>
      <c r="N24" s="100" t="s">
        <v>14</v>
      </c>
      <c r="O24" s="203" t="s">
        <v>14</v>
      </c>
      <c r="P24" s="68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1"/>
      <c r="AC24" s="11"/>
      <c r="AD24" s="11"/>
      <c r="AM24" s="79"/>
      <c r="AN24" s="79"/>
      <c r="AO24" s="79"/>
      <c r="AP24" s="79"/>
      <c r="AQ24" s="79"/>
      <c r="AR24" s="79"/>
      <c r="AS24" s="79"/>
      <c r="AT24" s="79"/>
      <c r="AW24" s="31"/>
      <c r="BA24" s="28"/>
    </row>
    <row r="25" spans="2:30" ht="13.5" thickBot="1">
      <c r="B25" s="808" t="s">
        <v>119</v>
      </c>
      <c r="C25" s="287"/>
      <c r="D25" s="63"/>
      <c r="E25" s="63"/>
      <c r="F25" s="63"/>
      <c r="G25" s="100" t="s">
        <v>14</v>
      </c>
      <c r="H25" s="63"/>
      <c r="I25" s="96"/>
      <c r="J25" s="62"/>
      <c r="K25" s="100" t="s">
        <v>14</v>
      </c>
      <c r="L25" s="100" t="s">
        <v>14</v>
      </c>
      <c r="M25" s="100" t="s">
        <v>14</v>
      </c>
      <c r="N25" s="100" t="s">
        <v>14</v>
      </c>
      <c r="O25" s="203" t="s">
        <v>14</v>
      </c>
      <c r="P25" s="67"/>
      <c r="Q25" s="43"/>
      <c r="R25" s="43"/>
      <c r="S25" s="43"/>
      <c r="T25" s="43"/>
      <c r="U25" s="43"/>
      <c r="V25" s="43"/>
      <c r="W25" s="43"/>
      <c r="X25" s="43"/>
      <c r="Y25" s="43"/>
      <c r="Z25" s="73"/>
      <c r="AA25" s="73"/>
      <c r="AB25" s="11"/>
      <c r="AC25" s="11"/>
      <c r="AD25" s="11"/>
    </row>
    <row r="26" spans="2:46" ht="12.75">
      <c r="B26" s="805" t="s">
        <v>117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66"/>
      <c r="Q26" s="43"/>
      <c r="R26" s="43"/>
      <c r="S26" s="43"/>
      <c r="T26" s="43"/>
      <c r="U26" s="43"/>
      <c r="V26" s="43"/>
      <c r="W26" s="43"/>
      <c r="X26" s="43"/>
      <c r="Y26" s="43"/>
      <c r="Z26" s="73"/>
      <c r="AA26" s="73"/>
      <c r="AB26" s="25"/>
      <c r="AC26" s="25"/>
      <c r="AD26" s="25"/>
      <c r="AE26" s="25"/>
      <c r="AF26" s="25"/>
      <c r="AG26" s="25"/>
      <c r="AH26" s="25"/>
      <c r="AI26" s="25"/>
      <c r="AJ26" s="25"/>
      <c r="AM26" s="45"/>
      <c r="AN26" s="45"/>
      <c r="AO26" s="45"/>
      <c r="AP26" s="45"/>
      <c r="AQ26" s="45"/>
      <c r="AR26" s="25"/>
      <c r="AS26" s="25"/>
      <c r="AT26" s="25"/>
    </row>
    <row r="27" spans="2:46" ht="12.75">
      <c r="B27" s="800" t="s">
        <v>581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66"/>
      <c r="Q27" s="43"/>
      <c r="R27" s="43"/>
      <c r="S27" s="43"/>
      <c r="T27" s="43"/>
      <c r="U27" s="43"/>
      <c r="V27" s="43"/>
      <c r="W27" s="43"/>
      <c r="X27" s="43"/>
      <c r="Y27" s="43"/>
      <c r="Z27" s="73"/>
      <c r="AA27" s="73"/>
      <c r="AB27" s="25"/>
      <c r="AC27" s="25"/>
      <c r="AD27" s="25"/>
      <c r="AE27" s="25"/>
      <c r="AF27" s="25"/>
      <c r="AG27" s="25"/>
      <c r="AH27" s="25"/>
      <c r="AI27" s="25"/>
      <c r="AJ27" s="25"/>
      <c r="AM27" s="45"/>
      <c r="AN27" s="45"/>
      <c r="AO27" s="45"/>
      <c r="AP27" s="45"/>
      <c r="AQ27" s="45"/>
      <c r="AR27" s="25"/>
      <c r="AS27" s="25"/>
      <c r="AT27" s="25"/>
    </row>
    <row r="28" spans="1:46" ht="12.75">
      <c r="A28" s="38"/>
      <c r="B28" s="462" t="s">
        <v>111</v>
      </c>
      <c r="C28" s="295"/>
      <c r="D28" s="56">
        <f>+Intersection1!$N$51</f>
        <v>3.2267025606878144</v>
      </c>
      <c r="E28" s="56">
        <f>+Intersection1!$N$52</f>
        <v>1.0293042573731126</v>
      </c>
      <c r="F28" s="56">
        <f>+Intersection1!$N$54</f>
        <v>2.197398303314702</v>
      </c>
      <c r="G28" s="100" t="s">
        <v>14</v>
      </c>
      <c r="H28" s="105">
        <f>+Intersection1!$F$51</f>
        <v>0.39</v>
      </c>
      <c r="I28" s="104">
        <f>+H28*D28*D28</f>
        <v>4.060527671908226</v>
      </c>
      <c r="J28" s="104">
        <f>SQRT(H28*D28)</f>
        <v>1.1217905324383193</v>
      </c>
      <c r="K28" s="100" t="s">
        <v>14</v>
      </c>
      <c r="L28" s="100" t="s">
        <v>14</v>
      </c>
      <c r="M28" s="100" t="s">
        <v>14</v>
      </c>
      <c r="N28" s="100" t="s">
        <v>14</v>
      </c>
      <c r="O28" s="203" t="s">
        <v>14</v>
      </c>
      <c r="P28" s="46"/>
      <c r="Q28" s="73"/>
      <c r="R28" s="73"/>
      <c r="S28" s="73"/>
      <c r="T28" s="45"/>
      <c r="U28" s="25"/>
      <c r="V28" s="45"/>
      <c r="X28" s="45"/>
      <c r="Y28" s="25"/>
      <c r="Z28" s="45"/>
      <c r="AB28" s="66"/>
      <c r="AC28" s="66"/>
      <c r="AD28" s="66"/>
      <c r="AE28" s="66"/>
      <c r="AF28" s="66"/>
      <c r="AG28" s="66"/>
      <c r="AH28" s="66"/>
      <c r="AI28" s="66"/>
      <c r="AJ28" s="66"/>
      <c r="AM28" s="45"/>
      <c r="AN28" s="45"/>
      <c r="AO28" s="45"/>
      <c r="AP28" s="25"/>
      <c r="AQ28" s="45"/>
      <c r="AR28" s="25"/>
      <c r="AS28" s="25"/>
      <c r="AT28" s="25"/>
    </row>
    <row r="29" spans="1:46" ht="12.75">
      <c r="A29" s="101"/>
      <c r="B29" s="792" t="s">
        <v>112</v>
      </c>
      <c r="C29" s="295"/>
      <c r="D29" s="56">
        <f>+Intersection2!$N$51</f>
        <v>1.324233392504521</v>
      </c>
      <c r="E29" s="56">
        <f>+Intersection2!$N$52</f>
        <v>0.44601460915362845</v>
      </c>
      <c r="F29" s="56">
        <f>+Intersection2!$N$54</f>
        <v>0.8782187833508928</v>
      </c>
      <c r="G29" s="100" t="s">
        <v>14</v>
      </c>
      <c r="H29" s="105">
        <f>+Intersection2!$F$51</f>
        <v>0.33</v>
      </c>
      <c r="I29" s="104">
        <f>+H29*D29*D29</f>
        <v>0.5786860456819309</v>
      </c>
      <c r="J29" s="104">
        <f>SQRT(H29*D29)</f>
        <v>0.6610575009229469</v>
      </c>
      <c r="K29" s="100" t="s">
        <v>14</v>
      </c>
      <c r="L29" s="100" t="s">
        <v>14</v>
      </c>
      <c r="M29" s="100" t="s">
        <v>14</v>
      </c>
      <c r="N29" s="100" t="s">
        <v>14</v>
      </c>
      <c r="O29" s="203" t="s">
        <v>14</v>
      </c>
      <c r="Q29" s="39"/>
      <c r="R29" s="25"/>
      <c r="S29" s="25"/>
      <c r="T29" s="25"/>
      <c r="U29" s="25"/>
      <c r="X29" s="25"/>
      <c r="Y29" s="25"/>
      <c r="AB29" s="43"/>
      <c r="AC29" s="43"/>
      <c r="AD29" s="43"/>
      <c r="AE29" s="43"/>
      <c r="AF29" s="43"/>
      <c r="AG29" s="43"/>
      <c r="AH29" s="43"/>
      <c r="AI29" s="43"/>
      <c r="AJ29" s="43"/>
      <c r="AM29" s="45"/>
      <c r="AN29" s="45"/>
      <c r="AO29" s="25"/>
      <c r="AP29" s="25"/>
      <c r="AQ29" s="25"/>
      <c r="AR29" s="25"/>
      <c r="AS29" s="25"/>
      <c r="AT29" s="25"/>
    </row>
    <row r="30" spans="1:46" ht="12.75">
      <c r="A30" s="73"/>
      <c r="B30" s="462" t="s">
        <v>120</v>
      </c>
      <c r="C30" s="295"/>
      <c r="D30" s="50"/>
      <c r="E30" s="50"/>
      <c r="F30" s="90"/>
      <c r="G30" s="100" t="s">
        <v>14</v>
      </c>
      <c r="H30" s="90"/>
      <c r="I30" s="60"/>
      <c r="J30" s="99"/>
      <c r="K30" s="100" t="s">
        <v>14</v>
      </c>
      <c r="L30" s="100" t="s">
        <v>14</v>
      </c>
      <c r="M30" s="100" t="s">
        <v>14</v>
      </c>
      <c r="N30" s="100" t="s">
        <v>14</v>
      </c>
      <c r="O30" s="203" t="s">
        <v>14</v>
      </c>
      <c r="Q30" s="73"/>
      <c r="AB30" s="43"/>
      <c r="AC30" s="43"/>
      <c r="AD30" s="43"/>
      <c r="AE30" s="43"/>
      <c r="AF30" s="43"/>
      <c r="AG30" s="43"/>
      <c r="AH30" s="43"/>
      <c r="AI30" s="43"/>
      <c r="AJ30" s="43"/>
      <c r="AM30" s="25"/>
      <c r="AN30" s="25"/>
      <c r="AO30" s="25"/>
      <c r="AP30" s="25"/>
      <c r="AQ30" s="91"/>
      <c r="AR30" s="91"/>
      <c r="AS30" s="91"/>
      <c r="AT30" s="91"/>
    </row>
    <row r="31" spans="1:46" ht="12.75">
      <c r="A31" s="73"/>
      <c r="B31" s="792" t="s">
        <v>121</v>
      </c>
      <c r="C31" s="295"/>
      <c r="D31" s="50"/>
      <c r="E31" s="50"/>
      <c r="F31" s="90"/>
      <c r="G31" s="100" t="s">
        <v>14</v>
      </c>
      <c r="H31" s="90"/>
      <c r="I31" s="60"/>
      <c r="J31" s="99"/>
      <c r="K31" s="100" t="s">
        <v>14</v>
      </c>
      <c r="L31" s="100" t="s">
        <v>14</v>
      </c>
      <c r="M31" s="100" t="s">
        <v>14</v>
      </c>
      <c r="N31" s="100" t="s">
        <v>14</v>
      </c>
      <c r="O31" s="203" t="s">
        <v>14</v>
      </c>
      <c r="T31" s="40"/>
      <c r="U31" s="40"/>
      <c r="V31" s="40"/>
      <c r="W31" s="37"/>
      <c r="X31" s="40"/>
      <c r="Y31" s="40"/>
      <c r="Z31" s="40"/>
      <c r="AA31" s="37"/>
      <c r="AB31" s="71"/>
      <c r="AC31" s="71"/>
      <c r="AD31" s="71"/>
      <c r="AE31" s="71"/>
      <c r="AF31" s="71"/>
      <c r="AG31" s="71"/>
      <c r="AH31" s="71"/>
      <c r="AI31" s="71"/>
      <c r="AJ31" s="71"/>
      <c r="AM31" s="25"/>
      <c r="AN31" s="25"/>
      <c r="AO31" s="25"/>
      <c r="AP31" s="25"/>
      <c r="AQ31" s="92"/>
      <c r="AR31" s="92"/>
      <c r="AS31" s="92"/>
      <c r="AT31" s="92"/>
    </row>
    <row r="32" spans="1:46" ht="12.75">
      <c r="A32" s="73"/>
      <c r="B32" s="800" t="s">
        <v>578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T32" s="40"/>
      <c r="U32" s="40"/>
      <c r="V32" s="40"/>
      <c r="W32" s="37"/>
      <c r="X32" s="40"/>
      <c r="Y32" s="40"/>
      <c r="Z32" s="40"/>
      <c r="AA32" s="37"/>
      <c r="AB32" s="71"/>
      <c r="AC32" s="71"/>
      <c r="AD32" s="71"/>
      <c r="AE32" s="71"/>
      <c r="AF32" s="71"/>
      <c r="AG32" s="71"/>
      <c r="AH32" s="71"/>
      <c r="AI32" s="71"/>
      <c r="AJ32" s="71"/>
      <c r="AM32" s="25"/>
      <c r="AN32" s="25"/>
      <c r="AO32" s="25"/>
      <c r="AP32" s="25"/>
      <c r="AQ32" s="92"/>
      <c r="AR32" s="92"/>
      <c r="AS32" s="92"/>
      <c r="AT32" s="92"/>
    </row>
    <row r="33" spans="1:46" ht="12.75">
      <c r="A33" s="59"/>
      <c r="B33" s="462" t="s">
        <v>111</v>
      </c>
      <c r="C33" s="295"/>
      <c r="D33" s="56">
        <f>+Intersection1!$N$83</f>
        <v>0.23691965707349302</v>
      </c>
      <c r="E33" s="56">
        <f>+Intersection1!$N$84</f>
        <v>0.06753035502194896</v>
      </c>
      <c r="F33" s="56">
        <f>+Intersection1!$N$86</f>
        <v>0.16938930205154407</v>
      </c>
      <c r="G33" s="100" t="s">
        <v>14</v>
      </c>
      <c r="H33" s="56">
        <f>+Intersection1!$F$83</f>
        <v>0.36</v>
      </c>
      <c r="I33" s="104">
        <f>+H33*D33*D33</f>
        <v>0.02020713260681575</v>
      </c>
      <c r="J33" s="104">
        <f>SQRT(H33*D33)</f>
        <v>0.2920463602691489</v>
      </c>
      <c r="K33" s="100" t="s">
        <v>14</v>
      </c>
      <c r="L33" s="100" t="s">
        <v>14</v>
      </c>
      <c r="M33" s="100" t="s">
        <v>14</v>
      </c>
      <c r="N33" s="100" t="s">
        <v>14</v>
      </c>
      <c r="O33" s="203" t="s">
        <v>14</v>
      </c>
      <c r="P33" s="47"/>
      <c r="T33" s="37"/>
      <c r="U33" s="37"/>
      <c r="V33" s="37"/>
      <c r="W33" s="37"/>
      <c r="X33" s="37"/>
      <c r="Y33" s="37"/>
      <c r="Z33" s="37"/>
      <c r="AA33" s="37"/>
      <c r="AB33" s="72"/>
      <c r="AC33" s="72"/>
      <c r="AD33" s="72"/>
      <c r="AE33" s="72"/>
      <c r="AF33" s="72"/>
      <c r="AG33" s="72"/>
      <c r="AH33" s="72"/>
      <c r="AI33" s="72"/>
      <c r="AJ33" s="72"/>
      <c r="AM33" s="39"/>
      <c r="AN33" s="25"/>
      <c r="AO33" s="53"/>
      <c r="AP33" s="25"/>
      <c r="AQ33" s="87"/>
      <c r="AR33" s="87"/>
      <c r="AS33" s="93"/>
      <c r="AT33" s="93"/>
    </row>
    <row r="34" spans="1:46" ht="12.75">
      <c r="A34" s="59"/>
      <c r="B34" s="792" t="s">
        <v>112</v>
      </c>
      <c r="C34" s="295"/>
      <c r="D34" s="56">
        <f>+Intersection2!$N$83</f>
        <v>0.13954406058987423</v>
      </c>
      <c r="E34" s="56">
        <f>+Intersection2!$N$84</f>
        <v>0.044406178570570456</v>
      </c>
      <c r="F34" s="56">
        <f>+Intersection2!$N$86</f>
        <v>0.09513788201930375</v>
      </c>
      <c r="G34" s="100" t="s">
        <v>14</v>
      </c>
      <c r="H34" s="56">
        <f>+Intersection2!$F$83</f>
        <v>0.36</v>
      </c>
      <c r="I34" s="104">
        <f>+H34*D34*D34</f>
        <v>0.007010116144527775</v>
      </c>
      <c r="J34" s="104">
        <f>SQRT(H34*D34)</f>
        <v>0.22413358028719105</v>
      </c>
      <c r="K34" s="100" t="s">
        <v>14</v>
      </c>
      <c r="L34" s="100" t="s">
        <v>14</v>
      </c>
      <c r="M34" s="100" t="s">
        <v>14</v>
      </c>
      <c r="N34" s="100" t="s">
        <v>14</v>
      </c>
      <c r="O34" s="203" t="s">
        <v>14</v>
      </c>
      <c r="P34" s="45"/>
      <c r="Q34" s="74"/>
      <c r="R34" s="25"/>
      <c r="S34" s="25"/>
      <c r="T34" s="76"/>
      <c r="U34" s="76"/>
      <c r="V34" s="76"/>
      <c r="W34" s="25"/>
      <c r="X34" s="34"/>
      <c r="Y34" s="34"/>
      <c r="Z34" s="34"/>
      <c r="AA34" s="34"/>
      <c r="AB34" s="45"/>
      <c r="AC34" s="25"/>
      <c r="AD34" s="25"/>
      <c r="AE34" s="25"/>
      <c r="AF34" s="25"/>
      <c r="AG34" s="25"/>
      <c r="AH34" s="25"/>
      <c r="AI34" s="25"/>
      <c r="AJ34" s="25"/>
      <c r="AM34" s="25"/>
      <c r="AN34" s="25"/>
      <c r="AO34" s="25"/>
      <c r="AP34" s="25"/>
      <c r="AQ34" s="87"/>
      <c r="AR34" s="87"/>
      <c r="AS34" s="87"/>
      <c r="AT34" s="87"/>
    </row>
    <row r="35" spans="1:46" ht="12.75">
      <c r="A35" s="28"/>
      <c r="B35" s="462" t="s">
        <v>120</v>
      </c>
      <c r="C35" s="295"/>
      <c r="D35" s="56"/>
      <c r="E35" s="56"/>
      <c r="F35" s="56"/>
      <c r="G35" s="100" t="s">
        <v>14</v>
      </c>
      <c r="H35" s="61"/>
      <c r="I35" s="57"/>
      <c r="J35" s="102"/>
      <c r="K35" s="100" t="s">
        <v>14</v>
      </c>
      <c r="L35" s="100" t="s">
        <v>14</v>
      </c>
      <c r="M35" s="100" t="s">
        <v>14</v>
      </c>
      <c r="N35" s="100" t="s">
        <v>14</v>
      </c>
      <c r="O35" s="203" t="s">
        <v>14</v>
      </c>
      <c r="P35" s="45"/>
      <c r="Q35" s="74"/>
      <c r="R35" s="25"/>
      <c r="S35" s="25"/>
      <c r="T35" s="76"/>
      <c r="U35" s="76"/>
      <c r="V35" s="76"/>
      <c r="W35" s="25"/>
      <c r="X35" s="34"/>
      <c r="Y35" s="34"/>
      <c r="Z35" s="34"/>
      <c r="AA35" s="34"/>
      <c r="AB35" s="45"/>
      <c r="AC35" s="25"/>
      <c r="AD35" s="25"/>
      <c r="AE35" s="25"/>
      <c r="AF35" s="25"/>
      <c r="AG35" s="25"/>
      <c r="AH35" s="25"/>
      <c r="AI35" s="25"/>
      <c r="AJ35" s="25"/>
      <c r="AM35" s="25"/>
      <c r="AN35" s="25"/>
      <c r="AO35" s="25"/>
      <c r="AP35" s="25"/>
      <c r="AQ35" s="87"/>
      <c r="AR35" s="87"/>
      <c r="AS35" s="87"/>
      <c r="AT35" s="87"/>
    </row>
    <row r="36" spans="1:46" ht="13.5" thickBot="1">
      <c r="A36" s="31"/>
      <c r="B36" s="827" t="s">
        <v>121</v>
      </c>
      <c r="C36" s="828"/>
      <c r="D36" s="112"/>
      <c r="E36" s="112"/>
      <c r="F36" s="112"/>
      <c r="G36" s="100" t="s">
        <v>14</v>
      </c>
      <c r="H36" s="111"/>
      <c r="I36" s="88"/>
      <c r="J36" s="89"/>
      <c r="K36" s="100" t="s">
        <v>14</v>
      </c>
      <c r="L36" s="100" t="s">
        <v>14</v>
      </c>
      <c r="M36" s="100" t="s">
        <v>14</v>
      </c>
      <c r="N36" s="100" t="s">
        <v>14</v>
      </c>
      <c r="O36" s="203" t="s">
        <v>14</v>
      </c>
      <c r="P36" s="67"/>
      <c r="Q36" s="74"/>
      <c r="R36" s="75"/>
      <c r="S36" s="75"/>
      <c r="V36" s="34"/>
      <c r="W36" s="34"/>
      <c r="X36" s="34"/>
      <c r="Y36" s="34"/>
      <c r="Z36" s="34"/>
      <c r="AA36" s="34"/>
      <c r="AB36" s="11"/>
      <c r="AC36" s="11"/>
      <c r="AD36" s="11"/>
      <c r="AE36" s="11"/>
      <c r="AF36" s="11"/>
      <c r="AG36" s="11"/>
      <c r="AH36" s="11"/>
      <c r="AI36" s="11"/>
      <c r="AJ36" s="11"/>
      <c r="AM36" s="54"/>
      <c r="AN36" s="36"/>
      <c r="AO36" s="53"/>
      <c r="AP36" s="25"/>
      <c r="AQ36" s="87"/>
      <c r="AR36" s="87"/>
      <c r="AS36" s="93"/>
      <c r="AT36" s="93"/>
    </row>
    <row r="37" spans="1:46" ht="14.25" thickBot="1" thickTop="1">
      <c r="A37" s="35"/>
      <c r="B37" s="829" t="s">
        <v>113</v>
      </c>
      <c r="C37" s="830"/>
      <c r="D37" s="113">
        <f>SUM(D12:D25)+SUM(D28:D36)</f>
        <v>11.775211251222167</v>
      </c>
      <c r="E37" s="113">
        <f>SUM(E12:E25)+SUM(E28:E36)</f>
        <v>3.467186134425002</v>
      </c>
      <c r="F37" s="113">
        <f>SUM(F12:F25)+SUM(F28:F36)</f>
        <v>8.308025116797165</v>
      </c>
      <c r="G37" s="244">
        <v>34</v>
      </c>
      <c r="H37" s="115" t="s">
        <v>14</v>
      </c>
      <c r="I37" s="113">
        <f>SUM(I12:I25)+SUM(I28:I36)</f>
        <v>17.591883918059956</v>
      </c>
      <c r="J37" s="113">
        <f>SUM(J12:J25)+SUM(J28:J36)</f>
        <v>7.946256463165478</v>
      </c>
      <c r="K37" s="97">
        <f>1/(1+I37/D37)</f>
        <v>0.4009661556018995</v>
      </c>
      <c r="L37" s="97">
        <f>K37*D37+((1-K37)*G37)</f>
        <v>25.0886118963382</v>
      </c>
      <c r="M37" s="97">
        <f>1/(1+(J37/D37))</f>
        <v>0.5970758070217894</v>
      </c>
      <c r="N37" s="97">
        <f>+M37*D37+(1-M37)*G37</f>
        <v>20.73011632193469</v>
      </c>
      <c r="O37" s="98">
        <f>(L37+N37)/2</f>
        <v>22.909364109136447</v>
      </c>
      <c r="P37" s="67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M37" s="36"/>
      <c r="AN37" s="36"/>
      <c r="AO37" s="25"/>
      <c r="AP37" s="25"/>
      <c r="AQ37" s="87"/>
      <c r="AR37" s="87"/>
      <c r="AS37" s="87"/>
      <c r="AT37" s="87"/>
    </row>
    <row r="38" spans="1:46" ht="12.75">
      <c r="A38" s="33"/>
      <c r="B38" s="44"/>
      <c r="C38" s="38"/>
      <c r="D38" s="38"/>
      <c r="F38" s="33"/>
      <c r="H38" s="33"/>
      <c r="J38" s="33"/>
      <c r="K38" s="33"/>
      <c r="L38" s="33"/>
      <c r="P38" s="67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M38" s="36"/>
      <c r="AN38" s="36"/>
      <c r="AO38" s="53"/>
      <c r="AP38" s="28"/>
      <c r="AQ38" s="28"/>
      <c r="AR38" s="28"/>
      <c r="AS38" s="28"/>
      <c r="AT38" s="28"/>
    </row>
    <row r="39" spans="1:46" ht="12.75">
      <c r="A39" s="33"/>
      <c r="B39" s="44"/>
      <c r="C39" s="38"/>
      <c r="D39" s="38"/>
      <c r="F39" s="33"/>
      <c r="H39" s="33"/>
      <c r="J39" s="33"/>
      <c r="K39" s="33"/>
      <c r="L39" s="33"/>
      <c r="P39" s="67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M39" s="36"/>
      <c r="AN39" s="36"/>
      <c r="AO39" s="53"/>
      <c r="AP39" s="28"/>
      <c r="AQ39" s="28"/>
      <c r="AR39" s="28"/>
      <c r="AS39" s="28"/>
      <c r="AT39" s="28"/>
    </row>
    <row r="40" spans="1:46" ht="13.5" thickBot="1">
      <c r="A40" s="33"/>
      <c r="B40" s="44"/>
      <c r="C40" s="38"/>
      <c r="D40" s="38"/>
      <c r="F40" s="33"/>
      <c r="H40" s="33"/>
      <c r="J40" s="33"/>
      <c r="K40" s="33"/>
      <c r="L40" s="33"/>
      <c r="P40" s="67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M40" s="36"/>
      <c r="AN40" s="36"/>
      <c r="AO40" s="53"/>
      <c r="AP40" s="28"/>
      <c r="AQ40" s="28"/>
      <c r="AR40" s="28"/>
      <c r="AS40" s="28"/>
      <c r="AT40" s="28"/>
    </row>
    <row r="41" spans="1:46" ht="13.5" thickTop="1">
      <c r="A41" s="33"/>
      <c r="B41" s="44"/>
      <c r="C41" s="38"/>
      <c r="D41" s="38"/>
      <c r="G41" s="773" t="s">
        <v>604</v>
      </c>
      <c r="H41" s="801"/>
      <c r="I41" s="801"/>
      <c r="J41" s="801"/>
      <c r="K41" s="33"/>
      <c r="L41" s="33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M41" s="36"/>
      <c r="AN41" s="36"/>
      <c r="AO41" s="53"/>
      <c r="AP41" s="28"/>
      <c r="AQ41" s="28"/>
      <c r="AR41" s="28"/>
      <c r="AS41" s="28"/>
      <c r="AT41" s="28"/>
    </row>
    <row r="42" spans="1:46" ht="13.5" thickBot="1">
      <c r="A42" s="33"/>
      <c r="B42" s="44"/>
      <c r="C42" s="38"/>
      <c r="D42" s="38"/>
      <c r="G42" s="802"/>
      <c r="H42" s="802"/>
      <c r="I42" s="802"/>
      <c r="J42" s="802"/>
      <c r="K42" s="33"/>
      <c r="L42" s="33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M42" s="36"/>
      <c r="AN42" s="36"/>
      <c r="AO42" s="53"/>
      <c r="AP42" s="28"/>
      <c r="AQ42" s="28"/>
      <c r="AR42" s="28"/>
      <c r="AS42" s="28"/>
      <c r="AT42" s="28"/>
    </row>
    <row r="43" spans="1:46" ht="12.75">
      <c r="A43" s="33"/>
      <c r="B43" s="44"/>
      <c r="C43" s="38"/>
      <c r="D43" s="38"/>
      <c r="G43" s="803" t="s">
        <v>16</v>
      </c>
      <c r="H43" s="281"/>
      <c r="I43" s="41" t="s">
        <v>17</v>
      </c>
      <c r="J43" s="95" t="s">
        <v>18</v>
      </c>
      <c r="K43" s="33"/>
      <c r="L43" s="33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M43" s="36"/>
      <c r="AN43" s="36"/>
      <c r="AO43" s="53"/>
      <c r="AP43" s="28"/>
      <c r="AQ43" s="28"/>
      <c r="AR43" s="28"/>
      <c r="AS43" s="28"/>
      <c r="AT43" s="28"/>
    </row>
    <row r="44" spans="1:46" ht="15" thickBot="1">
      <c r="A44" s="33"/>
      <c r="B44" s="44"/>
      <c r="C44" s="38"/>
      <c r="D44" s="38"/>
      <c r="G44" s="804" t="s">
        <v>583</v>
      </c>
      <c r="H44" s="804"/>
      <c r="I44" s="209" t="s">
        <v>584</v>
      </c>
      <c r="J44" s="45" t="s">
        <v>585</v>
      </c>
      <c r="K44" s="33"/>
      <c r="L44" s="33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M44" s="36"/>
      <c r="AN44" s="36"/>
      <c r="AO44" s="53"/>
      <c r="AP44" s="28"/>
      <c r="AQ44" s="28"/>
      <c r="AR44" s="28"/>
      <c r="AS44" s="28"/>
      <c r="AT44" s="28"/>
    </row>
    <row r="45" spans="1:46" ht="12.75">
      <c r="A45" s="33"/>
      <c r="B45" s="44"/>
      <c r="C45" s="38"/>
      <c r="D45" s="38"/>
      <c r="G45" s="805" t="s">
        <v>116</v>
      </c>
      <c r="H45" s="805"/>
      <c r="I45" s="805"/>
      <c r="J45" s="805"/>
      <c r="K45" s="33"/>
      <c r="L45" s="33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M45" s="36"/>
      <c r="AN45" s="36"/>
      <c r="AO45" s="53"/>
      <c r="AP45" s="28"/>
      <c r="AQ45" s="28"/>
      <c r="AR45" s="28"/>
      <c r="AS45" s="28"/>
      <c r="AT45" s="28"/>
    </row>
    <row r="46" spans="1:46" ht="12.75">
      <c r="A46" s="33"/>
      <c r="B46" s="44"/>
      <c r="C46" s="38"/>
      <c r="D46" s="38"/>
      <c r="G46" s="462" t="s">
        <v>575</v>
      </c>
      <c r="H46" s="295"/>
      <c r="I46" s="210">
        <f>+Segment1!$M$137</f>
        <v>0.021982458312460817</v>
      </c>
      <c r="J46" s="214">
        <f>+Segment1!$M$147</f>
        <v>0.015218624985549796</v>
      </c>
      <c r="K46" s="33"/>
      <c r="L46" s="33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M46" s="36"/>
      <c r="AN46" s="36"/>
      <c r="AO46" s="53"/>
      <c r="AP46" s="28"/>
      <c r="AQ46" s="28"/>
      <c r="AR46" s="28"/>
      <c r="AS46" s="28"/>
      <c r="AT46" s="28"/>
    </row>
    <row r="47" spans="1:46" ht="12.75">
      <c r="A47" s="33"/>
      <c r="B47" s="44"/>
      <c r="C47" s="38"/>
      <c r="D47" s="38"/>
      <c r="G47" s="462" t="s">
        <v>574</v>
      </c>
      <c r="H47" s="295"/>
      <c r="I47" s="210">
        <f>+Segment2!$M$137</f>
        <v>0.0681321648300779</v>
      </c>
      <c r="J47" s="214">
        <f>+Segment2!$M$147</f>
        <v>0.05450573186406232</v>
      </c>
      <c r="K47" s="33"/>
      <c r="L47" s="33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M47" s="36"/>
      <c r="AN47" s="36"/>
      <c r="AO47" s="53"/>
      <c r="AP47" s="28"/>
      <c r="AQ47" s="28"/>
      <c r="AR47" s="28"/>
      <c r="AS47" s="28"/>
      <c r="AT47" s="28"/>
    </row>
    <row r="48" spans="1:46" ht="12.75">
      <c r="A48" s="33"/>
      <c r="B48" s="44"/>
      <c r="C48" s="38"/>
      <c r="D48" s="38"/>
      <c r="G48" s="462" t="s">
        <v>118</v>
      </c>
      <c r="H48" s="295"/>
      <c r="I48" s="210"/>
      <c r="J48" s="211"/>
      <c r="K48" s="33"/>
      <c r="L48" s="33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M48" s="36"/>
      <c r="AN48" s="36"/>
      <c r="AO48" s="53"/>
      <c r="AP48" s="28"/>
      <c r="AQ48" s="28"/>
      <c r="AR48" s="28"/>
      <c r="AS48" s="28"/>
      <c r="AT48" s="28"/>
    </row>
    <row r="49" spans="1:46" ht="12.75">
      <c r="A49" s="33"/>
      <c r="B49" s="44"/>
      <c r="C49" s="38"/>
      <c r="D49" s="38"/>
      <c r="G49" s="462" t="s">
        <v>119</v>
      </c>
      <c r="H49" s="295"/>
      <c r="I49" s="210"/>
      <c r="J49" s="211"/>
      <c r="K49" s="33"/>
      <c r="L49" s="33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M49" s="36"/>
      <c r="AN49" s="36"/>
      <c r="AO49" s="53"/>
      <c r="AP49" s="28"/>
      <c r="AQ49" s="28"/>
      <c r="AR49" s="28"/>
      <c r="AS49" s="28"/>
      <c r="AT49" s="28"/>
    </row>
    <row r="50" spans="1:46" ht="12.75">
      <c r="A50" s="33"/>
      <c r="B50" s="44"/>
      <c r="C50" s="38"/>
      <c r="D50" s="38"/>
      <c r="G50" s="799" t="s">
        <v>117</v>
      </c>
      <c r="H50" s="545"/>
      <c r="I50" s="545"/>
      <c r="J50" s="401"/>
      <c r="K50" s="33"/>
      <c r="L50" s="33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M50" s="36"/>
      <c r="AN50" s="36"/>
      <c r="AO50" s="53"/>
      <c r="AP50" s="28"/>
      <c r="AQ50" s="28"/>
      <c r="AR50" s="28"/>
      <c r="AS50" s="28"/>
      <c r="AT50" s="28"/>
    </row>
    <row r="51" spans="1:46" ht="12.75">
      <c r="A51" s="33"/>
      <c r="B51" s="44"/>
      <c r="C51" s="38"/>
      <c r="D51" s="38"/>
      <c r="G51" s="462" t="s">
        <v>111</v>
      </c>
      <c r="H51" s="295"/>
      <c r="I51" s="210">
        <f>+Intersection1!$F$170</f>
        <v>0.007816533563389664</v>
      </c>
      <c r="J51" s="214">
        <f>+Intersection1!$F$171</f>
        <v>0.05455204992974059</v>
      </c>
      <c r="K51" s="33"/>
      <c r="L51" s="33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M51" s="36"/>
      <c r="AN51" s="36"/>
      <c r="AO51" s="53"/>
      <c r="AP51" s="28"/>
      <c r="AQ51" s="28"/>
      <c r="AR51" s="28"/>
      <c r="AS51" s="28"/>
      <c r="AT51" s="28"/>
    </row>
    <row r="52" spans="1:46" ht="12.75">
      <c r="A52" s="33"/>
      <c r="B52" s="44"/>
      <c r="C52" s="38"/>
      <c r="D52" s="38"/>
      <c r="G52" s="792" t="s">
        <v>112</v>
      </c>
      <c r="H52" s="295"/>
      <c r="I52" s="210">
        <f>+Intersection2!$F$170</f>
        <v>0.17574628703597414</v>
      </c>
      <c r="J52" s="214">
        <f>+Intersection2!$F$171</f>
        <v>0.011754132948347993</v>
      </c>
      <c r="K52" s="33"/>
      <c r="L52" s="33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M52" s="36"/>
      <c r="AN52" s="36"/>
      <c r="AO52" s="53"/>
      <c r="AP52" s="28"/>
      <c r="AQ52" s="28"/>
      <c r="AR52" s="28"/>
      <c r="AS52" s="28"/>
      <c r="AT52" s="28"/>
    </row>
    <row r="53" spans="1:46" ht="12.75">
      <c r="A53" s="33"/>
      <c r="B53" s="44"/>
      <c r="C53" s="38"/>
      <c r="D53" s="38"/>
      <c r="G53" s="462" t="s">
        <v>120</v>
      </c>
      <c r="H53" s="295"/>
      <c r="I53" s="210"/>
      <c r="J53" s="211"/>
      <c r="K53" s="33"/>
      <c r="L53" s="33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M53" s="36"/>
      <c r="AN53" s="36"/>
      <c r="AO53" s="53"/>
      <c r="AP53" s="28"/>
      <c r="AQ53" s="28"/>
      <c r="AR53" s="28"/>
      <c r="AS53" s="28"/>
      <c r="AT53" s="28"/>
    </row>
    <row r="54" spans="1:46" ht="13.5" thickBot="1">
      <c r="A54" s="43"/>
      <c r="B54" s="44"/>
      <c r="C54" s="78"/>
      <c r="D54" s="43"/>
      <c r="G54" s="793" t="s">
        <v>121</v>
      </c>
      <c r="H54" s="794"/>
      <c r="I54" s="212"/>
      <c r="J54" s="213"/>
      <c r="K54" s="43"/>
      <c r="L54" s="43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M54" s="84"/>
      <c r="AN54" s="84"/>
      <c r="AO54" s="79"/>
      <c r="AP54" s="79"/>
      <c r="AQ54" s="79"/>
      <c r="AR54" s="79"/>
      <c r="AS54" s="79"/>
      <c r="AT54" s="79"/>
    </row>
    <row r="55" spans="2:46" ht="14.25" thickBot="1" thickTop="1">
      <c r="B55" s="44"/>
      <c r="C55" s="39"/>
      <c r="D55" s="25"/>
      <c r="G55" s="795" t="s">
        <v>113</v>
      </c>
      <c r="H55" s="796"/>
      <c r="I55" s="215">
        <f>SUM($I$46:$I$49,$I$51:$I$54)</f>
        <v>0.2736774437419025</v>
      </c>
      <c r="J55" s="215">
        <f>SUM($J$46:$J$49,$J$51:$J$54)</f>
        <v>0.13603053972770068</v>
      </c>
      <c r="K55" s="25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M55" s="32"/>
      <c r="AN55" s="79"/>
      <c r="AO55" s="79"/>
      <c r="AP55" s="79"/>
      <c r="AQ55" s="79"/>
      <c r="AR55" s="79"/>
      <c r="AS55" s="79"/>
      <c r="AT55" s="79"/>
    </row>
    <row r="56" spans="2:46" ht="12.75">
      <c r="B56" s="44"/>
      <c r="C56" s="39"/>
      <c r="D56" s="25"/>
      <c r="G56" s="217"/>
      <c r="H56" s="138"/>
      <c r="I56" s="218"/>
      <c r="J56" s="218"/>
      <c r="K56" s="25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M56" s="32"/>
      <c r="AN56" s="79"/>
      <c r="AO56" s="79"/>
      <c r="AP56" s="79"/>
      <c r="AQ56" s="79"/>
      <c r="AR56" s="79"/>
      <c r="AS56" s="79"/>
      <c r="AT56" s="79"/>
    </row>
    <row r="57" spans="2:46" ht="12.75">
      <c r="B57" s="44"/>
      <c r="C57" s="53"/>
      <c r="D57" s="53"/>
      <c r="E57" s="53"/>
      <c r="F57" s="54"/>
      <c r="G57" s="36"/>
      <c r="H57" s="54"/>
      <c r="J57" s="25"/>
      <c r="K57" s="25"/>
      <c r="L57" s="53"/>
      <c r="M57" s="25"/>
      <c r="P57" s="67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M57" s="94"/>
      <c r="AN57" s="84"/>
      <c r="AO57" s="79"/>
      <c r="AP57" s="79"/>
      <c r="AQ57" s="79"/>
      <c r="AR57" s="79"/>
      <c r="AS57" s="79"/>
      <c r="AT57" s="79"/>
    </row>
    <row r="58" spans="2:46" ht="13.5" thickBot="1">
      <c r="B58" s="44"/>
      <c r="C58" s="39"/>
      <c r="D58" s="25"/>
      <c r="E58" s="25"/>
      <c r="K58" s="28"/>
      <c r="L58" s="34"/>
      <c r="M58" s="25"/>
      <c r="P58" s="67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M58" s="79"/>
      <c r="AN58" s="79"/>
      <c r="AO58" s="79"/>
      <c r="AP58" s="79"/>
      <c r="AQ58" s="79"/>
      <c r="AR58" s="79"/>
      <c r="AS58" s="79"/>
      <c r="AT58" s="79"/>
    </row>
    <row r="59" spans="3:46" ht="13.5" thickTop="1">
      <c r="C59" s="773" t="s">
        <v>605</v>
      </c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P59" s="6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45"/>
      <c r="AC59" s="45"/>
      <c r="AD59" s="45"/>
      <c r="AE59" s="45"/>
      <c r="AF59" s="45"/>
      <c r="AG59" s="45"/>
      <c r="AH59" s="45"/>
      <c r="AI59" s="45"/>
      <c r="AJ59" s="45"/>
      <c r="AM59" s="79"/>
      <c r="AN59" s="79"/>
      <c r="AO59" s="79"/>
      <c r="AP59" s="79"/>
      <c r="AQ59" s="79"/>
      <c r="AR59" s="79"/>
      <c r="AS59" s="79"/>
      <c r="AT59" s="79"/>
    </row>
    <row r="60" spans="3:46" ht="13.5" thickBot="1"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P60" s="67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M60" s="79"/>
      <c r="AN60" s="79"/>
      <c r="AO60" s="79"/>
      <c r="AP60" s="79"/>
      <c r="AQ60" s="79"/>
      <c r="AR60" s="79"/>
      <c r="AS60" s="79"/>
      <c r="AT60" s="79"/>
    </row>
    <row r="61" spans="3:45" ht="12.75">
      <c r="C61" s="798" t="s">
        <v>16</v>
      </c>
      <c r="D61" s="784"/>
      <c r="E61" s="783" t="s">
        <v>17</v>
      </c>
      <c r="F61" s="784"/>
      <c r="G61" s="783" t="s">
        <v>18</v>
      </c>
      <c r="H61" s="784"/>
      <c r="I61" s="783" t="s">
        <v>19</v>
      </c>
      <c r="J61" s="784"/>
      <c r="K61" s="783" t="s">
        <v>20</v>
      </c>
      <c r="L61" s="784"/>
      <c r="M61" s="769" t="s">
        <v>21</v>
      </c>
      <c r="N61" s="770"/>
      <c r="P61" s="67"/>
      <c r="S61" s="69"/>
      <c r="T61" s="11"/>
      <c r="U61" s="11"/>
      <c r="V61" s="11"/>
      <c r="W61" s="11"/>
      <c r="X61" s="11"/>
      <c r="Y61" s="11"/>
      <c r="Z61" s="11"/>
      <c r="AA61" s="11"/>
      <c r="AB61" s="69"/>
      <c r="AC61" s="11"/>
      <c r="AD61" s="11"/>
      <c r="AE61" s="11"/>
      <c r="AF61" s="11"/>
      <c r="AG61" s="11"/>
      <c r="AH61" s="11"/>
      <c r="AI61" s="11"/>
      <c r="AJ61" s="11"/>
      <c r="AM61" s="43"/>
      <c r="AN61" s="37"/>
      <c r="AO61" s="37"/>
      <c r="AP61" s="37"/>
      <c r="AQ61" s="37"/>
      <c r="AR61" s="37"/>
      <c r="AS61" s="73"/>
    </row>
    <row r="62" spans="3:45" ht="14.25">
      <c r="C62" s="797" t="s">
        <v>43</v>
      </c>
      <c r="D62" s="659"/>
      <c r="E62" s="785" t="s">
        <v>137</v>
      </c>
      <c r="F62" s="786"/>
      <c r="G62" s="785" t="s">
        <v>588</v>
      </c>
      <c r="H62" s="786"/>
      <c r="I62" s="785" t="s">
        <v>591</v>
      </c>
      <c r="J62" s="786"/>
      <c r="K62" s="753" t="s">
        <v>700</v>
      </c>
      <c r="L62" s="771"/>
      <c r="M62" s="753" t="s">
        <v>138</v>
      </c>
      <c r="N62" s="772"/>
      <c r="P62" s="67"/>
      <c r="S62" s="69"/>
      <c r="T62" s="11"/>
      <c r="U62" s="11"/>
      <c r="V62" s="11"/>
      <c r="W62" s="11"/>
      <c r="X62" s="11"/>
      <c r="Y62" s="11"/>
      <c r="Z62" s="11"/>
      <c r="AA62" s="11"/>
      <c r="AB62" s="69"/>
      <c r="AC62" s="11"/>
      <c r="AD62" s="11"/>
      <c r="AE62" s="11"/>
      <c r="AF62" s="11"/>
      <c r="AG62" s="11"/>
      <c r="AH62" s="11"/>
      <c r="AI62" s="11"/>
      <c r="AJ62" s="11"/>
      <c r="AM62" s="43"/>
      <c r="AN62" s="37"/>
      <c r="AO62" s="37"/>
      <c r="AP62" s="37"/>
      <c r="AQ62" s="37"/>
      <c r="AR62" s="37"/>
      <c r="AS62" s="73"/>
    </row>
    <row r="63" spans="3:45" ht="15.75">
      <c r="C63" s="776" t="s">
        <v>35</v>
      </c>
      <c r="D63" s="777"/>
      <c r="E63" s="774" t="s">
        <v>145</v>
      </c>
      <c r="F63" s="787"/>
      <c r="G63" s="774" t="s">
        <v>606</v>
      </c>
      <c r="H63" s="787"/>
      <c r="I63" s="774" t="s">
        <v>607</v>
      </c>
      <c r="J63" s="787"/>
      <c r="K63" s="774" t="s">
        <v>608</v>
      </c>
      <c r="L63" s="775"/>
      <c r="M63" s="767" t="s">
        <v>595</v>
      </c>
      <c r="N63" s="768"/>
      <c r="P63" s="67"/>
      <c r="S63" s="69"/>
      <c r="T63" s="11"/>
      <c r="U63" s="11"/>
      <c r="V63" s="11"/>
      <c r="W63" s="11"/>
      <c r="X63" s="11"/>
      <c r="Y63" s="11"/>
      <c r="Z63" s="11"/>
      <c r="AA63" s="11"/>
      <c r="AB63" s="69"/>
      <c r="AC63" s="11"/>
      <c r="AD63" s="11"/>
      <c r="AE63" s="11"/>
      <c r="AF63" s="11"/>
      <c r="AG63" s="11"/>
      <c r="AH63" s="11"/>
      <c r="AI63" s="11"/>
      <c r="AJ63" s="11"/>
      <c r="AM63" s="43"/>
      <c r="AN63" s="37"/>
      <c r="AO63" s="37"/>
      <c r="AP63" s="37"/>
      <c r="AQ63" s="37"/>
      <c r="AR63" s="37"/>
      <c r="AS63" s="73"/>
    </row>
    <row r="64" spans="3:54" ht="12.75">
      <c r="C64" s="778"/>
      <c r="D64" s="779"/>
      <c r="E64" s="788">
        <f>+D37</f>
        <v>11.775211251222167</v>
      </c>
      <c r="F64" s="789"/>
      <c r="G64" s="816">
        <f>+I55</f>
        <v>0.2736774437419025</v>
      </c>
      <c r="H64" s="817"/>
      <c r="I64" s="835">
        <f>+J55</f>
        <v>0.13603053972770068</v>
      </c>
      <c r="J64" s="836"/>
      <c r="K64" s="268">
        <f>+O37</f>
        <v>22.909364109136447</v>
      </c>
      <c r="L64" s="766"/>
      <c r="M64" s="268">
        <f>+G64+I64+K64</f>
        <v>23.31907209260605</v>
      </c>
      <c r="N64" s="766"/>
      <c r="P64" s="67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M64" s="37"/>
      <c r="AN64" s="37"/>
      <c r="AO64" s="37"/>
      <c r="AP64" s="37"/>
      <c r="AQ64" s="37"/>
      <c r="AR64" s="37"/>
      <c r="AS64" s="73"/>
      <c r="AT64" s="48"/>
      <c r="AU64" s="48"/>
      <c r="AV64" s="48"/>
      <c r="AW64" s="48"/>
      <c r="AX64" s="48"/>
      <c r="AY64" s="48"/>
      <c r="AZ64" s="48"/>
      <c r="BA64" s="48"/>
      <c r="BB64" s="48"/>
    </row>
    <row r="65" spans="3:54" ht="15.75">
      <c r="C65" s="776" t="s">
        <v>140</v>
      </c>
      <c r="D65" s="777"/>
      <c r="E65" s="774" t="s">
        <v>146</v>
      </c>
      <c r="F65" s="787"/>
      <c r="G65" s="774" t="s">
        <v>606</v>
      </c>
      <c r="H65" s="787"/>
      <c r="I65" s="774" t="s">
        <v>607</v>
      </c>
      <c r="J65" s="787"/>
      <c r="K65" s="774" t="s">
        <v>594</v>
      </c>
      <c r="L65" s="775"/>
      <c r="M65" s="767" t="s">
        <v>595</v>
      </c>
      <c r="N65" s="768"/>
      <c r="P65" s="67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M65" s="35"/>
      <c r="AP65" s="45"/>
      <c r="AT65" s="25"/>
      <c r="AY65" s="25"/>
      <c r="AZ65" s="25"/>
      <c r="BA65" s="25"/>
      <c r="BB65" s="25"/>
    </row>
    <row r="66" spans="3:53" ht="12.75">
      <c r="C66" s="778"/>
      <c r="D66" s="779"/>
      <c r="E66" s="788">
        <f>+E37</f>
        <v>3.467186134425002</v>
      </c>
      <c r="F66" s="789"/>
      <c r="G66" s="818">
        <f>+I55</f>
        <v>0.2736774437419025</v>
      </c>
      <c r="H66" s="819"/>
      <c r="I66" s="837">
        <f>+J55</f>
        <v>0.13603053972770068</v>
      </c>
      <c r="J66" s="838"/>
      <c r="K66" s="268">
        <f>+$K$64*$E$66/$E$64</f>
        <v>6.745613976092991</v>
      </c>
      <c r="L66" s="766"/>
      <c r="M66" s="268">
        <f>+G66+I66+K66</f>
        <v>7.1553219595625945</v>
      </c>
      <c r="N66" s="766"/>
      <c r="P66" s="67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M66" s="47"/>
      <c r="AN66" s="44"/>
      <c r="AO66" s="25"/>
      <c r="AP66" s="46"/>
      <c r="AQ66" s="45"/>
      <c r="AR66" s="48"/>
      <c r="AT66" s="45"/>
      <c r="AY66" s="45"/>
      <c r="AZ66" s="45"/>
      <c r="BA66" s="45"/>
    </row>
    <row r="67" spans="3:53" ht="15.75">
      <c r="C67" s="776" t="s">
        <v>141</v>
      </c>
      <c r="D67" s="780"/>
      <c r="E67" s="774" t="s">
        <v>147</v>
      </c>
      <c r="F67" s="787"/>
      <c r="G67" s="822" t="s">
        <v>14</v>
      </c>
      <c r="H67" s="787"/>
      <c r="I67" s="822" t="s">
        <v>14</v>
      </c>
      <c r="J67" s="787"/>
      <c r="K67" s="774" t="s">
        <v>593</v>
      </c>
      <c r="L67" s="775"/>
      <c r="M67" s="767" t="s">
        <v>595</v>
      </c>
      <c r="N67" s="768"/>
      <c r="P67" s="67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M67" s="39"/>
      <c r="AN67" s="25"/>
      <c r="AP67" s="49"/>
      <c r="AQ67" s="25"/>
      <c r="AR67" s="49"/>
      <c r="AS67" s="49"/>
      <c r="AY67" s="45"/>
      <c r="AZ67" s="45"/>
      <c r="BA67" s="45"/>
    </row>
    <row r="68" spans="3:53" ht="13.5" thickBot="1">
      <c r="C68" s="781"/>
      <c r="D68" s="782"/>
      <c r="E68" s="790">
        <f>+F37</f>
        <v>8.308025116797165</v>
      </c>
      <c r="F68" s="791"/>
      <c r="G68" s="820">
        <v>0</v>
      </c>
      <c r="H68" s="821"/>
      <c r="I68" s="820">
        <v>0</v>
      </c>
      <c r="J68" s="821"/>
      <c r="K68" s="269">
        <f>+$K$64*$E$68/$E$64</f>
        <v>16.163750133043457</v>
      </c>
      <c r="L68" s="839"/>
      <c r="M68" s="269">
        <f>+G68+I68+K68</f>
        <v>16.163750133043457</v>
      </c>
      <c r="N68" s="765"/>
      <c r="P68" s="67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M68" s="39"/>
      <c r="AN68" s="25"/>
      <c r="AP68" s="49"/>
      <c r="AQ68" s="25"/>
      <c r="AR68" s="49"/>
      <c r="AS68" s="49"/>
      <c r="AY68" s="45"/>
      <c r="AZ68" s="45"/>
      <c r="BA68" s="46"/>
    </row>
    <row r="69" spans="1:53" ht="12.75">
      <c r="A69" s="43"/>
      <c r="C69" s="33"/>
      <c r="D69" s="33"/>
      <c r="E69" s="33"/>
      <c r="F69" s="38"/>
      <c r="G69" s="33"/>
      <c r="H69" s="33"/>
      <c r="I69" s="38"/>
      <c r="K69" s="25"/>
      <c r="L69" s="25"/>
      <c r="M69" s="25"/>
      <c r="AM69" s="39"/>
      <c r="AN69" s="25"/>
      <c r="AP69" s="34"/>
      <c r="AQ69" s="25"/>
      <c r="AR69" s="49"/>
      <c r="AS69" s="49"/>
      <c r="AY69" s="25"/>
      <c r="AZ69" s="32"/>
      <c r="BA69" s="30"/>
    </row>
    <row r="70" spans="1:13" ht="12.75">
      <c r="A70" s="25"/>
      <c r="B70" s="25"/>
      <c r="C70" s="25"/>
      <c r="F70" s="25"/>
      <c r="G70" s="25"/>
      <c r="H70" s="25"/>
      <c r="I70" s="25"/>
      <c r="J70" s="25"/>
      <c r="K70" s="25"/>
      <c r="L70" s="25"/>
      <c r="M70" s="25"/>
    </row>
    <row r="71" spans="1:13" ht="12.75">
      <c r="A71" s="25"/>
      <c r="B71" s="25"/>
      <c r="C71" s="54"/>
      <c r="D71" s="81"/>
      <c r="E71" s="55"/>
      <c r="F71" s="54"/>
      <c r="G71" s="81"/>
      <c r="H71" s="55"/>
      <c r="I71" s="54"/>
      <c r="J71" s="81"/>
      <c r="K71" s="54"/>
      <c r="L71" s="81"/>
      <c r="M71" s="55"/>
    </row>
    <row r="72" spans="1:13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3:13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28"/>
      <c r="B74" s="28"/>
      <c r="C74" s="28"/>
      <c r="D74" s="53"/>
      <c r="E74" s="28"/>
      <c r="F74" s="28"/>
      <c r="G74" s="38"/>
      <c r="I74" s="28"/>
      <c r="J74" s="53"/>
      <c r="K74" s="28"/>
      <c r="L74" s="53"/>
      <c r="M74" s="25"/>
    </row>
    <row r="75" spans="1:13" ht="12.75">
      <c r="A75" s="59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59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4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5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3" ht="12.75">
      <c r="A79" s="59"/>
      <c r="C79" s="34"/>
    </row>
    <row r="80" spans="1:3" ht="12.75">
      <c r="A80" s="59"/>
      <c r="C80" s="34"/>
    </row>
    <row r="81" spans="1:3" ht="12.75">
      <c r="A81" s="77"/>
      <c r="B81" s="44"/>
      <c r="C81" s="44"/>
    </row>
    <row r="82" ht="12.75">
      <c r="C82" s="34"/>
    </row>
    <row r="83" spans="1:3" ht="12.75">
      <c r="A83" s="45"/>
      <c r="B83" s="25"/>
      <c r="C83" s="25"/>
    </row>
    <row r="85" spans="1:3" ht="12.75">
      <c r="A85" s="35"/>
      <c r="B85" s="35"/>
      <c r="C85" s="35"/>
    </row>
    <row r="86" spans="1:3" ht="12.75">
      <c r="A86" s="33"/>
      <c r="B86" s="33"/>
      <c r="C86" s="33"/>
    </row>
    <row r="87" spans="1:3" ht="12.75">
      <c r="A87" s="43"/>
      <c r="B87" s="43"/>
      <c r="C87" s="43"/>
    </row>
    <row r="88" spans="1:3" ht="12.75">
      <c r="A88" s="73"/>
      <c r="B88" s="73"/>
      <c r="C88" s="73"/>
    </row>
    <row r="89" spans="1:13" ht="12.75">
      <c r="A89" s="44"/>
      <c r="B89" s="44"/>
      <c r="C89" s="44"/>
      <c r="E89" s="34"/>
      <c r="F89" s="25"/>
      <c r="G89" s="25"/>
      <c r="H89" s="25"/>
      <c r="I89" s="11"/>
      <c r="J89" s="11"/>
      <c r="K89" s="11"/>
      <c r="L89" s="11"/>
      <c r="M89" s="11"/>
    </row>
    <row r="90" spans="1:13" ht="12.75">
      <c r="A90" s="44"/>
      <c r="B90" s="44"/>
      <c r="C90" s="44"/>
      <c r="E90" s="34"/>
      <c r="F90" s="25"/>
      <c r="G90" s="25"/>
      <c r="H90" s="25"/>
      <c r="I90" s="11"/>
      <c r="J90" s="11"/>
      <c r="K90" s="11"/>
      <c r="L90" s="11"/>
      <c r="M90" s="11"/>
    </row>
    <row r="91" spans="1:13" ht="12.75">
      <c r="A91" s="47"/>
      <c r="B91" s="44"/>
      <c r="C91" s="44"/>
      <c r="E91" s="34"/>
      <c r="F91" s="25"/>
      <c r="G91" s="25"/>
      <c r="H91" s="25"/>
      <c r="I91" s="11"/>
      <c r="J91" s="11"/>
      <c r="K91" s="11"/>
      <c r="L91" s="11"/>
      <c r="M91" s="11"/>
    </row>
    <row r="92" spans="1:13" ht="12.75">
      <c r="A92" s="44"/>
      <c r="B92" s="44"/>
      <c r="C92" s="44"/>
      <c r="E92" s="34"/>
      <c r="F92" s="25"/>
      <c r="G92" s="25"/>
      <c r="H92" s="25"/>
      <c r="I92" s="11"/>
      <c r="J92" s="11"/>
      <c r="K92" s="11"/>
      <c r="L92" s="11"/>
      <c r="M92" s="11"/>
    </row>
    <row r="93" spans="1:14" ht="12.75">
      <c r="A93" s="7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42"/>
      <c r="B99" s="42"/>
      <c r="C99" s="42"/>
      <c r="D99" s="43"/>
      <c r="E99" s="43"/>
      <c r="F99" s="43"/>
      <c r="G99" s="43"/>
      <c r="I99" s="43"/>
      <c r="J99" s="43"/>
      <c r="K99" s="43"/>
      <c r="L99" s="43"/>
      <c r="M99" s="43"/>
    </row>
    <row r="100" spans="1:13" ht="12.75">
      <c r="A100" s="42"/>
      <c r="B100" s="42"/>
      <c r="C100" s="42"/>
      <c r="D100" s="33"/>
      <c r="G100" s="33"/>
      <c r="H100" s="33"/>
      <c r="I100" s="33"/>
      <c r="J100" s="43"/>
      <c r="K100" s="43"/>
      <c r="L100" s="33"/>
      <c r="M100" s="33"/>
    </row>
    <row r="101" spans="1:13" ht="12.75">
      <c r="A101" s="44"/>
      <c r="B101" s="44"/>
      <c r="C101" s="44"/>
      <c r="D101" s="34"/>
      <c r="E101" s="25"/>
      <c r="F101" s="25"/>
      <c r="G101" s="34"/>
      <c r="H101" s="25"/>
      <c r="I101" s="25"/>
      <c r="J101" s="25"/>
      <c r="K101" s="25"/>
      <c r="L101" s="11"/>
      <c r="M101" s="11"/>
    </row>
    <row r="102" spans="1:13" ht="12.75">
      <c r="A102" s="44"/>
      <c r="B102" s="44"/>
      <c r="C102" s="44"/>
      <c r="D102" s="34"/>
      <c r="E102" s="25"/>
      <c r="F102" s="25"/>
      <c r="G102" s="34"/>
      <c r="H102" s="25"/>
      <c r="I102" s="25"/>
      <c r="J102" s="25"/>
      <c r="K102" s="25"/>
      <c r="L102" s="11"/>
      <c r="M102" s="11"/>
    </row>
    <row r="103" spans="1:13" ht="12.75">
      <c r="A103" s="44"/>
      <c r="B103" s="44"/>
      <c r="C103" s="44"/>
      <c r="D103" s="34"/>
      <c r="E103" s="25"/>
      <c r="F103" s="25"/>
      <c r="G103" s="34"/>
      <c r="H103" s="25"/>
      <c r="I103" s="25"/>
      <c r="J103" s="25"/>
      <c r="K103" s="25"/>
      <c r="L103" s="11"/>
      <c r="M103" s="11"/>
    </row>
  </sheetData>
  <sheetProtection/>
  <mergeCells count="111">
    <mergeCell ref="C65:D66"/>
    <mergeCell ref="E65:F65"/>
    <mergeCell ref="G65:H65"/>
    <mergeCell ref="I65:J65"/>
    <mergeCell ref="K65:L65"/>
    <mergeCell ref="M65:N65"/>
    <mergeCell ref="M66:N66"/>
    <mergeCell ref="M63:N63"/>
    <mergeCell ref="E64:F64"/>
    <mergeCell ref="G64:H64"/>
    <mergeCell ref="I64:J64"/>
    <mergeCell ref="K64:L64"/>
    <mergeCell ref="M64:N64"/>
    <mergeCell ref="B15:C15"/>
    <mergeCell ref="F8:F9"/>
    <mergeCell ref="L8:L9"/>
    <mergeCell ref="K62:L62"/>
    <mergeCell ref="M62:N62"/>
    <mergeCell ref="C63:D64"/>
    <mergeCell ref="E63:F63"/>
    <mergeCell ref="G63:H63"/>
    <mergeCell ref="I63:J63"/>
    <mergeCell ref="K63:L63"/>
    <mergeCell ref="B3:O4"/>
    <mergeCell ref="O6:O7"/>
    <mergeCell ref="O8:O9"/>
    <mergeCell ref="B22:C22"/>
    <mergeCell ref="B23:C23"/>
    <mergeCell ref="B24:C24"/>
    <mergeCell ref="D8:D9"/>
    <mergeCell ref="N8:N9"/>
    <mergeCell ref="B10:O10"/>
    <mergeCell ref="B12:C12"/>
    <mergeCell ref="B34:C34"/>
    <mergeCell ref="E8:E9"/>
    <mergeCell ref="D6:F7"/>
    <mergeCell ref="B6:C9"/>
    <mergeCell ref="B5:C5"/>
    <mergeCell ref="B26:O26"/>
    <mergeCell ref="B25:C25"/>
    <mergeCell ref="B30:C30"/>
    <mergeCell ref="B31:C31"/>
    <mergeCell ref="B13:C13"/>
    <mergeCell ref="B21:O21"/>
    <mergeCell ref="B17:C17"/>
    <mergeCell ref="G6:G9"/>
    <mergeCell ref="B18:C18"/>
    <mergeCell ref="N6:N7"/>
    <mergeCell ref="M8:M9"/>
    <mergeCell ref="M6:M7"/>
    <mergeCell ref="I8:I9"/>
    <mergeCell ref="J8:J9"/>
    <mergeCell ref="H6:H9"/>
    <mergeCell ref="J6:J7"/>
    <mergeCell ref="K6:K7"/>
    <mergeCell ref="L6:L7"/>
    <mergeCell ref="K8:K9"/>
    <mergeCell ref="B19:C19"/>
    <mergeCell ref="B20:C20"/>
    <mergeCell ref="B16:O16"/>
    <mergeCell ref="B11:O11"/>
    <mergeCell ref="I6:I7"/>
    <mergeCell ref="B14:C14"/>
    <mergeCell ref="B27:O27"/>
    <mergeCell ref="B32:O32"/>
    <mergeCell ref="G41:J42"/>
    <mergeCell ref="B37:C37"/>
    <mergeCell ref="B29:C29"/>
    <mergeCell ref="G43:H43"/>
    <mergeCell ref="B35:C35"/>
    <mergeCell ref="B36:C36"/>
    <mergeCell ref="B28:C28"/>
    <mergeCell ref="B33:C33"/>
    <mergeCell ref="G44:H44"/>
    <mergeCell ref="G45:J45"/>
    <mergeCell ref="G46:H46"/>
    <mergeCell ref="G47:H47"/>
    <mergeCell ref="G48:H48"/>
    <mergeCell ref="C62:D62"/>
    <mergeCell ref="G49:H49"/>
    <mergeCell ref="G50:J50"/>
    <mergeCell ref="G51:H51"/>
    <mergeCell ref="G52:H52"/>
    <mergeCell ref="G53:H53"/>
    <mergeCell ref="G54:H54"/>
    <mergeCell ref="E62:F62"/>
    <mergeCell ref="G62:H62"/>
    <mergeCell ref="I62:J62"/>
    <mergeCell ref="G55:H55"/>
    <mergeCell ref="C59:N60"/>
    <mergeCell ref="C61:D61"/>
    <mergeCell ref="E61:F61"/>
    <mergeCell ref="G61:H61"/>
    <mergeCell ref="I61:J61"/>
    <mergeCell ref="K61:L61"/>
    <mergeCell ref="M61:N61"/>
    <mergeCell ref="C67:D68"/>
    <mergeCell ref="E67:F67"/>
    <mergeCell ref="G67:H67"/>
    <mergeCell ref="I67:J67"/>
    <mergeCell ref="K67:L67"/>
    <mergeCell ref="M68:N68"/>
    <mergeCell ref="M67:N67"/>
    <mergeCell ref="E68:F68"/>
    <mergeCell ref="G68:H68"/>
    <mergeCell ref="I68:J68"/>
    <mergeCell ref="K68:L68"/>
    <mergeCell ref="E66:F66"/>
    <mergeCell ref="G66:H66"/>
    <mergeCell ref="I66:J66"/>
    <mergeCell ref="K66:L66"/>
  </mergeCells>
  <dataValidations count="1">
    <dataValidation type="list" allowBlank="1" showInputMessage="1" showErrorMessage="1" sqref="AO66 S29 S7">
      <formula1>Local</formula1>
    </dataValidation>
  </dataValidations>
  <printOptions/>
  <pageMargins left="0.7" right="0.7" top="0.75" bottom="0.75" header="0.3" footer="0.3"/>
  <pageSetup fitToHeight="2" horizontalDpi="600" verticalDpi="600" orientation="landscape" scale="69" r:id="rId1"/>
  <headerFooter>
    <oddHeader>&amp;CUrban and Suburban Arterial Predictive Method</oddHeader>
    <oddFooter>&amp;R&amp;P</oddFooter>
  </headerFooter>
  <rowBreaks count="1" manualBreakCount="1">
    <brk id="3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HSM urban suburban arterial spreadsheet with Oregon calibration</dc:title>
  <dc:subject>Highway Safety</dc:subject>
  <dc:creator>Karen Dixon</dc:creator>
  <cp:keywords>HSM, Urban, Suburban, Arterial</cp:keywords>
  <dc:description>Prepared for HSM Training -- NCHRP 17-38</dc:description>
  <cp:lastModifiedBy>Alyssa Rash</cp:lastModifiedBy>
  <cp:lastPrinted>2010-11-22T18:15:00Z</cp:lastPrinted>
  <dcterms:created xsi:type="dcterms:W3CDTF">2009-11-22T21:24:43Z</dcterms:created>
  <dcterms:modified xsi:type="dcterms:W3CDTF">2016-12-22T17:54:03Z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/>
  </property>
  <property fmtid="{D5CDD505-2E9C-101B-9397-08002B2CF9AE}" pid="6" name="RetentionPeriodDate">
    <vt:lpwstr/>
  </property>
  <property fmtid="{D5CDD505-2E9C-101B-9397-08002B2CF9AE}" pid="7" name="Move to V4">
    <vt:lpwstr/>
  </property>
  <property fmtid="{D5CDD505-2E9C-101B-9397-08002B2CF9AE}" pid="8" name="display_urn:schemas-microsoft-com:office:office#Editor">
    <vt:lpwstr>KOURTNEY  LARGENT</vt:lpwstr>
  </property>
  <property fmtid="{D5CDD505-2E9C-101B-9397-08002B2CF9AE}" pid="9" name="display_urn:schemas-microsoft-com:office:office#Author">
    <vt:lpwstr>KOURTNEY  LARGENT</vt:lpwstr>
  </property>
</Properties>
</file>