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png" ContentType="image/png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19050" windowHeight="12705" activeTab="0"/>
  </bookViews>
  <sheets>
    <sheet name="Worksheet" sheetId="1" r:id="rId1"/>
    <sheet name="Documentation" sheetId="2" r:id="rId2"/>
    <sheet name="Lookup" sheetId="3" r:id="rId3"/>
    <sheet name="Graph Master" sheetId="4" r:id="rId4"/>
  </sheets>
  <definedNames>
    <definedName name="compliance">'Lookup'!#REF!</definedName>
    <definedName name="_xlnm.Print_Area" localSheetId="0">'Worksheet'!$A$1:$M$73</definedName>
  </definedNames>
  <calcPr fullCalcOnLoad="1"/>
</workbook>
</file>

<file path=xl/sharedStrings.xml><?xml version="1.0" encoding="utf-8"?>
<sst xmlns="http://schemas.openxmlformats.org/spreadsheetml/2006/main" count="189" uniqueCount="162">
  <si>
    <t>Step 1:  Select worksheet:</t>
  </si>
  <si>
    <t>1a</t>
  </si>
  <si>
    <t>2a</t>
  </si>
  <si>
    <t>Go to step 3.</t>
  </si>
  <si>
    <t>If 2a&lt;20 ped/h</t>
  </si>
  <si>
    <t>&lt;=35 mph</t>
  </si>
  <si>
    <t>&gt;35 mph</t>
  </si>
  <si>
    <t>3a</t>
  </si>
  <si>
    <t>3b</t>
  </si>
  <si>
    <t>3c</t>
  </si>
  <si>
    <t>(3b)</t>
  </si>
  <si>
    <t>3 end note</t>
  </si>
  <si>
    <t>Step 4:  Estimate pedestrian delay.</t>
  </si>
  <si>
    <t>4a</t>
  </si>
  <si>
    <t>Pedestrian crossing distance, curb to curb (ft), L</t>
  </si>
  <si>
    <t>4b</t>
  </si>
  <si>
    <t>4c</t>
  </si>
  <si>
    <t>4d</t>
  </si>
  <si>
    <t>4e</t>
  </si>
  <si>
    <t>4f</t>
  </si>
  <si>
    <t>4g</t>
  </si>
  <si>
    <t>4h</t>
  </si>
  <si>
    <t>Major road flow rate (veh/s), v</t>
  </si>
  <si>
    <t>Step 5:  Select treatment based up on total pedestrian delay and expected motorist compliance.</t>
  </si>
  <si>
    <t>5a</t>
  </si>
  <si>
    <t>low</t>
  </si>
  <si>
    <t>Treatment Category:</t>
  </si>
  <si>
    <t>35 mph or less</t>
  </si>
  <si>
    <t>Dp&gt;=21.3 h (Comp=high or low)</t>
  </si>
  <si>
    <t>OR</t>
  </si>
  <si>
    <t>5.3 h &lt;= Dp &lt; 21.3 h and Comp=low</t>
  </si>
  <si>
    <t>RED</t>
  </si>
  <si>
    <t>1.3 h &lt;= Dp &lt; 5.3 h (Comp=high or low)</t>
  </si>
  <si>
    <t>5.3 h &lt;= Dp &lt; 21.3 h and Comp=high</t>
  </si>
  <si>
    <t>Dp &lt; 1.3 h (Comp=high or low)</t>
  </si>
  <si>
    <t>ACTIVE OR ENHANCED</t>
  </si>
  <si>
    <t>CROSSWALK</t>
  </si>
  <si>
    <t>Exceeds 35 mph</t>
  </si>
  <si>
    <t>Dp &lt; 5.3 h (Comp=high or low)</t>
  </si>
  <si>
    <t>Comp</t>
  </si>
  <si>
    <t>high</t>
  </si>
  <si>
    <t>Dp</t>
  </si>
  <si>
    <t>Dp &lt; 1.3 h</t>
  </si>
  <si>
    <t>This is a reference sheet for the main worksheet.</t>
  </si>
  <si>
    <t>3d</t>
  </si>
  <si>
    <t>Calculations for Guidelines for Pedestrian Crossing Treatment</t>
  </si>
  <si>
    <t>Input Variables for Guidelines for Pedestrian Crossing Treatment</t>
  </si>
  <si>
    <t>Key</t>
  </si>
  <si>
    <t>If 2a&lt;14 ped/h</t>
  </si>
  <si>
    <t>If 2a&gt;=14 ped/h</t>
  </si>
  <si>
    <t>If 2a&gt;=20 ped/h</t>
  </si>
  <si>
    <r>
      <t>Peak-hour pedestrian volume (ped/h), V</t>
    </r>
    <r>
      <rPr>
        <vertAlign val="subscript"/>
        <sz val="10"/>
        <rFont val="Tahoma"/>
        <family val="2"/>
      </rPr>
      <t>p</t>
    </r>
  </si>
  <si>
    <t xml:space="preserve">If 15th percentile crossing speed of pedestrians is less than 3.5 ft/s  </t>
  </si>
  <si>
    <r>
      <t xml:space="preserve">Reduced value or </t>
    </r>
    <r>
      <rPr>
        <i/>
        <sz val="10"/>
        <rFont val="Tahoma"/>
        <family val="2"/>
      </rPr>
      <t>3c</t>
    </r>
  </si>
  <si>
    <r>
      <t>Average pedestrian delay (s/person), d</t>
    </r>
    <r>
      <rPr>
        <vertAlign val="subscript"/>
        <sz val="10"/>
        <rFont val="Tahoma"/>
        <family val="2"/>
      </rPr>
      <t>p</t>
    </r>
  </si>
  <si>
    <t>GUIDELINES FOR PEDESTRIAN CROSSING TREATMENTS</t>
  </si>
  <si>
    <t xml:space="preserve">This spreadsheet combines Worksheet 1 and Worksheet 2 (Appendix A, pages 69-70) of TCRP Report 112/NCHRP Report 562  </t>
  </si>
  <si>
    <t>conjunction with, and not independent of, Appendix A documentation.</t>
  </si>
  <si>
    <t>Analyst and Site Information</t>
  </si>
  <si>
    <t xml:space="preserve">Analyst </t>
  </si>
  <si>
    <t xml:space="preserve">Data Collection Date </t>
  </si>
  <si>
    <t xml:space="preserve">Analysis Date </t>
  </si>
  <si>
    <t xml:space="preserve">Major Street </t>
  </si>
  <si>
    <t xml:space="preserve">Minor Street or Location </t>
  </si>
  <si>
    <t xml:space="preserve">Peak Hour </t>
  </si>
  <si>
    <t>Posted or statutory speed limit (or 85th percentile speed) on the major street (mph)</t>
  </si>
  <si>
    <t>Step 2:  Does the crossing meet minimum pedestrian volumes to be considered for a traffic control device?</t>
  </si>
  <si>
    <t>Consider raised median islands, curb extensions, traffic calming, etc. as feasible.</t>
  </si>
  <si>
    <t>Result:</t>
  </si>
  <si>
    <t>Step 3:  Does the crossing meet the pedestrian warrant for a traffic signal?</t>
  </si>
  <si>
    <t xml:space="preserve">Result: </t>
  </si>
  <si>
    <r>
      <t>t</t>
    </r>
    <r>
      <rPr>
        <vertAlign val="subscript"/>
        <sz val="10"/>
        <rFont val="Tahoma"/>
        <family val="2"/>
      </rPr>
      <t>c</t>
    </r>
    <r>
      <rPr>
        <sz val="10"/>
        <rFont val="Tahoma"/>
        <family val="2"/>
      </rPr>
      <t>=(L/S</t>
    </r>
    <r>
      <rPr>
        <vertAlign val="subscript"/>
        <sz val="10"/>
        <rFont val="Tahoma"/>
        <family val="2"/>
      </rPr>
      <t>p</t>
    </r>
    <r>
      <rPr>
        <sz val="10"/>
        <rFont val="Tahoma"/>
        <family val="2"/>
      </rPr>
      <t>)+t</t>
    </r>
    <r>
      <rPr>
        <vertAlign val="subscript"/>
        <sz val="10"/>
        <rFont val="Tahoma"/>
        <family val="2"/>
      </rPr>
      <t>s</t>
    </r>
  </si>
  <si>
    <r>
      <t>v=V</t>
    </r>
    <r>
      <rPr>
        <vertAlign val="subscript"/>
        <sz val="10"/>
        <rFont val="Tahoma"/>
        <family val="2"/>
      </rPr>
      <t>maj-d</t>
    </r>
    <r>
      <rPr>
        <sz val="10"/>
        <rFont val="Tahoma"/>
        <family val="2"/>
      </rPr>
      <t>/3600</t>
    </r>
  </si>
  <si>
    <r>
      <t>v=(V</t>
    </r>
    <r>
      <rPr>
        <vertAlign val="subscript"/>
        <sz val="10"/>
        <rFont val="Tahoma"/>
        <family val="2"/>
      </rPr>
      <t>maj-d</t>
    </r>
    <r>
      <rPr>
        <sz val="10"/>
        <rFont val="Tahoma"/>
        <family val="2"/>
      </rPr>
      <t>/0.7)/3600</t>
    </r>
  </si>
  <si>
    <r>
      <t>d</t>
    </r>
    <r>
      <rPr>
        <vertAlign val="subscript"/>
        <sz val="10"/>
        <rFont val="Tahoma"/>
        <family val="2"/>
      </rPr>
      <t>p</t>
    </r>
    <r>
      <rPr>
        <sz val="10"/>
        <rFont val="Tahoma"/>
        <family val="2"/>
      </rPr>
      <t>=(e</t>
    </r>
    <r>
      <rPr>
        <vertAlign val="superscript"/>
        <sz val="10"/>
        <rFont val="Tahoma"/>
        <family val="2"/>
      </rPr>
      <t>v tc</t>
    </r>
    <r>
      <rPr>
        <sz val="10"/>
        <rFont val="Tahoma"/>
        <family val="2"/>
      </rPr>
      <t xml:space="preserve"> - v t</t>
    </r>
    <r>
      <rPr>
        <vertAlign val="subscript"/>
        <sz val="10"/>
        <rFont val="Tahoma"/>
        <family val="2"/>
      </rPr>
      <t>c</t>
    </r>
    <r>
      <rPr>
        <sz val="10"/>
        <rFont val="Tahoma"/>
        <family val="2"/>
      </rPr>
      <t xml:space="preserve"> - 1)/v</t>
    </r>
  </si>
  <si>
    <r>
      <t>D</t>
    </r>
    <r>
      <rPr>
        <vertAlign val="subscript"/>
        <sz val="10"/>
        <rFont val="Tahoma"/>
        <family val="2"/>
      </rPr>
      <t>p</t>
    </r>
    <r>
      <rPr>
        <sz val="10"/>
        <rFont val="Tahoma"/>
        <family val="2"/>
      </rPr>
      <t>=(d</t>
    </r>
    <r>
      <rPr>
        <vertAlign val="subscript"/>
        <sz val="10"/>
        <rFont val="Tahoma"/>
        <family val="2"/>
      </rPr>
      <t>p</t>
    </r>
    <r>
      <rPr>
        <sz val="10"/>
        <rFont val="Tahoma"/>
        <family val="2"/>
      </rPr>
      <t xml:space="preserve"> * V</t>
    </r>
    <r>
      <rPr>
        <vertAlign val="subscript"/>
        <sz val="10"/>
        <rFont val="Tahoma"/>
        <family val="2"/>
      </rPr>
      <t>p</t>
    </r>
    <r>
      <rPr>
        <sz val="10"/>
        <rFont val="Tahoma"/>
        <family val="2"/>
      </rPr>
      <t>)/3600</t>
    </r>
  </si>
  <si>
    <t>(0.00021*(Worksheet!M20)^2-0.74072*Worksheet!M20+734.125)/0.75</t>
  </si>
  <si>
    <t>(0.00035*(Worksheet!M20)^2-0.80083*Worksheet!M20+529.197)/0.75</t>
  </si>
  <si>
    <t>[Calculated automatically] Preliminary (before min. threshold) peak hour pedestrian volume to meet warrant</t>
  </si>
  <si>
    <t>[Calculated automatically] Minimum required peak hour pedestrian volume to meet traffic signal warrant</t>
  </si>
  <si>
    <r>
      <t>Pedestrian walking speed (ft/s), S</t>
    </r>
    <r>
      <rPr>
        <vertAlign val="subscript"/>
        <sz val="10"/>
        <rFont val="Tahoma"/>
        <family val="2"/>
      </rPr>
      <t xml:space="preserve">p   </t>
    </r>
    <r>
      <rPr>
        <sz val="10"/>
        <rFont val="Tahoma"/>
        <family val="2"/>
      </rPr>
      <t>(suggested speed = 3.5 ft/s)</t>
    </r>
  </si>
  <si>
    <r>
      <t>Pedestrian start-up time and end clearance time (s), t</t>
    </r>
    <r>
      <rPr>
        <vertAlign val="subscript"/>
        <sz val="10"/>
        <rFont val="Tahoma"/>
        <family val="2"/>
      </rPr>
      <t xml:space="preserve">s   </t>
    </r>
    <r>
      <rPr>
        <sz val="10"/>
        <rFont val="Tahoma"/>
        <family val="2"/>
      </rPr>
      <t>(suggested start-up time = 3 sec)</t>
    </r>
  </si>
  <si>
    <r>
      <t>[Calculated automatically] Critical gap required for crossing pedestrian (s), t</t>
    </r>
    <r>
      <rPr>
        <vertAlign val="subscript"/>
        <sz val="10"/>
        <rFont val="Tahoma"/>
        <family val="2"/>
      </rPr>
      <t>c</t>
    </r>
  </si>
  <si>
    <t xml:space="preserve">Major road volume, total both approaches OR approach being crossed if raised median island </t>
  </si>
  <si>
    <r>
      <t xml:space="preserve">Is 15th percentile crossing speed of pedestrians less than 3.5 ft/s (1.1 m/s)?  (enter </t>
    </r>
    <r>
      <rPr>
        <b/>
        <i/>
        <sz val="10"/>
        <rFont val="Tahoma"/>
        <family val="2"/>
      </rPr>
      <t>YES</t>
    </r>
    <r>
      <rPr>
        <sz val="10"/>
        <rFont val="Tahoma"/>
        <family val="2"/>
      </rPr>
      <t xml:space="preserve"> or </t>
    </r>
    <r>
      <rPr>
        <b/>
        <i/>
        <sz val="10"/>
        <rFont val="Tahoma"/>
        <family val="2"/>
      </rPr>
      <t>NO</t>
    </r>
    <r>
      <rPr>
        <sz val="10"/>
        <rFont val="Tahoma"/>
        <family val="2"/>
      </rPr>
      <t>)</t>
    </r>
  </si>
  <si>
    <r>
      <t xml:space="preserve">% rate of reduction for </t>
    </r>
    <r>
      <rPr>
        <i/>
        <sz val="10"/>
        <rFont val="Tahoma"/>
        <family val="2"/>
      </rPr>
      <t>3c</t>
    </r>
    <r>
      <rPr>
        <sz val="10"/>
        <rFont val="Tahoma"/>
        <family val="2"/>
      </rPr>
      <t xml:space="preserve"> (up to 50%)</t>
    </r>
  </si>
  <si>
    <t>4i</t>
  </si>
  <si>
    <t>3e</t>
  </si>
  <si>
    <t>3f</t>
  </si>
  <si>
    <r>
      <t xml:space="preserve"> (1.1 m/s), then reduce </t>
    </r>
    <r>
      <rPr>
        <i/>
        <sz val="10"/>
        <rFont val="Tahoma"/>
        <family val="2"/>
      </rPr>
      <t>3c</t>
    </r>
    <r>
      <rPr>
        <sz val="10"/>
        <rFont val="Tahoma"/>
        <family val="2"/>
      </rPr>
      <t xml:space="preserve"> by up to 50%.</t>
    </r>
  </si>
  <si>
    <r>
      <t>Major road volume, total of both approaches during peak hour (veh/h), V</t>
    </r>
    <r>
      <rPr>
        <vertAlign val="subscript"/>
        <sz val="10"/>
        <rFont val="Tahoma"/>
        <family val="2"/>
      </rPr>
      <t>maj-s</t>
    </r>
  </si>
  <si>
    <t>1b</t>
  </si>
  <si>
    <t>Does 1b=yes?</t>
  </si>
  <si>
    <t>Is 1a&gt;=35 mph?</t>
  </si>
  <si>
    <t>Speed on major (35 or less = low, 40 or more = high)</t>
  </si>
  <si>
    <t>Walking Speed</t>
  </si>
  <si>
    <t>Distance covered (ft)</t>
  </si>
  <si>
    <t>Critical gap, calculated (sec)</t>
  </si>
  <si>
    <t>Graphing Limit</t>
  </si>
  <si>
    <t xml:space="preserve">Major Road Vehicle Volume </t>
  </si>
  <si>
    <t>Signal, LOW Speed Minor Road Pedestrian Volume (determined by regression)</t>
  </si>
  <si>
    <t>Signal, LOW Speed Minor Road Older Pedestrian Volume (50% of General Pedestrian Values)</t>
  </si>
  <si>
    <t>Signal, HIGH Speed Minor Road Pedestrian Volume (determined by regression)</t>
  </si>
  <si>
    <t>Signal, HIGH Speed Minor Road Older Pedestrian Volume (50% of General Pedestrian Values)</t>
  </si>
  <si>
    <t>Average Pedestrian Delay for General Population (s/person)</t>
  </si>
  <si>
    <t xml:space="preserve">General Pedestrian Volume for Delay = </t>
  </si>
  <si>
    <t>Signal for Plot (based on low or high major road speed and 3.5 or 3.0 walking speed)</t>
  </si>
  <si>
    <t>FHWA Minimum</t>
  </si>
  <si>
    <t>Plot for Delay = 1.3</t>
  </si>
  <si>
    <t>Plot for Delay = 5.3</t>
  </si>
  <si>
    <t>Plot for Delay = 21.3</t>
  </si>
  <si>
    <t>Plot for Red</t>
  </si>
  <si>
    <t>Plot for upper limit of signal</t>
  </si>
  <si>
    <t>Signal</t>
  </si>
  <si>
    <t>No Treatment</t>
  </si>
  <si>
    <t>Crosswalk</t>
  </si>
  <si>
    <t>Red</t>
  </si>
  <si>
    <t>Vp</t>
  </si>
  <si>
    <t>Ped Volume crossing Major Road</t>
  </si>
  <si>
    <t>Signal (proposed)</t>
  </si>
  <si>
    <t>Ped Vol</t>
  </si>
  <si>
    <t>Road Vol</t>
  </si>
  <si>
    <t>Vmaj-d</t>
  </si>
  <si>
    <r>
      <t xml:space="preserve">if 3b </t>
    </r>
    <r>
      <rPr>
        <u val="single"/>
        <sz val="10"/>
        <rFont val="Tahoma"/>
        <family val="2"/>
      </rPr>
      <t>&gt;</t>
    </r>
    <r>
      <rPr>
        <sz val="10"/>
        <rFont val="Tahoma"/>
        <family val="2"/>
      </rPr>
      <t xml:space="preserve"> 93</t>
    </r>
  </si>
  <si>
    <r>
      <t xml:space="preserve">if 3b </t>
    </r>
    <r>
      <rPr>
        <u val="single"/>
        <sz val="10"/>
        <rFont val="Tahoma"/>
        <family val="2"/>
      </rPr>
      <t>&gt;</t>
    </r>
    <r>
      <rPr>
        <sz val="10"/>
        <rFont val="Tahoma"/>
        <family val="2"/>
      </rPr>
      <t xml:space="preserve"> 133</t>
    </r>
  </si>
  <si>
    <t>if 3b &lt; 133</t>
  </si>
  <si>
    <t>if 3b &lt; 93</t>
  </si>
  <si>
    <t>2a &lt; 3d</t>
  </si>
  <si>
    <r>
      <t xml:space="preserve">2a </t>
    </r>
    <r>
      <rPr>
        <u val="single"/>
        <sz val="10"/>
        <rFont val="Tahoma"/>
        <family val="2"/>
      </rPr>
      <t>&gt;</t>
    </r>
    <r>
      <rPr>
        <sz val="10"/>
        <rFont val="Tahoma"/>
        <family val="2"/>
      </rPr>
      <t xml:space="preserve"> 3d</t>
    </r>
  </si>
  <si>
    <r>
      <t>&lt;</t>
    </r>
    <r>
      <rPr>
        <sz val="10"/>
        <rFont val="Tahoma"/>
        <family val="2"/>
      </rPr>
      <t xml:space="preserve"> 35 mph</t>
    </r>
  </si>
  <si>
    <r>
      <t xml:space="preserve">Dp </t>
    </r>
    <r>
      <rPr>
        <u val="single"/>
        <sz val="10"/>
        <rFont val="Tahoma"/>
        <family val="2"/>
      </rPr>
      <t>&gt;</t>
    </r>
    <r>
      <rPr>
        <sz val="10"/>
        <rFont val="Tahoma"/>
        <family val="2"/>
      </rPr>
      <t xml:space="preserve"> 21.3 h</t>
    </r>
  </si>
  <si>
    <r>
      <t xml:space="preserve">5.3 h </t>
    </r>
    <r>
      <rPr>
        <u val="single"/>
        <sz val="10"/>
        <rFont val="Tahoma"/>
        <family val="2"/>
      </rPr>
      <t>&lt;</t>
    </r>
    <r>
      <rPr>
        <sz val="10"/>
        <rFont val="Tahoma"/>
        <family val="2"/>
      </rPr>
      <t xml:space="preserve"> Dp &lt; 21.3</t>
    </r>
  </si>
  <si>
    <r>
      <t xml:space="preserve">1.3 h </t>
    </r>
    <r>
      <rPr>
        <u val="single"/>
        <sz val="10"/>
        <rFont val="Tahoma"/>
        <family val="2"/>
      </rPr>
      <t>&lt;</t>
    </r>
    <r>
      <rPr>
        <sz val="10"/>
        <rFont val="Tahoma"/>
        <family val="2"/>
      </rPr>
      <t xml:space="preserve"> Dp &lt; 5.3 h</t>
    </r>
  </si>
  <si>
    <t>Category</t>
  </si>
  <si>
    <t>The signal warrant is not met.  Go to step 4.</t>
  </si>
  <si>
    <t>compliance</t>
  </si>
  <si>
    <t>Active/Enhanced</t>
  </si>
  <si>
    <t>The signal warrant has been met and a traffic signal should be considered if not within 300 ft (91 m) of another signal.</t>
  </si>
  <si>
    <r>
      <t>(</t>
    </r>
    <r>
      <rPr>
        <i/>
        <sz val="10"/>
        <rFont val="Tahoma"/>
        <family val="2"/>
      </rPr>
      <t>Improving Pedestrian Safety at Unsignalized Intersections</t>
    </r>
    <r>
      <rPr>
        <sz val="10"/>
        <rFont val="Tahoma"/>
        <family val="2"/>
      </rPr>
      <t>) into an electronic format. This spreadsheet should be used in</t>
    </r>
  </si>
  <si>
    <t>This spreadsheet is still under development, please inform TTI if errors are identified.</t>
  </si>
  <si>
    <r>
      <t xml:space="preserve">Expected motorist compliance at pedestrian crossings in region: enter </t>
    </r>
    <r>
      <rPr>
        <b/>
        <i/>
        <sz val="10"/>
        <rFont val="Tahoma"/>
        <family val="2"/>
      </rPr>
      <t xml:space="preserve">HIGH for High Compliance </t>
    </r>
    <r>
      <rPr>
        <sz val="10"/>
        <rFont val="Tahoma"/>
        <family val="2"/>
      </rPr>
      <t xml:space="preserve">or </t>
    </r>
    <r>
      <rPr>
        <b/>
        <i/>
        <sz val="10"/>
        <rFont val="Tahoma"/>
        <family val="2"/>
      </rPr>
      <t xml:space="preserve">LOW for Low Compliance </t>
    </r>
  </si>
  <si>
    <t xml:space="preserve"> Blue fields contain descriptive information.</t>
  </si>
  <si>
    <t xml:space="preserve"> Green fields are required and must be completed.</t>
  </si>
  <si>
    <t xml:space="preserve"> Tan fields are adjustments that are filled out only under certain conditions (follow instructions to the left of the cell).</t>
  </si>
  <si>
    <t xml:space="preserve"> Gray fields are automatically calculated and should not be edited.</t>
  </si>
  <si>
    <t>Data Entry Checks</t>
  </si>
  <si>
    <t>Step 1</t>
  </si>
  <si>
    <t>Step 2</t>
  </si>
  <si>
    <t>Step 3</t>
  </si>
  <si>
    <t>Step 4</t>
  </si>
  <si>
    <t>Treatment Category</t>
  </si>
  <si>
    <t>Step 5</t>
  </si>
  <si>
    <t>This worksheet provides general recommendations on pedestrian crossing treatments to consider at unsignalized intersections; in all cases, engineering judgment should be used in selecting a specific treatment for installation.  This worksheet does not apply to school crossings.  In addition to the results provided by this worksheet, users should consider whether a pedestrian treatment could present an increased safety risk to pedestrians, such as where there is poor sight distance, complex geometrics, or nearby traffic signals.</t>
  </si>
  <si>
    <r>
      <t xml:space="preserve">Is the population of the surrounding area &lt;10,000? (enter </t>
    </r>
    <r>
      <rPr>
        <b/>
        <i/>
        <sz val="10"/>
        <rFont val="Tahoma"/>
        <family val="2"/>
      </rPr>
      <t>YES</t>
    </r>
    <r>
      <rPr>
        <sz val="10"/>
        <rFont val="Tahoma"/>
        <family val="2"/>
      </rPr>
      <t xml:space="preserve"> or </t>
    </r>
    <r>
      <rPr>
        <b/>
        <i/>
        <sz val="10"/>
        <rFont val="Tahoma"/>
        <family val="2"/>
      </rPr>
      <t>NO</t>
    </r>
    <r>
      <rPr>
        <sz val="10"/>
        <rFont val="Tahoma"/>
        <family val="2"/>
      </rPr>
      <t>)</t>
    </r>
  </si>
  <si>
    <r>
      <t xml:space="preserve">  is present, during peak hour (veh/h), V</t>
    </r>
    <r>
      <rPr>
        <vertAlign val="subscript"/>
        <sz val="10"/>
        <rFont val="Tahoma"/>
        <family val="2"/>
      </rPr>
      <t>maj-d</t>
    </r>
  </si>
  <si>
    <t xml:space="preserve">   has been measured at the site, that value can be entered in 4i to replace the calculated value in 4h.</t>
  </si>
  <si>
    <r>
      <t>Total pedestrian delay (h), D</t>
    </r>
    <r>
      <rPr>
        <vertAlign val="subscript"/>
        <sz val="10"/>
        <rFont val="Tahoma"/>
        <family val="2"/>
      </rPr>
      <t>p</t>
    </r>
    <r>
      <rPr>
        <sz val="10"/>
        <rFont val="Tahoma"/>
        <family val="2"/>
      </rPr>
      <t xml:space="preserve">     The value in 4h is the calculated estimated delay for all pedestrians crossing the</t>
    </r>
  </si>
  <si>
    <t xml:space="preserve">   major roadway without a crossing treatment (assumes 0% compliance). If the actual total pedestrian delay</t>
  </si>
  <si>
    <t>This is a reference sheet for the delay/treatment graph.</t>
  </si>
  <si>
    <t>no</t>
  </si>
  <si>
    <t>Speed Limit or Small Town</t>
  </si>
  <si>
    <t>&gt; 35 mph or Small Town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</si>
</sst>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0.0000000"/>
    <numFmt numFmtId="170" formatCode="0.00000000"/>
    <numFmt numFmtId="171" formatCode="0.000000000"/>
    <numFmt numFmtId="172" formatCode="0.0000000000"/>
    <numFmt numFmtId="173" formatCode="0.00000000000"/>
    <numFmt numFmtId="174" formatCode="0.000000000000"/>
    <numFmt numFmtId="175" formatCode="0.0000000000000"/>
    <numFmt numFmtId="176" formatCode="0.00000000000000"/>
    <numFmt numFmtId="177" formatCode="0.000000000000000"/>
    <numFmt numFmtId="178" formatCode="0.0000000000000000"/>
    <numFmt numFmtId="179" formatCode="0.00000000000000000"/>
    <numFmt numFmtId="180" formatCode="0.000000000000000000"/>
    <numFmt numFmtId="181" formatCode="0.0000000000000000000"/>
    <numFmt numFmtId="182" formatCode="0.00000000000000000000"/>
    <numFmt numFmtId="183" formatCode="0.000000000000000000000"/>
    <numFmt numFmtId="184" formatCode="0.0000000000000000000000"/>
    <numFmt numFmtId="185" formatCode="[$-409]dddd\,\ mmmm\ dd\,\ yyyy"/>
    <numFmt numFmtId="186" formatCode="[$-409]mmmm\ d\,\ yyyy;@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6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vertAlign val="subscript"/>
      <sz val="10"/>
      <name val="Tahoma"/>
      <family val="2"/>
    </font>
    <font>
      <i/>
      <sz val="10"/>
      <name val="Tahoma"/>
      <family val="2"/>
    </font>
    <font>
      <vertAlign val="superscript"/>
      <sz val="10"/>
      <name val="Tahoma"/>
      <family val="2"/>
    </font>
    <font>
      <b/>
      <i/>
      <sz val="10"/>
      <name val="Tahoma"/>
      <family val="2"/>
    </font>
    <font>
      <sz val="10"/>
      <color indexed="9"/>
      <name val="Tahoma"/>
      <family val="2"/>
    </font>
    <font>
      <b/>
      <sz val="10"/>
      <color indexed="9"/>
      <name val="Tahoma"/>
      <family val="2"/>
    </font>
    <font>
      <b/>
      <sz val="12"/>
      <color indexed="9"/>
      <name val="Tahoma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12"/>
      <color indexed="8"/>
      <name val="Tahoma"/>
      <family val="2"/>
    </font>
    <font>
      <b/>
      <sz val="10"/>
      <color indexed="10"/>
      <name val="Tahoma"/>
      <family val="2"/>
    </font>
    <font>
      <u val="single"/>
      <sz val="10"/>
      <name val="Tahoma"/>
      <family val="2"/>
    </font>
    <font>
      <b/>
      <i/>
      <sz val="10"/>
      <color indexed="10"/>
      <name val="Tahoma"/>
      <family val="2"/>
    </font>
    <font>
      <b/>
      <sz val="12"/>
      <name val="Tahoma"/>
      <family val="2"/>
    </font>
    <font>
      <sz val="12"/>
      <name val="Arial"/>
      <family val="2"/>
    </font>
    <font>
      <sz val="12"/>
      <name val="Tahoma"/>
      <family val="2"/>
    </font>
    <font>
      <b/>
      <u val="single"/>
      <sz val="14"/>
      <name val="Tahoma"/>
      <family val="2"/>
    </font>
    <font>
      <b/>
      <sz val="14"/>
      <name val="Tahoma"/>
      <family val="2"/>
    </font>
    <font>
      <b/>
      <sz val="14"/>
      <color indexed="10"/>
      <name val="Tahoma"/>
      <family val="2"/>
    </font>
    <font>
      <b/>
      <sz val="8"/>
      <name val="Tahoma"/>
      <family val="2"/>
    </font>
    <font>
      <b/>
      <sz val="13.75"/>
      <color indexed="8"/>
      <name val="Arial"/>
      <family val="2"/>
    </font>
    <font>
      <b/>
      <sz val="14.25"/>
      <color indexed="8"/>
      <name val="Arial"/>
      <family val="2"/>
    </font>
    <font>
      <b/>
      <sz val="10.6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232">
    <xf numFmtId="0" fontId="0" fillId="0" borderId="0" xfId="0" applyAlignment="1">
      <alignment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3" fillId="0" borderId="11" xfId="0" applyFont="1" applyBorder="1" applyAlignment="1" applyProtection="1">
      <alignment/>
      <protection/>
    </xf>
    <xf numFmtId="0" fontId="3" fillId="0" borderId="12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33" borderId="16" xfId="0" applyFont="1" applyFill="1" applyBorder="1" applyAlignment="1" applyProtection="1">
      <alignment horizontal="center"/>
      <protection locked="0"/>
    </xf>
    <xf numFmtId="0" fontId="3" fillId="0" borderId="17" xfId="0" applyFont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33" borderId="10" xfId="0" applyFont="1" applyFill="1" applyBorder="1" applyAlignment="1" applyProtection="1">
      <alignment horizontal="center"/>
      <protection locked="0"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3" fillId="0" borderId="14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19" xfId="0" applyFont="1" applyBorder="1" applyAlignment="1" applyProtection="1">
      <alignment horizontal="right"/>
      <protection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 applyProtection="1">
      <alignment/>
      <protection locked="0"/>
    </xf>
    <xf numFmtId="0" fontId="3" fillId="0" borderId="11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4" fillId="0" borderId="14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2" fontId="4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4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 vertical="center"/>
    </xf>
    <xf numFmtId="1" fontId="9" fillId="34" borderId="21" xfId="0" applyNumberFormat="1" applyFont="1" applyFill="1" applyBorder="1" applyAlignment="1" applyProtection="1">
      <alignment horizontal="center"/>
      <protection hidden="1"/>
    </xf>
    <xf numFmtId="1" fontId="9" fillId="34" borderId="10" xfId="0" applyNumberFormat="1" applyFont="1" applyFill="1" applyBorder="1" applyAlignment="1">
      <alignment horizontal="center"/>
    </xf>
    <xf numFmtId="1" fontId="9" fillId="34" borderId="10" xfId="0" applyNumberFormat="1" applyFont="1" applyFill="1" applyBorder="1" applyAlignment="1" applyProtection="1">
      <alignment horizontal="center"/>
      <protection hidden="1"/>
    </xf>
    <xf numFmtId="2" fontId="9" fillId="34" borderId="10" xfId="0" applyNumberFormat="1" applyFont="1" applyFill="1" applyBorder="1" applyAlignment="1" applyProtection="1">
      <alignment horizontal="center"/>
      <protection hidden="1"/>
    </xf>
    <xf numFmtId="0" fontId="11" fillId="35" borderId="17" xfId="0" applyFont="1" applyFill="1" applyBorder="1" applyAlignment="1">
      <alignment/>
    </xf>
    <xf numFmtId="0" fontId="10" fillId="35" borderId="20" xfId="0" applyFont="1" applyFill="1" applyBorder="1" applyAlignment="1">
      <alignment horizontal="right" vertical="center"/>
    </xf>
    <xf numFmtId="0" fontId="9" fillId="36" borderId="11" xfId="0" applyFont="1" applyFill="1" applyBorder="1" applyAlignment="1">
      <alignment/>
    </xf>
    <xf numFmtId="0" fontId="10" fillId="36" borderId="12" xfId="0" applyFont="1" applyFill="1" applyBorder="1" applyAlignment="1">
      <alignment horizontal="right"/>
    </xf>
    <xf numFmtId="0" fontId="9" fillId="36" borderId="14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6" fillId="0" borderId="15" xfId="0" applyFont="1" applyBorder="1" applyAlignment="1">
      <alignment horizontal="center"/>
    </xf>
    <xf numFmtId="0" fontId="3" fillId="0" borderId="0" xfId="0" applyFont="1" applyAlignment="1">
      <alignment wrapText="1"/>
    </xf>
    <xf numFmtId="0" fontId="14" fillId="0" borderId="0" xfId="0" applyFont="1" applyAlignment="1">
      <alignment/>
    </xf>
    <xf numFmtId="168" fontId="0" fillId="0" borderId="0" xfId="0" applyNumberFormat="1" applyAlignment="1">
      <alignment/>
    </xf>
    <xf numFmtId="0" fontId="14" fillId="33" borderId="0" xfId="0" applyFont="1" applyFill="1" applyAlignment="1">
      <alignment wrapText="1"/>
    </xf>
    <xf numFmtId="168" fontId="14" fillId="37" borderId="0" xfId="0" applyNumberFormat="1" applyFont="1" applyFill="1" applyAlignment="1">
      <alignment wrapText="1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0" fillId="38" borderId="0" xfId="0" applyFill="1" applyAlignment="1">
      <alignment wrapText="1"/>
    </xf>
    <xf numFmtId="168" fontId="0" fillId="38" borderId="0" xfId="0" applyNumberFormat="1" applyFill="1" applyAlignment="1">
      <alignment wrapText="1"/>
    </xf>
    <xf numFmtId="2" fontId="0" fillId="0" borderId="0" xfId="0" applyNumberFormat="1" applyAlignment="1">
      <alignment wrapText="1"/>
    </xf>
    <xf numFmtId="0" fontId="0" fillId="38" borderId="0" xfId="0" applyFill="1" applyAlignment="1">
      <alignment horizontal="right" wrapText="1"/>
    </xf>
    <xf numFmtId="168" fontId="0" fillId="38" borderId="0" xfId="0" applyNumberFormat="1" applyFill="1" applyAlignment="1">
      <alignment horizontal="right" wrapText="1"/>
    </xf>
    <xf numFmtId="1" fontId="0" fillId="0" borderId="0" xfId="0" applyNumberFormat="1" applyAlignment="1" quotePrefix="1">
      <alignment/>
    </xf>
    <xf numFmtId="1" fontId="0" fillId="0" borderId="0" xfId="0" applyNumberFormat="1" applyFill="1" applyAlignment="1" quotePrefix="1">
      <alignment/>
    </xf>
    <xf numFmtId="1" fontId="0" fillId="0" borderId="0" xfId="0" applyNumberFormat="1" applyAlignment="1">
      <alignment/>
    </xf>
    <xf numFmtId="1" fontId="0" fillId="38" borderId="0" xfId="0" applyNumberFormat="1" applyFill="1" applyAlignment="1" quotePrefix="1">
      <alignment wrapText="1"/>
    </xf>
    <xf numFmtId="168" fontId="0" fillId="38" borderId="0" xfId="0" applyNumberFormat="1" applyFill="1" applyAlignment="1" quotePrefix="1">
      <alignment wrapText="1"/>
    </xf>
    <xf numFmtId="1" fontId="0" fillId="38" borderId="0" xfId="0" applyNumberFormat="1" applyFill="1" applyAlignment="1">
      <alignment wrapText="1"/>
    </xf>
    <xf numFmtId="1" fontId="0" fillId="39" borderId="0" xfId="0" applyNumberFormat="1" applyFill="1" applyAlignment="1" quotePrefix="1">
      <alignment/>
    </xf>
    <xf numFmtId="1" fontId="0" fillId="39" borderId="0" xfId="0" applyNumberFormat="1" applyFill="1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" fillId="38" borderId="10" xfId="0" applyFont="1" applyFill="1" applyBorder="1" applyAlignment="1">
      <alignment/>
    </xf>
    <xf numFmtId="0" fontId="3" fillId="0" borderId="0" xfId="0" applyFont="1" applyAlignment="1">
      <alignment horizontal="center" vertical="top" wrapText="1"/>
    </xf>
    <xf numFmtId="0" fontId="3" fillId="33" borderId="19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>
      <alignment horizontal="center" vertical="center"/>
    </xf>
    <xf numFmtId="0" fontId="17" fillId="0" borderId="10" xfId="0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14" fillId="33" borderId="0" xfId="0" applyFont="1" applyFill="1" applyAlignment="1" quotePrefix="1">
      <alignment horizontal="right"/>
    </xf>
    <xf numFmtId="168" fontId="0" fillId="0" borderId="0" xfId="0" applyNumberFormat="1" applyAlignment="1">
      <alignment wrapText="1"/>
    </xf>
    <xf numFmtId="168" fontId="9" fillId="34" borderId="23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 quotePrefix="1">
      <alignment vertical="center"/>
    </xf>
    <xf numFmtId="0" fontId="16" fillId="0" borderId="13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3" fillId="0" borderId="0" xfId="0" applyFont="1" applyAlignment="1">
      <alignment vertical="top" wrapText="1"/>
    </xf>
    <xf numFmtId="0" fontId="3" fillId="40" borderId="10" xfId="0" applyFont="1" applyFill="1" applyBorder="1" applyAlignment="1">
      <alignment/>
    </xf>
    <xf numFmtId="9" fontId="3" fillId="38" borderId="2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Border="1" applyAlignment="1">
      <alignment wrapText="1"/>
    </xf>
    <xf numFmtId="0" fontId="16" fillId="0" borderId="0" xfId="0" applyFont="1" applyFill="1" applyBorder="1" applyAlignment="1">
      <alignment/>
    </xf>
    <xf numFmtId="0" fontId="0" fillId="0" borderId="0" xfId="0" applyFill="1" applyAlignment="1">
      <alignment/>
    </xf>
    <xf numFmtId="168" fontId="0" fillId="0" borderId="0" xfId="0" applyNumberFormat="1" applyFill="1" applyAlignment="1">
      <alignment/>
    </xf>
    <xf numFmtId="168" fontId="14" fillId="0" borderId="0" xfId="0" applyNumberFormat="1" applyFont="1" applyFill="1" applyAlignment="1">
      <alignment wrapText="1"/>
    </xf>
    <xf numFmtId="0" fontId="3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horizontal="center"/>
    </xf>
    <xf numFmtId="0" fontId="19" fillId="41" borderId="17" xfId="0" applyFont="1" applyFill="1" applyBorder="1" applyAlignment="1">
      <alignment horizontal="left"/>
    </xf>
    <xf numFmtId="0" fontId="19" fillId="41" borderId="20" xfId="0" applyFont="1" applyFill="1" applyBorder="1" applyAlignment="1">
      <alignment horizontal="left"/>
    </xf>
    <xf numFmtId="0" fontId="19" fillId="41" borderId="21" xfId="0" applyFont="1" applyFill="1" applyBorder="1" applyAlignment="1">
      <alignment horizontal="left"/>
    </xf>
    <xf numFmtId="0" fontId="20" fillId="0" borderId="20" xfId="0" applyFont="1" applyBorder="1" applyAlignment="1">
      <alignment/>
    </xf>
    <xf numFmtId="0" fontId="20" fillId="0" borderId="21" xfId="0" applyFont="1" applyBorder="1" applyAlignment="1">
      <alignment/>
    </xf>
    <xf numFmtId="0" fontId="3" fillId="40" borderId="17" xfId="0" applyFont="1" applyFill="1" applyBorder="1" applyAlignment="1" applyProtection="1">
      <alignment horizontal="left"/>
      <protection locked="0"/>
    </xf>
    <xf numFmtId="0" fontId="3" fillId="40" borderId="20" xfId="0" applyFont="1" applyFill="1" applyBorder="1" applyAlignment="1" applyProtection="1">
      <alignment horizontal="left"/>
      <protection locked="0"/>
    </xf>
    <xf numFmtId="0" fontId="3" fillId="40" borderId="21" xfId="0" applyFont="1" applyFill="1" applyBorder="1" applyAlignment="1" applyProtection="1">
      <alignment horizontal="left"/>
      <protection locked="0"/>
    </xf>
    <xf numFmtId="0" fontId="3" fillId="40" borderId="11" xfId="0" applyFont="1" applyFill="1" applyBorder="1" applyAlignment="1" applyProtection="1">
      <alignment horizontal="left"/>
      <protection locked="0"/>
    </xf>
    <xf numFmtId="0" fontId="3" fillId="40" borderId="12" xfId="0" applyFont="1" applyFill="1" applyBorder="1" applyAlignment="1" applyProtection="1">
      <alignment horizontal="left"/>
      <protection locked="0"/>
    </xf>
    <xf numFmtId="0" fontId="3" fillId="40" borderId="19" xfId="0" applyFont="1" applyFill="1" applyBorder="1" applyAlignment="1" applyProtection="1">
      <alignment horizontal="left"/>
      <protection locked="0"/>
    </xf>
    <xf numFmtId="186" fontId="3" fillId="40" borderId="17" xfId="0" applyNumberFormat="1" applyFont="1" applyFill="1" applyBorder="1" applyAlignment="1" applyProtection="1">
      <alignment horizontal="left"/>
      <protection locked="0"/>
    </xf>
    <xf numFmtId="186" fontId="3" fillId="40" borderId="20" xfId="0" applyNumberFormat="1" applyFont="1" applyFill="1" applyBorder="1" applyAlignment="1" applyProtection="1">
      <alignment horizontal="left"/>
      <protection locked="0"/>
    </xf>
    <xf numFmtId="186" fontId="3" fillId="40" borderId="21" xfId="0" applyNumberFormat="1" applyFont="1" applyFill="1" applyBorder="1" applyAlignment="1" applyProtection="1">
      <alignment horizontal="left"/>
      <protection locked="0"/>
    </xf>
    <xf numFmtId="0" fontId="3" fillId="42" borderId="17" xfId="0" applyFont="1" applyFill="1" applyBorder="1" applyAlignment="1">
      <alignment horizontal="center" vertical="top" wrapText="1"/>
    </xf>
    <xf numFmtId="0" fontId="3" fillId="42" borderId="20" xfId="0" applyFont="1" applyFill="1" applyBorder="1" applyAlignment="1">
      <alignment horizontal="center" vertical="top" wrapText="1"/>
    </xf>
    <xf numFmtId="0" fontId="3" fillId="42" borderId="21" xfId="0" applyFont="1" applyFill="1" applyBorder="1" applyAlignment="1">
      <alignment horizontal="center" vertical="top" wrapText="1"/>
    </xf>
    <xf numFmtId="0" fontId="3" fillId="0" borderId="13" xfId="0" applyFont="1" applyBorder="1" applyAlignment="1" quotePrefix="1">
      <alignment vertical="center"/>
    </xf>
    <xf numFmtId="0" fontId="3" fillId="0" borderId="0" xfId="0" applyFont="1" applyBorder="1" applyAlignment="1" quotePrefix="1">
      <alignment vertical="center"/>
    </xf>
    <xf numFmtId="0" fontId="3" fillId="0" borderId="13" xfId="0" applyFont="1" applyBorder="1" applyAlignment="1" quotePrefix="1">
      <alignment horizontal="left" vertical="center"/>
    </xf>
    <xf numFmtId="0" fontId="3" fillId="0" borderId="0" xfId="0" applyFont="1" applyAlignment="1" quotePrefix="1">
      <alignment horizontal="left" vertical="center"/>
    </xf>
    <xf numFmtId="0" fontId="2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20" xfId="0" applyFont="1" applyBorder="1" applyAlignment="1">
      <alignment horizontal="left" wrapText="1"/>
    </xf>
    <xf numFmtId="0" fontId="3" fillId="0" borderId="21" xfId="0" applyFont="1" applyBorder="1" applyAlignment="1">
      <alignment horizontal="left" wrapText="1"/>
    </xf>
    <xf numFmtId="0" fontId="3" fillId="0" borderId="20" xfId="0" applyFont="1" applyFill="1" applyBorder="1" applyAlignment="1">
      <alignment horizontal="left"/>
    </xf>
    <xf numFmtId="0" fontId="3" fillId="0" borderId="21" xfId="0" applyFont="1" applyFill="1" applyBorder="1" applyAlignment="1">
      <alignment horizontal="left"/>
    </xf>
    <xf numFmtId="0" fontId="11" fillId="36" borderId="12" xfId="0" applyFont="1" applyFill="1" applyBorder="1" applyAlignment="1">
      <alignment horizontal="center" vertical="center"/>
    </xf>
    <xf numFmtId="0" fontId="11" fillId="36" borderId="19" xfId="0" applyFont="1" applyFill="1" applyBorder="1" applyAlignment="1">
      <alignment horizontal="center" vertical="center"/>
    </xf>
    <xf numFmtId="0" fontId="11" fillId="36" borderId="15" xfId="0" applyFont="1" applyFill="1" applyBorder="1" applyAlignment="1">
      <alignment horizontal="center" vertical="center"/>
    </xf>
    <xf numFmtId="0" fontId="11" fillId="36" borderId="18" xfId="0" applyFont="1" applyFill="1" applyBorder="1" applyAlignment="1">
      <alignment horizontal="center" vertical="center"/>
    </xf>
    <xf numFmtId="0" fontId="15" fillId="43" borderId="11" xfId="0" applyFont="1" applyFill="1" applyBorder="1" applyAlignment="1" applyProtection="1">
      <alignment horizontal="center" vertical="center" wrapText="1"/>
      <protection hidden="1"/>
    </xf>
    <xf numFmtId="0" fontId="15" fillId="43" borderId="12" xfId="0" applyFont="1" applyFill="1" applyBorder="1" applyAlignment="1" applyProtection="1">
      <alignment horizontal="center" vertical="center" wrapText="1"/>
      <protection hidden="1"/>
    </xf>
    <xf numFmtId="0" fontId="15" fillId="43" borderId="19" xfId="0" applyFont="1" applyFill="1" applyBorder="1" applyAlignment="1" applyProtection="1">
      <alignment horizontal="center" vertical="center" wrapText="1"/>
      <protection hidden="1"/>
    </xf>
    <xf numFmtId="0" fontId="15" fillId="43" borderId="14" xfId="0" applyFont="1" applyFill="1" applyBorder="1" applyAlignment="1" applyProtection="1">
      <alignment horizontal="center" vertical="center" wrapText="1"/>
      <protection hidden="1"/>
    </xf>
    <xf numFmtId="0" fontId="15" fillId="43" borderId="15" xfId="0" applyFont="1" applyFill="1" applyBorder="1" applyAlignment="1" applyProtection="1">
      <alignment horizontal="center" vertical="center" wrapText="1"/>
      <protection hidden="1"/>
    </xf>
    <xf numFmtId="0" fontId="15" fillId="43" borderId="18" xfId="0" applyFont="1" applyFill="1" applyBorder="1" applyAlignment="1" applyProtection="1">
      <alignment horizontal="center" vertical="center" wrapText="1"/>
      <protection hidden="1"/>
    </xf>
    <xf numFmtId="0" fontId="21" fillId="0" borderId="20" xfId="0" applyFont="1" applyBorder="1" applyAlignment="1">
      <alignment/>
    </xf>
    <xf numFmtId="0" fontId="21" fillId="0" borderId="21" xfId="0" applyFont="1" applyBorder="1" applyAlignment="1">
      <alignment/>
    </xf>
    <xf numFmtId="0" fontId="3" fillId="0" borderId="12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22" xfId="0" applyFont="1" applyFill="1" applyBorder="1" applyAlignment="1">
      <alignment horizontal="left"/>
    </xf>
    <xf numFmtId="0" fontId="3" fillId="0" borderId="20" xfId="0" applyFont="1" applyFill="1" applyBorder="1" applyAlignment="1">
      <alignment horizontal="left" wrapText="1"/>
    </xf>
    <xf numFmtId="0" fontId="3" fillId="0" borderId="21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horizontal="left" vertical="top"/>
    </xf>
    <xf numFmtId="0" fontId="3" fillId="0" borderId="18" xfId="0" applyFont="1" applyFill="1" applyBorder="1" applyAlignment="1">
      <alignment horizontal="left" vertical="top"/>
    </xf>
    <xf numFmtId="0" fontId="10" fillId="35" borderId="20" xfId="0" applyFont="1" applyFill="1" applyBorder="1" applyAlignment="1">
      <alignment horizontal="left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3" fillId="0" borderId="20" xfId="0" applyFont="1" applyBorder="1" applyAlignment="1">
      <alignment horizontal="left"/>
    </xf>
    <xf numFmtId="0" fontId="3" fillId="0" borderId="20" xfId="0" applyFont="1" applyFill="1" applyBorder="1" applyAlignment="1" applyProtection="1">
      <alignment horizontal="left"/>
      <protection/>
    </xf>
    <xf numFmtId="0" fontId="3" fillId="0" borderId="21" xfId="0" applyFont="1" applyFill="1" applyBorder="1" applyAlignment="1" applyProtection="1">
      <alignment horizontal="left"/>
      <protection/>
    </xf>
    <xf numFmtId="0" fontId="3" fillId="0" borderId="17" xfId="0" applyFont="1" applyFill="1" applyBorder="1" applyAlignment="1">
      <alignment horizontal="left"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10" fillId="36" borderId="20" xfId="0" applyFont="1" applyFill="1" applyBorder="1" applyAlignment="1">
      <alignment horizontal="left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3" fillId="33" borderId="23" xfId="0" applyFont="1" applyFill="1" applyBorder="1" applyAlignment="1" applyProtection="1">
      <alignment horizontal="center" vertical="center"/>
      <protection locked="0"/>
    </xf>
    <xf numFmtId="0" fontId="3" fillId="33" borderId="16" xfId="0" applyFont="1" applyFill="1" applyBorder="1" applyAlignment="1" applyProtection="1">
      <alignment horizontal="center" vertical="center"/>
      <protection locked="0"/>
    </xf>
    <xf numFmtId="0" fontId="16" fillId="0" borderId="13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16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5" xfId="0" applyFont="1" applyFill="1" applyBorder="1" applyAlignment="1">
      <alignment horizontal="left"/>
    </xf>
    <xf numFmtId="0" fontId="23" fillId="0" borderId="0" xfId="0" applyFont="1" applyFill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  <xf numFmtId="0" fontId="18" fillId="0" borderId="13" xfId="0" applyFont="1" applyFill="1" applyBorder="1" applyAlignment="1">
      <alignment wrapText="1"/>
    </xf>
    <xf numFmtId="0" fontId="18" fillId="0" borderId="0" xfId="0" applyFont="1" applyFill="1" applyAlignment="1">
      <alignment wrapText="1"/>
    </xf>
    <xf numFmtId="0" fontId="6" fillId="0" borderId="1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168" fontId="3" fillId="38" borderId="23" xfId="0" applyNumberFormat="1" applyFont="1" applyFill="1" applyBorder="1" applyAlignment="1" applyProtection="1">
      <alignment horizontal="center" vertical="center"/>
      <protection locked="0"/>
    </xf>
    <xf numFmtId="168" fontId="3" fillId="38" borderId="16" xfId="0" applyNumberFormat="1" applyFont="1" applyFill="1" applyBorder="1" applyAlignment="1" applyProtection="1">
      <alignment horizontal="center" vertical="center"/>
      <protection locked="0"/>
    </xf>
    <xf numFmtId="0" fontId="2" fillId="41" borderId="0" xfId="0" applyFont="1" applyFill="1" applyAlignment="1">
      <alignment horizontal="center"/>
    </xf>
    <xf numFmtId="0" fontId="2" fillId="41" borderId="0" xfId="0" applyFont="1" applyFill="1" applyAlignment="1">
      <alignment horizontal="center" vertical="top"/>
    </xf>
    <xf numFmtId="0" fontId="24" fillId="42" borderId="24" xfId="0" applyFont="1" applyFill="1" applyBorder="1" applyAlignment="1">
      <alignment/>
    </xf>
    <xf numFmtId="0" fontId="24" fillId="42" borderId="25" xfId="0" applyFont="1" applyFill="1" applyBorder="1" applyAlignment="1">
      <alignment/>
    </xf>
    <xf numFmtId="0" fontId="24" fillId="42" borderId="26" xfId="0" applyFont="1" applyFill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14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7" xfId="0" applyFont="1" applyBorder="1" applyAlignment="1" quotePrefix="1">
      <alignment horizontal="left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vertical="center"/>
    </xf>
    <xf numFmtId="0" fontId="3" fillId="0" borderId="23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3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9">
    <dxf>
      <font>
        <color indexed="9"/>
      </font>
      <fill>
        <patternFill>
          <bgColor indexed="57"/>
        </patternFill>
      </fill>
    </dxf>
    <dxf>
      <font>
        <color indexed="9"/>
      </font>
      <fill>
        <patternFill>
          <bgColor indexed="10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52"/>
        </patternFill>
      </fill>
    </dxf>
    <dxf>
      <font>
        <color auto="1"/>
      </font>
      <fill>
        <patternFill>
          <bgColor indexed="52"/>
        </patternFill>
      </fill>
    </dxf>
    <dxf>
      <font>
        <color indexed="9"/>
      </font>
      <fill>
        <patternFill>
          <bgColor indexed="57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1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Relationship Id="rId2" Type="http://schemas.openxmlformats.org/officeDocument/2006/relationships/image" Target="../media/image5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975"/>
          <c:y val="0.03"/>
          <c:w val="0.88725"/>
          <c:h val="0.77525"/>
        </c:manualLayout>
      </c:layout>
      <c:areaChart>
        <c:grouping val="stacked"/>
        <c:varyColors val="0"/>
        <c:ser>
          <c:idx val="3"/>
          <c:order val="0"/>
          <c:tx>
            <c:strRef>
              <c:f>'Graph Master'!$K$11</c:f>
              <c:strCache>
                <c:ptCount val="1"/>
                <c:pt idx="0">
                  <c:v>No Treatment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'Graph Master'!$A$12:$A$33</c:f>
              <c:numCache>
                <c:ptCount val="22"/>
                <c:pt idx="0">
                  <c:v>1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</c:numCache>
            </c:numRef>
          </c:cat>
          <c:val>
            <c:numRef>
              <c:f>'Graph Master'!$K$12:$K$33</c:f>
              <c:numCache>
                <c:ptCount val="22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  <c:pt idx="10">
                  <c:v>20</c:v>
                </c:pt>
                <c:pt idx="11">
                  <c:v>20</c:v>
                </c:pt>
                <c:pt idx="12">
                  <c:v>20</c:v>
                </c:pt>
                <c:pt idx="13">
                  <c:v>20</c:v>
                </c:pt>
                <c:pt idx="14">
                  <c:v>20</c:v>
                </c:pt>
                <c:pt idx="15">
                  <c:v>20</c:v>
                </c:pt>
                <c:pt idx="16">
                  <c:v>20</c:v>
                </c:pt>
                <c:pt idx="17">
                  <c:v>20</c:v>
                </c:pt>
                <c:pt idx="18">
                  <c:v>20</c:v>
                </c:pt>
                <c:pt idx="19">
                  <c:v>20</c:v>
                </c:pt>
                <c:pt idx="20">
                  <c:v>20</c:v>
                </c:pt>
                <c:pt idx="21">
                  <c:v>20</c:v>
                </c:pt>
              </c:numCache>
            </c:numRef>
          </c:val>
        </c:ser>
        <c:ser>
          <c:idx val="0"/>
          <c:order val="1"/>
          <c:tx>
            <c:strRef>
              <c:f>'Graph Master'!$L$11</c:f>
              <c:strCache>
                <c:ptCount val="1"/>
                <c:pt idx="0">
                  <c:v>Crosswalk</c:v>
                </c:pt>
              </c:strCache>
            </c:strRef>
          </c:tx>
          <c:spPr>
            <a:solidFill>
              <a:srgbClr val="008000"/>
            </a:solidFill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'Graph Master'!$A$12:$A$33</c:f>
              <c:numCache>
                <c:ptCount val="22"/>
                <c:pt idx="0">
                  <c:v>1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</c:numCache>
            </c:numRef>
          </c:cat>
          <c:val>
            <c:numRef>
              <c:f>'Graph Master'!$L$12:$L$33</c:f>
              <c:numCache>
                <c:ptCount val="22"/>
                <c:pt idx="0">
                  <c:v>1980</c:v>
                </c:pt>
                <c:pt idx="1">
                  <c:v>1980</c:v>
                </c:pt>
                <c:pt idx="2">
                  <c:v>1980</c:v>
                </c:pt>
                <c:pt idx="3">
                  <c:v>1980</c:v>
                </c:pt>
                <c:pt idx="4">
                  <c:v>608.5826666666667</c:v>
                </c:pt>
                <c:pt idx="5">
                  <c:v>535.02</c:v>
                </c:pt>
                <c:pt idx="6">
                  <c:v>467.05733333333336</c:v>
                </c:pt>
                <c:pt idx="7">
                  <c:v>404.6946666666666</c:v>
                </c:pt>
                <c:pt idx="8">
                  <c:v>347.93199999999996</c:v>
                </c:pt>
                <c:pt idx="9">
                  <c:v>296.76933333333335</c:v>
                </c:pt>
                <c:pt idx="10">
                  <c:v>251.20666666666665</c:v>
                </c:pt>
                <c:pt idx="11">
                  <c:v>211.244</c:v>
                </c:pt>
                <c:pt idx="12">
                  <c:v>176.8813333333334</c:v>
                </c:pt>
                <c:pt idx="13">
                  <c:v>148.11866666666674</c:v>
                </c:pt>
                <c:pt idx="14">
                  <c:v>124.95599999999982</c:v>
                </c:pt>
                <c:pt idx="15">
                  <c:v>113</c:v>
                </c:pt>
                <c:pt idx="16">
                  <c:v>113</c:v>
                </c:pt>
                <c:pt idx="17">
                  <c:v>113</c:v>
                </c:pt>
                <c:pt idx="18">
                  <c:v>113</c:v>
                </c:pt>
                <c:pt idx="19">
                  <c:v>113</c:v>
                </c:pt>
                <c:pt idx="20">
                  <c:v>113</c:v>
                </c:pt>
                <c:pt idx="21">
                  <c:v>113</c:v>
                </c:pt>
              </c:numCache>
            </c:numRef>
          </c:val>
        </c:ser>
        <c:ser>
          <c:idx val="1"/>
          <c:order val="2"/>
          <c:tx>
            <c:strRef>
              <c:f>'Graph Master'!$M$11</c:f>
              <c:strCache>
                <c:ptCount val="1"/>
                <c:pt idx="0">
                  <c:v>Active/Enhanced</c:v>
                </c:pt>
              </c:strCache>
            </c:strRef>
          </c:tx>
          <c:spPr>
            <a:solidFill>
              <a:srgbClr val="FFFF00"/>
            </a:solidFill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'Graph Master'!$A$12:$A$33</c:f>
              <c:numCache>
                <c:ptCount val="22"/>
                <c:pt idx="0">
                  <c:v>1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</c:numCache>
            </c:numRef>
          </c:cat>
          <c:val>
            <c:numRef>
              <c:f>'Graph Master'!$M$12:$M$33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4"/>
          <c:order val="3"/>
          <c:tx>
            <c:strRef>
              <c:f>'Graph Master'!$O$11</c:f>
              <c:strCache>
                <c:ptCount val="1"/>
                <c:pt idx="0">
                  <c:v>Red</c:v>
                </c:pt>
              </c:strCache>
            </c:strRef>
          </c:tx>
          <c:spPr>
            <a:solidFill>
              <a:srgbClr val="FF0000"/>
            </a:solidFill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'Graph Master'!$A$12:$A$33</c:f>
              <c:numCache>
                <c:ptCount val="22"/>
                <c:pt idx="0">
                  <c:v>1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</c:numCache>
            </c:numRef>
          </c:cat>
          <c:val>
            <c:numRef>
              <c:f>'Graph Master'!$O$12:$O$33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5"/>
          <c:order val="4"/>
          <c:tx>
            <c:strRef>
              <c:f>'Graph Master'!$P$11</c:f>
              <c:strCache>
                <c:ptCount val="1"/>
                <c:pt idx="0">
                  <c:v>Signal (proposed)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'Graph Master'!$A$12:$A$33</c:f>
              <c:numCache>
                <c:ptCount val="22"/>
                <c:pt idx="0">
                  <c:v>1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</c:numCache>
            </c:numRef>
          </c:cat>
          <c:val>
            <c:numRef>
              <c:f>'Graph Master'!$P$12:$P$33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71.41733333333332</c:v>
                </c:pt>
                <c:pt idx="5">
                  <c:v>144.98000000000002</c:v>
                </c:pt>
                <c:pt idx="6">
                  <c:v>212.94266666666664</c:v>
                </c:pt>
                <c:pt idx="7">
                  <c:v>275.3053333333334</c:v>
                </c:pt>
                <c:pt idx="8">
                  <c:v>332.06800000000004</c:v>
                </c:pt>
                <c:pt idx="9">
                  <c:v>383.23066666666665</c:v>
                </c:pt>
                <c:pt idx="10">
                  <c:v>428.79333333333335</c:v>
                </c:pt>
                <c:pt idx="11">
                  <c:v>468.756</c:v>
                </c:pt>
                <c:pt idx="12">
                  <c:v>503.1186666666666</c:v>
                </c:pt>
                <c:pt idx="13">
                  <c:v>531.8813333333333</c:v>
                </c:pt>
                <c:pt idx="14">
                  <c:v>555.0440000000002</c:v>
                </c:pt>
                <c:pt idx="15">
                  <c:v>567</c:v>
                </c:pt>
                <c:pt idx="16">
                  <c:v>567</c:v>
                </c:pt>
                <c:pt idx="17">
                  <c:v>567</c:v>
                </c:pt>
                <c:pt idx="18">
                  <c:v>567</c:v>
                </c:pt>
                <c:pt idx="19">
                  <c:v>567</c:v>
                </c:pt>
                <c:pt idx="20">
                  <c:v>567</c:v>
                </c:pt>
                <c:pt idx="21">
                  <c:v>567</c:v>
                </c:pt>
              </c:numCache>
            </c:numRef>
          </c:val>
        </c:ser>
        <c:axId val="66413106"/>
        <c:axId val="60847043"/>
      </c:areaChart>
      <c:lineChart>
        <c:grouping val="standard"/>
        <c:varyColors val="0"/>
        <c:ser>
          <c:idx val="6"/>
          <c:order val="5"/>
          <c:tx>
            <c:strRef>
              <c:f>'Graph Master'!$Q$11</c:f>
              <c:strCache>
                <c:ptCount val="1"/>
                <c:pt idx="0">
                  <c:v>Ped Vol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'Graph Master'!$A$12:$A$33</c:f>
              <c:numCache>
                <c:ptCount val="22"/>
                <c:pt idx="0">
                  <c:v>1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</c:numCache>
            </c:numRef>
          </c:cat>
          <c:val>
            <c:numRef>
              <c:f>'Graph Master'!$Q$12:$Q$33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</c:ser>
        <c:axId val="66413106"/>
        <c:axId val="60847043"/>
      </c:lineChart>
      <c:scatterChart>
        <c:scatterStyle val="lineMarker"/>
        <c:varyColors val="0"/>
        <c:ser>
          <c:idx val="7"/>
          <c:order val="6"/>
          <c:tx>
            <c:strRef>
              <c:f>'Graph Master'!$T$11</c:f>
              <c:strCache>
                <c:ptCount val="1"/>
                <c:pt idx="0">
                  <c:v>Road Vol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'Graph Master'!$T$12:$T$19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'Graph Master'!$S$12:$S$19</c:f>
              <c:numCache>
                <c:ptCount val="8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</c:numCache>
            </c:numRef>
          </c:yVal>
          <c:smooth val="1"/>
        </c:ser>
        <c:axId val="10752476"/>
        <c:axId val="29663421"/>
      </c:scatterChart>
      <c:catAx>
        <c:axId val="664131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Major Road Volume (veh/h)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847043"/>
        <c:crosses val="autoZero"/>
        <c:auto val="1"/>
        <c:lblOffset val="100"/>
        <c:tickLblSkip val="3"/>
        <c:noMultiLvlLbl val="0"/>
      </c:catAx>
      <c:valAx>
        <c:axId val="60847043"/>
        <c:scaling>
          <c:orientation val="minMax"/>
          <c:max val="7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Pedestrian Volume Crossing Major Road (ped/h)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2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413106"/>
        <c:crossesAt val="1"/>
        <c:crossBetween val="midCat"/>
        <c:dispUnits/>
        <c:majorUnit val="100"/>
        <c:minorUnit val="100"/>
      </c:valAx>
      <c:valAx>
        <c:axId val="10752476"/>
        <c:scaling>
          <c:orientation val="minMax"/>
          <c:max val="2100"/>
          <c:min val="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29663421"/>
        <c:crosses val="max"/>
        <c:crossBetween val="midCat"/>
        <c:dispUnits/>
        <c:majorUnit val="300"/>
      </c:valAx>
      <c:valAx>
        <c:axId val="29663421"/>
        <c:scaling>
          <c:orientation val="minMax"/>
          <c:max val="700"/>
        </c:scaling>
        <c:axPos val="l"/>
        <c:delete val="1"/>
        <c:majorTickMark val="out"/>
        <c:minorTickMark val="none"/>
        <c:tickLblPos val="nextTo"/>
        <c:crossAx val="10752476"/>
        <c:crosses val="max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1565"/>
          <c:y val="0.8965"/>
          <c:w val="0.76075"/>
          <c:h val="0.0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6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375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4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0.162</cdr:x>
      <cdr:y>0.7675</cdr:y>
    </cdr:from>
    <cdr:to>
      <cdr:x>0.21275</cdr:x>
      <cdr:y>0.8305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1390650" y="3524250"/>
          <a:ext cx="438150" cy="2857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0.6305</cdr:x>
      <cdr:y>0.13075</cdr:y>
    </cdr:from>
    <cdr:to>
      <cdr:x>0.9385</cdr:x>
      <cdr:y>0.19</cdr:y>
    </cdr:to>
    <cdr:sp>
      <cdr:nvSpPr>
        <cdr:cNvPr id="2" name="TextBox 2"/>
        <cdr:cNvSpPr txBox="1">
          <a:spLocks noChangeArrowheads="1"/>
        </cdr:cNvSpPr>
      </cdr:nvSpPr>
      <cdr:spPr>
        <a:xfrm>
          <a:off x="5419725" y="600075"/>
          <a:ext cx="2647950" cy="2762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This graph</a:t>
          </a: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is based on data in Step 4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114300</xdr:rowOff>
    </xdr:from>
    <xdr:to>
      <xdr:col>13</xdr:col>
      <xdr:colOff>104775</xdr:colOff>
      <xdr:row>66</xdr:row>
      <xdr:rowOff>114300</xdr:rowOff>
    </xdr:to>
    <xdr:graphicFrame>
      <xdr:nvGraphicFramePr>
        <xdr:cNvPr id="1" name="Chart 5"/>
        <xdr:cNvGraphicFramePr/>
      </xdr:nvGraphicFramePr>
      <xdr:xfrm>
        <a:off x="0" y="8201025"/>
        <a:ext cx="8601075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13</xdr:col>
      <xdr:colOff>57150</xdr:colOff>
      <xdr:row>5</xdr:row>
      <xdr:rowOff>76200</xdr:rowOff>
    </xdr:from>
    <xdr:to>
      <xdr:col>15</xdr:col>
      <xdr:colOff>457200</xdr:colOff>
      <xdr:row>7</xdr:row>
      <xdr:rowOff>95250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53450" y="962025"/>
          <a:ext cx="16478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7</xdr:row>
      <xdr:rowOff>85725</xdr:rowOff>
    </xdr:from>
    <xdr:to>
      <xdr:col>15</xdr:col>
      <xdr:colOff>457200</xdr:colOff>
      <xdr:row>10</xdr:row>
      <xdr:rowOff>0</xdr:rowOff>
    </xdr:to>
    <xdr:pic>
      <xdr:nvPicPr>
        <xdr:cNvPr id="3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53450" y="1276350"/>
          <a:ext cx="16478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2</xdr:row>
      <xdr:rowOff>142875</xdr:rowOff>
    </xdr:from>
    <xdr:to>
      <xdr:col>7</xdr:col>
      <xdr:colOff>457200</xdr:colOff>
      <xdr:row>39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466725"/>
          <a:ext cx="4562475" cy="5924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200025</xdr:colOff>
      <xdr:row>3</xdr:row>
      <xdr:rowOff>28575</xdr:rowOff>
    </xdr:from>
    <xdr:to>
      <xdr:col>16</xdr:col>
      <xdr:colOff>495300</xdr:colOff>
      <xdr:row>36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514350"/>
          <a:ext cx="4562475" cy="5353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1"/>
  </sheetPr>
  <dimension ref="A1:R91"/>
  <sheetViews>
    <sheetView showGridLines="0" tabSelected="1" zoomScale="73" zoomScaleNormal="73" zoomScalePageLayoutView="0" workbookViewId="0" topLeftCell="A1">
      <selection activeCell="Q31" sqref="Q31"/>
    </sheetView>
  </sheetViews>
  <sheetFormatPr defaultColWidth="9.140625" defaultRowHeight="15.75" customHeight="1"/>
  <cols>
    <col min="1" max="2" width="2.00390625" style="2" customWidth="1"/>
    <col min="3" max="3" width="10.421875" style="2" customWidth="1"/>
    <col min="4" max="7" width="10.57421875" style="2" customWidth="1"/>
    <col min="8" max="8" width="11.8515625" style="2" customWidth="1"/>
    <col min="9" max="10" width="10.57421875" style="2" customWidth="1"/>
    <col min="11" max="12" width="11.57421875" style="2" customWidth="1"/>
    <col min="13" max="13" width="14.57421875" style="3" customWidth="1"/>
    <col min="14" max="14" width="9.57421875" style="2" bestFit="1" customWidth="1"/>
    <col min="15" max="24" width="9.140625" style="2" customWidth="1"/>
    <col min="25" max="25" width="10.57421875" style="2" customWidth="1"/>
    <col min="26" max="16384" width="9.140625" style="2" customWidth="1"/>
  </cols>
  <sheetData>
    <row r="1" spans="2:13" ht="21.75" customHeight="1">
      <c r="B1" s="133" t="s">
        <v>55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</row>
    <row r="2" spans="2:13" ht="12" customHeight="1">
      <c r="B2" s="134" t="s">
        <v>56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</row>
    <row r="3" spans="2:13" ht="12" customHeight="1">
      <c r="B3" s="134" t="s">
        <v>138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</row>
    <row r="4" spans="2:13" ht="12" customHeight="1">
      <c r="B4" s="134" t="s">
        <v>57</v>
      </c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</row>
    <row r="5" spans="2:13" ht="12" customHeight="1">
      <c r="B5" s="91"/>
      <c r="C5" s="28" t="s">
        <v>47</v>
      </c>
      <c r="E5" s="126" t="s">
        <v>139</v>
      </c>
      <c r="F5" s="127"/>
      <c r="G5" s="127"/>
      <c r="H5" s="127"/>
      <c r="I5" s="127"/>
      <c r="J5" s="127"/>
      <c r="K5" s="128"/>
      <c r="L5" s="102"/>
      <c r="M5" s="102"/>
    </row>
    <row r="6" spans="2:4" ht="12" customHeight="1">
      <c r="B6" s="4"/>
      <c r="C6" s="103"/>
      <c r="D6" s="2" t="s">
        <v>141</v>
      </c>
    </row>
    <row r="7" spans="2:13" ht="12" customHeight="1">
      <c r="B7" s="4"/>
      <c r="C7" s="5"/>
      <c r="D7" s="129" t="s">
        <v>142</v>
      </c>
      <c r="E7" s="130"/>
      <c r="F7" s="130"/>
      <c r="G7" s="130"/>
      <c r="H7" s="130"/>
      <c r="I7" s="130"/>
      <c r="J7" s="130"/>
      <c r="K7" s="130"/>
      <c r="L7" s="99"/>
      <c r="M7" s="99"/>
    </row>
    <row r="8" spans="2:13" ht="12" customHeight="1">
      <c r="B8" s="4"/>
      <c r="C8" s="90"/>
      <c r="D8" s="131" t="s">
        <v>143</v>
      </c>
      <c r="E8" s="132"/>
      <c r="F8" s="132"/>
      <c r="G8" s="132"/>
      <c r="H8" s="132"/>
      <c r="I8" s="132"/>
      <c r="J8" s="132"/>
      <c r="K8" s="132"/>
      <c r="L8" s="132"/>
      <c r="M8" s="132"/>
    </row>
    <row r="9" spans="2:13" ht="12" customHeight="1">
      <c r="B9" s="4"/>
      <c r="C9" s="66"/>
      <c r="D9" s="129" t="s">
        <v>144</v>
      </c>
      <c r="E9" s="130"/>
      <c r="F9" s="130"/>
      <c r="G9" s="130"/>
      <c r="H9" s="130"/>
      <c r="I9" s="130"/>
      <c r="J9" s="130"/>
      <c r="K9" s="130"/>
      <c r="L9" s="99"/>
      <c r="M9" s="99"/>
    </row>
    <row r="10" spans="2:13" ht="8.25" customHeight="1"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</row>
    <row r="11" spans="2:14" ht="15.75" customHeight="1">
      <c r="B11" s="112" t="s">
        <v>58</v>
      </c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4"/>
      <c r="N11" s="32"/>
    </row>
    <row r="12" spans="2:14" ht="15.75" customHeight="1">
      <c r="B12" s="6"/>
      <c r="C12" s="7"/>
      <c r="D12" s="31" t="s">
        <v>59</v>
      </c>
      <c r="E12" s="117"/>
      <c r="F12" s="118"/>
      <c r="G12" s="119"/>
      <c r="H12" s="8"/>
      <c r="I12" s="34" t="s">
        <v>62</v>
      </c>
      <c r="J12" s="117"/>
      <c r="K12" s="118"/>
      <c r="L12" s="118"/>
      <c r="M12" s="119"/>
      <c r="N12" s="33"/>
    </row>
    <row r="13" spans="2:14" ht="15.75" customHeight="1">
      <c r="B13" s="9"/>
      <c r="C13" s="10"/>
      <c r="D13" s="30" t="s">
        <v>61</v>
      </c>
      <c r="E13" s="123"/>
      <c r="F13" s="124"/>
      <c r="G13" s="125"/>
      <c r="H13" s="11"/>
      <c r="I13" s="30" t="s">
        <v>63</v>
      </c>
      <c r="J13" s="120"/>
      <c r="K13" s="121"/>
      <c r="L13" s="121"/>
      <c r="M13" s="122"/>
      <c r="N13" s="32"/>
    </row>
    <row r="14" spans="2:13" ht="15.75" customHeight="1">
      <c r="B14" s="12"/>
      <c r="C14" s="13"/>
      <c r="D14" s="29" t="s">
        <v>60</v>
      </c>
      <c r="E14" s="123"/>
      <c r="F14" s="124"/>
      <c r="G14" s="125"/>
      <c r="H14" s="12"/>
      <c r="I14" s="35" t="s">
        <v>64</v>
      </c>
      <c r="J14" s="117"/>
      <c r="K14" s="118"/>
      <c r="L14" s="118"/>
      <c r="M14" s="119"/>
    </row>
    <row r="15" spans="2:13" ht="15.75" customHeight="1">
      <c r="B15" s="112" t="s">
        <v>0</v>
      </c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6"/>
    </row>
    <row r="16" spans="2:13" ht="15.75" customHeight="1">
      <c r="B16" s="36"/>
      <c r="C16" s="135" t="s">
        <v>65</v>
      </c>
      <c r="D16" s="135"/>
      <c r="E16" s="135"/>
      <c r="F16" s="135"/>
      <c r="G16" s="135"/>
      <c r="H16" s="135"/>
      <c r="I16" s="135"/>
      <c r="J16" s="135"/>
      <c r="K16" s="136"/>
      <c r="L16" s="54" t="s">
        <v>1</v>
      </c>
      <c r="M16" s="14"/>
    </row>
    <row r="17" spans="2:18" ht="15.75" customHeight="1">
      <c r="B17" s="36"/>
      <c r="C17" s="135" t="s">
        <v>153</v>
      </c>
      <c r="D17" s="135"/>
      <c r="E17" s="135"/>
      <c r="F17" s="135"/>
      <c r="G17" s="135"/>
      <c r="H17" s="135"/>
      <c r="I17" s="135"/>
      <c r="J17" s="135"/>
      <c r="K17" s="136"/>
      <c r="L17" s="67" t="s">
        <v>91</v>
      </c>
      <c r="M17" s="18"/>
      <c r="N17" s="100">
        <f>IF(M17="YES","",IF(M17="NO","",IF(M17="","","DATA ENTRY ERROR: Please enter 'yes' or 'no' in 1b.")))</f>
      </c>
      <c r="O17" s="101"/>
      <c r="P17" s="101"/>
      <c r="Q17" s="101"/>
      <c r="R17" s="101"/>
    </row>
    <row r="18" spans="2:18" ht="15.75" customHeight="1">
      <c r="B18" s="112" t="s">
        <v>66</v>
      </c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4"/>
      <c r="N18" s="100"/>
      <c r="O18" s="101"/>
      <c r="P18" s="101"/>
      <c r="Q18" s="101"/>
      <c r="R18" s="101"/>
    </row>
    <row r="19" spans="2:13" ht="15.75" customHeight="1">
      <c r="B19" s="37"/>
      <c r="C19" s="162" t="s">
        <v>51</v>
      </c>
      <c r="D19" s="162"/>
      <c r="E19" s="162"/>
      <c r="F19" s="162"/>
      <c r="G19" s="38"/>
      <c r="H19" s="38"/>
      <c r="I19" s="38"/>
      <c r="J19" s="38"/>
      <c r="K19" s="39"/>
      <c r="L19" s="54" t="s">
        <v>2</v>
      </c>
      <c r="M19" s="14"/>
    </row>
    <row r="20" spans="2:13" ht="15">
      <c r="B20" s="61"/>
      <c r="C20" s="62" t="s">
        <v>70</v>
      </c>
      <c r="D20" s="159">
        <f>IF(M16&gt;35,IF(Worksheet!M19&gt;=14,Lookup!D8,IF(M19=""," ",Lookup!D9)),IF(Worksheet!M19&gt;=20,Lookup!D6,IF(M19="","",Lookup!D7)))</f>
      </c>
      <c r="E20" s="160"/>
      <c r="F20" s="160"/>
      <c r="G20" s="160"/>
      <c r="H20" s="160"/>
      <c r="I20" s="160"/>
      <c r="J20" s="160"/>
      <c r="K20" s="160"/>
      <c r="L20" s="160"/>
      <c r="M20" s="161"/>
    </row>
    <row r="21" spans="2:13" ht="15.75" customHeight="1">
      <c r="B21" s="112" t="s">
        <v>69</v>
      </c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4"/>
    </row>
    <row r="22" spans="2:13" ht="15.75" customHeight="1">
      <c r="B22" s="16"/>
      <c r="C22" s="163" t="s">
        <v>90</v>
      </c>
      <c r="D22" s="163"/>
      <c r="E22" s="163"/>
      <c r="F22" s="163"/>
      <c r="G22" s="163"/>
      <c r="H22" s="163"/>
      <c r="I22" s="163"/>
      <c r="J22" s="163"/>
      <c r="K22" s="164"/>
      <c r="L22" s="55" t="s">
        <v>7</v>
      </c>
      <c r="M22" s="18"/>
    </row>
    <row r="23" spans="2:13" ht="15.75" customHeight="1">
      <c r="B23" s="16"/>
      <c r="C23" s="137" t="s">
        <v>78</v>
      </c>
      <c r="D23" s="137"/>
      <c r="E23" s="137"/>
      <c r="F23" s="137"/>
      <c r="G23" s="137"/>
      <c r="H23" s="137"/>
      <c r="I23" s="137"/>
      <c r="J23" s="137"/>
      <c r="K23" s="138"/>
      <c r="L23" s="55" t="s">
        <v>8</v>
      </c>
      <c r="M23" s="57">
        <f>IF(Lookup!D3="yes",Lookup!G12,IF(M22="","",Lookup!G11))</f>
      </c>
    </row>
    <row r="24" spans="2:13" ht="15.75" customHeight="1">
      <c r="B24" s="16"/>
      <c r="C24" s="137" t="s">
        <v>79</v>
      </c>
      <c r="D24" s="137"/>
      <c r="E24" s="137"/>
      <c r="F24" s="137"/>
      <c r="G24" s="137"/>
      <c r="H24" s="137"/>
      <c r="I24" s="137"/>
      <c r="J24" s="137"/>
      <c r="K24" s="138"/>
      <c r="L24" s="55" t="s">
        <v>9</v>
      </c>
      <c r="M24" s="57">
        <f>IF(Lookup!D3="yes",IF(Worksheet!M23&lt;93,93,Worksheet!M23),IF(Worksheet!M23&lt;133,133,IF(Worksheet!M23="","",Worksheet!M23)))</f>
      </c>
    </row>
    <row r="25" spans="2:14" ht="15.75" customHeight="1">
      <c r="B25" s="16"/>
      <c r="C25" s="137" t="s">
        <v>84</v>
      </c>
      <c r="D25" s="137"/>
      <c r="E25" s="137"/>
      <c r="F25" s="137"/>
      <c r="G25" s="137"/>
      <c r="H25" s="137"/>
      <c r="I25" s="137"/>
      <c r="J25" s="137"/>
      <c r="K25" s="138"/>
      <c r="L25" s="56" t="s">
        <v>44</v>
      </c>
      <c r="M25" s="19" t="s">
        <v>159</v>
      </c>
      <c r="N25" s="100">
        <f>IF(M25="YES","",IF(M25="NO","",IF(M25="","","DATA ENTRY ERROR: Please enter 'yes' or 'no' in 3d.")))</f>
      </c>
    </row>
    <row r="26" spans="2:18" ht="15.75" customHeight="1">
      <c r="B26" s="20"/>
      <c r="C26" s="151" t="s">
        <v>52</v>
      </c>
      <c r="D26" s="151"/>
      <c r="E26" s="151"/>
      <c r="F26" s="151"/>
      <c r="G26" s="151"/>
      <c r="H26" s="152"/>
      <c r="I26" s="165" t="s">
        <v>85</v>
      </c>
      <c r="J26" s="137"/>
      <c r="K26" s="138"/>
      <c r="L26" s="56" t="s">
        <v>87</v>
      </c>
      <c r="M26" s="104"/>
      <c r="N26" s="166">
        <f>IF(M26&gt;50%,"Error:  Value must be less than or equal to 50%","")</f>
      </c>
      <c r="O26" s="167"/>
      <c r="P26" s="167"/>
      <c r="Q26" s="167"/>
      <c r="R26" s="167"/>
    </row>
    <row r="27" spans="2:13" ht="15.75" customHeight="1">
      <c r="B27" s="22"/>
      <c r="C27" s="157" t="s">
        <v>89</v>
      </c>
      <c r="D27" s="157"/>
      <c r="E27" s="157"/>
      <c r="F27" s="157"/>
      <c r="G27" s="157"/>
      <c r="H27" s="158"/>
      <c r="I27" s="165" t="s">
        <v>53</v>
      </c>
      <c r="J27" s="137"/>
      <c r="K27" s="24"/>
      <c r="L27" s="56" t="s">
        <v>88</v>
      </c>
      <c r="M27" s="58">
        <f>IF(M25="","",IF(M25="no",M24,IF(M25="yes",IF(M26="",M24,IF(M26&lt;0,"",IF(M26&gt;50,"",M24-(M24*M26)))),"Entry Error in 3d")))</f>
      </c>
    </row>
    <row r="28" spans="2:13" ht="12.75">
      <c r="B28" s="63"/>
      <c r="C28" s="64" t="s">
        <v>68</v>
      </c>
      <c r="D28" s="168">
        <f>IF(M19="","",IF(Lookup!B49="DATA ENTRY INCOMPLETE","",IF(M16&lt;35,IF(M19&lt;20,"",IF(M19&gt;=M27,Lookup!C19,Lookup!C20)),IF(M16&gt;=35,IF(M19&lt;14,"",IF(M19&gt;=M27,Lookup!C19,Lookup!C20))))))</f>
      </c>
      <c r="E28" s="169"/>
      <c r="F28" s="169"/>
      <c r="G28" s="169"/>
      <c r="H28" s="169"/>
      <c r="I28" s="169"/>
      <c r="J28" s="169"/>
      <c r="K28" s="169"/>
      <c r="L28" s="169"/>
      <c r="M28" s="170"/>
    </row>
    <row r="29" spans="2:13" ht="15.75" customHeight="1">
      <c r="B29" s="112" t="s">
        <v>12</v>
      </c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6"/>
    </row>
    <row r="30" spans="2:13" ht="15.75" customHeight="1">
      <c r="B30" s="16"/>
      <c r="C30" s="137" t="s">
        <v>14</v>
      </c>
      <c r="D30" s="137"/>
      <c r="E30" s="137"/>
      <c r="F30" s="137"/>
      <c r="G30" s="137"/>
      <c r="H30" s="137"/>
      <c r="I30" s="137"/>
      <c r="J30" s="137"/>
      <c r="K30" s="138"/>
      <c r="L30" s="55" t="s">
        <v>13</v>
      </c>
      <c r="M30" s="18"/>
    </row>
    <row r="31" spans="2:13" ht="15.75" customHeight="1">
      <c r="B31" s="22"/>
      <c r="C31" s="137" t="s">
        <v>80</v>
      </c>
      <c r="D31" s="137"/>
      <c r="E31" s="137"/>
      <c r="F31" s="137"/>
      <c r="G31" s="137"/>
      <c r="H31" s="137"/>
      <c r="I31" s="137"/>
      <c r="J31" s="137"/>
      <c r="K31" s="138"/>
      <c r="L31" s="55" t="s">
        <v>15</v>
      </c>
      <c r="M31" s="18">
        <v>3.5</v>
      </c>
    </row>
    <row r="32" spans="2:13" ht="15.75" customHeight="1">
      <c r="B32" s="16"/>
      <c r="C32" s="137" t="s">
        <v>81</v>
      </c>
      <c r="D32" s="137"/>
      <c r="E32" s="137"/>
      <c r="F32" s="137"/>
      <c r="G32" s="137"/>
      <c r="H32" s="137"/>
      <c r="I32" s="137"/>
      <c r="J32" s="137"/>
      <c r="K32" s="138"/>
      <c r="L32" s="55" t="s">
        <v>16</v>
      </c>
      <c r="M32" s="18">
        <v>3</v>
      </c>
    </row>
    <row r="33" spans="2:13" ht="15.75" customHeight="1">
      <c r="B33" s="20"/>
      <c r="C33" s="137" t="s">
        <v>82</v>
      </c>
      <c r="D33" s="137"/>
      <c r="E33" s="137"/>
      <c r="F33" s="137"/>
      <c r="G33" s="137"/>
      <c r="H33" s="137"/>
      <c r="I33" s="137"/>
      <c r="J33" s="137"/>
      <c r="K33" s="138"/>
      <c r="L33" s="55" t="s">
        <v>17</v>
      </c>
      <c r="M33" s="59">
        <f>IF(M32="","",Lookup!C22)</f>
        <v>3</v>
      </c>
    </row>
    <row r="34" spans="2:18" ht="12" customHeight="1">
      <c r="B34" s="20"/>
      <c r="C34" s="151" t="s">
        <v>83</v>
      </c>
      <c r="D34" s="177"/>
      <c r="E34" s="177"/>
      <c r="F34" s="177"/>
      <c r="G34" s="177"/>
      <c r="H34" s="177"/>
      <c r="I34" s="177"/>
      <c r="J34" s="177"/>
      <c r="K34" s="178"/>
      <c r="L34" s="175" t="s">
        <v>18</v>
      </c>
      <c r="M34" s="171"/>
      <c r="N34" s="173">
        <f>IF(M34&gt;M22,"DATA ENTRY ERROR: 4e cannot be &gt; 3a","")</f>
      </c>
      <c r="O34" s="174"/>
      <c r="P34" s="174"/>
      <c r="Q34" s="174"/>
      <c r="R34" s="174"/>
    </row>
    <row r="35" spans="2:18" ht="12" customHeight="1">
      <c r="B35" s="22"/>
      <c r="C35" s="179" t="s">
        <v>154</v>
      </c>
      <c r="D35" s="179"/>
      <c r="E35" s="179"/>
      <c r="F35" s="179"/>
      <c r="G35" s="24"/>
      <c r="H35" s="24"/>
      <c r="I35" s="24"/>
      <c r="J35" s="24"/>
      <c r="K35" s="23"/>
      <c r="L35" s="176"/>
      <c r="M35" s="172"/>
      <c r="N35" s="173"/>
      <c r="O35" s="174"/>
      <c r="P35" s="174"/>
      <c r="Q35" s="174"/>
      <c r="R35" s="174"/>
    </row>
    <row r="36" spans="2:13" ht="15.75" customHeight="1">
      <c r="B36" s="16"/>
      <c r="C36" s="137" t="s">
        <v>22</v>
      </c>
      <c r="D36" s="137"/>
      <c r="E36" s="137"/>
      <c r="F36" s="137"/>
      <c r="G36" s="137"/>
      <c r="H36" s="137"/>
      <c r="I36" s="137"/>
      <c r="J36" s="137"/>
      <c r="K36" s="138"/>
      <c r="L36" s="55" t="s">
        <v>19</v>
      </c>
      <c r="M36" s="60">
        <f>IF(Lookup!D3="yes",Lookup!D25,IF(Worksheet!M34="","",Lookup!D24))</f>
      </c>
    </row>
    <row r="37" spans="2:13" ht="15.75" customHeight="1">
      <c r="B37" s="16"/>
      <c r="C37" s="137" t="s">
        <v>54</v>
      </c>
      <c r="D37" s="137"/>
      <c r="E37" s="137"/>
      <c r="F37" s="137"/>
      <c r="G37" s="137"/>
      <c r="H37" s="137"/>
      <c r="I37" s="137"/>
      <c r="J37" s="137"/>
      <c r="K37" s="138"/>
      <c r="L37" s="55" t="s">
        <v>20</v>
      </c>
      <c r="M37" s="59">
        <f>IF(M34="","",Lookup!D27)</f>
      </c>
    </row>
    <row r="38" spans="2:13" ht="15.75" customHeight="1">
      <c r="B38" s="20"/>
      <c r="C38" s="151" t="s">
        <v>156</v>
      </c>
      <c r="D38" s="151"/>
      <c r="E38" s="151"/>
      <c r="F38" s="151"/>
      <c r="G38" s="151"/>
      <c r="H38" s="151"/>
      <c r="I38" s="151"/>
      <c r="J38" s="151"/>
      <c r="K38" s="152"/>
      <c r="L38" s="56" t="s">
        <v>21</v>
      </c>
      <c r="M38" s="98">
        <f>IF(M37="","",Lookup!D29)</f>
      </c>
    </row>
    <row r="39" spans="2:13" ht="12" customHeight="1">
      <c r="B39" s="25"/>
      <c r="C39" s="153" t="s">
        <v>157</v>
      </c>
      <c r="D39" s="153"/>
      <c r="E39" s="153"/>
      <c r="F39" s="153"/>
      <c r="G39" s="153"/>
      <c r="H39" s="153"/>
      <c r="I39" s="153"/>
      <c r="J39" s="153"/>
      <c r="K39" s="154"/>
      <c r="L39" s="193" t="s">
        <v>86</v>
      </c>
      <c r="M39" s="195"/>
    </row>
    <row r="40" spans="2:13" ht="12" customHeight="1">
      <c r="B40" s="25"/>
      <c r="C40" s="153" t="s">
        <v>155</v>
      </c>
      <c r="D40" s="153"/>
      <c r="E40" s="153"/>
      <c r="F40" s="153"/>
      <c r="G40" s="153"/>
      <c r="H40" s="153"/>
      <c r="I40" s="153"/>
      <c r="J40" s="153"/>
      <c r="K40" s="154"/>
      <c r="L40" s="194"/>
      <c r="M40" s="196"/>
    </row>
    <row r="41" spans="2:13" ht="15.75" customHeight="1">
      <c r="B41" s="112" t="s">
        <v>23</v>
      </c>
      <c r="C41" s="149"/>
      <c r="D41" s="149"/>
      <c r="E41" s="149"/>
      <c r="F41" s="149"/>
      <c r="G41" s="149"/>
      <c r="H41" s="149"/>
      <c r="I41" s="149"/>
      <c r="J41" s="149"/>
      <c r="K41" s="149"/>
      <c r="L41" s="149"/>
      <c r="M41" s="150"/>
    </row>
    <row r="42" spans="2:16" ht="28.5" customHeight="1">
      <c r="B42" s="20"/>
      <c r="C42" s="155" t="s">
        <v>140</v>
      </c>
      <c r="D42" s="155"/>
      <c r="E42" s="155"/>
      <c r="F42" s="155"/>
      <c r="G42" s="155"/>
      <c r="H42" s="155"/>
      <c r="I42" s="155"/>
      <c r="J42" s="155"/>
      <c r="K42" s="156"/>
      <c r="L42" s="56" t="s">
        <v>24</v>
      </c>
      <c r="M42" s="92" t="s">
        <v>25</v>
      </c>
      <c r="N42" s="191">
        <f>IF(OR(M42="low",M42="high"),"",IF(M42="","","DATA ENTRY ERROR: Please enter 'low' or 'high' in 5a."))</f>
      </c>
      <c r="O42" s="192"/>
      <c r="P42" s="192"/>
    </row>
    <row r="43" spans="2:13" ht="12.75">
      <c r="B43" s="63"/>
      <c r="C43" s="139" t="s">
        <v>26</v>
      </c>
      <c r="D43" s="139"/>
      <c r="E43" s="139"/>
      <c r="F43" s="140"/>
      <c r="G43" s="143" t="str">
        <f>IF(Lookup!B47="DATA ENTRY INCOMPLETE","STEP 1 INCOMPLETE",IF(Lookup!B48="DATA ENTRY INCOMPLETE","STEP 2 INCOMPLETE",IF(D20="Consider raised median islands, curb extensions, traffic calming, etc. as feasible.",D20,IF(Lookup!B49="DATA ENTRY INCOMPLETE","STEP 3 INCOMPLETE",IF(D28="The signal warrant has been met and a traffic signal should be considered if not within 300 ft (91 m) of another signal.","SIGNAL",IF(Lookup!B50="DATA ENTRY INCOMPLETE","STEP 4 INCOMPLETE",IF(Lookup!B51="DATA ENTRY INCOMPLETE","STEP 5 INCOMPLETE",Lookup!A54)))))))</f>
        <v>STEP 1 INCOMPLETE</v>
      </c>
      <c r="H43" s="144"/>
      <c r="I43" s="144"/>
      <c r="J43" s="144"/>
      <c r="K43" s="144"/>
      <c r="L43" s="144"/>
      <c r="M43" s="145"/>
    </row>
    <row r="44" spans="2:13" ht="15" customHeight="1">
      <c r="B44" s="65"/>
      <c r="C44" s="141"/>
      <c r="D44" s="141"/>
      <c r="E44" s="141"/>
      <c r="F44" s="142"/>
      <c r="G44" s="146"/>
      <c r="H44" s="147"/>
      <c r="I44" s="147"/>
      <c r="J44" s="147"/>
      <c r="K44" s="147"/>
      <c r="L44" s="147"/>
      <c r="M44" s="148"/>
    </row>
    <row r="45" ht="16.5" customHeight="1"/>
    <row r="48" ht="15.75" customHeight="1">
      <c r="B48" s="105"/>
    </row>
    <row r="49" spans="2:13" ht="15.75" customHeight="1">
      <c r="B49" s="26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</row>
    <row r="50" spans="2:13" ht="15.75" customHeight="1"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7"/>
    </row>
    <row r="51" spans="2:13" ht="15.75" customHeight="1"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7"/>
    </row>
    <row r="52" spans="2:13" ht="15.75" customHeight="1"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7"/>
    </row>
    <row r="53" spans="2:13" ht="15.75" customHeight="1"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7"/>
    </row>
    <row r="54" spans="2:13" ht="15.75" customHeight="1"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7"/>
    </row>
    <row r="55" spans="2:13" ht="15.75" customHeight="1"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7"/>
    </row>
    <row r="56" spans="2:13" ht="15.75" customHeight="1"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7"/>
    </row>
    <row r="57" spans="2:13" ht="15.75" customHeight="1"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7"/>
    </row>
    <row r="58" spans="2:13" ht="15.75" customHeight="1"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7"/>
    </row>
    <row r="59" spans="2:13" ht="15.75" customHeight="1"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7"/>
    </row>
    <row r="60" spans="2:13" ht="15.75" customHeight="1"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7"/>
    </row>
    <row r="61" spans="2:13" ht="15.75" customHeight="1"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7"/>
    </row>
    <row r="62" spans="2:13" ht="15.75" customHeight="1"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7"/>
    </row>
    <row r="63" spans="2:13" ht="15.75" customHeight="1"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7"/>
    </row>
    <row r="64" spans="2:13" ht="15.75" customHeight="1"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7"/>
    </row>
    <row r="65" spans="2:13" ht="15.75" customHeight="1"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7"/>
    </row>
    <row r="66" spans="2:13" ht="15.75" customHeight="1"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7"/>
    </row>
    <row r="67" spans="1:13" ht="18.75" customHeight="1">
      <c r="A67" s="180">
        <f>IF(M34=M22,"","Because the volume in Step 4e is different from the volume in Step 3a, the graph may show a different result than the Treatment Category above.")</f>
      </c>
      <c r="B67" s="180"/>
      <c r="C67" s="180"/>
      <c r="D67" s="180"/>
      <c r="E67" s="180"/>
      <c r="F67" s="180"/>
      <c r="G67" s="180"/>
      <c r="H67" s="180"/>
      <c r="I67" s="180"/>
      <c r="J67" s="180"/>
      <c r="K67" s="180"/>
      <c r="L67" s="180"/>
      <c r="M67" s="180"/>
    </row>
    <row r="68" spans="1:13" ht="18.75" customHeight="1">
      <c r="A68" s="180"/>
      <c r="B68" s="180"/>
      <c r="C68" s="180"/>
      <c r="D68" s="180"/>
      <c r="E68" s="180"/>
      <c r="F68" s="180"/>
      <c r="G68" s="180"/>
      <c r="H68" s="180"/>
      <c r="I68" s="180"/>
      <c r="J68" s="180"/>
      <c r="K68" s="180"/>
      <c r="L68" s="180"/>
      <c r="M68" s="180"/>
    </row>
    <row r="69" spans="1:13" ht="18.75" customHeight="1">
      <c r="A69" s="181">
        <f>IF(M19&gt;700,"The intersection of pedestrian volume and vehicle volume cannot be seen because the ped volume exceeds the limits of the graph.",IF(M34&gt;2100,"The intersection of pedestrian volume and vehicle volume cannot be seen because the vehicle volume exceeds the limits of the graph.",IF(M34&gt;2100,"The intersection of pedestrian volume and vehicle volume cannot be seen because the vehicle volume exceeds the limits of the graph.","")))</f>
      </c>
      <c r="B69" s="181"/>
      <c r="C69" s="181"/>
      <c r="D69" s="181"/>
      <c r="E69" s="181"/>
      <c r="F69" s="181"/>
      <c r="G69" s="181"/>
      <c r="H69" s="181"/>
      <c r="I69" s="181"/>
      <c r="J69" s="181"/>
      <c r="K69" s="181"/>
      <c r="L69" s="181"/>
      <c r="M69" s="181"/>
    </row>
    <row r="70" spans="1:13" ht="15.75" customHeight="1">
      <c r="A70" s="182" t="s">
        <v>152</v>
      </c>
      <c r="B70" s="183"/>
      <c r="C70" s="183"/>
      <c r="D70" s="183"/>
      <c r="E70" s="183"/>
      <c r="F70" s="183"/>
      <c r="G70" s="183"/>
      <c r="H70" s="183"/>
      <c r="I70" s="183"/>
      <c r="J70" s="183"/>
      <c r="K70" s="183"/>
      <c r="L70" s="183"/>
      <c r="M70" s="184"/>
    </row>
    <row r="71" spans="1:13" ht="15.75" customHeight="1">
      <c r="A71" s="185"/>
      <c r="B71" s="186"/>
      <c r="C71" s="186"/>
      <c r="D71" s="186"/>
      <c r="E71" s="186"/>
      <c r="F71" s="186"/>
      <c r="G71" s="186"/>
      <c r="H71" s="186"/>
      <c r="I71" s="186"/>
      <c r="J71" s="186"/>
      <c r="K71" s="186"/>
      <c r="L71" s="186"/>
      <c r="M71" s="187"/>
    </row>
    <row r="72" spans="1:13" ht="15.75" customHeight="1">
      <c r="A72" s="185"/>
      <c r="B72" s="186"/>
      <c r="C72" s="186"/>
      <c r="D72" s="186"/>
      <c r="E72" s="186"/>
      <c r="F72" s="186"/>
      <c r="G72" s="186"/>
      <c r="H72" s="186"/>
      <c r="I72" s="186"/>
      <c r="J72" s="186"/>
      <c r="K72" s="186"/>
      <c r="L72" s="186"/>
      <c r="M72" s="187"/>
    </row>
    <row r="73" spans="1:13" ht="15.75" customHeight="1">
      <c r="A73" s="188"/>
      <c r="B73" s="189"/>
      <c r="C73" s="189"/>
      <c r="D73" s="189"/>
      <c r="E73" s="189"/>
      <c r="F73" s="189"/>
      <c r="G73" s="189"/>
      <c r="H73" s="189"/>
      <c r="I73" s="189"/>
      <c r="J73" s="189"/>
      <c r="K73" s="189"/>
      <c r="L73" s="189"/>
      <c r="M73" s="190"/>
    </row>
    <row r="79" ht="15.75" customHeight="1">
      <c r="M79" s="2"/>
    </row>
    <row r="80" ht="15.75" customHeight="1">
      <c r="M80" s="2"/>
    </row>
    <row r="81" ht="15.75" customHeight="1">
      <c r="M81" s="2"/>
    </row>
    <row r="82" ht="15.75" customHeight="1">
      <c r="M82" s="27"/>
    </row>
    <row r="83" ht="15.75" customHeight="1">
      <c r="M83" s="27"/>
    </row>
    <row r="84" ht="15.75" customHeight="1">
      <c r="M84" s="27"/>
    </row>
    <row r="85" ht="15.75" customHeight="1">
      <c r="M85" s="27"/>
    </row>
    <row r="86" ht="15.75" customHeight="1">
      <c r="M86" s="27"/>
    </row>
    <row r="87" ht="15.75" customHeight="1">
      <c r="M87" s="27"/>
    </row>
    <row r="88" ht="15.75" customHeight="1">
      <c r="M88" s="27"/>
    </row>
    <row r="89" ht="15.75" customHeight="1">
      <c r="M89" s="27"/>
    </row>
    <row r="90" ht="15.75" customHeight="1">
      <c r="M90" s="27"/>
    </row>
    <row r="91" ht="15.75" customHeight="1">
      <c r="M91" s="27"/>
    </row>
  </sheetData>
  <sheetProtection selectLockedCells="1"/>
  <protectedRanges>
    <protectedRange sqref="M16:M17 M19 M22 M30:M32 M34 M42 J12:J14 M25:M26 E12:E14" name="User Inputs"/>
  </protectedRanges>
  <mergeCells count="58">
    <mergeCell ref="A67:M68"/>
    <mergeCell ref="A69:M69"/>
    <mergeCell ref="A70:M73"/>
    <mergeCell ref="N42:P42"/>
    <mergeCell ref="L39:L40"/>
    <mergeCell ref="M39:M40"/>
    <mergeCell ref="C37:K37"/>
    <mergeCell ref="M34:M35"/>
    <mergeCell ref="N34:R35"/>
    <mergeCell ref="L34:L35"/>
    <mergeCell ref="C34:K34"/>
    <mergeCell ref="C35:F35"/>
    <mergeCell ref="C33:K33"/>
    <mergeCell ref="C26:H26"/>
    <mergeCell ref="I26:K26"/>
    <mergeCell ref="N26:R26"/>
    <mergeCell ref="I27:J27"/>
    <mergeCell ref="D28:M28"/>
    <mergeCell ref="B29:M29"/>
    <mergeCell ref="C30:K30"/>
    <mergeCell ref="C31:K31"/>
    <mergeCell ref="C32:K32"/>
    <mergeCell ref="B18:M18"/>
    <mergeCell ref="B21:M21"/>
    <mergeCell ref="C23:K23"/>
    <mergeCell ref="C27:H27"/>
    <mergeCell ref="D20:M20"/>
    <mergeCell ref="C19:F19"/>
    <mergeCell ref="C25:K25"/>
    <mergeCell ref="C22:K22"/>
    <mergeCell ref="C24:K24"/>
    <mergeCell ref="C16:K16"/>
    <mergeCell ref="C36:K36"/>
    <mergeCell ref="C43:F44"/>
    <mergeCell ref="G43:M44"/>
    <mergeCell ref="B41:M41"/>
    <mergeCell ref="C38:K38"/>
    <mergeCell ref="C39:K39"/>
    <mergeCell ref="C40:K40"/>
    <mergeCell ref="C17:K17"/>
    <mergeCell ref="C42:K42"/>
    <mergeCell ref="E5:K5"/>
    <mergeCell ref="D7:K7"/>
    <mergeCell ref="D9:K9"/>
    <mergeCell ref="D8:M8"/>
    <mergeCell ref="B1:M1"/>
    <mergeCell ref="B2:M2"/>
    <mergeCell ref="B3:M3"/>
    <mergeCell ref="B4:M4"/>
    <mergeCell ref="B10:M10"/>
    <mergeCell ref="B11:M11"/>
    <mergeCell ref="B15:M15"/>
    <mergeCell ref="J12:M12"/>
    <mergeCell ref="J14:M14"/>
    <mergeCell ref="J13:M13"/>
    <mergeCell ref="E12:G12"/>
    <mergeCell ref="E13:G13"/>
    <mergeCell ref="E14:G14"/>
  </mergeCells>
  <conditionalFormatting sqref="A69 A67:M68">
    <cfRule type="cellIs" priority="1" dxfId="8" operator="notEqual" stopIfTrue="1">
      <formula>""</formula>
    </cfRule>
  </conditionalFormatting>
  <conditionalFormatting sqref="G43:M44">
    <cfRule type="cellIs" priority="2" dxfId="2" operator="equal" stopIfTrue="1">
      <formula>"ACTIVE OR ENHANCED"</formula>
    </cfRule>
    <cfRule type="cellIs" priority="3" dxfId="6" operator="equal" stopIfTrue="1">
      <formula>"RED"</formula>
    </cfRule>
    <cfRule type="cellIs" priority="4" dxfId="0" operator="equal" stopIfTrue="1">
      <formula>"CROSSWALK"</formula>
    </cfRule>
  </conditionalFormatting>
  <conditionalFormatting sqref="N26">
    <cfRule type="cellIs" priority="5" dxfId="3" operator="equal" stopIfTrue="1">
      <formula>"Error:  Value must be less than or equal to 50%"</formula>
    </cfRule>
  </conditionalFormatting>
  <conditionalFormatting sqref="M27">
    <cfRule type="cellIs" priority="6" dxfId="3" operator="equal" stopIfTrue="1">
      <formula>"Entry Error in 3d"</formula>
    </cfRule>
  </conditionalFormatting>
  <printOptions horizontalCentered="1"/>
  <pageMargins left="0.5" right="0.5" top="0.47" bottom="0.62" header="0.42" footer="0.41"/>
  <pageSetup horizontalDpi="600" verticalDpi="600" orientation="portrait" scale="65" r:id="rId2"/>
  <headerFooter alignWithMargins="0">
    <oddFooter xml:space="preserve">&amp;L&amp;8Spreadsheet developed by 
Texas Transportation Institute &amp;C&amp;8Printed &amp;D&amp;10 &amp;R&amp;8PED-CROSSING v 0.5
 (Released August 2010)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2:Q2"/>
  <sheetViews>
    <sheetView zoomScale="85" zoomScaleNormal="85" zoomScalePageLayoutView="0" workbookViewId="0" topLeftCell="A1">
      <selection activeCell="I19" sqref="I19"/>
    </sheetView>
  </sheetViews>
  <sheetFormatPr defaultColWidth="9.140625" defaultRowHeight="12.75"/>
  <sheetData>
    <row r="2" spans="1:17" ht="12.75">
      <c r="A2" s="198" t="s">
        <v>46</v>
      </c>
      <c r="B2" s="198"/>
      <c r="C2" s="198"/>
      <c r="D2" s="198"/>
      <c r="E2" s="198"/>
      <c r="F2" s="198"/>
      <c r="G2" s="198"/>
      <c r="H2" s="198"/>
      <c r="I2" s="1"/>
      <c r="J2" s="197" t="s">
        <v>45</v>
      </c>
      <c r="K2" s="197"/>
      <c r="L2" s="197"/>
      <c r="M2" s="197"/>
      <c r="N2" s="197"/>
      <c r="O2" s="197"/>
      <c r="P2" s="197"/>
      <c r="Q2" s="197"/>
    </row>
  </sheetData>
  <sheetProtection/>
  <mergeCells count="2">
    <mergeCell ref="J2:Q2"/>
    <mergeCell ref="A2:H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K54"/>
  <sheetViews>
    <sheetView zoomScale="110" zoomScaleNormal="110" zoomScalePageLayoutView="0" workbookViewId="0" topLeftCell="A1">
      <selection activeCell="B42" sqref="B42"/>
    </sheetView>
  </sheetViews>
  <sheetFormatPr defaultColWidth="9.140625" defaultRowHeight="15.75" customHeight="1"/>
  <cols>
    <col min="1" max="1" width="12.8515625" style="2" customWidth="1"/>
    <col min="2" max="2" width="14.00390625" style="2" customWidth="1"/>
    <col min="3" max="3" width="15.28125" style="2" customWidth="1"/>
    <col min="4" max="4" width="10.28125" style="2" customWidth="1"/>
    <col min="5" max="5" width="18.00390625" style="2" customWidth="1"/>
    <col min="6" max="6" width="16.7109375" style="2" customWidth="1"/>
    <col min="7" max="7" width="16.7109375" style="2" bestFit="1" customWidth="1"/>
    <col min="8" max="8" width="10.57421875" style="2" customWidth="1"/>
    <col min="9" max="10" width="17.140625" style="2" bestFit="1" customWidth="1"/>
    <col min="11" max="16384" width="9.140625" style="2" customWidth="1"/>
  </cols>
  <sheetData>
    <row r="1" spans="1:5" ht="15.75" customHeight="1" thickBot="1">
      <c r="A1" s="199" t="s">
        <v>43</v>
      </c>
      <c r="B1" s="200"/>
      <c r="C1" s="200"/>
      <c r="D1" s="200"/>
      <c r="E1" s="201"/>
    </row>
    <row r="2" ht="15.75" customHeight="1">
      <c r="A2" s="4"/>
    </row>
    <row r="3" spans="1:4" ht="15.75" customHeight="1">
      <c r="A3" s="43" t="s">
        <v>1</v>
      </c>
      <c r="B3" s="43" t="s">
        <v>93</v>
      </c>
      <c r="C3" s="43" t="str">
        <f>IF(Worksheet!M16&gt;35,"yes","no")</f>
        <v>no</v>
      </c>
      <c r="D3" s="202" t="str">
        <f>IF(OR(C3="yes",C4="yes"),"yes","no")</f>
        <v>no</v>
      </c>
    </row>
    <row r="4" spans="1:4" ht="15.75" customHeight="1">
      <c r="A4" s="43" t="s">
        <v>91</v>
      </c>
      <c r="B4" s="43" t="s">
        <v>92</v>
      </c>
      <c r="C4" s="43">
        <f>IF(Worksheet!M17="yes","yes","")</f>
      </c>
      <c r="D4" s="202"/>
    </row>
    <row r="6" spans="1:10" ht="15.75" customHeight="1">
      <c r="A6" s="202" t="s">
        <v>2</v>
      </c>
      <c r="B6" s="202" t="s">
        <v>5</v>
      </c>
      <c r="C6" s="15" t="s">
        <v>50</v>
      </c>
      <c r="D6" s="203" t="s">
        <v>3</v>
      </c>
      <c r="E6" s="204"/>
      <c r="F6" s="204"/>
      <c r="G6" s="204"/>
      <c r="H6" s="205"/>
      <c r="I6" s="10"/>
      <c r="J6" s="41"/>
    </row>
    <row r="7" spans="1:10" ht="15.75" customHeight="1">
      <c r="A7" s="202"/>
      <c r="B7" s="202"/>
      <c r="C7" s="15" t="s">
        <v>4</v>
      </c>
      <c r="D7" s="203" t="s">
        <v>67</v>
      </c>
      <c r="E7" s="204"/>
      <c r="F7" s="204"/>
      <c r="G7" s="204"/>
      <c r="H7" s="205"/>
      <c r="I7" s="10"/>
      <c r="J7" s="41"/>
    </row>
    <row r="8" spans="1:10" ht="15.75" customHeight="1">
      <c r="A8" s="202"/>
      <c r="B8" s="202" t="s">
        <v>6</v>
      </c>
      <c r="C8" s="15" t="s">
        <v>49</v>
      </c>
      <c r="D8" s="203" t="s">
        <v>3</v>
      </c>
      <c r="E8" s="204"/>
      <c r="F8" s="204"/>
      <c r="G8" s="204"/>
      <c r="H8" s="205"/>
      <c r="I8" s="10"/>
      <c r="J8" s="41"/>
    </row>
    <row r="9" spans="1:10" ht="15.75" customHeight="1">
      <c r="A9" s="202"/>
      <c r="B9" s="202"/>
      <c r="C9" s="15" t="s">
        <v>48</v>
      </c>
      <c r="D9" s="203" t="s">
        <v>67</v>
      </c>
      <c r="E9" s="204"/>
      <c r="F9" s="204"/>
      <c r="G9" s="204"/>
      <c r="H9" s="205"/>
      <c r="I9" s="10"/>
      <c r="J9" s="41"/>
    </row>
    <row r="11" spans="1:7" ht="15.75" customHeight="1">
      <c r="A11" s="202" t="s">
        <v>8</v>
      </c>
      <c r="B11" s="40" t="s">
        <v>5</v>
      </c>
      <c r="C11" s="213" t="s">
        <v>76</v>
      </c>
      <c r="D11" s="162">
        <f>(0.00021*(Worksheet!J22)^2-0.74072*Worksheet!J22+734.125)/0.75</f>
        <v>978.8333333333334</v>
      </c>
      <c r="E11" s="162">
        <f>(0.00021*(Worksheet!K22)^2-0.74072*Worksheet!K22+734.125)/0.75</f>
        <v>978.8333333333334</v>
      </c>
      <c r="F11" s="207" t="e">
        <f>(0.00021*(Worksheet!L22)^2-0.74072*Worksheet!L22+734.125)/0.75</f>
        <v>#VALUE!</v>
      </c>
      <c r="G11" s="42">
        <f>IF(Worksheet!M22&gt;1450,133,(0.00021*(Worksheet!M22)^2-0.74072*Worksheet!M22+734.125)/0.75)</f>
        <v>978.8333333333334</v>
      </c>
    </row>
    <row r="12" spans="1:7" ht="15.75" customHeight="1">
      <c r="A12" s="202"/>
      <c r="B12" s="40" t="s">
        <v>6</v>
      </c>
      <c r="C12" s="213" t="s">
        <v>77</v>
      </c>
      <c r="D12" s="162"/>
      <c r="E12" s="162"/>
      <c r="F12" s="207"/>
      <c r="G12" s="42">
        <f>IF(Worksheet!M22&gt;1010,93,(0.00035*(Worksheet!M22)^2-0.80083*Worksheet!M22+529.197)/0.75)</f>
        <v>705.596</v>
      </c>
    </row>
    <row r="14" spans="1:5" ht="15.75" customHeight="1">
      <c r="A14" s="202" t="s">
        <v>9</v>
      </c>
      <c r="B14" s="202" t="s">
        <v>5</v>
      </c>
      <c r="C14" s="43" t="s">
        <v>125</v>
      </c>
      <c r="D14" s="44">
        <v>133</v>
      </c>
      <c r="E14" s="43"/>
    </row>
    <row r="15" spans="1:5" ht="15.75" customHeight="1">
      <c r="A15" s="202"/>
      <c r="B15" s="202"/>
      <c r="C15" s="43" t="s">
        <v>124</v>
      </c>
      <c r="D15" s="44">
        <f>Worksheet!M23</f>
      </c>
      <c r="E15" s="43" t="s">
        <v>10</v>
      </c>
    </row>
    <row r="16" spans="1:5" ht="15.75" customHeight="1">
      <c r="A16" s="202"/>
      <c r="B16" s="202" t="s">
        <v>6</v>
      </c>
      <c r="C16" s="43" t="s">
        <v>126</v>
      </c>
      <c r="D16" s="44">
        <f>93</f>
        <v>93</v>
      </c>
      <c r="E16" s="43"/>
    </row>
    <row r="17" spans="1:5" ht="15.75" customHeight="1">
      <c r="A17" s="202"/>
      <c r="B17" s="202"/>
      <c r="C17" s="43" t="s">
        <v>123</v>
      </c>
      <c r="D17" s="44">
        <f>Worksheet!M23</f>
      </c>
      <c r="E17" s="43" t="s">
        <v>10</v>
      </c>
    </row>
    <row r="19" spans="1:11" ht="15.75" customHeight="1">
      <c r="A19" s="202" t="s">
        <v>11</v>
      </c>
      <c r="B19" s="15" t="s">
        <v>128</v>
      </c>
      <c r="C19" s="206" t="s">
        <v>137</v>
      </c>
      <c r="D19" s="162"/>
      <c r="E19" s="162"/>
      <c r="F19" s="162"/>
      <c r="G19" s="162"/>
      <c r="H19" s="162"/>
      <c r="I19" s="207"/>
      <c r="J19" s="10"/>
      <c r="K19" s="10"/>
    </row>
    <row r="20" spans="1:11" ht="15.75" customHeight="1">
      <c r="A20" s="202"/>
      <c r="B20" s="15" t="s">
        <v>127</v>
      </c>
      <c r="C20" s="206" t="s">
        <v>134</v>
      </c>
      <c r="D20" s="162"/>
      <c r="E20" s="162"/>
      <c r="F20" s="162"/>
      <c r="G20" s="162"/>
      <c r="H20" s="162"/>
      <c r="I20" s="207"/>
      <c r="J20" s="10"/>
      <c r="K20" s="10"/>
    </row>
    <row r="22" spans="1:8" ht="15.75" customHeight="1">
      <c r="A22" s="45" t="s">
        <v>16</v>
      </c>
      <c r="B22" s="43" t="s">
        <v>71</v>
      </c>
      <c r="C22" s="46">
        <f>(Worksheet!M30/Worksheet!M31)+Worksheet!M32</f>
        <v>3</v>
      </c>
      <c r="D22" s="47"/>
      <c r="E22" s="47"/>
      <c r="F22" s="47"/>
      <c r="G22" s="47"/>
      <c r="H22" s="47"/>
    </row>
    <row r="24" spans="1:4" ht="15.75" customHeight="1">
      <c r="A24" s="202" t="s">
        <v>19</v>
      </c>
      <c r="B24" s="40" t="s">
        <v>5</v>
      </c>
      <c r="C24" s="43" t="s">
        <v>72</v>
      </c>
      <c r="D24" s="42">
        <f>IF(Worksheet!M34&gt;Worksheet!M22,"ERROR",IF(Worksheet!M34="","",ROUND(Worksheet!M34/3600,2)))</f>
      </c>
    </row>
    <row r="25" spans="1:4" ht="15.75" customHeight="1">
      <c r="A25" s="202"/>
      <c r="B25" s="40" t="s">
        <v>6</v>
      </c>
      <c r="C25" s="43" t="s">
        <v>73</v>
      </c>
      <c r="D25" s="42">
        <f>IF(Worksheet!M34&gt;Worksheet!M22,"ERROR",IF(Worksheet!M34="","",ROUND((Worksheet!M34/0.7)/3600,2)))</f>
      </c>
    </row>
    <row r="27" spans="1:4" ht="15.75" customHeight="1">
      <c r="A27" s="40" t="s">
        <v>20</v>
      </c>
      <c r="B27" s="214" t="s">
        <v>74</v>
      </c>
      <c r="C27" s="214"/>
      <c r="D27" s="44" t="e">
        <f>(EXP(Worksheet!M36*Worksheet!M33)-Worksheet!M36*Worksheet!M33-1)/Worksheet!M36</f>
        <v>#VALUE!</v>
      </c>
    </row>
    <row r="28" spans="1:3" ht="15.75" customHeight="1">
      <c r="A28" s="48"/>
      <c r="B28" s="49"/>
      <c r="C28" s="50"/>
    </row>
    <row r="29" spans="1:4" ht="15.75" customHeight="1">
      <c r="A29" s="40" t="s">
        <v>21</v>
      </c>
      <c r="B29" s="215" t="s">
        <v>75</v>
      </c>
      <c r="C29" s="215"/>
      <c r="D29" s="44" t="e">
        <f>(Worksheet!M37*Worksheet!M19)/3600</f>
        <v>#VALUE!</v>
      </c>
    </row>
    <row r="31" spans="1:9" ht="15.75" customHeight="1">
      <c r="A31" s="51" t="s">
        <v>133</v>
      </c>
      <c r="B31" s="226" t="s">
        <v>27</v>
      </c>
      <c r="C31" s="227"/>
      <c r="D31" s="227"/>
      <c r="E31" s="228"/>
      <c r="F31" s="226" t="s">
        <v>37</v>
      </c>
      <c r="G31" s="227"/>
      <c r="H31" s="227"/>
      <c r="I31" s="228"/>
    </row>
    <row r="32" spans="1:9" ht="15.75" customHeight="1">
      <c r="A32" s="216" t="s">
        <v>31</v>
      </c>
      <c r="B32" s="210" t="s">
        <v>28</v>
      </c>
      <c r="C32" s="211"/>
      <c r="D32" s="212"/>
      <c r="E32" s="229">
        <f>IF(A43="yes",IF(E43="yes",A32,IF(D43="n/a","Entry Error in 5a",IF(D43="yes",IF(F43="yes",A32,""),""))),"")</f>
      </c>
      <c r="F32" s="210" t="s">
        <v>28</v>
      </c>
      <c r="G32" s="211"/>
      <c r="H32" s="212"/>
      <c r="I32" s="229">
        <f>IF(B43="yes",IF(E43="yes",A32,IF(D43="yes",IF(F43="yes",A32,""),"")),"")</f>
      </c>
    </row>
    <row r="33" spans="1:9" ht="15.75" customHeight="1">
      <c r="A33" s="217"/>
      <c r="B33" s="21"/>
      <c r="C33" s="52" t="s">
        <v>29</v>
      </c>
      <c r="D33" s="53"/>
      <c r="E33" s="230"/>
      <c r="F33" s="21"/>
      <c r="G33" s="52" t="s">
        <v>29</v>
      </c>
      <c r="H33" s="53"/>
      <c r="I33" s="230"/>
    </row>
    <row r="34" spans="1:9" ht="15.75" customHeight="1">
      <c r="A34" s="218"/>
      <c r="B34" s="208" t="s">
        <v>30</v>
      </c>
      <c r="C34" s="111"/>
      <c r="D34" s="209"/>
      <c r="E34" s="231"/>
      <c r="F34" s="208" t="s">
        <v>30</v>
      </c>
      <c r="G34" s="111"/>
      <c r="H34" s="209"/>
      <c r="I34" s="231"/>
    </row>
    <row r="35" spans="1:9" ht="15.75" customHeight="1">
      <c r="A35" s="222" t="s">
        <v>35</v>
      </c>
      <c r="B35" s="210" t="s">
        <v>32</v>
      </c>
      <c r="C35" s="211"/>
      <c r="D35" s="212"/>
      <c r="E35" s="229">
        <f>IF(A43="yes",IF(G43="yes",A35,IF(C43="yes",IF(F43="yes",A35,""),"")),"")</f>
      </c>
      <c r="F35" s="210" t="s">
        <v>38</v>
      </c>
      <c r="G35" s="211"/>
      <c r="H35" s="212"/>
      <c r="I35" s="229">
        <f>IF(B43="yes",IF(G43="yes",A35,IF(H43="yes",A35,IF(C43="yes",IF(F43="yes",A35,""),""))),"")</f>
      </c>
    </row>
    <row r="36" spans="1:9" ht="15.75" customHeight="1">
      <c r="A36" s="223"/>
      <c r="B36" s="21"/>
      <c r="C36" s="52" t="s">
        <v>29</v>
      </c>
      <c r="D36" s="53"/>
      <c r="E36" s="230"/>
      <c r="F36" s="21"/>
      <c r="G36" s="52" t="s">
        <v>29</v>
      </c>
      <c r="H36" s="53"/>
      <c r="I36" s="230"/>
    </row>
    <row r="37" spans="1:9" ht="15.75" customHeight="1">
      <c r="A37" s="224"/>
      <c r="B37" s="208" t="s">
        <v>33</v>
      </c>
      <c r="C37" s="111"/>
      <c r="D37" s="209"/>
      <c r="E37" s="231"/>
      <c r="F37" s="208" t="s">
        <v>33</v>
      </c>
      <c r="G37" s="111"/>
      <c r="H37" s="209"/>
      <c r="I37" s="231"/>
    </row>
    <row r="38" spans="1:5" ht="15.75" customHeight="1">
      <c r="A38" s="43" t="s">
        <v>36</v>
      </c>
      <c r="B38" s="220" t="s">
        <v>34</v>
      </c>
      <c r="C38" s="221"/>
      <c r="D38" s="221"/>
      <c r="E38" s="93">
        <f>IF(A43="yes",IF(H43="yes",A38,""),"")</f>
      </c>
    </row>
    <row r="39" spans="1:5" ht="15.75" customHeight="1">
      <c r="A39" s="41"/>
      <c r="B39" s="52"/>
      <c r="C39" s="52"/>
      <c r="D39" s="52"/>
      <c r="E39" s="95"/>
    </row>
    <row r="41" spans="1:9" ht="15.75" customHeight="1">
      <c r="A41" s="219" t="s">
        <v>160</v>
      </c>
      <c r="B41" s="219"/>
      <c r="C41" s="219" t="s">
        <v>39</v>
      </c>
      <c r="D41" s="219"/>
      <c r="E41" s="220" t="s">
        <v>41</v>
      </c>
      <c r="F41" s="221"/>
      <c r="G41" s="221"/>
      <c r="H41" s="225"/>
      <c r="I41" s="52"/>
    </row>
    <row r="42" spans="1:8" ht="26.25" customHeight="1">
      <c r="A42" s="94" t="s">
        <v>129</v>
      </c>
      <c r="B42" s="110" t="s">
        <v>161</v>
      </c>
      <c r="C42" s="45" t="s">
        <v>40</v>
      </c>
      <c r="D42" s="45" t="s">
        <v>25</v>
      </c>
      <c r="E42" s="17" t="s">
        <v>130</v>
      </c>
      <c r="F42" s="17" t="s">
        <v>131</v>
      </c>
      <c r="G42" s="17" t="s">
        <v>132</v>
      </c>
      <c r="H42" s="17" t="s">
        <v>42</v>
      </c>
    </row>
    <row r="43" spans="1:8" s="3" customFormat="1" ht="15.75" customHeight="1">
      <c r="A43" s="3">
        <f>IF(D3="yes","",IF(Worksheet!M16="","","YES"))</f>
      </c>
      <c r="B43" s="3">
        <f>IF(D3="yes","YES","")</f>
      </c>
      <c r="C43" s="3">
        <f>IF(OR(Worksheet!M42="",Worksheet!M42="low"),"",IF(Worksheet!M42="high","YES","N/A"))</f>
      </c>
      <c r="D43" s="3" t="str">
        <f>IF(OR(Worksheet!M42="",Worksheet!M42="high"),"",IF(Worksheet!M42="low","YES","N/A"))</f>
        <v>YES</v>
      </c>
      <c r="E43" s="3" t="str">
        <f>IF(Worksheet!M39&gt;=21.3,"YES",IF(Worksheet!M39="",IF(Worksheet!M38&gt;=21.3,"yes",""),""))</f>
        <v>yes</v>
      </c>
      <c r="F43" s="3">
        <f>IF(Worksheet!M39&lt;21.3,IF(Worksheet!M39&gt;=5.3,"YES",IF(Worksheet!M39="",IF(Worksheet!M38&lt;21.3,IF(Worksheet!M38&gt;=5.3,"yes",""),""),"")),"")</f>
      </c>
      <c r="G43" s="3">
        <f>IF(Worksheet!M39&lt;5.3,IF(Worksheet!M39&gt;=1.3,"YES",IF(Worksheet!M39="",IF(Worksheet!M38&lt;5.3,IF(Worksheet!M38&gt;=1.3,"yes",""),""),"")),"")</f>
      </c>
      <c r="H43" s="3">
        <f>IF(Worksheet!M39="",IF(Worksheet!M38&lt;1.3,"yes",""),IF(Worksheet!M39&lt;1.3,IF(Worksheet!M39&gt;=0,"YES",""),""))</f>
      </c>
    </row>
    <row r="46" ht="15.75" customHeight="1">
      <c r="A46" s="4" t="s">
        <v>145</v>
      </c>
    </row>
    <row r="47" spans="1:4" ht="15.75" customHeight="1">
      <c r="A47" s="2" t="s">
        <v>146</v>
      </c>
      <c r="B47" s="167" t="str">
        <f>IF(Worksheet!M16="","DATA ENTRY INCOMPLETE",IF(Worksheet!M17="YES","OK",IF(Worksheet!M17="NO","OK","DATA ENTRY INCOMPLETE")))</f>
        <v>DATA ENTRY INCOMPLETE</v>
      </c>
      <c r="C47" s="167"/>
      <c r="D47" s="167"/>
    </row>
    <row r="48" spans="1:4" ht="15.75" customHeight="1">
      <c r="A48" s="2" t="s">
        <v>147</v>
      </c>
      <c r="B48" s="167" t="str">
        <f>IF(Worksheet!M19="","DATA ENTRY INCOMPLETE","OK")</f>
        <v>DATA ENTRY INCOMPLETE</v>
      </c>
      <c r="C48" s="167"/>
      <c r="D48" s="167"/>
    </row>
    <row r="49" spans="1:4" ht="15.75" customHeight="1">
      <c r="A49" s="2" t="s">
        <v>148</v>
      </c>
      <c r="B49" s="167" t="str">
        <f>IF(Worksheet!M22="","DATA ENTRY INCOMPLETE",IF(Worksheet!M25="YES","OK",IF(Worksheet!M25="NO","OK","DATA ENTRY INCOMPLETE")))</f>
        <v>DATA ENTRY INCOMPLETE</v>
      </c>
      <c r="C49" s="167"/>
      <c r="D49" s="167"/>
    </row>
    <row r="50" spans="1:4" ht="15.75" customHeight="1">
      <c r="A50" s="2" t="s">
        <v>149</v>
      </c>
      <c r="B50" s="167" t="str">
        <f>IF(Worksheet!M30="","DATA ENTRY INCOMPLETE",IF(Worksheet!M31="","DATA ENTRY INCOMPLETE",IF(Worksheet!M32="","DATA ENTRY INCOMPLETE",IF(Worksheet!M34="","DATA ENTRY INCOMPLETE","OK"))))</f>
        <v>DATA ENTRY INCOMPLETE</v>
      </c>
      <c r="C50" s="167"/>
      <c r="D50" s="167"/>
    </row>
    <row r="51" spans="1:4" ht="15.75" customHeight="1">
      <c r="A51" s="2" t="s">
        <v>151</v>
      </c>
      <c r="B51" s="167" t="str">
        <f>IF(Worksheet!M42="","DATA ENTRY INCOMPLETE","OK")</f>
        <v>OK</v>
      </c>
      <c r="C51" s="167"/>
      <c r="D51" s="167"/>
    </row>
    <row r="53" ht="15.75" customHeight="1">
      <c r="A53" s="4" t="s">
        <v>150</v>
      </c>
    </row>
    <row r="54" ht="15.75" customHeight="1">
      <c r="A54" s="2" t="str">
        <f>IF(Lookup!E32="",IF(Lookup!E35="",IF(Lookup!E38="",IF(Lookup!I32="",IF(Lookup!I35="","DATA ENTRY INCOMPLETE",Lookup!I35),Lookup!I32),Lookup!E38),Lookup!E35),Lookup!E32)</f>
        <v>DATA ENTRY INCOMPLETE</v>
      </c>
    </row>
  </sheetData>
  <sheetProtection selectLockedCells="1" selectUnlockedCells="1"/>
  <mergeCells count="46">
    <mergeCell ref="A24:A25"/>
    <mergeCell ref="E41:H41"/>
    <mergeCell ref="B31:E31"/>
    <mergeCell ref="F31:I31"/>
    <mergeCell ref="I35:I37"/>
    <mergeCell ref="I32:I34"/>
    <mergeCell ref="E32:E34"/>
    <mergeCell ref="E35:E37"/>
    <mergeCell ref="F35:H35"/>
    <mergeCell ref="F37:H37"/>
    <mergeCell ref="A32:A34"/>
    <mergeCell ref="B34:D34"/>
    <mergeCell ref="D3:D4"/>
    <mergeCell ref="A41:B41"/>
    <mergeCell ref="C41:D41"/>
    <mergeCell ref="B38:D38"/>
    <mergeCell ref="B35:D35"/>
    <mergeCell ref="B37:D37"/>
    <mergeCell ref="A35:A37"/>
    <mergeCell ref="D9:H9"/>
    <mergeCell ref="D7:H7"/>
    <mergeCell ref="C19:I19"/>
    <mergeCell ref="F34:H34"/>
    <mergeCell ref="B32:D32"/>
    <mergeCell ref="C11:F11"/>
    <mergeCell ref="F32:H32"/>
    <mergeCell ref="C12:F12"/>
    <mergeCell ref="B27:C27"/>
    <mergeCell ref="B29:C29"/>
    <mergeCell ref="C20:I20"/>
    <mergeCell ref="A14:A17"/>
    <mergeCell ref="B14:B15"/>
    <mergeCell ref="B16:B17"/>
    <mergeCell ref="B6:B7"/>
    <mergeCell ref="B8:B9"/>
    <mergeCell ref="A6:A9"/>
    <mergeCell ref="A1:E1"/>
    <mergeCell ref="B51:D51"/>
    <mergeCell ref="B47:D47"/>
    <mergeCell ref="B50:D50"/>
    <mergeCell ref="B48:D48"/>
    <mergeCell ref="B49:D49"/>
    <mergeCell ref="A19:A20"/>
    <mergeCell ref="A11:A12"/>
    <mergeCell ref="D8:H8"/>
    <mergeCell ref="D6:H6"/>
  </mergeCells>
  <conditionalFormatting sqref="I35 E35">
    <cfRule type="cellIs" priority="1" dxfId="2" operator="equal" stopIfTrue="1">
      <formula>"ACTIVE OR ENHANCED"</formula>
    </cfRule>
  </conditionalFormatting>
  <conditionalFormatting sqref="I32 E32">
    <cfRule type="cellIs" priority="2" dxfId="1" operator="equal" stopIfTrue="1">
      <formula>"RED"</formula>
    </cfRule>
  </conditionalFormatting>
  <conditionalFormatting sqref="E38:E39">
    <cfRule type="cellIs" priority="3" dxfId="0" operator="equal" stopIfTrue="1">
      <formula>"CROSSWALK"</formula>
    </cfRule>
  </conditionalFormatting>
  <printOptions/>
  <pageMargins left="0.75" right="0.75" top="1" bottom="1" header="0.5" footer="0.5"/>
  <pageSetup horizontalDpi="600" verticalDpi="600" orientation="portrait" r:id="rId1"/>
  <ignoredErrors>
    <ignoredError sqref="D16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T47"/>
  <sheetViews>
    <sheetView zoomScale="75" zoomScaleNormal="75" zoomScalePageLayoutView="0" workbookViewId="0" topLeftCell="A1">
      <selection activeCell="A1" sqref="A1:F1"/>
    </sheetView>
  </sheetViews>
  <sheetFormatPr defaultColWidth="9.140625" defaultRowHeight="12.75"/>
  <cols>
    <col min="1" max="9" width="12.8515625" style="0" customWidth="1"/>
    <col min="10" max="10" width="12.8515625" style="70" customWidth="1"/>
    <col min="11" max="18" width="11.28125" style="0" customWidth="1"/>
  </cols>
  <sheetData>
    <row r="1" spans="1:6" ht="18.75" thickBot="1">
      <c r="A1" s="199" t="s">
        <v>158</v>
      </c>
      <c r="B1" s="200"/>
      <c r="C1" s="200"/>
      <c r="D1" s="200"/>
      <c r="E1" s="200"/>
      <c r="F1" s="201"/>
    </row>
    <row r="2" spans="1:10" s="107" customFormat="1" ht="12.75">
      <c r="A2" s="106"/>
      <c r="B2" s="106"/>
      <c r="C2" s="106"/>
      <c r="D2" s="106"/>
      <c r="J2" s="108"/>
    </row>
    <row r="3" spans="1:2" ht="18">
      <c r="A3" s="96" t="str">
        <f>IF(Lookup!D3="no","low","high")</f>
        <v>low</v>
      </c>
      <c r="B3" s="69" t="s">
        <v>94</v>
      </c>
    </row>
    <row r="4" spans="1:2" ht="18">
      <c r="A4" s="71">
        <f>Worksheet!M31</f>
        <v>3.5</v>
      </c>
      <c r="B4" s="69" t="s">
        <v>95</v>
      </c>
    </row>
    <row r="5" spans="1:2" ht="18">
      <c r="A5" s="71">
        <f>Worksheet!M30</f>
        <v>0</v>
      </c>
      <c r="B5" s="69" t="s">
        <v>96</v>
      </c>
    </row>
    <row r="6" spans="1:2" ht="18">
      <c r="A6" s="96" t="str">
        <f>IF(Worksheet!M42="low","low","high")</f>
        <v>low</v>
      </c>
      <c r="B6" s="69" t="s">
        <v>135</v>
      </c>
    </row>
    <row r="7" spans="1:2" ht="18">
      <c r="A7" s="72">
        <f>A5/A4+3</f>
        <v>3</v>
      </c>
      <c r="B7" s="69" t="s">
        <v>97</v>
      </c>
    </row>
    <row r="8" spans="1:2" ht="18">
      <c r="A8" s="72">
        <v>700</v>
      </c>
      <c r="B8" s="69" t="s">
        <v>98</v>
      </c>
    </row>
    <row r="9" spans="1:2" ht="18">
      <c r="A9" s="109"/>
      <c r="B9" s="69"/>
    </row>
    <row r="10" spans="1:20" s="73" customFormat="1" ht="102">
      <c r="A10" s="73" t="s">
        <v>99</v>
      </c>
      <c r="B10" s="73" t="s">
        <v>100</v>
      </c>
      <c r="C10" s="73" t="s">
        <v>101</v>
      </c>
      <c r="D10" s="73" t="s">
        <v>102</v>
      </c>
      <c r="E10" s="73" t="s">
        <v>103</v>
      </c>
      <c r="F10" s="74" t="s">
        <v>104</v>
      </c>
      <c r="G10" s="73" t="s">
        <v>105</v>
      </c>
      <c r="H10" s="73" t="s">
        <v>105</v>
      </c>
      <c r="I10" s="73" t="s">
        <v>105</v>
      </c>
      <c r="J10" s="75" t="s">
        <v>106</v>
      </c>
      <c r="K10" s="75" t="s">
        <v>107</v>
      </c>
      <c r="L10" s="76" t="s">
        <v>108</v>
      </c>
      <c r="M10" s="76" t="s">
        <v>109</v>
      </c>
      <c r="N10" s="76" t="s">
        <v>110</v>
      </c>
      <c r="O10" s="75" t="s">
        <v>111</v>
      </c>
      <c r="P10" s="75" t="s">
        <v>112</v>
      </c>
      <c r="Q10" s="73" t="s">
        <v>117</v>
      </c>
      <c r="S10" s="73" t="s">
        <v>118</v>
      </c>
      <c r="T10" s="73" t="s">
        <v>122</v>
      </c>
    </row>
    <row r="11" spans="6:20" s="73" customFormat="1" ht="25.5">
      <c r="F11" s="74"/>
      <c r="G11" s="77">
        <f>1/0.75</f>
        <v>1.3333333333333333</v>
      </c>
      <c r="H11" s="77">
        <f>4/0.75</f>
        <v>5.333333333333333</v>
      </c>
      <c r="I11" s="77">
        <f>16/0.75</f>
        <v>21.333333333333332</v>
      </c>
      <c r="J11" s="78" t="s">
        <v>113</v>
      </c>
      <c r="K11" s="78" t="s">
        <v>114</v>
      </c>
      <c r="L11" s="79" t="s">
        <v>115</v>
      </c>
      <c r="M11" s="78" t="s">
        <v>136</v>
      </c>
      <c r="N11" s="78"/>
      <c r="O11" s="78" t="s">
        <v>116</v>
      </c>
      <c r="P11" s="78" t="s">
        <v>119</v>
      </c>
      <c r="Q11" s="73" t="s">
        <v>120</v>
      </c>
      <c r="T11" s="73" t="s">
        <v>121</v>
      </c>
    </row>
    <row r="12" spans="1:20" s="73" customFormat="1" ht="12.75">
      <c r="A12" s="73">
        <v>1</v>
      </c>
      <c r="B12" s="80">
        <v>2000</v>
      </c>
      <c r="C12" s="80">
        <v>2000</v>
      </c>
      <c r="D12" s="80">
        <v>2000</v>
      </c>
      <c r="E12" s="80">
        <v>2000</v>
      </c>
      <c r="F12" s="81">
        <f aca="true" t="shared" si="0" ref="F12:F33">IF(A$3="low",(1/((A12)/3600))*(EXP((A12)/3600*A$7)-(((A12)/3600)*A$7)-1),(1/((A12/0.7)/3600))*(EXP((A12/0.7)/3600*A$7)-(((A12/0.7)/3600)*A$7)-1))</f>
        <v>0.0012503472953007133</v>
      </c>
      <c r="G12" s="82">
        <f aca="true" t="shared" si="1" ref="G12:I33">+(G$11*3600)/$F12</f>
        <v>3838933.405174905</v>
      </c>
      <c r="H12" s="82">
        <f t="shared" si="1"/>
        <v>15355733.62069962</v>
      </c>
      <c r="I12" s="82">
        <f t="shared" si="1"/>
        <v>61422934.48279848</v>
      </c>
      <c r="J12" s="83">
        <f aca="true" t="shared" si="2" ref="J12:J33">IF(A$3="Low",IF(A$4=3.5,B12,C12),IF(A$4=3.5,D12,E12))</f>
        <v>2000</v>
      </c>
      <c r="K12" s="75">
        <f aca="true" t="shared" si="3" ref="K12:K33">IF(A$3="Low",20,14)</f>
        <v>20</v>
      </c>
      <c r="L12" s="84">
        <f aca="true" t="shared" si="4" ref="L12:L33">IF(A$3="low",IF(J12&lt;G12,J12-K12,IF(G12&gt;K12,+G12-K12,0)),0)</f>
        <v>1980</v>
      </c>
      <c r="M12" s="84">
        <f>IF($A$6="low",(IF(J12&lt;H12,J12-L12-K12,IF(H12&gt;K12,+H12-K12-L12,0))),(IF(J12&lt;I12,J12-L12-K12,IF(I12&gt;K12,+I12-K12-L12,0))))</f>
        <v>0</v>
      </c>
      <c r="N12" s="84">
        <f>IF(A$6="low",0,(IF(J12&lt;I12,J12-L12-K12-M12,IF(I12&gt;K12,+I12-K12-L12-M12,0))))</f>
        <v>0</v>
      </c>
      <c r="O12" s="84">
        <f aca="true" t="shared" si="5" ref="O12:O33">IF(+J12-K12-L12-M12-N12&lt;0,0,IF(J12&gt;K12,+J12-K12-L12-M12-N12,0))</f>
        <v>0</v>
      </c>
      <c r="P12" s="85">
        <f aca="true" t="shared" si="6" ref="P12:P33">IF(A$8-O12-N12-M12-L12-K12&lt;0,0,A$8-O12-N12-M12-L12-K12)</f>
        <v>0</v>
      </c>
      <c r="Q12" s="88">
        <f>Worksheet!M19</f>
        <v>0</v>
      </c>
      <c r="R12" s="97"/>
      <c r="S12" s="73">
        <v>0</v>
      </c>
      <c r="T12" s="89">
        <f>IF(Worksheet!M34&gt;Worksheet!M22,"ERROR",Worksheet!M34)</f>
        <v>0</v>
      </c>
    </row>
    <row r="13" spans="1:20" s="73" customFormat="1" ht="12.75">
      <c r="A13" s="73">
        <v>100</v>
      </c>
      <c r="B13" s="80">
        <v>2000</v>
      </c>
      <c r="C13" s="80">
        <v>2000</v>
      </c>
      <c r="D13" s="80">
        <v>2000</v>
      </c>
      <c r="E13" s="80">
        <v>2000</v>
      </c>
      <c r="F13" s="81">
        <f t="shared" si="0"/>
        <v>0.12854578276424622</v>
      </c>
      <c r="G13" s="82">
        <f t="shared" si="1"/>
        <v>37340.781601549934</v>
      </c>
      <c r="H13" s="82">
        <f t="shared" si="1"/>
        <v>149363.12640619974</v>
      </c>
      <c r="I13" s="82">
        <f t="shared" si="1"/>
        <v>597452.5056247989</v>
      </c>
      <c r="J13" s="83">
        <f t="shared" si="2"/>
        <v>2000</v>
      </c>
      <c r="K13" s="75">
        <f t="shared" si="3"/>
        <v>20</v>
      </c>
      <c r="L13" s="84">
        <f t="shared" si="4"/>
        <v>1980</v>
      </c>
      <c r="M13" s="84">
        <f aca="true" t="shared" si="7" ref="M13:M33">IF($A$6="low",(IF(J13&lt;H13,J13-L13-K13,IF(H13&gt;K13,+H13-K13-L13,0))),(IF(J13&lt;I13,J13-L13-K13,IF(I13&gt;K13,+I13-K13-L13,0))))</f>
        <v>0</v>
      </c>
      <c r="N13" s="84">
        <f aca="true" t="shared" si="8" ref="N13:N33">IF(A$6="low",0,(IF(J13&lt;I13,J13-L13-K13-M13,IF(I13&gt;K13,+I13-K13-L13-M13,0))))</f>
        <v>0</v>
      </c>
      <c r="O13" s="84">
        <f t="shared" si="5"/>
        <v>0</v>
      </c>
      <c r="P13" s="85">
        <f t="shared" si="6"/>
        <v>0</v>
      </c>
      <c r="Q13" s="88">
        <f>Worksheet!M19</f>
        <v>0</v>
      </c>
      <c r="R13" s="97"/>
      <c r="S13" s="73">
        <v>100</v>
      </c>
      <c r="T13" s="89">
        <f>T12</f>
        <v>0</v>
      </c>
    </row>
    <row r="14" spans="1:20" ht="12.75">
      <c r="A14">
        <v>200</v>
      </c>
      <c r="B14" s="80">
        <v>2000</v>
      </c>
      <c r="C14" s="80">
        <v>2000</v>
      </c>
      <c r="D14" s="80">
        <v>2000</v>
      </c>
      <c r="E14" s="80">
        <v>2000</v>
      </c>
      <c r="F14" s="81">
        <f t="shared" si="0"/>
        <v>0.26448743158162413</v>
      </c>
      <c r="G14" s="82">
        <f t="shared" si="1"/>
        <v>18148.31038018024</v>
      </c>
      <c r="H14" s="82">
        <f t="shared" si="1"/>
        <v>72593.24152072096</v>
      </c>
      <c r="I14" s="82">
        <f t="shared" si="1"/>
        <v>290372.9660828838</v>
      </c>
      <c r="J14" s="83">
        <f t="shared" si="2"/>
        <v>2000</v>
      </c>
      <c r="K14" s="75">
        <f t="shared" si="3"/>
        <v>20</v>
      </c>
      <c r="L14" s="84">
        <f t="shared" si="4"/>
        <v>1980</v>
      </c>
      <c r="M14" s="84">
        <f t="shared" si="7"/>
        <v>0</v>
      </c>
      <c r="N14" s="84">
        <f t="shared" si="8"/>
        <v>0</v>
      </c>
      <c r="O14" s="84">
        <f t="shared" si="5"/>
        <v>0</v>
      </c>
      <c r="P14" s="85">
        <f t="shared" si="6"/>
        <v>0</v>
      </c>
      <c r="Q14" s="88">
        <f>Worksheet!M19</f>
        <v>0</v>
      </c>
      <c r="R14" s="97"/>
      <c r="S14">
        <v>200</v>
      </c>
      <c r="T14" s="89">
        <f aca="true" t="shared" si="9" ref="T14:T19">T13</f>
        <v>0</v>
      </c>
    </row>
    <row r="15" spans="1:20" ht="12.75">
      <c r="A15">
        <v>300</v>
      </c>
      <c r="B15" s="80">
        <v>2000</v>
      </c>
      <c r="C15" s="80">
        <v>2000</v>
      </c>
      <c r="D15" s="80">
        <v>2000</v>
      </c>
      <c r="E15" s="80">
        <v>2000</v>
      </c>
      <c r="F15" s="81">
        <f t="shared" si="0"/>
        <v>0.40830500025289673</v>
      </c>
      <c r="G15" s="82">
        <f t="shared" si="1"/>
        <v>11755.917750277285</v>
      </c>
      <c r="H15" s="82">
        <f t="shared" si="1"/>
        <v>47023.67100110914</v>
      </c>
      <c r="I15" s="82">
        <f t="shared" si="1"/>
        <v>188094.68400443657</v>
      </c>
      <c r="J15" s="83">
        <f t="shared" si="2"/>
        <v>2000</v>
      </c>
      <c r="K15" s="75">
        <f t="shared" si="3"/>
        <v>20</v>
      </c>
      <c r="L15" s="84">
        <f t="shared" si="4"/>
        <v>1980</v>
      </c>
      <c r="M15" s="84">
        <f t="shared" si="7"/>
        <v>0</v>
      </c>
      <c r="N15" s="84">
        <f t="shared" si="8"/>
        <v>0</v>
      </c>
      <c r="O15" s="84">
        <f t="shared" si="5"/>
        <v>0</v>
      </c>
      <c r="P15" s="85">
        <f t="shared" si="6"/>
        <v>0</v>
      </c>
      <c r="Q15" s="88">
        <f>Worksheet!M19</f>
        <v>0</v>
      </c>
      <c r="R15" s="97"/>
      <c r="S15" s="73">
        <v>300</v>
      </c>
      <c r="T15" s="89">
        <f t="shared" si="9"/>
        <v>0</v>
      </c>
    </row>
    <row r="16" spans="1:20" ht="12.75">
      <c r="A16">
        <v>400</v>
      </c>
      <c r="B16" s="82">
        <f aca="true" t="shared" si="10" ref="B16:B26">(734.125+0.00021*A16^2-0.74072*A16)/0.75</f>
        <v>628.5826666666667</v>
      </c>
      <c r="C16" s="80">
        <f aca="true" t="shared" si="11" ref="C16:C33">B16*0.5</f>
        <v>314.29133333333334</v>
      </c>
      <c r="D16" s="80">
        <f aca="true" t="shared" si="12" ref="D16:D23">+(529.197+0.00035*A16^2-0.80083*A16)/0.75</f>
        <v>353.15333333333336</v>
      </c>
      <c r="E16" s="80">
        <f aca="true" t="shared" si="13" ref="E16:E33">+D16*0.5</f>
        <v>176.57666666666668</v>
      </c>
      <c r="F16" s="81">
        <f t="shared" si="0"/>
        <v>0.5605118257748063</v>
      </c>
      <c r="G16" s="82">
        <f t="shared" si="1"/>
        <v>8563.601657047766</v>
      </c>
      <c r="H16" s="82">
        <f t="shared" si="1"/>
        <v>34254.406628191064</v>
      </c>
      <c r="I16" s="82">
        <f t="shared" si="1"/>
        <v>137017.62651276425</v>
      </c>
      <c r="J16" s="83">
        <f t="shared" si="2"/>
        <v>628.5826666666667</v>
      </c>
      <c r="K16" s="75">
        <f t="shared" si="3"/>
        <v>20</v>
      </c>
      <c r="L16" s="84">
        <f t="shared" si="4"/>
        <v>608.5826666666667</v>
      </c>
      <c r="M16" s="84">
        <f t="shared" si="7"/>
        <v>0</v>
      </c>
      <c r="N16" s="84">
        <f t="shared" si="8"/>
        <v>0</v>
      </c>
      <c r="O16" s="84">
        <f t="shared" si="5"/>
        <v>0</v>
      </c>
      <c r="P16" s="85">
        <f t="shared" si="6"/>
        <v>71.41733333333332</v>
      </c>
      <c r="Q16" s="88">
        <f>Worksheet!M19</f>
        <v>0</v>
      </c>
      <c r="R16" s="97"/>
      <c r="S16" s="73">
        <v>400</v>
      </c>
      <c r="T16" s="89">
        <f t="shared" si="9"/>
        <v>0</v>
      </c>
    </row>
    <row r="17" spans="1:20" ht="12.75">
      <c r="A17">
        <v>500</v>
      </c>
      <c r="B17" s="82">
        <f t="shared" si="10"/>
        <v>555.02</v>
      </c>
      <c r="C17" s="80">
        <f t="shared" si="11"/>
        <v>277.51</v>
      </c>
      <c r="D17" s="80">
        <f t="shared" si="12"/>
        <v>288.376</v>
      </c>
      <c r="E17" s="80">
        <f t="shared" si="13"/>
        <v>144.188</v>
      </c>
      <c r="F17" s="81">
        <f t="shared" si="0"/>
        <v>0.7216569339951359</v>
      </c>
      <c r="G17" s="82">
        <f t="shared" si="1"/>
        <v>6651.35991062528</v>
      </c>
      <c r="H17" s="82">
        <f t="shared" si="1"/>
        <v>26605.43964250112</v>
      </c>
      <c r="I17" s="82">
        <f t="shared" si="1"/>
        <v>106421.75857000447</v>
      </c>
      <c r="J17" s="83">
        <f t="shared" si="2"/>
        <v>555.02</v>
      </c>
      <c r="K17" s="75">
        <f t="shared" si="3"/>
        <v>20</v>
      </c>
      <c r="L17" s="84">
        <f t="shared" si="4"/>
        <v>535.02</v>
      </c>
      <c r="M17" s="84">
        <f t="shared" si="7"/>
        <v>0</v>
      </c>
      <c r="N17" s="84">
        <f t="shared" si="8"/>
        <v>0</v>
      </c>
      <c r="O17" s="84">
        <f t="shared" si="5"/>
        <v>0</v>
      </c>
      <c r="P17" s="85">
        <f t="shared" si="6"/>
        <v>144.98000000000002</v>
      </c>
      <c r="Q17" s="88">
        <f>Worksheet!M19</f>
        <v>0</v>
      </c>
      <c r="R17" s="97"/>
      <c r="S17" s="73">
        <v>500</v>
      </c>
      <c r="T17" s="89">
        <f t="shared" si="9"/>
        <v>0</v>
      </c>
    </row>
    <row r="18" spans="1:20" ht="12.75">
      <c r="A18">
        <v>600</v>
      </c>
      <c r="B18" s="82">
        <f t="shared" si="10"/>
        <v>487.05733333333336</v>
      </c>
      <c r="C18" s="80">
        <f t="shared" si="11"/>
        <v>243.52866666666668</v>
      </c>
      <c r="D18" s="80">
        <f t="shared" si="12"/>
        <v>232.93199999999993</v>
      </c>
      <c r="E18" s="80">
        <f t="shared" si="13"/>
        <v>116.46599999999997</v>
      </c>
      <c r="F18" s="81">
        <f t="shared" si="0"/>
        <v>0.8923276242007692</v>
      </c>
      <c r="G18" s="82">
        <f t="shared" si="1"/>
        <v>5379.190187347629</v>
      </c>
      <c r="H18" s="82">
        <f t="shared" si="1"/>
        <v>21516.760749390516</v>
      </c>
      <c r="I18" s="82">
        <f t="shared" si="1"/>
        <v>86067.04299756206</v>
      </c>
      <c r="J18" s="83">
        <f t="shared" si="2"/>
        <v>487.05733333333336</v>
      </c>
      <c r="K18" s="75">
        <f t="shared" si="3"/>
        <v>20</v>
      </c>
      <c r="L18" s="84">
        <f t="shared" si="4"/>
        <v>467.05733333333336</v>
      </c>
      <c r="M18" s="84">
        <f t="shared" si="7"/>
        <v>0</v>
      </c>
      <c r="N18" s="84">
        <f t="shared" si="8"/>
        <v>0</v>
      </c>
      <c r="O18" s="84">
        <f t="shared" si="5"/>
        <v>0</v>
      </c>
      <c r="P18" s="85">
        <f t="shared" si="6"/>
        <v>212.94266666666664</v>
      </c>
      <c r="Q18" s="88">
        <f>Worksheet!M19</f>
        <v>0</v>
      </c>
      <c r="R18" s="97"/>
      <c r="S18" s="73">
        <v>600</v>
      </c>
      <c r="T18" s="89">
        <f t="shared" si="9"/>
        <v>0</v>
      </c>
    </row>
    <row r="19" spans="1:20" ht="12.75">
      <c r="A19">
        <v>700</v>
      </c>
      <c r="B19" s="82">
        <f t="shared" si="10"/>
        <v>424.6946666666666</v>
      </c>
      <c r="C19" s="80">
        <f t="shared" si="11"/>
        <v>212.3473333333333</v>
      </c>
      <c r="D19" s="80">
        <f t="shared" si="12"/>
        <v>186.8213333333333</v>
      </c>
      <c r="E19" s="80">
        <f t="shared" si="13"/>
        <v>93.41066666666666</v>
      </c>
      <c r="F19" s="81">
        <f t="shared" si="0"/>
        <v>1.0731522462296</v>
      </c>
      <c r="G19" s="82">
        <f t="shared" si="1"/>
        <v>4472.8043172478665</v>
      </c>
      <c r="H19" s="82">
        <f t="shared" si="1"/>
        <v>17891.217268991466</v>
      </c>
      <c r="I19" s="82">
        <f t="shared" si="1"/>
        <v>71564.86907596586</v>
      </c>
      <c r="J19" s="83">
        <f t="shared" si="2"/>
        <v>424.6946666666666</v>
      </c>
      <c r="K19" s="75">
        <f t="shared" si="3"/>
        <v>20</v>
      </c>
      <c r="L19" s="84">
        <f t="shared" si="4"/>
        <v>404.6946666666666</v>
      </c>
      <c r="M19" s="84">
        <f t="shared" si="7"/>
        <v>0</v>
      </c>
      <c r="N19" s="84">
        <f t="shared" si="8"/>
        <v>0</v>
      </c>
      <c r="O19" s="84">
        <f t="shared" si="5"/>
        <v>0</v>
      </c>
      <c r="P19" s="85">
        <f t="shared" si="6"/>
        <v>275.3053333333334</v>
      </c>
      <c r="Q19" s="88">
        <f>Worksheet!M19</f>
        <v>0</v>
      </c>
      <c r="R19" s="97"/>
      <c r="S19" s="73">
        <v>700</v>
      </c>
      <c r="T19" s="89">
        <f t="shared" si="9"/>
        <v>0</v>
      </c>
    </row>
    <row r="20" spans="1:20" ht="12.75">
      <c r="A20">
        <v>800</v>
      </c>
      <c r="B20" s="82">
        <f t="shared" si="10"/>
        <v>367.93199999999996</v>
      </c>
      <c r="C20" s="80">
        <f t="shared" si="11"/>
        <v>183.96599999999998</v>
      </c>
      <c r="D20" s="80">
        <f t="shared" si="12"/>
        <v>150.044</v>
      </c>
      <c r="E20" s="80">
        <f t="shared" si="13"/>
        <v>75.022</v>
      </c>
      <c r="F20" s="81">
        <f t="shared" si="0"/>
        <v>1.2648031847460415</v>
      </c>
      <c r="G20" s="82">
        <f t="shared" si="1"/>
        <v>3795.0568577701574</v>
      </c>
      <c r="H20" s="82">
        <f t="shared" si="1"/>
        <v>15180.22743108063</v>
      </c>
      <c r="I20" s="82">
        <f t="shared" si="1"/>
        <v>60720.90972432252</v>
      </c>
      <c r="J20" s="83">
        <f t="shared" si="2"/>
        <v>367.93199999999996</v>
      </c>
      <c r="K20" s="75">
        <f t="shared" si="3"/>
        <v>20</v>
      </c>
      <c r="L20" s="84">
        <f t="shared" si="4"/>
        <v>347.93199999999996</v>
      </c>
      <c r="M20" s="84">
        <f t="shared" si="7"/>
        <v>0</v>
      </c>
      <c r="N20" s="84">
        <f t="shared" si="8"/>
        <v>0</v>
      </c>
      <c r="O20" s="84">
        <f t="shared" si="5"/>
        <v>0</v>
      </c>
      <c r="P20" s="85">
        <f t="shared" si="6"/>
        <v>332.06800000000004</v>
      </c>
      <c r="Q20" s="88">
        <f>Worksheet!M19</f>
        <v>0</v>
      </c>
      <c r="R20" s="97"/>
      <c r="S20" s="73"/>
      <c r="T20" s="89"/>
    </row>
    <row r="21" spans="1:20" ht="12.75">
      <c r="A21">
        <v>900</v>
      </c>
      <c r="B21" s="82">
        <f t="shared" si="10"/>
        <v>316.76933333333335</v>
      </c>
      <c r="C21" s="80">
        <f t="shared" si="11"/>
        <v>158.38466666666667</v>
      </c>
      <c r="D21" s="80">
        <f t="shared" si="12"/>
        <v>122.59999999999991</v>
      </c>
      <c r="E21" s="80">
        <f t="shared" si="13"/>
        <v>61.299999999999955</v>
      </c>
      <c r="F21" s="81">
        <f t="shared" si="0"/>
        <v>1.4680000664506991</v>
      </c>
      <c r="G21" s="82">
        <f t="shared" si="1"/>
        <v>3269.7546203831876</v>
      </c>
      <c r="H21" s="82">
        <f t="shared" si="1"/>
        <v>13079.01848153275</v>
      </c>
      <c r="I21" s="82">
        <f t="shared" si="1"/>
        <v>52316.073926131</v>
      </c>
      <c r="J21" s="83">
        <f t="shared" si="2"/>
        <v>316.76933333333335</v>
      </c>
      <c r="K21" s="75">
        <f t="shared" si="3"/>
        <v>20</v>
      </c>
      <c r="L21" s="84">
        <f t="shared" si="4"/>
        <v>296.76933333333335</v>
      </c>
      <c r="M21" s="84">
        <f t="shared" si="7"/>
        <v>0</v>
      </c>
      <c r="N21" s="84">
        <f t="shared" si="8"/>
        <v>0</v>
      </c>
      <c r="O21" s="84">
        <f t="shared" si="5"/>
        <v>0</v>
      </c>
      <c r="P21" s="85">
        <f t="shared" si="6"/>
        <v>383.23066666666665</v>
      </c>
      <c r="Q21" s="88">
        <f>Worksheet!M19</f>
        <v>0</v>
      </c>
      <c r="R21" s="97"/>
      <c r="S21" s="73"/>
      <c r="T21" s="89"/>
    </row>
    <row r="22" spans="1:20" ht="12.75">
      <c r="A22">
        <v>1000</v>
      </c>
      <c r="B22" s="82">
        <f t="shared" si="10"/>
        <v>271.20666666666665</v>
      </c>
      <c r="C22" s="80">
        <f t="shared" si="11"/>
        <v>135.60333333333332</v>
      </c>
      <c r="D22" s="80">
        <f t="shared" si="12"/>
        <v>104.48933333333328</v>
      </c>
      <c r="E22" s="80">
        <f t="shared" si="13"/>
        <v>52.24466666666664</v>
      </c>
      <c r="F22" s="81">
        <f t="shared" si="0"/>
        <v>1.6835132072141694</v>
      </c>
      <c r="G22" s="82">
        <f t="shared" si="1"/>
        <v>2851.180483426623</v>
      </c>
      <c r="H22" s="82">
        <f t="shared" si="1"/>
        <v>11404.721933706493</v>
      </c>
      <c r="I22" s="82">
        <f t="shared" si="1"/>
        <v>45618.88773482597</v>
      </c>
      <c r="J22" s="83">
        <f t="shared" si="2"/>
        <v>271.20666666666665</v>
      </c>
      <c r="K22" s="75">
        <f t="shared" si="3"/>
        <v>20</v>
      </c>
      <c r="L22" s="84">
        <f t="shared" si="4"/>
        <v>251.20666666666665</v>
      </c>
      <c r="M22" s="84">
        <f t="shared" si="7"/>
        <v>0</v>
      </c>
      <c r="N22" s="84">
        <f t="shared" si="8"/>
        <v>0</v>
      </c>
      <c r="O22" s="84">
        <f t="shared" si="5"/>
        <v>0</v>
      </c>
      <c r="P22" s="85">
        <f t="shared" si="6"/>
        <v>428.79333333333335</v>
      </c>
      <c r="Q22" s="88">
        <f>Worksheet!M19</f>
        <v>0</v>
      </c>
      <c r="R22" s="97"/>
      <c r="T22" s="89"/>
    </row>
    <row r="23" spans="1:20" ht="12.75">
      <c r="A23">
        <v>1100</v>
      </c>
      <c r="B23" s="82">
        <f t="shared" si="10"/>
        <v>231.244</v>
      </c>
      <c r="C23" s="80">
        <f t="shared" si="11"/>
        <v>115.622</v>
      </c>
      <c r="D23" s="80">
        <f t="shared" si="12"/>
        <v>95.71199999999999</v>
      </c>
      <c r="E23" s="80">
        <f t="shared" si="13"/>
        <v>47.855999999999995</v>
      </c>
      <c r="F23" s="81">
        <f t="shared" si="0"/>
        <v>1.912167317439695</v>
      </c>
      <c r="G23" s="82">
        <f t="shared" si="1"/>
        <v>2510.240582098737</v>
      </c>
      <c r="H23" s="82">
        <f t="shared" si="1"/>
        <v>10040.962328394948</v>
      </c>
      <c r="I23" s="82">
        <f t="shared" si="1"/>
        <v>40163.84931357979</v>
      </c>
      <c r="J23" s="83">
        <f t="shared" si="2"/>
        <v>231.244</v>
      </c>
      <c r="K23" s="75">
        <f t="shared" si="3"/>
        <v>20</v>
      </c>
      <c r="L23" s="84">
        <f t="shared" si="4"/>
        <v>211.244</v>
      </c>
      <c r="M23" s="84">
        <f t="shared" si="7"/>
        <v>0</v>
      </c>
      <c r="N23" s="84">
        <f t="shared" si="8"/>
        <v>0</v>
      </c>
      <c r="O23" s="84">
        <f t="shared" si="5"/>
        <v>0</v>
      </c>
      <c r="P23" s="85">
        <f t="shared" si="6"/>
        <v>468.756</v>
      </c>
      <c r="Q23" s="88">
        <f>Worksheet!M19</f>
        <v>0</v>
      </c>
      <c r="R23" s="97"/>
      <c r="T23" s="89"/>
    </row>
    <row r="24" spans="1:20" ht="12.75">
      <c r="A24">
        <v>1200</v>
      </c>
      <c r="B24" s="82">
        <f t="shared" si="10"/>
        <v>196.8813333333334</v>
      </c>
      <c r="C24" s="80">
        <f t="shared" si="11"/>
        <v>98.4406666666667</v>
      </c>
      <c r="D24" s="86">
        <v>93</v>
      </c>
      <c r="E24" s="80">
        <f t="shared" si="13"/>
        <v>46.5</v>
      </c>
      <c r="F24" s="81">
        <f t="shared" si="0"/>
        <v>2.1548454853771353</v>
      </c>
      <c r="G24" s="82">
        <f t="shared" si="1"/>
        <v>2227.537905883733</v>
      </c>
      <c r="H24" s="82">
        <f t="shared" si="1"/>
        <v>8910.151623534932</v>
      </c>
      <c r="I24" s="82">
        <f t="shared" si="1"/>
        <v>35640.60649413973</v>
      </c>
      <c r="J24" s="83">
        <f t="shared" si="2"/>
        <v>196.8813333333334</v>
      </c>
      <c r="K24" s="75">
        <f t="shared" si="3"/>
        <v>20</v>
      </c>
      <c r="L24" s="84">
        <f t="shared" si="4"/>
        <v>176.8813333333334</v>
      </c>
      <c r="M24" s="84">
        <f t="shared" si="7"/>
        <v>0</v>
      </c>
      <c r="N24" s="84">
        <f t="shared" si="8"/>
        <v>0</v>
      </c>
      <c r="O24" s="84">
        <f t="shared" si="5"/>
        <v>0</v>
      </c>
      <c r="P24" s="85">
        <f t="shared" si="6"/>
        <v>503.1186666666666</v>
      </c>
      <c r="Q24" s="88">
        <f>Worksheet!M19</f>
        <v>0</v>
      </c>
      <c r="R24" s="97"/>
      <c r="T24" s="89"/>
    </row>
    <row r="25" spans="1:20" ht="12.75">
      <c r="A25">
        <v>1300</v>
      </c>
      <c r="B25" s="82">
        <f t="shared" si="10"/>
        <v>168.11866666666674</v>
      </c>
      <c r="C25" s="80">
        <f t="shared" si="11"/>
        <v>84.05933333333337</v>
      </c>
      <c r="D25" s="86">
        <v>93</v>
      </c>
      <c r="E25" s="80">
        <f t="shared" si="13"/>
        <v>46.5</v>
      </c>
      <c r="F25" s="81">
        <f t="shared" si="0"/>
        <v>2.4124934596396796</v>
      </c>
      <c r="G25" s="82">
        <f t="shared" si="1"/>
        <v>1989.6426996808973</v>
      </c>
      <c r="H25" s="82">
        <f t="shared" si="1"/>
        <v>7958.570798723589</v>
      </c>
      <c r="I25" s="82">
        <f t="shared" si="1"/>
        <v>31834.283194894357</v>
      </c>
      <c r="J25" s="83">
        <f t="shared" si="2"/>
        <v>168.11866666666674</v>
      </c>
      <c r="K25" s="75">
        <f t="shared" si="3"/>
        <v>20</v>
      </c>
      <c r="L25" s="84">
        <f t="shared" si="4"/>
        <v>148.11866666666674</v>
      </c>
      <c r="M25" s="84">
        <f t="shared" si="7"/>
        <v>0</v>
      </c>
      <c r="N25" s="84">
        <f t="shared" si="8"/>
        <v>0</v>
      </c>
      <c r="O25" s="84">
        <f t="shared" si="5"/>
        <v>0</v>
      </c>
      <c r="P25" s="85">
        <f t="shared" si="6"/>
        <v>531.8813333333333</v>
      </c>
      <c r="Q25" s="88">
        <f>Worksheet!M19</f>
        <v>0</v>
      </c>
      <c r="R25" s="97"/>
      <c r="T25" s="89"/>
    </row>
    <row r="26" spans="1:20" ht="12.75">
      <c r="A26">
        <v>1400</v>
      </c>
      <c r="B26" s="82">
        <f t="shared" si="10"/>
        <v>144.95599999999982</v>
      </c>
      <c r="C26" s="80">
        <f t="shared" si="11"/>
        <v>72.47799999999991</v>
      </c>
      <c r="D26" s="86">
        <v>93</v>
      </c>
      <c r="E26" s="80">
        <f t="shared" si="13"/>
        <v>46.5</v>
      </c>
      <c r="F26" s="81">
        <f t="shared" si="0"/>
        <v>2.6861242538234418</v>
      </c>
      <c r="G26" s="82">
        <f t="shared" si="1"/>
        <v>1786.961267025402</v>
      </c>
      <c r="H26" s="82">
        <f t="shared" si="1"/>
        <v>7147.845068101608</v>
      </c>
      <c r="I26" s="82">
        <f t="shared" si="1"/>
        <v>28591.380272406434</v>
      </c>
      <c r="J26" s="83">
        <f t="shared" si="2"/>
        <v>144.95599999999982</v>
      </c>
      <c r="K26" s="75">
        <f t="shared" si="3"/>
        <v>20</v>
      </c>
      <c r="L26" s="84">
        <f t="shared" si="4"/>
        <v>124.95599999999982</v>
      </c>
      <c r="M26" s="84">
        <f t="shared" si="7"/>
        <v>0</v>
      </c>
      <c r="N26" s="84">
        <f t="shared" si="8"/>
        <v>0</v>
      </c>
      <c r="O26" s="84">
        <f t="shared" si="5"/>
        <v>0</v>
      </c>
      <c r="P26" s="85">
        <f t="shared" si="6"/>
        <v>555.0440000000002</v>
      </c>
      <c r="Q26" s="88">
        <f>Worksheet!M19</f>
        <v>0</v>
      </c>
      <c r="R26" s="97"/>
      <c r="T26" s="89"/>
    </row>
    <row r="27" spans="1:20" ht="12.75">
      <c r="A27">
        <v>1500</v>
      </c>
      <c r="B27" s="87">
        <v>133</v>
      </c>
      <c r="C27" s="80">
        <f t="shared" si="11"/>
        <v>66.5</v>
      </c>
      <c r="D27" s="86">
        <v>93</v>
      </c>
      <c r="E27" s="80">
        <f t="shared" si="13"/>
        <v>46.5</v>
      </c>
      <c r="F27" s="81">
        <f t="shared" si="0"/>
        <v>2.976823097908419</v>
      </c>
      <c r="G27" s="82">
        <f t="shared" si="1"/>
        <v>1612.4572546392108</v>
      </c>
      <c r="H27" s="82">
        <f t="shared" si="1"/>
        <v>6449.829018556843</v>
      </c>
      <c r="I27" s="82">
        <f t="shared" si="1"/>
        <v>25799.316074227372</v>
      </c>
      <c r="J27" s="83">
        <f t="shared" si="2"/>
        <v>133</v>
      </c>
      <c r="K27" s="75">
        <f t="shared" si="3"/>
        <v>20</v>
      </c>
      <c r="L27" s="84">
        <f t="shared" si="4"/>
        <v>113</v>
      </c>
      <c r="M27" s="84">
        <f t="shared" si="7"/>
        <v>0</v>
      </c>
      <c r="N27" s="84">
        <f t="shared" si="8"/>
        <v>0</v>
      </c>
      <c r="O27" s="84">
        <f t="shared" si="5"/>
        <v>0</v>
      </c>
      <c r="P27" s="85">
        <f t="shared" si="6"/>
        <v>567</v>
      </c>
      <c r="Q27" s="88">
        <f>Worksheet!M19</f>
        <v>0</v>
      </c>
      <c r="R27" s="97"/>
      <c r="T27" s="89"/>
    </row>
    <row r="28" spans="1:20" ht="12.75">
      <c r="A28">
        <v>1600</v>
      </c>
      <c r="B28" s="87">
        <v>133</v>
      </c>
      <c r="C28" s="80">
        <f t="shared" si="11"/>
        <v>66.5</v>
      </c>
      <c r="D28" s="86">
        <v>93</v>
      </c>
      <c r="E28" s="80">
        <f t="shared" si="13"/>
        <v>46.5</v>
      </c>
      <c r="F28" s="81">
        <f t="shared" si="0"/>
        <v>3.28575276303715</v>
      </c>
      <c r="G28" s="82">
        <f t="shared" si="1"/>
        <v>1460.8524579199234</v>
      </c>
      <c r="H28" s="82">
        <f t="shared" si="1"/>
        <v>5843.4098316796935</v>
      </c>
      <c r="I28" s="82">
        <f t="shared" si="1"/>
        <v>23373.639326718774</v>
      </c>
      <c r="J28" s="83">
        <f t="shared" si="2"/>
        <v>133</v>
      </c>
      <c r="K28" s="75">
        <f t="shared" si="3"/>
        <v>20</v>
      </c>
      <c r="L28" s="84">
        <f t="shared" si="4"/>
        <v>113</v>
      </c>
      <c r="M28" s="84">
        <f t="shared" si="7"/>
        <v>0</v>
      </c>
      <c r="N28" s="84">
        <f t="shared" si="8"/>
        <v>0</v>
      </c>
      <c r="O28" s="84">
        <f t="shared" si="5"/>
        <v>0</v>
      </c>
      <c r="P28" s="85">
        <f t="shared" si="6"/>
        <v>567</v>
      </c>
      <c r="Q28" s="88">
        <f>Worksheet!M19</f>
        <v>0</v>
      </c>
      <c r="R28" s="97"/>
      <c r="T28" s="89"/>
    </row>
    <row r="29" spans="1:20" ht="12.75">
      <c r="A29">
        <v>1700</v>
      </c>
      <c r="B29" s="87">
        <v>133</v>
      </c>
      <c r="C29" s="80">
        <f t="shared" si="11"/>
        <v>66.5</v>
      </c>
      <c r="D29" s="86">
        <v>93</v>
      </c>
      <c r="E29" s="80">
        <f t="shared" si="13"/>
        <v>46.5</v>
      </c>
      <c r="F29" s="81">
        <f t="shared" si="0"/>
        <v>3.61415928833609</v>
      </c>
      <c r="G29" s="82">
        <f t="shared" si="1"/>
        <v>1328.1096977355016</v>
      </c>
      <c r="H29" s="82">
        <f t="shared" si="1"/>
        <v>5312.438790942007</v>
      </c>
      <c r="I29" s="82">
        <f t="shared" si="1"/>
        <v>21249.755163768026</v>
      </c>
      <c r="J29" s="83">
        <f t="shared" si="2"/>
        <v>133</v>
      </c>
      <c r="K29" s="75">
        <f t="shared" si="3"/>
        <v>20</v>
      </c>
      <c r="L29" s="84">
        <f t="shared" si="4"/>
        <v>113</v>
      </c>
      <c r="M29" s="84">
        <f t="shared" si="7"/>
        <v>0</v>
      </c>
      <c r="N29" s="84">
        <f t="shared" si="8"/>
        <v>0</v>
      </c>
      <c r="O29" s="84">
        <f t="shared" si="5"/>
        <v>0</v>
      </c>
      <c r="P29" s="85">
        <f t="shared" si="6"/>
        <v>567</v>
      </c>
      <c r="Q29" s="88">
        <f>Worksheet!M19</f>
        <v>0</v>
      </c>
      <c r="R29" s="97"/>
      <c r="T29" s="89"/>
    </row>
    <row r="30" spans="1:20" ht="12.75">
      <c r="A30">
        <v>1800</v>
      </c>
      <c r="B30" s="87">
        <v>133</v>
      </c>
      <c r="C30" s="80">
        <f t="shared" si="11"/>
        <v>66.5</v>
      </c>
      <c r="D30" s="86">
        <v>93</v>
      </c>
      <c r="E30" s="80">
        <f t="shared" si="13"/>
        <v>46.5</v>
      </c>
      <c r="F30" s="81">
        <f t="shared" si="0"/>
        <v>3.963378140676129</v>
      </c>
      <c r="G30" s="82">
        <f t="shared" si="1"/>
        <v>1211.0880742711943</v>
      </c>
      <c r="H30" s="82">
        <f t="shared" si="1"/>
        <v>4844.352297084777</v>
      </c>
      <c r="I30" s="82">
        <f t="shared" si="1"/>
        <v>19377.40918833911</v>
      </c>
      <c r="J30" s="83">
        <f t="shared" si="2"/>
        <v>133</v>
      </c>
      <c r="K30" s="75">
        <f t="shared" si="3"/>
        <v>20</v>
      </c>
      <c r="L30" s="84">
        <f t="shared" si="4"/>
        <v>113</v>
      </c>
      <c r="M30" s="84">
        <f t="shared" si="7"/>
        <v>0</v>
      </c>
      <c r="N30" s="84">
        <f t="shared" si="8"/>
        <v>0</v>
      </c>
      <c r="O30" s="84">
        <f t="shared" si="5"/>
        <v>0</v>
      </c>
      <c r="P30" s="85">
        <f t="shared" si="6"/>
        <v>567</v>
      </c>
      <c r="Q30" s="88">
        <f>Worksheet!M19</f>
        <v>0</v>
      </c>
      <c r="R30" s="97"/>
      <c r="T30" s="89"/>
    </row>
    <row r="31" spans="1:20" ht="12.75">
      <c r="A31">
        <v>1900</v>
      </c>
      <c r="B31" s="87">
        <v>133</v>
      </c>
      <c r="C31" s="80">
        <f t="shared" si="11"/>
        <v>66.5</v>
      </c>
      <c r="D31" s="86">
        <v>93</v>
      </c>
      <c r="E31" s="80">
        <f t="shared" si="13"/>
        <v>46.5</v>
      </c>
      <c r="F31" s="81">
        <f t="shared" si="0"/>
        <v>4.3348408406756365</v>
      </c>
      <c r="G31" s="82">
        <f t="shared" si="1"/>
        <v>1107.3070907147453</v>
      </c>
      <c r="H31" s="82">
        <f t="shared" si="1"/>
        <v>4429.228362858981</v>
      </c>
      <c r="I31" s="82">
        <f t="shared" si="1"/>
        <v>17716.913451435925</v>
      </c>
      <c r="J31" s="83">
        <f t="shared" si="2"/>
        <v>133</v>
      </c>
      <c r="K31" s="75">
        <f t="shared" si="3"/>
        <v>20</v>
      </c>
      <c r="L31" s="84">
        <f t="shared" si="4"/>
        <v>113</v>
      </c>
      <c r="M31" s="84">
        <f t="shared" si="7"/>
        <v>0</v>
      </c>
      <c r="N31" s="84">
        <f t="shared" si="8"/>
        <v>0</v>
      </c>
      <c r="O31" s="84">
        <f t="shared" si="5"/>
        <v>0</v>
      </c>
      <c r="P31" s="85">
        <f t="shared" si="6"/>
        <v>567</v>
      </c>
      <c r="Q31" s="88">
        <f>Worksheet!M19</f>
        <v>0</v>
      </c>
      <c r="R31" s="97"/>
      <c r="T31" s="89"/>
    </row>
    <row r="32" spans="1:20" ht="12.75">
      <c r="A32">
        <v>2000</v>
      </c>
      <c r="B32" s="87">
        <v>133</v>
      </c>
      <c r="C32" s="80">
        <f t="shared" si="11"/>
        <v>66.5</v>
      </c>
      <c r="D32" s="86">
        <v>93</v>
      </c>
      <c r="E32" s="80">
        <f t="shared" si="13"/>
        <v>46.5</v>
      </c>
      <c r="F32" s="81">
        <f t="shared" si="0"/>
        <v>4.730082090846052</v>
      </c>
      <c r="G32" s="82">
        <f t="shared" si="1"/>
        <v>1014.7815424364954</v>
      </c>
      <c r="H32" s="82">
        <f t="shared" si="1"/>
        <v>4059.1261697459818</v>
      </c>
      <c r="I32" s="82">
        <f t="shared" si="1"/>
        <v>16236.504678983927</v>
      </c>
      <c r="J32" s="83">
        <f t="shared" si="2"/>
        <v>133</v>
      </c>
      <c r="K32" s="75">
        <f t="shared" si="3"/>
        <v>20</v>
      </c>
      <c r="L32" s="84">
        <f t="shared" si="4"/>
        <v>113</v>
      </c>
      <c r="M32" s="84">
        <f t="shared" si="7"/>
        <v>0</v>
      </c>
      <c r="N32" s="84">
        <f t="shared" si="8"/>
        <v>0</v>
      </c>
      <c r="O32" s="84">
        <f t="shared" si="5"/>
        <v>0</v>
      </c>
      <c r="P32" s="85">
        <f t="shared" si="6"/>
        <v>567</v>
      </c>
      <c r="Q32" s="88">
        <f>Worksheet!M19</f>
        <v>0</v>
      </c>
      <c r="R32" s="97"/>
      <c r="T32" s="89"/>
    </row>
    <row r="33" spans="1:20" ht="12.75">
      <c r="A33">
        <v>2100</v>
      </c>
      <c r="B33" s="87">
        <v>133</v>
      </c>
      <c r="C33" s="80">
        <f t="shared" si="11"/>
        <v>66.5</v>
      </c>
      <c r="D33" s="86">
        <v>93</v>
      </c>
      <c r="E33" s="80">
        <f t="shared" si="13"/>
        <v>46.5</v>
      </c>
      <c r="F33" s="81">
        <f t="shared" si="0"/>
        <v>5.150747444581253</v>
      </c>
      <c r="G33" s="82">
        <f t="shared" si="1"/>
        <v>931.9035832459132</v>
      </c>
      <c r="H33" s="82">
        <f t="shared" si="1"/>
        <v>3727.6143329836527</v>
      </c>
      <c r="I33" s="82">
        <f t="shared" si="1"/>
        <v>14910.457331934611</v>
      </c>
      <c r="J33" s="83">
        <f t="shared" si="2"/>
        <v>133</v>
      </c>
      <c r="K33" s="75">
        <f t="shared" si="3"/>
        <v>20</v>
      </c>
      <c r="L33" s="84">
        <f t="shared" si="4"/>
        <v>113</v>
      </c>
      <c r="M33" s="84">
        <f t="shared" si="7"/>
        <v>0</v>
      </c>
      <c r="N33" s="84">
        <f t="shared" si="8"/>
        <v>0</v>
      </c>
      <c r="O33" s="84">
        <f t="shared" si="5"/>
        <v>0</v>
      </c>
      <c r="P33" s="85">
        <f t="shared" si="6"/>
        <v>567</v>
      </c>
      <c r="Q33" s="88">
        <f>Worksheet!M19</f>
        <v>0</v>
      </c>
      <c r="R33" s="97"/>
      <c r="T33" s="89"/>
    </row>
    <row r="34" ht="12.75">
      <c r="T34" s="89"/>
    </row>
    <row r="35" ht="12.75">
      <c r="T35" s="89"/>
    </row>
    <row r="36" ht="12.75">
      <c r="T36" s="89"/>
    </row>
    <row r="37" ht="12.75">
      <c r="T37" s="89"/>
    </row>
    <row r="38" ht="12.75">
      <c r="T38" s="89"/>
    </row>
    <row r="39" ht="12.75">
      <c r="T39" s="89"/>
    </row>
    <row r="40" ht="12.75">
      <c r="T40" s="89"/>
    </row>
    <row r="41" ht="12.75">
      <c r="T41" s="89"/>
    </row>
    <row r="42" ht="12.75">
      <c r="T42" s="89"/>
    </row>
    <row r="43" ht="12.75">
      <c r="T43" s="89"/>
    </row>
    <row r="44" ht="12.75">
      <c r="T44" s="89"/>
    </row>
    <row r="45" ht="12.75">
      <c r="T45" s="89"/>
    </row>
    <row r="46" ht="12.75">
      <c r="T46" s="89"/>
    </row>
    <row r="47" spans="2:20" ht="12.75">
      <c r="B47" s="88"/>
      <c r="T47" s="89"/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Texas Transportation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Unsignalized Intersection Pedestrian Crossing Calculator</dc:title>
  <dc:subject/>
  <dc:creator>E-Saucier</dc:creator>
  <cp:keywords>unsignalized, intersection, pedestrian, crossing, calculator, spreadsheet, multimodal, analysis, tool, technical, apm, analysis, procedues, manual</cp:keywords>
  <dc:description/>
  <cp:lastModifiedBy>Peter L Schuytema</cp:lastModifiedBy>
  <cp:lastPrinted>2010-08-27T22:24:12Z</cp:lastPrinted>
  <dcterms:created xsi:type="dcterms:W3CDTF">2006-09-06T13:30:39Z</dcterms:created>
  <dcterms:modified xsi:type="dcterms:W3CDTF">2019-06-13T18:55:22Z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Orde">
    <vt:lpwstr/>
  </property>
  <property fmtid="{D5CDD505-2E9C-101B-9397-08002B2CF9AE}" pid="4" name="Reviewed for UR">
    <vt:lpwstr>1</vt:lpwstr>
  </property>
  <property fmtid="{D5CDD505-2E9C-101B-9397-08002B2CF9AE}" pid="5" name="Sub-Catego">
    <vt:lpwstr>Analysis Tool</vt:lpwstr>
  </property>
  <property fmtid="{D5CDD505-2E9C-101B-9397-08002B2CF9AE}" pid="6" name="Catego">
    <vt:lpwstr>Technical Tools</vt:lpwstr>
  </property>
</Properties>
</file>