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21600" windowHeight="10695" tabRatio="908" activeTab="6"/>
  </bookViews>
  <sheets>
    <sheet name="Instructions" sheetId="1" r:id="rId1"/>
    <sheet name="Hot Water Consumption" sheetId="2" r:id="rId2"/>
    <sheet name="Historical Tank" sheetId="3" state="hidden" r:id="rId3"/>
    <sheet name="Tank-to-Tank" sheetId="4" r:id="rId4"/>
    <sheet name="Data" sheetId="5" state="hidden" r:id="rId5"/>
    <sheet name="Tank-to-Tankless" sheetId="6" r:id="rId6"/>
    <sheet name="Tank-to-HP" sheetId="7" r:id="rId7"/>
    <sheet name="Tank-to-Solar" sheetId="8" r:id="rId8"/>
    <sheet name="Table 4" sheetId="9" r:id="rId9"/>
    <sheet name="Table 5" sheetId="10" r:id="rId10"/>
    <sheet name="Table 6" sheetId="11" r:id="rId11"/>
    <sheet name="Table 7" sheetId="12" r:id="rId12"/>
    <sheet name="Appendix D" sheetId="13" r:id="rId13"/>
    <sheet name="Sheet2" sheetId="14" state="hidden" r:id="rId14"/>
    <sheet name="Chart2" sheetId="15" state="hidden" r:id="rId15"/>
    <sheet name="Sheet4" sheetId="16" state="hidden" r:id="rId16"/>
    <sheet name="Sheet1" sheetId="17" state="hidden" r:id="rId17"/>
    <sheet name="Chart1" sheetId="18" state="hidden" r:id="rId18"/>
  </sheets>
  <externalReferences>
    <externalReference r:id="rId21"/>
  </externalReferences>
  <definedNames>
    <definedName name="CoolingSystem" localSheetId="0">'[1]Tank-to-HP'!#REF!</definedName>
    <definedName name="CoolingSystem">'Tank-to-HP'!#REF!</definedName>
    <definedName name="CRAP">'[1]Tank-to-HP'!#REF!</definedName>
    <definedName name="EnergyFactor_new1">'Tank-to-Tank'!$I$5</definedName>
    <definedName name="EnergyFactor_new2">'Tank-to-Tankless'!$I$5</definedName>
    <definedName name="EnergyFactor_new3">'Tank-to-HP'!$I$3</definedName>
    <definedName name="energyfactor_new4">'Tank-to-Solar'!$I$3</definedName>
    <definedName name="EnergyFactor1">'Tank-to-Tank'!$G$5</definedName>
    <definedName name="energyfactor2">'Tank-to-Tankless'!$G$5</definedName>
    <definedName name="EnergyFactor3">'Tank-to-HP'!$G$3</definedName>
    <definedName name="energyfactor4">'Tank-to-Solar'!$G$3</definedName>
    <definedName name="Fuel_new1" localSheetId="0">'[1]Tank-to-Tank'!#REF!</definedName>
    <definedName name="Fuel_new1">'Tank-to-Tank'!#REF!</definedName>
    <definedName name="fuel_new2">'Tank-to-Tankless'!$I$4</definedName>
    <definedName name="fuel_new3">'Tank-to-HP'!$I$5</definedName>
    <definedName name="fuel_new4">'Tank-to-Solar'!$I$5</definedName>
    <definedName name="fuel_price_new1">'Tank-to-Tank'!$I$9</definedName>
    <definedName name="fuel_price_new2">'Tank-to-Tankless'!$I$8</definedName>
    <definedName name="fuel_price_new3">'Tank-to-HP'!$I$10</definedName>
    <definedName name="fuel_price_new4">'Tank-to-Solar'!$I$9</definedName>
    <definedName name="fuel_price1">'Tank-to-Tank'!$G$9</definedName>
    <definedName name="fuel_price2">'Tank-to-Tankless'!$G$8</definedName>
    <definedName name="fuel_price3">'Tank-to-HP'!$G$10</definedName>
    <definedName name="fuel_price4">'Tank-to-Solar'!$G$9</definedName>
    <definedName name="Fuel1" localSheetId="0">'[1]Tank-to-Tank'!#REF!</definedName>
    <definedName name="Fuel1">'Tank-to-Tank'!#REF!</definedName>
    <definedName name="fuel2">'Tank-to-Tankless'!$G$4</definedName>
    <definedName name="fuel4">'Tank-to-Solar'!$P$8</definedName>
    <definedName name="HeatingSystem" localSheetId="0">'[1]Tank-to-HP'!#REF!</definedName>
    <definedName name="HeatingSystem">'Tank-to-HP'!#REF!</definedName>
    <definedName name="power_new1">'Tank-to-Tank'!$I$7</definedName>
    <definedName name="power_new2">'Tank-to-Tankless'!$I$7</definedName>
    <definedName name="power_new3">'Tank-to-HP'!$I$9</definedName>
    <definedName name="power1">'Tank-to-Tank'!$G$7</definedName>
    <definedName name="power2">'Tank-to-Tankless'!$G$7</definedName>
    <definedName name="power3">'Tank-to-HP'!$G$9</definedName>
    <definedName name="power4">'Tank-to-Solar'!$G$8</definedName>
    <definedName name="_xlnm.Print_Area" localSheetId="4">'Data'!$B$1:$H$53</definedName>
    <definedName name="_xlnm.Print_Area" localSheetId="0">'Instructions'!$B$1:$D$40</definedName>
    <definedName name="_xlnm.Print_Area" localSheetId="9">'Table 5'!$B$2:$G$6</definedName>
    <definedName name="_xlnm.Print_Area" localSheetId="6">'Tank-to-HP'!$A$1:$P$41</definedName>
    <definedName name="_xlnm.Print_Titles" localSheetId="12">'Appendix D'!$1:$1</definedName>
    <definedName name="_xlnm.Print_Titles" localSheetId="0">'Instructions'!$1:$2</definedName>
    <definedName name="RE_new1">'Tank-to-Tank'!$I$6</definedName>
    <definedName name="RE_new2">'Tank-to-Tankless'!$I$6</definedName>
    <definedName name="RE_new3">'Tank-to-HP'!$I$4</definedName>
    <definedName name="RE1">'Tank-to-Tank'!$G$6</definedName>
    <definedName name="RE2">'Tank-to-Tankless'!$G$6</definedName>
    <definedName name="RE3">'Tank-to-HP'!$G$4</definedName>
    <definedName name="RE4">'Tank-to-Solar'!$G$4</definedName>
    <definedName name="Table_4" localSheetId="8">'Table 4'!$B$2</definedName>
    <definedName name="Table_5" localSheetId="9">'Table 5'!$B$2</definedName>
    <definedName name="Table_6" localSheetId="10">'Table 6'!$B$2</definedName>
    <definedName name="Table_7" localSheetId="11">'Table 7'!$B$2</definedName>
    <definedName name="UA_new1">'Tank-to-Tank'!$I$8</definedName>
    <definedName name="UA_new2">'Tank-to-Tankless'!$I$11</definedName>
    <definedName name="UA1">'Tank-to-Tank'!$G$8</definedName>
    <definedName name="UA2">'Tank-to-Tankless'!$G$11</definedName>
    <definedName name="UA3">'Tank-to-HP'!$G$7</definedName>
    <definedName name="UA4">'Tank-to-Solar'!$G$7</definedName>
    <definedName name="usage_new1">'Tank-to-Tank'!$I$3</definedName>
    <definedName name="usage_new2">'Tank-to-Tankless'!$I$3</definedName>
    <definedName name="usage_new3">'Tank-to-HP'!$I$6</definedName>
    <definedName name="usage_new4">'Tank-to-Solar'!$I$6</definedName>
    <definedName name="USAGE1">'Tank-to-Tank'!$G$3</definedName>
    <definedName name="usage2">'Tank-to-Tankless'!$G$3</definedName>
    <definedName name="Usage3">'Tank-to-HP'!$G$6</definedName>
    <definedName name="usage4">'Tank-to-Solar'!$G$6</definedName>
  </definedNames>
  <calcPr fullCalcOnLoad="1"/>
</workbook>
</file>

<file path=xl/comments4.xml><?xml version="1.0" encoding="utf-8"?>
<comments xmlns="http://schemas.openxmlformats.org/spreadsheetml/2006/main">
  <authors>
    <author>Jordan Kelso</author>
  </authors>
  <commentList>
    <comment ref="G6" authorId="0">
      <text>
        <r>
          <rPr>
            <sz val="8"/>
            <rFont val="Tahoma"/>
            <family val="0"/>
          </rPr>
          <t xml:space="preserve">Electric: 0.98
Natural Gas/Propane: 0.68 to 0.82
</t>
        </r>
      </text>
    </comment>
    <comment ref="G5" authorId="0">
      <text>
        <r>
          <rPr>
            <sz val="8"/>
            <rFont val="Tahoma"/>
            <family val="2"/>
          </rPr>
          <t>Electric: 0.78 to 0.95
Natural Gas/Propane: 0.45 to 0.68</t>
        </r>
      </text>
    </comment>
    <comment ref="I5" authorId="0">
      <text>
        <r>
          <rPr>
            <sz val="8"/>
            <rFont val="Tahoma"/>
            <family val="2"/>
          </rPr>
          <t>Electric: 0.78 to 0.95
Natural Gas/Propane: 0.45 to 0.68</t>
        </r>
      </text>
    </comment>
    <comment ref="I6" authorId="0">
      <text>
        <r>
          <rPr>
            <sz val="8"/>
            <rFont val="Tahoma"/>
            <family val="2"/>
          </rPr>
          <t>Electric: 0.98
Natural Gas/Propane: 0.68 to 0.82</t>
        </r>
      </text>
    </comment>
    <comment ref="I10" authorId="0">
      <text>
        <r>
          <rPr>
            <sz val="8"/>
            <rFont val="Tahoma"/>
            <family val="2"/>
          </rPr>
          <t>The warranty of the water heater is a good surrogate to estimate lifetime.  6-12 years</t>
        </r>
      </text>
    </comment>
    <comment ref="G7" authorId="0">
      <text>
        <r>
          <rPr>
            <sz val="8"/>
            <rFont val="Tahoma"/>
            <family val="2"/>
          </rPr>
          <t>Electric: 4,5kW =15,354 Btu/h
Natural Gas/Propane: 30,000 to 50,000 Btu/h</t>
        </r>
      </text>
    </comment>
    <comment ref="I7" authorId="0">
      <text>
        <r>
          <rPr>
            <sz val="8"/>
            <rFont val="Tahoma"/>
            <family val="2"/>
          </rPr>
          <t>Electric: 4,5kW =15,354 Btu/h
Natural Gas/Propane: 30,000 to 50,000 Btu/h</t>
        </r>
      </text>
    </comment>
  </commentList>
</comments>
</file>

<file path=xl/comments6.xml><?xml version="1.0" encoding="utf-8"?>
<comments xmlns="http://schemas.openxmlformats.org/spreadsheetml/2006/main">
  <authors>
    <author>Jordan Kelso</author>
  </authors>
  <commentList>
    <comment ref="G5" authorId="0">
      <text>
        <r>
          <rPr>
            <sz val="8"/>
            <rFont val="Tahoma"/>
            <family val="2"/>
          </rPr>
          <t>Electric: 0.78 to 0.95
Natural Gas/Propane: 0.45 to 0.68</t>
        </r>
      </text>
    </comment>
    <comment ref="G6" authorId="0">
      <text>
        <r>
          <rPr>
            <sz val="8"/>
            <rFont val="Tahoma"/>
            <family val="2"/>
          </rPr>
          <t xml:space="preserve">Electric: 0.98
Natural Gas/Propane: 0.68 to 0.82
</t>
        </r>
      </text>
    </comment>
    <comment ref="I5" authorId="0">
      <text>
        <r>
          <rPr>
            <sz val="8"/>
            <rFont val="Tahoma"/>
            <family val="2"/>
          </rPr>
          <t>Natural Gas/Propane: 0.78 to 0.85</t>
        </r>
      </text>
    </comment>
    <comment ref="I6" authorId="0">
      <text>
        <r>
          <rPr>
            <sz val="8"/>
            <rFont val="Tahoma"/>
            <family val="2"/>
          </rPr>
          <t>Natural Gas/Propane: 0.62 to 0.82</t>
        </r>
      </text>
    </comment>
    <comment ref="G7" authorId="0">
      <text>
        <r>
          <rPr>
            <sz val="8"/>
            <rFont val="Tahoma"/>
            <family val="2"/>
          </rPr>
          <t>Electric: 4,5kW =15,354 Btu/h
Natural Gas/Propane: 30,000 to 50,000 Btu/h</t>
        </r>
      </text>
    </comment>
    <comment ref="I7" authorId="0">
      <text>
        <r>
          <rPr>
            <sz val="8"/>
            <rFont val="Tahoma"/>
            <family val="2"/>
          </rPr>
          <t>Natural Gas/Propane: 
    Point-of-Use: 40,000 to 100,000 But/h
    Whole-House: 140,000 to 180,000 Btu/h</t>
        </r>
      </text>
    </comment>
    <comment ref="I9" authorId="0">
      <text>
        <r>
          <rPr>
            <sz val="8"/>
            <rFont val="Tahoma"/>
            <family val="2"/>
          </rPr>
          <t>The warranty of the water heater is a good surrogate to estimate lifetime.  6-12 years</t>
        </r>
      </text>
    </comment>
  </commentList>
</comments>
</file>

<file path=xl/comments7.xml><?xml version="1.0" encoding="utf-8"?>
<comments xmlns="http://schemas.openxmlformats.org/spreadsheetml/2006/main">
  <authors>
    <author>Jordan Kelso</author>
  </authors>
  <commentList>
    <comment ref="G3" authorId="0">
      <text>
        <r>
          <rPr>
            <sz val="8"/>
            <rFont val="Tahoma"/>
            <family val="0"/>
          </rPr>
          <t>Electric: 0.78 to 0.95
Natural Gas/Propane: 0.45 to 0.68</t>
        </r>
      </text>
    </comment>
    <comment ref="G4" authorId="0">
      <text>
        <r>
          <rPr>
            <sz val="8"/>
            <rFont val="Tahoma"/>
            <family val="0"/>
          </rPr>
          <t xml:space="preserve">Electric: 0.98
Natural Gas/Propane: 0.68 to 0.82
</t>
        </r>
      </text>
    </comment>
    <comment ref="I11" authorId="0">
      <text>
        <r>
          <rPr>
            <sz val="8"/>
            <rFont val="Tahoma"/>
            <family val="0"/>
          </rPr>
          <t xml:space="preserve">The warranty of the water heater is a good surrogate to estimate lifetime.
</t>
        </r>
      </text>
    </comment>
    <comment ref="I3" authorId="0">
      <text>
        <r>
          <rPr>
            <sz val="8"/>
            <rFont val="Tahoma"/>
            <family val="0"/>
          </rPr>
          <t>EF: 1.8 to 2.4</t>
        </r>
      </text>
    </comment>
    <comment ref="G9" authorId="0">
      <text>
        <r>
          <rPr>
            <sz val="8"/>
            <rFont val="Tahoma"/>
            <family val="2"/>
          </rPr>
          <t>Electric: 4,5kW =15,354 Btu/h
Natural Gas/Propane: 30,000 to 50,000 Btu/h</t>
        </r>
      </text>
    </comment>
  </commentList>
</comments>
</file>

<file path=xl/comments8.xml><?xml version="1.0" encoding="utf-8"?>
<comments xmlns="http://schemas.openxmlformats.org/spreadsheetml/2006/main">
  <authors>
    <author>Jordan Kelso</author>
  </authors>
  <commentList>
    <comment ref="G3" authorId="0">
      <text>
        <r>
          <rPr>
            <sz val="8"/>
            <rFont val="Tahoma"/>
            <family val="2"/>
          </rPr>
          <t>EF:
    Electric: 0.78 to 0.95
    Natural Gas/Propane: 0.45 to 0.68</t>
        </r>
      </text>
    </comment>
    <comment ref="G4" authorId="0">
      <text>
        <r>
          <rPr>
            <sz val="8"/>
            <rFont val="Tahoma"/>
            <family val="2"/>
          </rPr>
          <t>Electric: 0.98
Natural Gas/Propane: 0.68 to 0.82</t>
        </r>
        <r>
          <rPr>
            <b/>
            <sz val="8"/>
            <rFont val="Tahoma"/>
            <family val="0"/>
          </rPr>
          <t xml:space="preserve">
</t>
        </r>
      </text>
    </comment>
    <comment ref="I3" authorId="0">
      <text>
        <r>
          <rPr>
            <sz val="8"/>
            <rFont val="Tahoma"/>
            <family val="2"/>
          </rPr>
          <t>SEF: 1.X to 2.X</t>
        </r>
      </text>
    </comment>
    <comment ref="I11" authorId="0">
      <text>
        <r>
          <rPr>
            <sz val="8"/>
            <rFont val="Tahoma"/>
            <family val="2"/>
          </rPr>
          <t>Solar collector systems can have a  lifetime greater than 20 years,.  For practical purposes use 20 years.</t>
        </r>
      </text>
    </comment>
    <comment ref="I13" authorId="0">
      <text>
        <r>
          <rPr>
            <sz val="8"/>
            <rFont val="Tahoma"/>
            <family val="2"/>
          </rPr>
          <t>The warranty of the water heater is a good surrogate to estimate lifetime.  6-12 years</t>
        </r>
      </text>
    </comment>
    <comment ref="I10" authorId="0">
      <text>
        <r>
          <rPr>
            <sz val="8"/>
            <rFont val="Tahoma"/>
            <family val="2"/>
          </rPr>
          <t>Estimate the initial total cost to install the solar water heater system.</t>
        </r>
        <r>
          <rPr>
            <sz val="8"/>
            <rFont val="Tahoma"/>
            <family val="0"/>
          </rPr>
          <t xml:space="preserve">
</t>
        </r>
      </text>
    </comment>
    <comment ref="I12" authorId="0">
      <text>
        <r>
          <rPr>
            <sz val="8"/>
            <rFont val="Tahoma"/>
            <family val="2"/>
          </rPr>
          <t xml:space="preserve">Estimate the cost to replace the tank water heater.  Additional tank water heaters will be needed before the end of the useful life of the solar collector. 6-12 yrs.
</t>
        </r>
      </text>
    </comment>
    <comment ref="G8" authorId="0">
      <text>
        <r>
          <rPr>
            <sz val="8"/>
            <rFont val="Tahoma"/>
            <family val="2"/>
          </rPr>
          <t>Electric: 4,5kW =15,354 Btu/h
Natural Gas/Propane: 30,000 to 50,000 Btu/h</t>
        </r>
      </text>
    </comment>
    <comment ref="N20" authorId="0">
      <text>
        <r>
          <rPr>
            <sz val="8"/>
            <rFont val="Tahoma"/>
            <family val="0"/>
          </rPr>
          <t xml:space="preserve">Total estimated cost of solar water heating system, including replacement tanks needed in future years.
</t>
        </r>
      </text>
    </comment>
  </commentList>
</comments>
</file>

<file path=xl/sharedStrings.xml><?xml version="1.0" encoding="utf-8"?>
<sst xmlns="http://schemas.openxmlformats.org/spreadsheetml/2006/main" count="457" uniqueCount="289">
  <si>
    <t>RE</t>
  </si>
  <si>
    <t>EF</t>
  </si>
  <si>
    <t>UA from EF</t>
  </si>
  <si>
    <t>Power</t>
  </si>
  <si>
    <t>State</t>
  </si>
  <si>
    <t>Electricity price</t>
  </si>
  <si>
    <t>Natural gas price</t>
  </si>
  <si>
    <t>LPG/Propane price</t>
  </si>
  <si>
    <t xml:space="preserve">Alabama              </t>
  </si>
  <si>
    <t xml:space="preserve">Alaska               </t>
  </si>
  <si>
    <t xml:space="preserve">Arizona              </t>
  </si>
  <si>
    <t xml:space="preserve">Arkansas             </t>
  </si>
  <si>
    <t xml:space="preserve">California           </t>
  </si>
  <si>
    <t xml:space="preserve">Colorado             </t>
  </si>
  <si>
    <t xml:space="preserve">Connecticut          </t>
  </si>
  <si>
    <t xml:space="preserve">Delaware             </t>
  </si>
  <si>
    <t xml:space="preserve">District of Columbia </t>
  </si>
  <si>
    <t xml:space="preserve">Florida              </t>
  </si>
  <si>
    <t xml:space="preserve">Georgia              </t>
  </si>
  <si>
    <t xml:space="preserve">Hawaii               </t>
  </si>
  <si>
    <t xml:space="preserve">Idaho                </t>
  </si>
  <si>
    <t xml:space="preserve">Illinois             </t>
  </si>
  <si>
    <t xml:space="preserve">Indiana              </t>
  </si>
  <si>
    <t xml:space="preserve">Iowa                 </t>
  </si>
  <si>
    <t xml:space="preserve">Kansas               </t>
  </si>
  <si>
    <t xml:space="preserve">Kentucky             </t>
  </si>
  <si>
    <t xml:space="preserve">Louisiana            </t>
  </si>
  <si>
    <t xml:space="preserve">Maine                </t>
  </si>
  <si>
    <t xml:space="preserve">Maryland             </t>
  </si>
  <si>
    <t xml:space="preserve">Massachusetts        </t>
  </si>
  <si>
    <t xml:space="preserve">Michigan             </t>
  </si>
  <si>
    <t xml:space="preserve">Minnesota            </t>
  </si>
  <si>
    <t xml:space="preserve">Mississippi          </t>
  </si>
  <si>
    <t xml:space="preserve">Missouri             </t>
  </si>
  <si>
    <t xml:space="preserve">Montana              </t>
  </si>
  <si>
    <t xml:space="preserve">Nebraska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</si>
  <si>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</si>
  <si>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</si>
  <si>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</si>
  <si>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</si>
  <si>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</si>
  <si>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</si>
  <si>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</si>
  <si>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Ohio                 </t>
  </si>
  <si>
    <t xml:space="preserve">Oklahoma             </t>
  </si>
  <si>
    <t xml:space="preserve">Oregon               </t>
  </si>
  <si>
    <t xml:space="preserve">Pennsylvania         </t>
  </si>
  <si>
    <t xml:space="preserve">Rhode Island         </t>
  </si>
  <si>
    <t xml:space="preserve">South Carolina       </t>
  </si>
  <si>
    <t xml:space="preserve">South Dakota         </t>
  </si>
  <si>
    <t xml:space="preserve">Tennessee            </t>
  </si>
  <si>
    <t xml:space="preserve">Texas                </t>
  </si>
  <si>
    <t xml:space="preserve">Utah                 </t>
  </si>
  <si>
    <t xml:space="preserve">Vermont              </t>
  </si>
  <si>
    <t xml:space="preserve">Virginia             </t>
  </si>
  <si>
    <t xml:space="preserve">Washington           </t>
  </si>
  <si>
    <t xml:space="preserve">West Virginia        </t>
  </si>
  <si>
    <t xml:space="preserve">Wisconsin            </t>
  </si>
  <si>
    <t xml:space="preserve">Wyoming              </t>
  </si>
  <si>
    <t xml:space="preserve">U.S. Average    </t>
  </si>
  <si>
    <t>WIN Ambient Air Temp</t>
  </si>
  <si>
    <t>SPR Ambient Air Temp</t>
  </si>
  <si>
    <t>SUM Ambient Air Temp</t>
  </si>
  <si>
    <t>AUT Ambient Air Temp</t>
  </si>
  <si>
    <t>Existing</t>
  </si>
  <si>
    <t>Replacement</t>
  </si>
  <si>
    <t>Solar Water Heater System Cost</t>
  </si>
  <si>
    <t>Solar Water Heater Collector Lifetime</t>
  </si>
  <si>
    <t>EF/SEF</t>
  </si>
  <si>
    <t>Occupants</t>
  </si>
  <si>
    <t>[# of occupants]</t>
  </si>
  <si>
    <t>Clothes Washer Present</t>
  </si>
  <si>
    <t>Y</t>
  </si>
  <si>
    <t>[Y/N]</t>
  </si>
  <si>
    <t>AVERAGE DAILY WATER USAGE</t>
  </si>
  <si>
    <t>A - depends upon dishwasher</t>
  </si>
  <si>
    <t>B-  depends upon clothes washer</t>
  </si>
  <si>
    <t>C - depends upon bathing habits</t>
  </si>
  <si>
    <t>D - faucets</t>
  </si>
  <si>
    <t>[gallons per day]</t>
  </si>
  <si>
    <t>EIA</t>
  </si>
  <si>
    <t>Winter</t>
  </si>
  <si>
    <t>Spring</t>
  </si>
  <si>
    <t>Summer</t>
  </si>
  <si>
    <t>Autumn</t>
  </si>
  <si>
    <t>Tank Location</t>
  </si>
  <si>
    <t>Outside: Ambient temps</t>
  </si>
  <si>
    <t>Conditioned space</t>
  </si>
  <si>
    <t>Unintentionally conditioned space</t>
  </si>
  <si>
    <t>Unconditioned space</t>
  </si>
  <si>
    <t>Water usage [gallons/day]</t>
  </si>
  <si>
    <t>Cost</t>
  </si>
  <si>
    <t>EIA, SEPER 1999</t>
  </si>
  <si>
    <t>FEMP HPWH</t>
  </si>
  <si>
    <t>Seasonal Savings</t>
  </si>
  <si>
    <t>Maximum</t>
  </si>
  <si>
    <t>First-Year</t>
  </si>
  <si>
    <t>System</t>
  </si>
  <si>
    <t>Tank Replacement  Cost</t>
  </si>
  <si>
    <t>Tank Replacement Lifetime</t>
  </si>
  <si>
    <t>COP</t>
  </si>
  <si>
    <t>Delivered Hot Water</t>
  </si>
  <si>
    <t>[million Btu]</t>
  </si>
  <si>
    <t>HPWH Electricity Consumption</t>
  </si>
  <si>
    <t>[kWh]</t>
  </si>
  <si>
    <t>GA</t>
  </si>
  <si>
    <t>FL</t>
  </si>
  <si>
    <t>SD</t>
  </si>
  <si>
    <t>CT</t>
  </si>
  <si>
    <t>NC</t>
  </si>
  <si>
    <t>TX</t>
  </si>
  <si>
    <t>AL</t>
  </si>
  <si>
    <t>TN</t>
  </si>
  <si>
    <t>WA</t>
  </si>
  <si>
    <t>Ambient Temperature</t>
  </si>
  <si>
    <t>Efficiency Change</t>
  </si>
  <si>
    <t>Groundwater temp</t>
  </si>
  <si>
    <t>Electricity</t>
  </si>
  <si>
    <t>Natural Gas</t>
  </si>
  <si>
    <t>Propane</t>
  </si>
  <si>
    <t>Average Daily Compressor Run Time</t>
  </si>
  <si>
    <t>[hrs]</t>
  </si>
  <si>
    <t>Furnace</t>
  </si>
  <si>
    <t>Electric Resistance</t>
  </si>
  <si>
    <t>Boiler</t>
  </si>
  <si>
    <t>Fuels-WH</t>
  </si>
  <si>
    <t>Fuel Oil</t>
  </si>
  <si>
    <t>Fuels-SH</t>
  </si>
  <si>
    <t>Fuels-SC</t>
  </si>
  <si>
    <t>None</t>
  </si>
  <si>
    <t>SH Systems</t>
  </si>
  <si>
    <t>Heat Pump</t>
  </si>
  <si>
    <t>Space Heater</t>
  </si>
  <si>
    <t>SC Systems</t>
  </si>
  <si>
    <t>Central AC</t>
  </si>
  <si>
    <t>Room AC</t>
  </si>
  <si>
    <t>Space Heating/Cooling Gain/Loss</t>
  </si>
  <si>
    <t>Pre-Weatherization</t>
  </si>
  <si>
    <t>Post-Weatherization</t>
  </si>
  <si>
    <t>EF Performance Adjustment</t>
  </si>
  <si>
    <t>&lt;1980</t>
  </si>
  <si>
    <t>Natural Gas/Propane</t>
  </si>
  <si>
    <t>Electric</t>
  </si>
  <si>
    <t>Rheem</t>
  </si>
  <si>
    <t>Ruud</t>
  </si>
  <si>
    <t>American</t>
  </si>
  <si>
    <t>Bradford-White</t>
  </si>
  <si>
    <t>Apollo Comfort Products</t>
  </si>
  <si>
    <t>Crispaire</t>
  </si>
  <si>
    <t>GSW Water Heating</t>
  </si>
  <si>
    <t>Heat Transfer Products</t>
  </si>
  <si>
    <t>Lochinvar</t>
  </si>
  <si>
    <t>Marathon</t>
  </si>
  <si>
    <t>Maytag</t>
  </si>
  <si>
    <t>Reliance Water Heater</t>
  </si>
  <si>
    <t>Richmond</t>
  </si>
  <si>
    <t>Sears, Roebuck and Co.</t>
  </si>
  <si>
    <t>A.O Smith Water Products</t>
  </si>
  <si>
    <t>State Industries</t>
  </si>
  <si>
    <t>Apollo</t>
  </si>
  <si>
    <t>Bradford White, JetGlas</t>
  </si>
  <si>
    <t>John Wood, GSW, Moffat, Superflue, Medal</t>
  </si>
  <si>
    <t>Energy Saver, Golden Knight, Knight</t>
  </si>
  <si>
    <t>Ace, Ambassador, Barnett, Century, Crosley, Energy Stretcher, Energy USA, Freedom, Freedom/Nipsco, Hardware House, Master Plumber/True Value, Mission, Nationaline, Penfield, President, Regency, Reliance, Satellite, Sentry, Superior, The Plumbery, Thermo-King, Top Line</t>
  </si>
  <si>
    <t>Aqua Therm, General Electric, Hotpoint, Professional, Rheem, Vanguard, Western Auto</t>
  </si>
  <si>
    <t>Professional, Ruud</t>
  </si>
  <si>
    <t>Kenmore</t>
  </si>
  <si>
    <t>National, A.O. Smith, Glascote, Perma-Glas</t>
  </si>
  <si>
    <t>Sun Therm</t>
  </si>
  <si>
    <t>Heat Transfer</t>
  </si>
  <si>
    <t>Sepco, Hydrohot, D.W. Whitehead</t>
  </si>
  <si>
    <t>E-tech</t>
  </si>
  <si>
    <t>Trade Names</t>
  </si>
  <si>
    <t>Fuel Oil price</t>
  </si>
  <si>
    <t>Oil</t>
  </si>
  <si>
    <t>2004+</t>
  </si>
  <si>
    <t>1991-2003</t>
  </si>
  <si>
    <t>Power [Btu/h]</t>
  </si>
  <si>
    <t>Equipment Lifetime [yrs]</t>
  </si>
  <si>
    <t>Fuel Type</t>
  </si>
  <si>
    <t>Fuel Price [$/MMBtu]</t>
  </si>
  <si>
    <t>Water Usage [gallons/day]</t>
  </si>
  <si>
    <t>Groundwater Temperature [F]</t>
  </si>
  <si>
    <t>Energy Savings</t>
  </si>
  <si>
    <t>[$/yr]</t>
  </si>
  <si>
    <t>Maximum Allowable</t>
  </si>
  <si>
    <t>Space Heating</t>
  </si>
  <si>
    <t xml:space="preserve">    Fuel</t>
  </si>
  <si>
    <t xml:space="preserve">    System</t>
  </si>
  <si>
    <t xml:space="preserve">    Fuel Cost [$/MMBtu]</t>
  </si>
  <si>
    <t>Space Cooling</t>
  </si>
  <si>
    <t>Manufacturer</t>
  </si>
  <si>
    <t>Where to Look</t>
  </si>
  <si>
    <t>How to Decode</t>
  </si>
  <si>
    <t>Example</t>
  </si>
  <si>
    <t>Serial # -- 1st 4 digits</t>
  </si>
  <si>
    <t>1st 2 digits = year
2nd 2 digits= week</t>
  </si>
  <si>
    <t>8906xxx = made in the 6th week of the year 1989</t>
  </si>
  <si>
    <t>Serial # -- 1st 2 letters</t>
  </si>
  <si>
    <t>1st letter = year starting with A as 1984,
2nd letter = month with January (A) through December (M)</t>
  </si>
  <si>
    <t>JMxxx = made in the year 1992 (J) in the month of December (M)</t>
  </si>
  <si>
    <t>1st &amp; 2nd number = year, 
3rd &amp; 4th number = month</t>
  </si>
  <si>
    <t>8901xxx = made in the year 1989 in the first month, January</t>
  </si>
  <si>
    <t>1st &amp; 2nd digit = month, 
3rd &amp; 4th digit = year</t>
  </si>
  <si>
    <t>0189xxx = made in the year 1989 in the first month, January</t>
  </si>
  <si>
    <t>Serial # -- 2nd, 3rd, 4th characters</t>
  </si>
  <si>
    <t>2nd position (letter) = month (A being January through M being December)
3rd &amp; 4th position (numbers) = year</t>
  </si>
  <si>
    <t>AJ89xxx =  made in October (J) of 1989</t>
  </si>
  <si>
    <t>Serial # -- 1st 3 characters</t>
  </si>
  <si>
    <t>first letter = month (A being January through M, being December), 2nd and 3rd position (numbers) = year</t>
  </si>
  <si>
    <t>J89xxx = made in October of 1989</t>
  </si>
  <si>
    <t>Summit Manufacturing 
Mortex</t>
  </si>
  <si>
    <t>U.S. Craftsmaster 
Water Heaters</t>
  </si>
  <si>
    <t>8924xxx = made in the 24th week of the year 1989</t>
  </si>
  <si>
    <t>[Btu/h]</t>
  </si>
  <si>
    <t>How to Use this Spreadsheet to Evaluate Water Heater Replacement</t>
  </si>
  <si>
    <t>Installed Cost</t>
  </si>
  <si>
    <t>Investment at SIR of 1</t>
  </si>
  <si>
    <t xml:space="preserve">SIR at </t>
  </si>
  <si>
    <t>Dishwasher Present</t>
  </si>
  <si>
    <t>UA</t>
  </si>
  <si>
    <t>http://www.eia.doe.gov/cneaf/electricity/epa/average_price_state.xls</t>
  </si>
  <si>
    <t>2004</t>
  </si>
  <si>
    <t>http://tonto.eia.doe.gov/dnav/pet/pet_pri_dist_a_EPD2_PRT_cpgal_a.htm</t>
  </si>
  <si>
    <t>http://tonto.eia.doe.gov/dnav/ng/ng_pri_sum_a_EPG0_FWA_DMcf_a.htm</t>
  </si>
  <si>
    <t>http://tonto.eia.doe.gov/dnav/pet/pet_pri_dist_a_EPD2_PTA_cpgal_a.htm</t>
  </si>
  <si>
    <t>http://www.eia.doe.gov/emeu/states/sep_fuel/html/pdf/fuel_lg.pdf</t>
  </si>
  <si>
    <t>http://tonto.eia.doe.gov/dnav/pet/hist/whoreus4w.htm</t>
  </si>
  <si>
    <t>http://tonto.eia.doe.gov/dnav/pet/xls/pet_pri_wfr_a_EPLLPA_PRS_cpgal_w.xls</t>
  </si>
  <si>
    <t>pet_pri_prop_a_EPLLPA_PRT_cpgal_a.xls</t>
  </si>
  <si>
    <t>Prices are annualized 2004 from EIA.</t>
  </si>
  <si>
    <t>For LPG and Fuel Oil where state data is not available, use the appropriate PADD average fuel price for residential customers.</t>
  </si>
  <si>
    <t>For electricity, use full-services providers' prices.</t>
  </si>
  <si>
    <t>For fuel oil, use distillate fuel prices.  Distillate fuel oil includes both diesel and fuel oil.</t>
  </si>
  <si>
    <t>2. Determine your replacement strategy and select the appropriate worksheet.</t>
  </si>
  <si>
    <t>The green sections on each sheet contain the input to determine if replacement is cost effective.</t>
  </si>
  <si>
    <t>The blue sections on each sheet show the results of the replacement analysis.</t>
  </si>
  <si>
    <r>
      <t>A. Tank-to-Tank</t>
    </r>
    <r>
      <rPr>
        <sz val="12"/>
        <rFont val="Arial"/>
        <family val="2"/>
      </rPr>
      <t xml:space="preserve"> estimates cost-effectiveness of replacing a conventional tank water heater with another tank water heater.</t>
    </r>
  </si>
  <si>
    <r>
      <t>B. Tank-to-Tankless</t>
    </r>
    <r>
      <rPr>
        <sz val="12"/>
        <rFont val="Arial"/>
        <family val="2"/>
      </rPr>
      <t xml:space="preserve"> estimates cost-effectiveness of replacing a conventional tank water heater with a tankless (demand or instantaneous) water heater.</t>
    </r>
  </si>
  <si>
    <r>
      <t xml:space="preserve">C. Tank-to-HP </t>
    </r>
    <r>
      <rPr>
        <sz val="12"/>
        <rFont val="Arial"/>
        <family val="2"/>
      </rPr>
      <t>estimates cost-effectiveness of replacing a conventional tank water heater with an electric heat pump water heater.</t>
    </r>
  </si>
  <si>
    <r>
      <t>D. Tank-to-Solar</t>
    </r>
    <r>
      <rPr>
        <sz val="12"/>
        <rFont val="Arial"/>
        <family val="2"/>
      </rPr>
      <t xml:space="preserve"> estimates cost-effectiveness of replacing a conventional tank water heater with a solar hot water system.</t>
    </r>
  </si>
  <si>
    <r>
      <t>A.</t>
    </r>
    <r>
      <rPr>
        <i/>
        <sz val="12"/>
        <rFont val="Arial"/>
        <family val="2"/>
      </rPr>
      <t xml:space="preserve"> Tank-to-Tank</t>
    </r>
    <r>
      <rPr>
        <sz val="12"/>
        <rFont val="Arial"/>
        <family val="2"/>
      </rPr>
      <t xml:space="preserve"> and </t>
    </r>
    <r>
      <rPr>
        <i/>
        <sz val="12"/>
        <rFont val="Arial"/>
        <family val="2"/>
      </rPr>
      <t>Tank-to-Tankless</t>
    </r>
  </si>
  <si>
    <r>
      <t xml:space="preserve">Water Usage:  </t>
    </r>
    <r>
      <rPr>
        <sz val="12"/>
        <color indexed="48"/>
        <rFont val="Arial"/>
        <family val="2"/>
      </rPr>
      <t xml:space="preserve">The average daily water use from the </t>
    </r>
    <r>
      <rPr>
        <i/>
        <sz val="12"/>
        <color indexed="48"/>
        <rFont val="Arial"/>
        <family val="2"/>
      </rPr>
      <t>Hot Water Use</t>
    </r>
    <r>
      <rPr>
        <sz val="12"/>
        <color indexed="48"/>
        <rFont val="Arial"/>
        <family val="2"/>
      </rPr>
      <t xml:space="preserve"> sheet is automatically entered.</t>
    </r>
  </si>
  <si>
    <r>
      <t xml:space="preserve">Fuel Type:  </t>
    </r>
    <r>
      <rPr>
        <sz val="12"/>
        <color indexed="48"/>
        <rFont val="Arial"/>
        <family val="2"/>
      </rPr>
      <t>Select the water heating fuel.</t>
    </r>
  </si>
  <si>
    <r>
      <t xml:space="preserve">EF:  </t>
    </r>
    <r>
      <rPr>
        <sz val="12"/>
        <color indexed="48"/>
        <rFont val="Arial"/>
        <family val="2"/>
      </rPr>
      <t xml:space="preserve">Enter the Energy Factor from the GAMA directory, </t>
    </r>
    <r>
      <rPr>
        <i/>
        <sz val="12"/>
        <color indexed="48"/>
        <rFont val="Arial"/>
        <family val="2"/>
      </rPr>
      <t>Table 4</t>
    </r>
    <r>
      <rPr>
        <sz val="12"/>
        <color indexed="48"/>
        <rFont val="Arial"/>
        <family val="2"/>
      </rPr>
      <t xml:space="preserve">, or </t>
    </r>
    <r>
      <rPr>
        <i/>
        <sz val="12"/>
        <color indexed="48"/>
        <rFont val="Arial"/>
        <family val="2"/>
      </rPr>
      <t>Table 5</t>
    </r>
    <r>
      <rPr>
        <sz val="12"/>
        <color indexed="48"/>
        <rFont val="Arial"/>
        <family val="2"/>
      </rPr>
      <t xml:space="preserve">.  See </t>
    </r>
    <r>
      <rPr>
        <i/>
        <sz val="12"/>
        <color indexed="48"/>
        <rFont val="Arial"/>
        <family val="2"/>
      </rPr>
      <t>Appendix D</t>
    </r>
    <r>
      <rPr>
        <sz val="12"/>
        <color indexed="48"/>
        <rFont val="Arial"/>
        <family val="2"/>
      </rPr>
      <t xml:space="preserve"> for determining the year of manufacture needed to use </t>
    </r>
    <r>
      <rPr>
        <i/>
        <sz val="12"/>
        <color indexed="48"/>
        <rFont val="Arial"/>
        <family val="2"/>
      </rPr>
      <t>Table 5</t>
    </r>
    <r>
      <rPr>
        <sz val="12"/>
        <color indexed="48"/>
        <rFont val="Arial"/>
        <family val="2"/>
      </rPr>
      <t>.</t>
    </r>
  </si>
  <si>
    <r>
      <t xml:space="preserve">RE:  </t>
    </r>
    <r>
      <rPr>
        <sz val="12"/>
        <color indexed="48"/>
        <rFont val="Arial"/>
        <family val="2"/>
      </rPr>
      <t xml:space="preserve">Enter the Recovery Efficiency from the nameplate, GAMA directory, or </t>
    </r>
    <r>
      <rPr>
        <i/>
        <sz val="12"/>
        <color indexed="48"/>
        <rFont val="Arial"/>
        <family val="2"/>
      </rPr>
      <t>Table 6</t>
    </r>
    <r>
      <rPr>
        <sz val="12"/>
        <color indexed="48"/>
        <rFont val="Arial"/>
        <family val="2"/>
      </rPr>
      <t>.</t>
    </r>
  </si>
  <si>
    <r>
      <t xml:space="preserve">Power:  </t>
    </r>
    <r>
      <rPr>
        <sz val="12"/>
        <color indexed="48"/>
        <rFont val="Arial"/>
        <family val="2"/>
      </rPr>
      <t xml:space="preserve">Enter the burner capacity from the nameplate, GAMA directory, or </t>
    </r>
    <r>
      <rPr>
        <i/>
        <sz val="12"/>
        <color indexed="48"/>
        <rFont val="Arial"/>
        <family val="2"/>
      </rPr>
      <t>Table 7</t>
    </r>
    <r>
      <rPr>
        <sz val="12"/>
        <color indexed="48"/>
        <rFont val="Arial"/>
        <family val="2"/>
      </rPr>
      <t>.</t>
    </r>
  </si>
  <si>
    <r>
      <t xml:space="preserve">Equipment Lifetime:  </t>
    </r>
    <r>
      <rPr>
        <sz val="12"/>
        <color indexed="48"/>
        <rFont val="Arial"/>
        <family val="2"/>
      </rPr>
      <t>Enter the anticipated equipment lifetime for the water heater.  The warranty of the water heater is a good indicator of the lifetime.</t>
    </r>
  </si>
  <si>
    <r>
      <t xml:space="preserve">Installed Cost:  </t>
    </r>
    <r>
      <rPr>
        <sz val="12"/>
        <color indexed="48"/>
        <rFont val="Arial"/>
        <family val="2"/>
      </rPr>
      <t>Enter the equipment and installation costs needed to determine if replacement is cost effective.</t>
    </r>
  </si>
  <si>
    <r>
      <t xml:space="preserve">State:  </t>
    </r>
    <r>
      <rPr>
        <sz val="12"/>
        <color indexed="48"/>
        <rFont val="Arial"/>
        <family val="2"/>
      </rPr>
      <t>Select your state.  Default fuel prices and ground water temperatures used to estimate energy savings use these values.</t>
    </r>
  </si>
  <si>
    <r>
      <t xml:space="preserve">Tank Location:  </t>
    </r>
    <r>
      <rPr>
        <sz val="12"/>
        <rFont val="Arial"/>
        <family val="2"/>
      </rPr>
      <t>Results are shown depending upon the location of the new and replaced water heaters.</t>
    </r>
  </si>
  <si>
    <r>
      <t xml:space="preserve">Energy Savings:  </t>
    </r>
    <r>
      <rPr>
        <sz val="12"/>
        <rFont val="Arial"/>
        <family val="2"/>
      </rPr>
      <t>Similar to results from NEAT, the annual energy savings are listed.</t>
    </r>
  </si>
  <si>
    <r>
      <t xml:space="preserve">Maximum Allowable Investment at Savings-to-Investment Ratio (SIR) of 1.0:  </t>
    </r>
    <r>
      <rPr>
        <sz val="12"/>
        <rFont val="Arial"/>
        <family val="2"/>
      </rPr>
      <t>The maximum cost for a cost-effective water heater based on the Energy Savings.</t>
    </r>
  </si>
  <si>
    <r>
      <t>B.</t>
    </r>
    <r>
      <rPr>
        <i/>
        <sz val="12"/>
        <rFont val="Arial"/>
        <family val="2"/>
      </rPr>
      <t xml:space="preserve"> Tank-to-HP</t>
    </r>
  </si>
  <si>
    <r>
      <t xml:space="preserve">Space Heating:  </t>
    </r>
    <r>
      <rPr>
        <sz val="12"/>
        <rFont val="Arial"/>
        <family val="2"/>
      </rPr>
      <t xml:space="preserve">Select the main space heating fuel type used by the space heating equipment.  Select the type of main space heating equipment for the household.  </t>
    </r>
  </si>
  <si>
    <r>
      <t xml:space="preserve">Space Cooling:  </t>
    </r>
    <r>
      <rPr>
        <sz val="12"/>
        <rFont val="Arial"/>
        <family val="2"/>
      </rPr>
      <t>Select the main space cooling fuel.  Select the type of main space cooling equipment for the household.</t>
    </r>
  </si>
  <si>
    <r>
      <t xml:space="preserve">C. </t>
    </r>
    <r>
      <rPr>
        <i/>
        <sz val="12"/>
        <rFont val="Arial"/>
        <family val="2"/>
      </rPr>
      <t>Tank-to-Solar</t>
    </r>
  </si>
  <si>
    <r>
      <t xml:space="preserve">EF/SEF:  </t>
    </r>
    <r>
      <rPr>
        <sz val="12"/>
        <rFont val="Arial"/>
        <family val="2"/>
      </rPr>
      <t>Enter the Energy Factor of the tank water heater.  Enter the Solar Energy Factor of the solar water heater system.</t>
    </r>
  </si>
  <si>
    <r>
      <t xml:space="preserve">Solar Water Heater System Cost:  </t>
    </r>
    <r>
      <rPr>
        <sz val="12"/>
        <rFont val="Arial"/>
        <family val="2"/>
      </rPr>
      <t>Enter the equipment and installation costs of the solar water heater system.</t>
    </r>
  </si>
  <si>
    <r>
      <t xml:space="preserve">Solar Water Heater Collector Lifetime:  </t>
    </r>
    <r>
      <rPr>
        <sz val="12"/>
        <rFont val="Arial"/>
        <family val="2"/>
      </rPr>
      <t>Enter the collector lifetime; typically the warranty period is a good indication.</t>
    </r>
  </si>
  <si>
    <t>The data entry is much the same as for Tank-to-Tank and Tank-to-Tankless replacement.  Since a heat pump water heater draws heat from ambient air to heat water, information about the space heating and cooling systems is needed to assess the energy gains and/or penalties.  Space heating energy gains and losses are included when the water heater is located with conditioned space.  Unintentionally conditioned spaces include the energy penalty during the heating seasons, but not the cooling benefit.</t>
  </si>
  <si>
    <r>
      <t xml:space="preserve">Enter the specifications of the existing water heater in the "Existing" column.  Enter the specifications of the candidate water heater in the "Replacement" column to determine if the new water heater is cost effective.  </t>
    </r>
    <r>
      <rPr>
        <b/>
        <sz val="12"/>
        <color indexed="48"/>
        <rFont val="Arial"/>
        <family val="2"/>
      </rPr>
      <t xml:space="preserve">Blue and bolded specifications are required.  </t>
    </r>
    <r>
      <rPr>
        <i/>
        <sz val="12"/>
        <rFont val="Arial"/>
        <family val="2"/>
      </rPr>
      <t>Italics indicate sheets.</t>
    </r>
  </si>
  <si>
    <r>
      <t xml:space="preserve">SIR at Installed Cost:  </t>
    </r>
    <r>
      <rPr>
        <sz val="12"/>
        <rFont val="Arial"/>
        <family val="2"/>
      </rPr>
      <t>The energy savings over the life of the replacement water heater, discounted to present value, divided by the installed cost.  SIRs greater than or equal to one are cost effective.  If the SIR is less than one, the replacement is not cost effective.</t>
    </r>
  </si>
  <si>
    <r>
      <t xml:space="preserve">Tank Replacement Cost:  </t>
    </r>
    <r>
      <rPr>
        <sz val="12"/>
        <rFont val="Arial"/>
        <family val="2"/>
      </rPr>
      <t>The solar water heating system (collectors, controls, etc.) will outlive the tank water heater that is also a required part of the system.  Therefore, the tank water heater will need to be replaced at some point within the economic lifetime of the solar system.  Enter the cost (in today's dollars) to replace the tank water heater when the original tank fails.</t>
    </r>
  </si>
  <si>
    <r>
      <t xml:space="preserve">Tank Replacement Lifetime:  </t>
    </r>
    <r>
      <rPr>
        <sz val="12"/>
        <rFont val="Arial"/>
        <family val="2"/>
      </rPr>
      <t>Enter the lifetime or warranty period of the tank water heater that is part of the solar water heating system.  This lifetime is also used for any additional tank water heaters needed throughout the life of the solar water heating system.</t>
    </r>
  </si>
  <si>
    <t>Tank Size [Gallons]</t>
  </si>
  <si>
    <t>Natural Gas Or Propane</t>
  </si>
  <si>
    <t>Fuel Source</t>
  </si>
  <si>
    <t>&lt;1982</t>
  </si>
  <si>
    <t>1982-1984</t>
  </si>
  <si>
    <t>1986-1987</t>
  </si>
  <si>
    <t>1988-1989</t>
  </si>
  <si>
    <t>Source: Wenzel, Tom P., Jonathan G. Koomey, Gregory J. Rosenquist, Marla Sanchez, and James W. Hanford  1997.  Energy Data Sourcebook for the U.S. Residential Sector.  Lawrence Berkeley National Laboratory (LBL-40297).</t>
  </si>
  <si>
    <t>Recovery Efficiency (RE)</t>
  </si>
  <si>
    <t>Natural Gas or Propane</t>
  </si>
  <si>
    <t>40,000 Btu/h</t>
  </si>
  <si>
    <t>4.5 kW</t>
  </si>
  <si>
    <t>95,000 Btu/h</t>
  </si>
  <si>
    <r>
      <t xml:space="preserve">Table 4 </t>
    </r>
    <r>
      <rPr>
        <b/>
        <sz val="12"/>
        <rFont val="Symbol"/>
        <family val="1"/>
      </rPr>
      <t>-</t>
    </r>
    <r>
      <rPr>
        <b/>
        <sz val="12"/>
        <rFont val="Times New Roman"/>
        <family val="1"/>
      </rPr>
      <t xml:space="preserve"> Minimum Energy Factors Required by NAECA* for Post-1990 Water Heaters</t>
    </r>
  </si>
  <si>
    <r>
      <t xml:space="preserve">* </t>
    </r>
    <r>
      <rPr>
        <sz val="8"/>
        <rFont val="Arial"/>
        <family val="2"/>
      </rPr>
      <t>National Appliance Energy Consumption Act of 1987</t>
    </r>
  </si>
  <si>
    <r>
      <t xml:space="preserve">Table 5 </t>
    </r>
    <r>
      <rPr>
        <b/>
        <sz val="12"/>
        <rFont val="Symbol"/>
        <family val="1"/>
      </rPr>
      <t>-</t>
    </r>
    <r>
      <rPr>
        <b/>
        <sz val="12"/>
        <rFont val="Times New Roman"/>
        <family val="1"/>
      </rPr>
      <t xml:space="preserve"> Pre-1990 Water Heater Energy Factors</t>
    </r>
  </si>
  <si>
    <r>
      <t xml:space="preserve">Table 6 </t>
    </r>
    <r>
      <rPr>
        <b/>
        <sz val="12"/>
        <rFont val="Symbol"/>
        <family val="1"/>
      </rPr>
      <t>-</t>
    </r>
    <r>
      <rPr>
        <b/>
        <sz val="12"/>
        <rFont val="Times New Roman"/>
        <family val="1"/>
      </rPr>
      <t xml:space="preserve"> Typical Water Heater Recovery Efficiencies</t>
    </r>
  </si>
  <si>
    <r>
      <t xml:space="preserve">Table 7 </t>
    </r>
    <r>
      <rPr>
        <b/>
        <sz val="12"/>
        <rFont val="Symbol"/>
        <family val="1"/>
      </rPr>
      <t>-</t>
    </r>
    <r>
      <rPr>
        <b/>
        <sz val="12"/>
        <rFont val="Times New Roman"/>
        <family val="1"/>
      </rPr>
      <t xml:space="preserve"> Typical Water Heater Input Power Ratings</t>
    </r>
  </si>
  <si>
    <r>
      <t>Burner/Element Input (P</t>
    </r>
    <r>
      <rPr>
        <b/>
        <vertAlign val="subscript"/>
        <sz val="12"/>
        <rFont val="Arial"/>
        <family val="2"/>
      </rPr>
      <t>on</t>
    </r>
    <r>
      <rPr>
        <b/>
        <sz val="12"/>
        <rFont val="Arial"/>
        <family val="2"/>
      </rPr>
      <t>)</t>
    </r>
  </si>
  <si>
    <t>Vaughn Manufacturing Corp.</t>
  </si>
  <si>
    <t>ACE, American, American Hardware, America's Best, Apex, Aqua Temp, AquaTherm, Aquamatic, Best, Best Deluxe, Champion, Craftmaster, De-Limer, Deluxe, Eagle, The Earl's Energy Conservation Water Heater,The Earl's Energy Saver Plus, Envirotemp, Four Most, Hotmaster, Hotstream, King-Kleen, King-Line, Master Plumber, Nationaline, Neptune, Penquin, Premier Plus, Premier Plus Self Cleaning Prestige, ProLine and ProLine Plus, Quaker,Quick-Flo, Raywall, Revere, Riveria, Sands, Sentinal, Servi-Star, Shamrock, Special Deluxe, Standard, Super Eagle, Super-Flo, Supreme, Sure-Fire, Thoro-Clean, Tru-Test, Tru Value, U.S. Supply, Whirlpool, XCL Energy Saver</t>
  </si>
  <si>
    <t>Ace, American Hardware, America's Best, Apex, Aqua Temp, Aqua Therm, Aquamatic, Best, Best Deluxe, Craftmaster, De-Limer, Deluxe, Eagle, The Earl's Energy Conservation Water Heater,The Earl's Energy Saver Plus, Envirotemp, Four Most, Hotmaster, Hotstream, King-Kleen, King-Line, Master Plumber, Nationaline, Neptune, Penquin, Prestige, Pro-Line, Pro-Line Plus, Quaker, Quick-Flo, Raywall, Revere, Riviera, Sands, Sentinal, Servistar, Shamrock, Special Deluxe, Standard, Supereagle, Super-Flo, Supreme, Sure-Fire, Thoro-Clean, True-Test, Tru Value, U.S. Craftmaster, U.S. Supply, Whirlpool, XCL Energy Saver</t>
  </si>
  <si>
    <r>
      <t xml:space="preserve">1. Average Daily Hot Water Use.  Select the </t>
    </r>
    <r>
      <rPr>
        <i/>
        <sz val="12"/>
        <rFont val="Arial"/>
        <family val="2"/>
      </rPr>
      <t>Hot Water Consumption</t>
    </r>
    <r>
      <rPr>
        <sz val="12"/>
        <rFont val="Arial"/>
        <family val="2"/>
      </rPr>
      <t xml:space="preserve"> sheet.   Enter the number of </t>
    </r>
    <r>
      <rPr>
        <b/>
        <sz val="12"/>
        <color indexed="48"/>
        <rFont val="Arial"/>
        <family val="2"/>
      </rPr>
      <t>Occupants</t>
    </r>
    <r>
      <rPr>
        <sz val="12"/>
        <rFont val="Arial"/>
        <family val="2"/>
      </rPr>
      <t xml:space="preserve"> that live in the housing unit throughout the entire year.  Enter either “Y” (Yes) or “N” (No) for </t>
    </r>
    <r>
      <rPr>
        <b/>
        <sz val="12"/>
        <color indexed="48"/>
        <rFont val="Arial"/>
        <family val="2"/>
      </rPr>
      <t>Dishwasher Present</t>
    </r>
    <r>
      <rPr>
        <sz val="12"/>
        <rFont val="Arial"/>
        <family val="2"/>
      </rPr>
      <t xml:space="preserve"> and </t>
    </r>
    <r>
      <rPr>
        <b/>
        <sz val="12"/>
        <color indexed="48"/>
        <rFont val="Arial"/>
        <family val="2"/>
      </rPr>
      <t>Clothes Washer Present</t>
    </r>
    <r>
      <rPr>
        <sz val="12"/>
        <rFont val="Arial"/>
        <family val="2"/>
      </rPr>
      <t>.</t>
    </r>
  </si>
  <si>
    <t>y</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</si>
</sst>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 numFmtId="170" formatCode="0.0"/>
    <numFmt numFmtId="171" formatCode="_(&quot;$&quot;* #,##0.0_);_(&quot;$&quot;* \(#,##0.0\);_(&quot;$&quot;* &quot;-&quot;??_);_(@_)"/>
    <numFmt numFmtId="172" formatCode="_(&quot;$&quot;* #,##0_);_(&quot;$&quot;* \(#,##0\);_(&quot;$&quot;* &quot;-&quot;??_);_(@_)"/>
    <numFmt numFmtId="173" formatCode="_(&quot;$&quot;* #,##0.000_);_(&quot;$&quot;* \(#,##0.000\);_(&quot;$&quot;* &quot;-&quot;??_);_(@_)"/>
    <numFmt numFmtId="174" formatCode="0.0%"/>
    <numFmt numFmtId="175" formatCode="_(&quot;$&quot;* #,##0.0000_);_(&quot;$&quot;* \(#,##0.0000\);_(&quot;$&quot;* &quot;-&quot;??_);_(@_)"/>
    <numFmt numFmtId="176" formatCode="_(&quot;$&quot;* #,##0.00000_);_(&quot;$&quot;* \(#,##0.00000\);_(&quot;$&quot;* &quot;-&quot;??_);_(@_)"/>
    <numFmt numFmtId="177" formatCode="_(&quot;$&quot;* #,##0.000000_);_(&quot;$&quot;* \(#,##0.000000\);_(&quot;$&quot;* &quot;-&quot;??_);_(@_)"/>
    <numFmt numFmtId="178" formatCode="_(&quot;$&quot;* #,##0.000_);_(&quot;$&quot;* \(#,##0.000\);_(&quot;$&quot;* &quot;-&quot;???_);_(@_)"/>
    <numFmt numFmtId="179" formatCode="&quot;$&quot;#,##0.000_);[Red]\(&quot;$&quot;#,##0.000\)"/>
    <numFmt numFmtId="180" formatCode="&quot;$&quot;#,##0.0_);[Red]\(&quot;$&quot;#,##0.0\)"/>
    <numFmt numFmtId="181" formatCode="&quot;$&quot;#,##0.000_);\(&quot;$&quot;#,##0.000\)"/>
    <numFmt numFmtId="182" formatCode="_(* #,##0.0_);_(* \(#,##0.0\);_(* &quot;-&quot;??_);_(@_)"/>
    <numFmt numFmtId="183" formatCode="&quot;Yes&quot;;&quot;Yes&quot;;&quot;No&quot;"/>
    <numFmt numFmtId="184" formatCode="&quot;True&quot;;&quot;True&quot;;&quot;False&quot;"/>
    <numFmt numFmtId="185" formatCode="&quot;On&quot;;&quot;On&quot;;&quot;Off&quot;"/>
    <numFmt numFmtId="186" formatCode="_(* #,##0_);_(* \(#,##0\);_(* &quot;-&quot;??_);_(@_)"/>
    <numFmt numFmtId="187" formatCode="&quot;$&quot;#,##0.0_);\(&quot;$&quot;#,##0.0\)"/>
    <numFmt numFmtId="188" formatCode="&quot;$&quot;#,##0"/>
    <numFmt numFmtId="189" formatCode="&quot;$&quot;#,##0.00"/>
    <numFmt numFmtId="190" formatCode="&quot;$&quot;#,##0.0"/>
    <numFmt numFmtId="191" formatCode="&quot;$&quot;\ \ #,##0"/>
    <numFmt numFmtId="192" formatCode="#,##0.0"/>
    <numFmt numFmtId="193" formatCode="#,##0.000"/>
    <numFmt numFmtId="194" formatCode="#,##0.0000"/>
    <numFmt numFmtId="195" formatCode="&quot;$&quot;\ #,##0_);\(&quot;$&quot;\ #,##0\)"/>
    <numFmt numFmtId="196" formatCode="&quot;$&quot;\ \ #,##0.0"/>
    <numFmt numFmtId="197" formatCode="&quot;$&quot;\ \ #,##0.00"/>
  </numFmts>
  <fonts count="67">
    <font>
      <sz val="10"/>
      <name val="Arial"/>
      <family val="0"/>
    </font>
    <font>
      <b/>
      <sz val="10"/>
      <name val="Arial"/>
      <family val="2"/>
    </font>
    <font>
      <b/>
      <sz val="12"/>
      <name val="Arial"/>
      <family val="2"/>
    </font>
    <font>
      <sz val="12"/>
      <name val="Arial"/>
      <family val="2"/>
    </font>
    <font>
      <b/>
      <sz val="12"/>
      <color indexed="48"/>
      <name val="Arial"/>
      <family val="2"/>
    </font>
    <font>
      <u val="single"/>
      <sz val="12"/>
      <name val="Arial"/>
      <family val="2"/>
    </font>
    <font>
      <b/>
      <sz val="12"/>
      <color indexed="46"/>
      <name val="Arial"/>
      <family val="2"/>
    </font>
    <font>
      <b/>
      <sz val="12"/>
      <color indexed="10"/>
      <name val="Arial"/>
      <family val="2"/>
    </font>
    <font>
      <sz val="10"/>
      <color indexed="12"/>
      <name val="Arial"/>
      <family val="2"/>
    </font>
    <font>
      <sz val="12"/>
      <color indexed="48"/>
      <name val="Arial"/>
      <family val="2"/>
    </font>
    <font>
      <b/>
      <u val="single"/>
      <sz val="12"/>
      <name val="Arial"/>
      <family val="2"/>
    </font>
    <font>
      <u val="single"/>
      <sz val="10"/>
      <name val="Arial"/>
      <family val="2"/>
    </font>
    <font>
      <u val="single"/>
      <sz val="8.5"/>
      <color indexed="12"/>
      <name val="Arial"/>
      <family val="0"/>
    </font>
    <font>
      <u val="single"/>
      <sz val="8.5"/>
      <color indexed="36"/>
      <name val="Arial"/>
      <family val="0"/>
    </font>
    <font>
      <b/>
      <sz val="12"/>
      <color indexed="12"/>
      <name val="Arial"/>
      <family val="2"/>
    </font>
    <font>
      <sz val="8"/>
      <name val="Tahoma"/>
      <family val="0"/>
    </font>
    <font>
      <b/>
      <sz val="8"/>
      <name val="Tahoma"/>
      <family val="0"/>
    </font>
    <font>
      <b/>
      <sz val="8"/>
      <name val="Arial"/>
      <family val="2"/>
    </font>
    <font>
      <sz val="8"/>
      <name val="Arial"/>
      <family val="2"/>
    </font>
    <font>
      <i/>
      <sz val="12"/>
      <name val="Arial"/>
      <family val="2"/>
    </font>
    <font>
      <b/>
      <sz val="14"/>
      <name val="Arial"/>
      <family val="2"/>
    </font>
    <font>
      <i/>
      <sz val="12"/>
      <color indexed="48"/>
      <name val="Arial"/>
      <family val="2"/>
    </font>
    <font>
      <b/>
      <i/>
      <sz val="12"/>
      <name val="Arial"/>
      <family val="2"/>
    </font>
    <font>
      <b/>
      <sz val="12"/>
      <name val="Symbol"/>
      <family val="1"/>
    </font>
    <font>
      <b/>
      <sz val="12"/>
      <name val="Times New Roman"/>
      <family val="1"/>
    </font>
    <font>
      <b/>
      <vertAlign val="subscrip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1.25"/>
      <color indexed="8"/>
      <name val="Arial"/>
      <family val="0"/>
    </font>
    <font>
      <sz val="12"/>
      <color indexed="8"/>
      <name val="Arial"/>
      <family val="0"/>
    </font>
    <font>
      <vertAlign val="superscript"/>
      <sz val="12"/>
      <color indexed="8"/>
      <name val="Arial"/>
      <family val="0"/>
    </font>
    <font>
      <sz val="11"/>
      <color indexed="8"/>
      <name val="Arial"/>
      <family val="0"/>
    </font>
    <font>
      <b/>
      <sz val="12"/>
      <color indexed="8"/>
      <name val="Arial"/>
      <family val="0"/>
    </font>
    <font>
      <b/>
      <sz val="14"/>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2"/>
        <bgColor indexed="64"/>
      </patternFill>
    </fill>
    <fill>
      <patternFill patternType="solid">
        <fgColor indexed="41"/>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style="thin"/>
      <top>
        <color indexed="63"/>
      </top>
      <bottom style="medium"/>
    </border>
    <border>
      <left>
        <color indexed="63"/>
      </left>
      <right style="medium"/>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style="thin"/>
    </border>
    <border>
      <left style="thin"/>
      <right style="thin"/>
      <top>
        <color indexed="63"/>
      </top>
      <bottom style="thin"/>
    </border>
    <border>
      <left style="thin"/>
      <right>
        <color indexed="63"/>
      </right>
      <top>
        <color indexed="63"/>
      </top>
      <bottom style="medium"/>
    </border>
    <border>
      <left>
        <color indexed="63"/>
      </left>
      <right style="medium"/>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3"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2"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1" fillId="0" borderId="0" applyNumberFormat="0" applyFill="0" applyBorder="0">
      <alignment horizontal="center" wrapText="1"/>
      <protection/>
    </xf>
    <xf numFmtId="0" fontId="1" fillId="0" borderId="0" applyNumberFormat="0" applyFill="0" applyBorder="0">
      <alignment horizontal="center" wrapText="1"/>
      <protection/>
    </xf>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38">
    <xf numFmtId="0" fontId="0" fillId="0" borderId="0" xfId="0" applyAlignment="1">
      <alignment/>
    </xf>
    <xf numFmtId="1" fontId="0" fillId="0" borderId="0" xfId="0" applyNumberFormat="1" applyAlignment="1">
      <alignment/>
    </xf>
    <xf numFmtId="2" fontId="0" fillId="0" borderId="0" xfId="0" applyNumberFormat="1" applyAlignment="1">
      <alignment/>
    </xf>
    <xf numFmtId="172" fontId="1" fillId="0" borderId="0" xfId="44" applyNumberFormat="1" applyFont="1" applyAlignment="1">
      <alignment horizontal="center"/>
    </xf>
    <xf numFmtId="0" fontId="2" fillId="0" borderId="0" xfId="0" applyFont="1" applyAlignment="1">
      <alignment horizontal="center"/>
    </xf>
    <xf numFmtId="0" fontId="3" fillId="0" borderId="0" xfId="0" applyFont="1" applyAlignment="1">
      <alignment/>
    </xf>
    <xf numFmtId="0" fontId="2" fillId="0" borderId="0" xfId="0" applyFont="1" applyAlignment="1">
      <alignment/>
    </xf>
    <xf numFmtId="49" fontId="0" fillId="0" borderId="0" xfId="0" applyNumberFormat="1" applyAlignment="1">
      <alignment/>
    </xf>
    <xf numFmtId="49" fontId="1" fillId="0" borderId="0" xfId="0" applyNumberFormat="1" applyFont="1" applyAlignment="1">
      <alignment/>
    </xf>
    <xf numFmtId="170" fontId="3" fillId="0" borderId="0" xfId="0" applyNumberFormat="1" applyFont="1" applyAlignment="1">
      <alignment/>
    </xf>
    <xf numFmtId="0" fontId="3" fillId="0" borderId="10" xfId="0" applyFont="1" applyBorder="1" applyAlignment="1">
      <alignment/>
    </xf>
    <xf numFmtId="170" fontId="2" fillId="0" borderId="0" xfId="0" applyNumberFormat="1" applyFont="1" applyAlignment="1">
      <alignment/>
    </xf>
    <xf numFmtId="0" fontId="4" fillId="0" borderId="0" xfId="0" applyFont="1" applyAlignment="1">
      <alignment horizontal="center"/>
    </xf>
    <xf numFmtId="0" fontId="4" fillId="0" borderId="0" xfId="0" applyFont="1" applyAlignment="1">
      <alignment/>
    </xf>
    <xf numFmtId="2" fontId="0" fillId="0" borderId="0" xfId="0" applyNumberFormat="1" applyAlignment="1">
      <alignment/>
    </xf>
    <xf numFmtId="0" fontId="3" fillId="0" borderId="0" xfId="0" applyFont="1" applyAlignment="1">
      <alignment horizontal="center"/>
    </xf>
    <xf numFmtId="2" fontId="3" fillId="0" borderId="0" xfId="0" applyNumberFormat="1" applyFont="1" applyAlignment="1">
      <alignment horizontal="center"/>
    </xf>
    <xf numFmtId="1" fontId="3" fillId="0" borderId="0" xfId="0" applyNumberFormat="1" applyFont="1" applyAlignment="1">
      <alignment horizontal="center"/>
    </xf>
    <xf numFmtId="2" fontId="3" fillId="0" borderId="0" xfId="0" applyNumberFormat="1" applyFont="1" applyAlignment="1">
      <alignment/>
    </xf>
    <xf numFmtId="5" fontId="3" fillId="0" borderId="0" xfId="44" applyNumberFormat="1" applyFont="1" applyAlignment="1">
      <alignment horizontal="center"/>
    </xf>
    <xf numFmtId="172" fontId="6" fillId="0" borderId="0" xfId="44" applyNumberFormat="1" applyFont="1" applyAlignment="1">
      <alignment horizontal="center"/>
    </xf>
    <xf numFmtId="172" fontId="2" fillId="0" borderId="0" xfId="44" applyNumberFormat="1" applyFont="1" applyAlignment="1">
      <alignment horizontal="center"/>
    </xf>
    <xf numFmtId="1" fontId="3" fillId="0" borderId="0" xfId="0" applyNumberFormat="1" applyFont="1" applyAlignment="1">
      <alignment/>
    </xf>
    <xf numFmtId="9" fontId="3" fillId="0" borderId="0" xfId="59" applyFont="1" applyAlignment="1">
      <alignment/>
    </xf>
    <xf numFmtId="172" fontId="3" fillId="0" borderId="0" xfId="44" applyNumberFormat="1" applyFont="1" applyAlignment="1">
      <alignment horizontal="center"/>
    </xf>
    <xf numFmtId="5" fontId="2" fillId="0" borderId="0" xfId="44" applyNumberFormat="1" applyFont="1" applyAlignment="1">
      <alignment horizontal="center"/>
    </xf>
    <xf numFmtId="1" fontId="0" fillId="0" borderId="0" xfId="0" applyNumberFormat="1" applyAlignment="1">
      <alignment horizontal="fill"/>
    </xf>
    <xf numFmtId="182" fontId="0" fillId="0" borderId="0" xfId="42" applyNumberFormat="1" applyFont="1" applyAlignment="1">
      <alignment/>
    </xf>
    <xf numFmtId="9" fontId="0" fillId="0" borderId="0" xfId="59" applyFont="1" applyAlignment="1">
      <alignment/>
    </xf>
    <xf numFmtId="170" fontId="0" fillId="0" borderId="0" xfId="0" applyNumberFormat="1" applyAlignment="1">
      <alignment/>
    </xf>
    <xf numFmtId="2" fontId="0" fillId="0" borderId="0" xfId="0" applyNumberFormat="1" applyFont="1" applyAlignment="1">
      <alignment/>
    </xf>
    <xf numFmtId="0" fontId="8" fillId="0" borderId="0" xfId="0" applyFont="1" applyAlignment="1">
      <alignment/>
    </xf>
    <xf numFmtId="170" fontId="8" fillId="0" borderId="0" xfId="0" applyNumberFormat="1" applyFont="1" applyAlignment="1">
      <alignment/>
    </xf>
    <xf numFmtId="0" fontId="7" fillId="0" borderId="0" xfId="0" applyFont="1" applyAlignment="1">
      <alignment/>
    </xf>
    <xf numFmtId="186" fontId="0" fillId="0" borderId="0" xfId="42" applyNumberFormat="1" applyFont="1" applyAlignment="1">
      <alignment/>
    </xf>
    <xf numFmtId="0" fontId="0" fillId="0" borderId="0" xfId="0" applyBorder="1" applyAlignment="1">
      <alignment/>
    </xf>
    <xf numFmtId="170" fontId="2" fillId="0" borderId="0" xfId="0" applyNumberFormat="1" applyFont="1" applyBorder="1" applyAlignment="1">
      <alignment/>
    </xf>
    <xf numFmtId="1" fontId="0" fillId="0" borderId="0" xfId="0" applyNumberFormat="1" applyBorder="1" applyAlignment="1">
      <alignment/>
    </xf>
    <xf numFmtId="7" fontId="3" fillId="0" borderId="0" xfId="44" applyNumberFormat="1" applyFont="1" applyAlignment="1">
      <alignment horizontal="center"/>
    </xf>
    <xf numFmtId="170" fontId="0" fillId="0" borderId="0" xfId="0" applyNumberFormat="1" applyFont="1" applyAlignment="1">
      <alignment/>
    </xf>
    <xf numFmtId="43" fontId="0" fillId="0" borderId="0" xfId="42" applyNumberFormat="1" applyFont="1" applyAlignment="1">
      <alignment/>
    </xf>
    <xf numFmtId="0" fontId="3" fillId="0" borderId="0" xfId="0" applyNumberFormat="1" applyFont="1" applyAlignment="1">
      <alignment/>
    </xf>
    <xf numFmtId="1" fontId="7" fillId="0" borderId="0" xfId="0" applyNumberFormat="1" applyFont="1" applyAlignment="1">
      <alignment/>
    </xf>
    <xf numFmtId="0" fontId="0" fillId="0" borderId="0" xfId="0" applyFont="1" applyAlignment="1">
      <alignment/>
    </xf>
    <xf numFmtId="0" fontId="11" fillId="0" borderId="0" xfId="0" applyFont="1" applyAlignment="1">
      <alignment horizontal="center"/>
    </xf>
    <xf numFmtId="0" fontId="1" fillId="0" borderId="11" xfId="0" applyFont="1" applyBorder="1" applyAlignment="1">
      <alignment/>
    </xf>
    <xf numFmtId="0" fontId="1" fillId="0" borderId="11" xfId="0" applyFont="1" applyFill="1" applyBorder="1" applyAlignment="1">
      <alignment/>
    </xf>
    <xf numFmtId="0" fontId="17" fillId="0" borderId="0" xfId="0" applyFont="1" applyAlignment="1">
      <alignment/>
    </xf>
    <xf numFmtId="0" fontId="18" fillId="0" borderId="11" xfId="0" applyFont="1" applyBorder="1" applyAlignment="1">
      <alignment vertical="center"/>
    </xf>
    <xf numFmtId="0" fontId="18" fillId="0" borderId="11" xfId="0" applyFont="1" applyBorder="1" applyAlignment="1">
      <alignment vertical="center" wrapText="1"/>
    </xf>
    <xf numFmtId="0" fontId="18" fillId="0" borderId="0" xfId="0" applyFont="1" applyAlignment="1">
      <alignment/>
    </xf>
    <xf numFmtId="0" fontId="3" fillId="33" borderId="12" xfId="0" applyFont="1" applyFill="1" applyBorder="1" applyAlignment="1">
      <alignment/>
    </xf>
    <xf numFmtId="0" fontId="3" fillId="33" borderId="13" xfId="0" applyFont="1" applyFill="1" applyBorder="1" applyAlignment="1">
      <alignment horizontal="centerContinuous"/>
    </xf>
    <xf numFmtId="0" fontId="3" fillId="33" borderId="13" xfId="0" applyFont="1" applyFill="1" applyBorder="1" applyAlignment="1">
      <alignment horizontal="center"/>
    </xf>
    <xf numFmtId="0" fontId="0" fillId="33" borderId="13" xfId="0" applyFill="1" applyBorder="1" applyAlignment="1">
      <alignment/>
    </xf>
    <xf numFmtId="0" fontId="5" fillId="33" borderId="0" xfId="0" applyFont="1" applyFill="1" applyBorder="1" applyAlignment="1">
      <alignment horizontal="center"/>
    </xf>
    <xf numFmtId="0" fontId="0" fillId="33" borderId="0" xfId="0" applyFill="1" applyBorder="1" applyAlignment="1">
      <alignment/>
    </xf>
    <xf numFmtId="0" fontId="3" fillId="33" borderId="0" xfId="0" applyFont="1" applyFill="1" applyBorder="1" applyAlignment="1">
      <alignment horizontal="center"/>
    </xf>
    <xf numFmtId="0" fontId="3" fillId="33" borderId="14" xfId="0" applyFont="1" applyFill="1" applyBorder="1" applyAlignment="1">
      <alignment/>
    </xf>
    <xf numFmtId="0" fontId="3" fillId="33" borderId="15" xfId="0" applyFont="1" applyFill="1" applyBorder="1" applyAlignment="1">
      <alignment/>
    </xf>
    <xf numFmtId="1" fontId="3" fillId="33" borderId="0" xfId="0" applyNumberFormat="1" applyFont="1" applyFill="1" applyBorder="1" applyAlignment="1">
      <alignment horizontal="center"/>
    </xf>
    <xf numFmtId="0" fontId="3" fillId="33" borderId="0" xfId="0" applyFont="1" applyFill="1" applyBorder="1" applyAlignment="1">
      <alignment/>
    </xf>
    <xf numFmtId="172" fontId="2" fillId="33" borderId="0" xfId="44" applyNumberFormat="1" applyFont="1" applyFill="1" applyBorder="1" applyAlignment="1">
      <alignment horizontal="center"/>
    </xf>
    <xf numFmtId="5" fontId="3" fillId="33" borderId="0" xfId="44" applyNumberFormat="1" applyFont="1" applyFill="1" applyBorder="1" applyAlignment="1">
      <alignment horizontal="center"/>
    </xf>
    <xf numFmtId="5" fontId="2" fillId="33" borderId="0" xfId="44" applyNumberFormat="1" applyFont="1" applyFill="1" applyBorder="1" applyAlignment="1">
      <alignment horizontal="center"/>
    </xf>
    <xf numFmtId="170" fontId="2" fillId="33" borderId="0" xfId="0" applyNumberFormat="1" applyFont="1" applyFill="1" applyBorder="1" applyAlignment="1">
      <alignment horizontal="center"/>
    </xf>
    <xf numFmtId="5" fontId="2" fillId="33" borderId="0" xfId="44" applyNumberFormat="1" applyFont="1" applyFill="1" applyBorder="1" applyAlignment="1">
      <alignment/>
    </xf>
    <xf numFmtId="172" fontId="6" fillId="33" borderId="0" xfId="44" applyNumberFormat="1" applyFont="1" applyFill="1" applyBorder="1" applyAlignment="1">
      <alignment horizontal="center"/>
    </xf>
    <xf numFmtId="0" fontId="3" fillId="33" borderId="16" xfId="0" applyFont="1" applyFill="1" applyBorder="1" applyAlignment="1">
      <alignment/>
    </xf>
    <xf numFmtId="5" fontId="3" fillId="33" borderId="17" xfId="44" applyNumberFormat="1" applyFont="1" applyFill="1" applyBorder="1" applyAlignment="1">
      <alignment horizontal="center"/>
    </xf>
    <xf numFmtId="172" fontId="2" fillId="33" borderId="17" xfId="44" applyNumberFormat="1" applyFont="1" applyFill="1" applyBorder="1" applyAlignment="1">
      <alignment horizontal="center"/>
    </xf>
    <xf numFmtId="0" fontId="3" fillId="33" borderId="18" xfId="0" applyFont="1" applyFill="1" applyBorder="1" applyAlignment="1">
      <alignment/>
    </xf>
    <xf numFmtId="0" fontId="5" fillId="33" borderId="15" xfId="0" applyFont="1" applyFill="1" applyBorder="1" applyAlignment="1">
      <alignment/>
    </xf>
    <xf numFmtId="0" fontId="2" fillId="33" borderId="13" xfId="0" applyFont="1" applyFill="1" applyBorder="1" applyAlignment="1">
      <alignment horizontal="centerContinuous"/>
    </xf>
    <xf numFmtId="0" fontId="10" fillId="33" borderId="0" xfId="0" applyFont="1" applyFill="1" applyBorder="1" applyAlignment="1">
      <alignment horizontal="center"/>
    </xf>
    <xf numFmtId="0" fontId="9" fillId="33" borderId="15" xfId="0" applyFont="1" applyFill="1" applyBorder="1" applyAlignment="1">
      <alignment horizontal="right"/>
    </xf>
    <xf numFmtId="1" fontId="9" fillId="33" borderId="0" xfId="0" applyNumberFormat="1" applyFont="1" applyFill="1" applyBorder="1" applyAlignment="1">
      <alignment horizontal="center"/>
    </xf>
    <xf numFmtId="0" fontId="5" fillId="33" borderId="14" xfId="0" applyFont="1" applyFill="1" applyBorder="1" applyAlignment="1">
      <alignment horizontal="center"/>
    </xf>
    <xf numFmtId="9" fontId="9" fillId="33" borderId="0" xfId="59" applyFont="1" applyFill="1" applyBorder="1" applyAlignment="1">
      <alignment horizontal="center"/>
    </xf>
    <xf numFmtId="5" fontId="9" fillId="33" borderId="0" xfId="44" applyNumberFormat="1" applyFont="1" applyFill="1" applyBorder="1" applyAlignment="1">
      <alignment horizontal="center"/>
    </xf>
    <xf numFmtId="172" fontId="2" fillId="33" borderId="14" xfId="44" applyNumberFormat="1" applyFont="1" applyFill="1" applyBorder="1" applyAlignment="1">
      <alignment horizontal="center"/>
    </xf>
    <xf numFmtId="0" fontId="2" fillId="33" borderId="0" xfId="0" applyFont="1" applyFill="1" applyBorder="1" applyAlignment="1">
      <alignment horizontal="center"/>
    </xf>
    <xf numFmtId="0" fontId="0" fillId="33" borderId="0" xfId="0" applyFont="1" applyFill="1" applyBorder="1" applyAlignment="1">
      <alignment/>
    </xf>
    <xf numFmtId="0" fontId="0" fillId="33" borderId="14" xfId="0" applyFont="1" applyFill="1" applyBorder="1" applyAlignment="1">
      <alignment/>
    </xf>
    <xf numFmtId="0" fontId="1" fillId="0" borderId="11" xfId="0" applyFont="1" applyBorder="1" applyAlignment="1">
      <alignment horizontal="justify" vertical="top"/>
    </xf>
    <xf numFmtId="0" fontId="18" fillId="0" borderId="11" xfId="0" applyFont="1" applyBorder="1" applyAlignment="1">
      <alignment horizontal="justify" vertical="center"/>
    </xf>
    <xf numFmtId="0" fontId="5" fillId="0" borderId="0" xfId="0" applyFont="1" applyAlignment="1">
      <alignment horizontal="center"/>
    </xf>
    <xf numFmtId="0" fontId="3" fillId="0" borderId="0" xfId="0" applyFont="1" applyAlignment="1">
      <alignment horizontal="left"/>
    </xf>
    <xf numFmtId="0" fontId="18" fillId="0" borderId="11" xfId="0" applyFont="1" applyFill="1" applyBorder="1" applyAlignment="1">
      <alignment vertical="center"/>
    </xf>
    <xf numFmtId="0" fontId="18" fillId="0" borderId="11" xfId="0" applyFont="1" applyFill="1" applyBorder="1" applyAlignment="1">
      <alignment vertical="center" wrapText="1"/>
    </xf>
    <xf numFmtId="0" fontId="18" fillId="0" borderId="0" xfId="0" applyFont="1" applyFill="1" applyAlignment="1">
      <alignment/>
    </xf>
    <xf numFmtId="0" fontId="18" fillId="0" borderId="11" xfId="0" applyFont="1" applyFill="1" applyBorder="1" applyAlignment="1">
      <alignment horizontal="justify" vertical="center"/>
    </xf>
    <xf numFmtId="170" fontId="2" fillId="33" borderId="0" xfId="0" applyNumberFormat="1" applyFont="1" applyFill="1" applyBorder="1" applyAlignment="1">
      <alignment/>
    </xf>
    <xf numFmtId="0" fontId="3" fillId="33" borderId="13" xfId="0" applyFont="1" applyFill="1" applyBorder="1" applyAlignment="1">
      <alignment/>
    </xf>
    <xf numFmtId="2" fontId="3" fillId="33" borderId="0" xfId="0" applyNumberFormat="1" applyFont="1" applyFill="1" applyBorder="1" applyAlignment="1">
      <alignment/>
    </xf>
    <xf numFmtId="0" fontId="3" fillId="0" borderId="0" xfId="0" applyFont="1" applyBorder="1" applyAlignment="1">
      <alignment/>
    </xf>
    <xf numFmtId="0" fontId="3" fillId="0" borderId="14" xfId="0" applyFont="1" applyBorder="1" applyAlignment="1">
      <alignment/>
    </xf>
    <xf numFmtId="2" fontId="3" fillId="0" borderId="19" xfId="0" applyNumberFormat="1" applyFont="1" applyBorder="1" applyAlignment="1">
      <alignment horizontal="center"/>
    </xf>
    <xf numFmtId="0" fontId="3" fillId="0" borderId="20" xfId="0" applyFont="1" applyBorder="1" applyAlignment="1">
      <alignment horizontal="center"/>
    </xf>
    <xf numFmtId="2" fontId="3" fillId="0" borderId="20" xfId="0" applyNumberFormat="1" applyFont="1" applyBorder="1" applyAlignment="1">
      <alignment horizontal="center"/>
    </xf>
    <xf numFmtId="0" fontId="3" fillId="0" borderId="21" xfId="0" applyFont="1" applyBorder="1" applyAlignment="1">
      <alignment horizontal="center"/>
    </xf>
    <xf numFmtId="2" fontId="3" fillId="0" borderId="22" xfId="0" applyNumberFormat="1" applyFont="1" applyBorder="1" applyAlignment="1">
      <alignment horizontal="center"/>
    </xf>
    <xf numFmtId="0" fontId="3" fillId="0" borderId="0" xfId="0" applyFont="1" applyBorder="1" applyAlignment="1">
      <alignment horizontal="center"/>
    </xf>
    <xf numFmtId="2" fontId="3" fillId="0" borderId="0" xfId="0" applyNumberFormat="1" applyFont="1" applyBorder="1" applyAlignment="1">
      <alignment horizontal="center"/>
    </xf>
    <xf numFmtId="0" fontId="3" fillId="0" borderId="23" xfId="0" applyFont="1" applyBorder="1" applyAlignment="1">
      <alignment horizontal="center"/>
    </xf>
    <xf numFmtId="2" fontId="3" fillId="0" borderId="24" xfId="0" applyNumberFormat="1" applyFont="1" applyBorder="1" applyAlignment="1">
      <alignment horizontal="center"/>
    </xf>
    <xf numFmtId="0" fontId="3" fillId="0" borderId="25" xfId="0" applyFont="1" applyBorder="1" applyAlignment="1">
      <alignment horizontal="center"/>
    </xf>
    <xf numFmtId="2" fontId="3" fillId="0" borderId="25" xfId="0" applyNumberFormat="1" applyFont="1" applyBorder="1" applyAlignment="1">
      <alignment horizontal="center"/>
    </xf>
    <xf numFmtId="0" fontId="3" fillId="0" borderId="26" xfId="0" applyFont="1" applyBorder="1" applyAlignment="1">
      <alignment horizontal="center"/>
    </xf>
    <xf numFmtId="2" fontId="3" fillId="0" borderId="27" xfId="0" applyNumberFormat="1" applyFont="1" applyBorder="1" applyAlignment="1">
      <alignment horizontal="center"/>
    </xf>
    <xf numFmtId="0" fontId="3" fillId="0" borderId="28" xfId="0" applyFont="1" applyBorder="1" applyAlignment="1">
      <alignment horizontal="center"/>
    </xf>
    <xf numFmtId="2" fontId="3" fillId="0" borderId="28" xfId="0" applyNumberFormat="1" applyFont="1" applyBorder="1" applyAlignment="1">
      <alignment horizontal="center"/>
    </xf>
    <xf numFmtId="0" fontId="3" fillId="0" borderId="29" xfId="0" applyFont="1" applyBorder="1" applyAlignment="1">
      <alignment horizontal="center"/>
    </xf>
    <xf numFmtId="169" fontId="0" fillId="0" borderId="0" xfId="0" applyNumberFormat="1" applyFont="1" applyAlignment="1">
      <alignment/>
    </xf>
    <xf numFmtId="44" fontId="0" fillId="0" borderId="0" xfId="44" applyFont="1" applyAlignment="1">
      <alignment/>
    </xf>
    <xf numFmtId="43" fontId="0" fillId="0" borderId="0" xfId="42" applyFont="1" applyAlignment="1">
      <alignment/>
    </xf>
    <xf numFmtId="43" fontId="0" fillId="0" borderId="0" xfId="42" applyFont="1" applyAlignment="1">
      <alignment horizontal="left"/>
    </xf>
    <xf numFmtId="43" fontId="0" fillId="0" borderId="0" xfId="0" applyNumberFormat="1" applyAlignment="1">
      <alignment/>
    </xf>
    <xf numFmtId="1" fontId="1" fillId="0" borderId="0" xfId="0" applyNumberFormat="1" applyFont="1" applyAlignment="1">
      <alignment/>
    </xf>
    <xf numFmtId="1" fontId="0" fillId="0" borderId="0" xfId="0" applyNumberFormat="1" applyFont="1" applyAlignment="1">
      <alignment/>
    </xf>
    <xf numFmtId="0" fontId="3" fillId="33" borderId="0" xfId="0" applyNumberFormat="1" applyFont="1" applyFill="1" applyBorder="1" applyAlignment="1">
      <alignment horizontal="center"/>
    </xf>
    <xf numFmtId="0" fontId="3" fillId="34" borderId="12" xfId="0" applyFont="1" applyFill="1" applyBorder="1" applyAlignment="1">
      <alignment/>
    </xf>
    <xf numFmtId="0" fontId="3" fillId="34" borderId="13" xfId="0" applyFont="1" applyFill="1" applyBorder="1" applyAlignment="1">
      <alignment/>
    </xf>
    <xf numFmtId="0" fontId="3" fillId="34" borderId="28" xfId="0" applyFont="1" applyFill="1" applyBorder="1" applyAlignment="1">
      <alignment/>
    </xf>
    <xf numFmtId="44" fontId="0" fillId="34" borderId="28" xfId="0" applyNumberFormat="1" applyFill="1" applyBorder="1" applyAlignment="1">
      <alignment/>
    </xf>
    <xf numFmtId="0" fontId="4" fillId="34" borderId="30" xfId="0" applyFont="1" applyFill="1" applyBorder="1" applyAlignment="1">
      <alignment/>
    </xf>
    <xf numFmtId="0" fontId="3" fillId="34" borderId="20" xfId="0" applyFont="1" applyFill="1" applyBorder="1" applyAlignment="1">
      <alignment/>
    </xf>
    <xf numFmtId="0" fontId="5" fillId="34" borderId="19" xfId="0" applyFont="1" applyFill="1" applyBorder="1" applyAlignment="1">
      <alignment horizontal="center"/>
    </xf>
    <xf numFmtId="0" fontId="5" fillId="34" borderId="21" xfId="0" applyFont="1" applyFill="1" applyBorder="1" applyAlignment="1">
      <alignment horizontal="center"/>
    </xf>
    <xf numFmtId="0" fontId="5" fillId="34" borderId="31" xfId="0" applyFont="1" applyFill="1" applyBorder="1" applyAlignment="1">
      <alignment horizontal="center"/>
    </xf>
    <xf numFmtId="0" fontId="4" fillId="34" borderId="15" xfId="0" applyFont="1" applyFill="1" applyBorder="1" applyAlignment="1">
      <alignment/>
    </xf>
    <xf numFmtId="0" fontId="4" fillId="34" borderId="0" xfId="0" applyFont="1" applyFill="1" applyBorder="1" applyAlignment="1">
      <alignment/>
    </xf>
    <xf numFmtId="0" fontId="14" fillId="34" borderId="15" xfId="0" applyFont="1" applyFill="1" applyBorder="1" applyAlignment="1">
      <alignment/>
    </xf>
    <xf numFmtId="0" fontId="14" fillId="34" borderId="0" xfId="0" applyFont="1" applyFill="1" applyBorder="1" applyAlignment="1">
      <alignment/>
    </xf>
    <xf numFmtId="44" fontId="0" fillId="34" borderId="0" xfId="0" applyNumberFormat="1" applyFill="1" applyBorder="1" applyAlignment="1">
      <alignment/>
    </xf>
    <xf numFmtId="0" fontId="3" fillId="34" borderId="0" xfId="0" applyFont="1" applyFill="1" applyBorder="1" applyAlignment="1">
      <alignment/>
    </xf>
    <xf numFmtId="0" fontId="3" fillId="34" borderId="15" xfId="0" applyFont="1" applyFill="1" applyBorder="1" applyAlignment="1">
      <alignment/>
    </xf>
    <xf numFmtId="0" fontId="3" fillId="34" borderId="22" xfId="0" applyFont="1" applyFill="1" applyBorder="1" applyAlignment="1">
      <alignment horizontal="center"/>
    </xf>
    <xf numFmtId="0" fontId="3" fillId="34" borderId="23" xfId="0" applyFont="1" applyFill="1" applyBorder="1" applyAlignment="1">
      <alignment horizontal="center"/>
    </xf>
    <xf numFmtId="0" fontId="3" fillId="34" borderId="25" xfId="0" applyFont="1" applyFill="1" applyBorder="1" applyAlignment="1">
      <alignment/>
    </xf>
    <xf numFmtId="1" fontId="3" fillId="34" borderId="24" xfId="0" applyNumberFormat="1" applyFont="1" applyFill="1" applyBorder="1" applyAlignment="1">
      <alignment horizontal="center"/>
    </xf>
    <xf numFmtId="1" fontId="3" fillId="34" borderId="26" xfId="0" applyNumberFormat="1" applyFont="1" applyFill="1" applyBorder="1" applyAlignment="1">
      <alignment horizontal="center"/>
    </xf>
    <xf numFmtId="0" fontId="4" fillId="34" borderId="20" xfId="0" applyFont="1" applyFill="1" applyBorder="1" applyAlignment="1">
      <alignment/>
    </xf>
    <xf numFmtId="0" fontId="4" fillId="34" borderId="19" xfId="0" applyFont="1" applyFill="1" applyBorder="1" applyAlignment="1">
      <alignment/>
    </xf>
    <xf numFmtId="0" fontId="3" fillId="34" borderId="21" xfId="0" applyFont="1" applyFill="1" applyBorder="1" applyAlignment="1">
      <alignment horizontal="center"/>
    </xf>
    <xf numFmtId="0" fontId="3" fillId="34" borderId="19" xfId="0" applyFont="1" applyFill="1" applyBorder="1" applyAlignment="1">
      <alignment horizontal="center"/>
    </xf>
    <xf numFmtId="0" fontId="3" fillId="34" borderId="31" xfId="0" applyFont="1" applyFill="1" applyBorder="1" applyAlignment="1">
      <alignment/>
    </xf>
    <xf numFmtId="0" fontId="3" fillId="34" borderId="16" xfId="0" applyFont="1" applyFill="1" applyBorder="1" applyAlignment="1">
      <alignment/>
    </xf>
    <xf numFmtId="0" fontId="3" fillId="34" borderId="17" xfId="0" applyFont="1" applyFill="1" applyBorder="1" applyAlignment="1">
      <alignment/>
    </xf>
    <xf numFmtId="1" fontId="3" fillId="34" borderId="32" xfId="0" applyNumberFormat="1" applyFont="1" applyFill="1" applyBorder="1" applyAlignment="1">
      <alignment horizontal="center"/>
    </xf>
    <xf numFmtId="0" fontId="12" fillId="0" borderId="0" xfId="53" applyAlignment="1" applyProtection="1">
      <alignment/>
      <protection/>
    </xf>
    <xf numFmtId="2" fontId="3" fillId="34" borderId="14" xfId="0" applyNumberFormat="1" applyFont="1" applyFill="1" applyBorder="1" applyAlignment="1">
      <alignment horizontal="center"/>
    </xf>
    <xf numFmtId="2" fontId="3" fillId="34" borderId="23" xfId="0" applyNumberFormat="1" applyFont="1" applyFill="1" applyBorder="1" applyAlignment="1">
      <alignment horizontal="center"/>
    </xf>
    <xf numFmtId="49" fontId="0" fillId="0" borderId="0" xfId="0" applyNumberFormat="1" applyFill="1" applyAlignment="1">
      <alignment/>
    </xf>
    <xf numFmtId="49" fontId="1" fillId="0" borderId="0" xfId="0" applyNumberFormat="1" applyFont="1" applyFill="1" applyAlignment="1">
      <alignment/>
    </xf>
    <xf numFmtId="0" fontId="0" fillId="0" borderId="0" xfId="0" applyFill="1" applyAlignment="1">
      <alignment/>
    </xf>
    <xf numFmtId="2" fontId="0" fillId="0" borderId="0" xfId="0" applyNumberFormat="1" applyFill="1" applyAlignment="1">
      <alignment/>
    </xf>
    <xf numFmtId="0" fontId="12" fillId="0" borderId="0" xfId="53" applyFill="1" applyAlignment="1" applyProtection="1">
      <alignment/>
      <protection/>
    </xf>
    <xf numFmtId="0" fontId="0" fillId="0" borderId="11" xfId="0" applyNumberFormat="1" applyFill="1" applyBorder="1" applyAlignment="1" quotePrefix="1">
      <alignment horizontal="center"/>
    </xf>
    <xf numFmtId="0" fontId="0" fillId="0" borderId="0" xfId="0" applyNumberFormat="1" applyFill="1" applyBorder="1" applyAlignment="1" quotePrefix="1">
      <alignment horizontal="center"/>
    </xf>
    <xf numFmtId="0" fontId="3" fillId="34" borderId="33" xfId="0" applyFont="1" applyFill="1" applyBorder="1" applyAlignment="1">
      <alignment/>
    </xf>
    <xf numFmtId="0" fontId="3" fillId="34" borderId="0" xfId="0" applyFont="1" applyFill="1" applyBorder="1" applyAlignment="1">
      <alignment/>
    </xf>
    <xf numFmtId="0" fontId="3" fillId="34" borderId="14" xfId="0" applyFont="1" applyFill="1" applyBorder="1" applyAlignment="1">
      <alignment/>
    </xf>
    <xf numFmtId="2" fontId="3" fillId="34" borderId="0" xfId="0" applyNumberFormat="1" applyFont="1" applyFill="1" applyBorder="1" applyAlignment="1">
      <alignment horizontal="center"/>
    </xf>
    <xf numFmtId="2" fontId="3" fillId="34" borderId="14" xfId="0" applyNumberFormat="1" applyFont="1" applyFill="1" applyBorder="1" applyAlignment="1">
      <alignment/>
    </xf>
    <xf numFmtId="1" fontId="3" fillId="34" borderId="0" xfId="0" applyNumberFormat="1" applyFont="1" applyFill="1" applyBorder="1" applyAlignment="1">
      <alignment horizontal="center"/>
    </xf>
    <xf numFmtId="0" fontId="3" fillId="34" borderId="0" xfId="0" applyFont="1" applyFill="1" applyBorder="1" applyAlignment="1">
      <alignment horizontal="center"/>
    </xf>
    <xf numFmtId="0" fontId="3" fillId="34" borderId="15" xfId="0" applyFont="1" applyFill="1" applyBorder="1" applyAlignment="1">
      <alignment/>
    </xf>
    <xf numFmtId="1" fontId="3" fillId="34" borderId="17" xfId="0" applyNumberFormat="1" applyFont="1" applyFill="1" applyBorder="1" applyAlignment="1">
      <alignment horizontal="center"/>
    </xf>
    <xf numFmtId="191" fontId="14" fillId="34" borderId="17" xfId="44" applyNumberFormat="1" applyFont="1" applyFill="1" applyBorder="1" applyAlignment="1">
      <alignment horizontal="centerContinuous"/>
    </xf>
    <xf numFmtId="0" fontId="0" fillId="34" borderId="17" xfId="0" applyFill="1" applyBorder="1" applyAlignment="1">
      <alignment/>
    </xf>
    <xf numFmtId="0" fontId="0" fillId="34" borderId="18" xfId="0" applyFill="1" applyBorder="1" applyAlignment="1">
      <alignment/>
    </xf>
    <xf numFmtId="0" fontId="3" fillId="34" borderId="34" xfId="0" applyFont="1" applyFill="1" applyBorder="1" applyAlignment="1">
      <alignment/>
    </xf>
    <xf numFmtId="0" fontId="4" fillId="34" borderId="35" xfId="0" applyFont="1" applyFill="1" applyBorder="1" applyAlignment="1">
      <alignment/>
    </xf>
    <xf numFmtId="0" fontId="3" fillId="34" borderId="35" xfId="0" applyFont="1" applyFill="1" applyBorder="1" applyAlignment="1">
      <alignment/>
    </xf>
    <xf numFmtId="0" fontId="14" fillId="34" borderId="35" xfId="0" applyFont="1" applyFill="1" applyBorder="1" applyAlignment="1">
      <alignment/>
    </xf>
    <xf numFmtId="0" fontId="3" fillId="34" borderId="23" xfId="0" applyFont="1" applyFill="1" applyBorder="1" applyAlignment="1">
      <alignment/>
    </xf>
    <xf numFmtId="188" fontId="14" fillId="34" borderId="32" xfId="44" applyNumberFormat="1" applyFont="1" applyFill="1" applyBorder="1" applyAlignment="1">
      <alignment horizontal="centerContinuous"/>
    </xf>
    <xf numFmtId="0" fontId="3" fillId="34" borderId="13" xfId="0" applyFont="1" applyFill="1" applyBorder="1" applyAlignment="1">
      <alignment/>
    </xf>
    <xf numFmtId="0" fontId="4" fillId="34" borderId="0" xfId="0" applyFont="1" applyFill="1" applyBorder="1" applyAlignment="1">
      <alignment/>
    </xf>
    <xf numFmtId="0" fontId="3" fillId="34" borderId="34" xfId="0" applyFont="1" applyFill="1" applyBorder="1" applyAlignment="1">
      <alignment/>
    </xf>
    <xf numFmtId="0" fontId="3" fillId="34" borderId="36" xfId="0" applyFont="1" applyFill="1" applyBorder="1" applyAlignment="1">
      <alignment/>
    </xf>
    <xf numFmtId="0" fontId="3" fillId="34" borderId="37" xfId="0" applyFont="1" applyFill="1" applyBorder="1" applyAlignment="1">
      <alignment/>
    </xf>
    <xf numFmtId="0" fontId="3" fillId="34" borderId="16" xfId="0" applyFont="1" applyFill="1" applyBorder="1" applyAlignment="1">
      <alignment/>
    </xf>
    <xf numFmtId="0" fontId="3" fillId="34" borderId="17" xfId="0" applyFont="1" applyFill="1" applyBorder="1" applyAlignment="1">
      <alignment/>
    </xf>
    <xf numFmtId="0" fontId="19" fillId="0" borderId="0" xfId="0" applyFont="1" applyAlignment="1">
      <alignment/>
    </xf>
    <xf numFmtId="0" fontId="0" fillId="0" borderId="0" xfId="0" applyFont="1" applyAlignment="1">
      <alignment/>
    </xf>
    <xf numFmtId="0" fontId="3" fillId="0" borderId="0" xfId="0" applyFont="1" applyAlignment="1">
      <alignment/>
    </xf>
    <xf numFmtId="0" fontId="0" fillId="0" borderId="0" xfId="0" applyFont="1" applyAlignment="1">
      <alignment wrapText="1" shrinkToFit="1"/>
    </xf>
    <xf numFmtId="0" fontId="4" fillId="0" borderId="0" xfId="0" applyFont="1" applyFill="1" applyBorder="1" applyAlignment="1">
      <alignment wrapText="1"/>
    </xf>
    <xf numFmtId="0" fontId="0" fillId="0" borderId="0" xfId="0" applyFont="1" applyFill="1" applyAlignment="1">
      <alignment/>
    </xf>
    <xf numFmtId="0" fontId="2" fillId="0" borderId="38" xfId="0" applyFont="1" applyBorder="1" applyAlignment="1">
      <alignment horizontal="center" wrapText="1"/>
    </xf>
    <xf numFmtId="0" fontId="2" fillId="0" borderId="26" xfId="0" applyFont="1" applyBorder="1" applyAlignment="1">
      <alignment horizontal="center" wrapText="1"/>
    </xf>
    <xf numFmtId="0" fontId="3" fillId="0" borderId="38" xfId="0" applyFont="1" applyBorder="1" applyAlignment="1">
      <alignment wrapText="1"/>
    </xf>
    <xf numFmtId="0" fontId="3" fillId="0" borderId="26" xfId="0" applyFont="1" applyBorder="1" applyAlignment="1">
      <alignment horizontal="center" wrapText="1"/>
    </xf>
    <xf numFmtId="0" fontId="3" fillId="0" borderId="38" xfId="0" applyFont="1" applyBorder="1" applyAlignment="1">
      <alignment horizontal="center" wrapText="1"/>
    </xf>
    <xf numFmtId="2" fontId="3" fillId="0" borderId="26" xfId="0" applyNumberFormat="1" applyFont="1" applyBorder="1" applyAlignment="1">
      <alignment horizontal="center" wrapText="1"/>
    </xf>
    <xf numFmtId="0" fontId="2" fillId="0" borderId="38" xfId="0" applyFont="1" applyBorder="1" applyAlignment="1">
      <alignment wrapText="1"/>
    </xf>
    <xf numFmtId="9" fontId="3" fillId="0" borderId="26" xfId="0" applyNumberFormat="1" applyFont="1" applyBorder="1" applyAlignment="1">
      <alignment horizontal="center" wrapText="1"/>
    </xf>
    <xf numFmtId="0" fontId="2" fillId="0" borderId="38" xfId="0" applyFont="1" applyBorder="1" applyAlignment="1">
      <alignment vertical="center" wrapText="1"/>
    </xf>
    <xf numFmtId="0" fontId="2" fillId="0" borderId="26" xfId="0" applyFont="1" applyBorder="1" applyAlignment="1">
      <alignment horizontal="center" vertical="center" wrapText="1"/>
    </xf>
    <xf numFmtId="0" fontId="3" fillId="0" borderId="0" xfId="0" applyFont="1" applyFill="1" applyBorder="1" applyAlignment="1">
      <alignment wrapText="1"/>
    </xf>
    <xf numFmtId="0" fontId="3" fillId="35" borderId="0" xfId="0" applyFont="1" applyFill="1" applyBorder="1" applyAlignment="1">
      <alignment/>
    </xf>
    <xf numFmtId="0" fontId="2" fillId="34" borderId="16" xfId="0" applyFont="1" applyFill="1" applyBorder="1" applyAlignment="1">
      <alignment wrapText="1"/>
    </xf>
    <xf numFmtId="0" fontId="2" fillId="34" borderId="17" xfId="0" applyFont="1" applyFill="1" applyBorder="1" applyAlignment="1">
      <alignment wrapText="1"/>
    </xf>
    <xf numFmtId="0" fontId="2" fillId="34" borderId="18" xfId="0" applyFont="1" applyFill="1" applyBorder="1" applyAlignment="1">
      <alignment wrapText="1"/>
    </xf>
    <xf numFmtId="0" fontId="2" fillId="34" borderId="12" xfId="0" applyFont="1" applyFill="1" applyBorder="1" applyAlignment="1">
      <alignment wrapText="1"/>
    </xf>
    <xf numFmtId="0" fontId="2" fillId="34" borderId="13" xfId="0" applyFont="1" applyFill="1" applyBorder="1" applyAlignment="1">
      <alignment wrapText="1"/>
    </xf>
    <xf numFmtId="0" fontId="2" fillId="34" borderId="33" xfId="0" applyFont="1" applyFill="1" applyBorder="1" applyAlignment="1">
      <alignment wrapText="1"/>
    </xf>
    <xf numFmtId="0" fontId="4" fillId="34" borderId="15" xfId="0" applyFont="1" applyFill="1" applyBorder="1" applyAlignment="1">
      <alignment wrapText="1"/>
    </xf>
    <xf numFmtId="0" fontId="4" fillId="34" borderId="0" xfId="0" applyFont="1" applyFill="1" applyBorder="1" applyAlignment="1">
      <alignment wrapText="1"/>
    </xf>
    <xf numFmtId="0" fontId="4" fillId="34" borderId="14" xfId="0" applyFont="1" applyFill="1" applyBorder="1" applyAlignment="1">
      <alignment wrapText="1"/>
    </xf>
    <xf numFmtId="0" fontId="4" fillId="34" borderId="16" xfId="0" applyFont="1" applyFill="1" applyBorder="1" applyAlignment="1">
      <alignment wrapText="1"/>
    </xf>
    <xf numFmtId="0" fontId="4" fillId="34" borderId="17" xfId="0" applyFont="1" applyFill="1" applyBorder="1" applyAlignment="1">
      <alignment wrapText="1"/>
    </xf>
    <xf numFmtId="0" fontId="4" fillId="34" borderId="18" xfId="0" applyFont="1" applyFill="1" applyBorder="1" applyAlignment="1">
      <alignment wrapText="1"/>
    </xf>
    <xf numFmtId="0" fontId="4" fillId="34" borderId="12" xfId="0" applyFont="1" applyFill="1" applyBorder="1" applyAlignment="1">
      <alignment wrapText="1"/>
    </xf>
    <xf numFmtId="0" fontId="4" fillId="34" borderId="13" xfId="0" applyFont="1" applyFill="1" applyBorder="1" applyAlignment="1">
      <alignment wrapText="1"/>
    </xf>
    <xf numFmtId="0" fontId="4" fillId="34" borderId="33" xfId="0" applyFont="1" applyFill="1" applyBorder="1" applyAlignment="1">
      <alignment wrapText="1"/>
    </xf>
    <xf numFmtId="0" fontId="2" fillId="35" borderId="12" xfId="0" applyFont="1" applyFill="1" applyBorder="1" applyAlignment="1">
      <alignment wrapText="1"/>
    </xf>
    <xf numFmtId="0" fontId="2" fillId="35" borderId="13" xfId="0" applyFont="1" applyFill="1" applyBorder="1" applyAlignment="1">
      <alignment wrapText="1"/>
    </xf>
    <xf numFmtId="0" fontId="2" fillId="35" borderId="33" xfId="0" applyFont="1" applyFill="1" applyBorder="1" applyAlignment="1">
      <alignment wrapText="1"/>
    </xf>
    <xf numFmtId="0" fontId="2" fillId="35" borderId="15" xfId="0" applyFont="1" applyFill="1" applyBorder="1" applyAlignment="1">
      <alignment wrapText="1"/>
    </xf>
    <xf numFmtId="0" fontId="2" fillId="35" borderId="0" xfId="0" applyFont="1" applyFill="1" applyBorder="1" applyAlignment="1">
      <alignment wrapText="1"/>
    </xf>
    <xf numFmtId="0" fontId="2" fillId="35" borderId="14" xfId="0" applyFont="1" applyFill="1" applyBorder="1" applyAlignment="1">
      <alignment wrapText="1"/>
    </xf>
    <xf numFmtId="0" fontId="2" fillId="35" borderId="15" xfId="0" applyFont="1" applyFill="1" applyBorder="1" applyAlignment="1">
      <alignment/>
    </xf>
    <xf numFmtId="0" fontId="2" fillId="35" borderId="0" xfId="0" applyFont="1" applyFill="1" applyBorder="1" applyAlignment="1">
      <alignment/>
    </xf>
    <xf numFmtId="0" fontId="2" fillId="35" borderId="14" xfId="0" applyFont="1" applyFill="1" applyBorder="1" applyAlignment="1">
      <alignment/>
    </xf>
    <xf numFmtId="0" fontId="3" fillId="0" borderId="0" xfId="0" applyFont="1" applyAlignment="1">
      <alignment/>
    </xf>
    <xf numFmtId="0" fontId="19" fillId="0" borderId="0" xfId="0" applyFont="1" applyAlignment="1">
      <alignment/>
    </xf>
    <xf numFmtId="0" fontId="20" fillId="0" borderId="0" xfId="0" applyFont="1" applyAlignment="1">
      <alignment horizontal="center"/>
    </xf>
    <xf numFmtId="0" fontId="0" fillId="0" borderId="0" xfId="0" applyFont="1" applyAlignment="1">
      <alignment/>
    </xf>
    <xf numFmtId="0" fontId="2" fillId="34" borderId="15" xfId="0" applyFont="1" applyFill="1" applyBorder="1" applyAlignment="1">
      <alignment wrapText="1"/>
    </xf>
    <xf numFmtId="0" fontId="2" fillId="34" borderId="0" xfId="0" applyFont="1" applyFill="1" applyBorder="1" applyAlignment="1">
      <alignment wrapText="1"/>
    </xf>
    <xf numFmtId="0" fontId="2" fillId="34" borderId="14" xfId="0" applyFont="1" applyFill="1" applyBorder="1" applyAlignment="1">
      <alignment wrapText="1"/>
    </xf>
    <xf numFmtId="0" fontId="22" fillId="34" borderId="15" xfId="0" applyFont="1" applyFill="1" applyBorder="1" applyAlignment="1">
      <alignment wrapText="1"/>
    </xf>
    <xf numFmtId="0" fontId="2" fillId="35" borderId="16" xfId="0" applyFont="1" applyFill="1" applyBorder="1" applyAlignment="1">
      <alignment wrapText="1"/>
    </xf>
    <xf numFmtId="0" fontId="2" fillId="35" borderId="17" xfId="0" applyFont="1" applyFill="1" applyBorder="1" applyAlignment="1">
      <alignment wrapText="1"/>
    </xf>
    <xf numFmtId="0" fontId="2" fillId="35" borderId="18" xfId="0" applyFont="1" applyFill="1" applyBorder="1" applyAlignment="1">
      <alignment wrapText="1"/>
    </xf>
    <xf numFmtId="0" fontId="19" fillId="0" borderId="0" xfId="0" applyFont="1" applyAlignment="1">
      <alignment wrapText="1"/>
    </xf>
    <xf numFmtId="0" fontId="3" fillId="0" borderId="0" xfId="0" applyFont="1" applyBorder="1" applyAlignment="1">
      <alignment wrapText="1" shrinkToFit="1"/>
    </xf>
    <xf numFmtId="0" fontId="3" fillId="0" borderId="0" xfId="0" applyFont="1" applyAlignment="1">
      <alignment wrapText="1"/>
    </xf>
    <xf numFmtId="0" fontId="3" fillId="34" borderId="0" xfId="0" applyFont="1" applyFill="1" applyBorder="1" applyAlignment="1">
      <alignment wrapText="1"/>
    </xf>
    <xf numFmtId="0" fontId="2" fillId="34" borderId="15" xfId="0" applyFont="1" applyFill="1" applyBorder="1" applyAlignment="1">
      <alignment wrapText="1" shrinkToFit="1"/>
    </xf>
    <xf numFmtId="0" fontId="2" fillId="34" borderId="0" xfId="0" applyFont="1" applyFill="1" applyBorder="1" applyAlignment="1">
      <alignment wrapText="1" shrinkToFit="1"/>
    </xf>
    <xf numFmtId="0" fontId="2" fillId="34" borderId="14" xfId="0" applyFont="1" applyFill="1" applyBorder="1" applyAlignment="1">
      <alignment wrapText="1" shrinkToFit="1"/>
    </xf>
    <xf numFmtId="0" fontId="2" fillId="0" borderId="25" xfId="0" applyFont="1" applyBorder="1" applyAlignment="1">
      <alignment horizontal="center"/>
    </xf>
    <xf numFmtId="191" fontId="2" fillId="33" borderId="0" xfId="44" applyNumberFormat="1" applyFont="1" applyFill="1" applyBorder="1" applyAlignment="1">
      <alignment horizontal="center"/>
    </xf>
    <xf numFmtId="191" fontId="2" fillId="33" borderId="17" xfId="44" applyNumberFormat="1" applyFont="1" applyFill="1" applyBorder="1" applyAlignment="1">
      <alignment horizontal="center"/>
    </xf>
    <xf numFmtId="1" fontId="3" fillId="34" borderId="39" xfId="0" applyNumberFormat="1" applyFont="1" applyFill="1" applyBorder="1" applyAlignment="1">
      <alignment horizontal="center"/>
    </xf>
    <xf numFmtId="1" fontId="3" fillId="34" borderId="17" xfId="0" applyNumberFormat="1" applyFont="1" applyFill="1" applyBorder="1" applyAlignment="1">
      <alignment horizontal="center"/>
    </xf>
    <xf numFmtId="1" fontId="3" fillId="34" borderId="18" xfId="0" applyNumberFormat="1" applyFont="1" applyFill="1" applyBorder="1" applyAlignment="1">
      <alignment horizontal="center"/>
    </xf>
    <xf numFmtId="0" fontId="3" fillId="33" borderId="13" xfId="0" applyFont="1" applyFill="1" applyBorder="1" applyAlignment="1">
      <alignment horizontal="center"/>
    </xf>
    <xf numFmtId="0" fontId="3" fillId="33" borderId="0" xfId="0" applyFont="1" applyFill="1" applyBorder="1" applyAlignment="1">
      <alignment horizontal="center"/>
    </xf>
    <xf numFmtId="170" fontId="2" fillId="33" borderId="17" xfId="0" applyNumberFormat="1" applyFont="1" applyFill="1" applyBorder="1" applyAlignment="1">
      <alignment horizontal="center"/>
    </xf>
    <xf numFmtId="170" fontId="2" fillId="33" borderId="18" xfId="0" applyNumberFormat="1" applyFont="1" applyFill="1" applyBorder="1" applyAlignment="1">
      <alignment horizontal="center"/>
    </xf>
    <xf numFmtId="0" fontId="3" fillId="33" borderId="33" xfId="0" applyFont="1" applyFill="1" applyBorder="1" applyAlignment="1">
      <alignment horizontal="center"/>
    </xf>
    <xf numFmtId="0" fontId="5" fillId="33" borderId="0" xfId="0" applyFont="1" applyFill="1" applyBorder="1" applyAlignment="1">
      <alignment horizontal="center"/>
    </xf>
    <xf numFmtId="0" fontId="5" fillId="33" borderId="14" xfId="0" applyFont="1" applyFill="1" applyBorder="1" applyAlignment="1">
      <alignment horizontal="center"/>
    </xf>
    <xf numFmtId="170" fontId="2" fillId="33" borderId="0" xfId="0" applyNumberFormat="1" applyFont="1" applyFill="1" applyBorder="1" applyAlignment="1">
      <alignment horizontal="center"/>
    </xf>
    <xf numFmtId="170" fontId="2" fillId="33" borderId="14" xfId="0" applyNumberFormat="1" applyFont="1" applyFill="1" applyBorder="1" applyAlignment="1">
      <alignment horizontal="center"/>
    </xf>
    <xf numFmtId="191" fontId="14" fillId="34" borderId="24" xfId="44" applyNumberFormat="1" applyFont="1" applyFill="1" applyBorder="1" applyAlignment="1">
      <alignment horizontal="center"/>
    </xf>
    <xf numFmtId="191" fontId="14" fillId="34" borderId="40" xfId="44" applyNumberFormat="1" applyFont="1" applyFill="1" applyBorder="1" applyAlignment="1">
      <alignment horizontal="center"/>
    </xf>
    <xf numFmtId="2" fontId="4" fillId="34" borderId="22" xfId="0" applyNumberFormat="1" applyFont="1" applyFill="1" applyBorder="1" applyAlignment="1">
      <alignment horizontal="center"/>
    </xf>
    <xf numFmtId="2" fontId="4" fillId="34" borderId="14" xfId="0" applyNumberFormat="1" applyFont="1" applyFill="1" applyBorder="1" applyAlignment="1">
      <alignment horizontal="center"/>
    </xf>
    <xf numFmtId="1" fontId="4" fillId="34" borderId="22" xfId="0" applyNumberFormat="1" applyFont="1" applyFill="1" applyBorder="1" applyAlignment="1">
      <alignment horizontal="center"/>
    </xf>
    <xf numFmtId="1" fontId="4" fillId="34" borderId="14" xfId="0" applyNumberFormat="1" applyFont="1" applyFill="1" applyBorder="1" applyAlignment="1">
      <alignment horizontal="center"/>
    </xf>
    <xf numFmtId="0" fontId="3" fillId="34" borderId="41" xfId="0" applyFont="1" applyFill="1" applyBorder="1" applyAlignment="1">
      <alignment horizontal="center"/>
    </xf>
    <xf numFmtId="0" fontId="3" fillId="34" borderId="42" xfId="0" applyFont="1" applyFill="1" applyBorder="1" applyAlignment="1">
      <alignment horizontal="center"/>
    </xf>
    <xf numFmtId="0" fontId="3" fillId="34" borderId="33" xfId="0" applyFont="1" applyFill="1" applyBorder="1" applyAlignment="1">
      <alignment horizontal="center"/>
    </xf>
    <xf numFmtId="170" fontId="3" fillId="34" borderId="27" xfId="0" applyNumberFormat="1" applyFont="1" applyFill="1" applyBorder="1" applyAlignment="1">
      <alignment horizontal="center"/>
    </xf>
    <xf numFmtId="170" fontId="3" fillId="34" borderId="29" xfId="0" applyNumberFormat="1" applyFont="1" applyFill="1" applyBorder="1" applyAlignment="1">
      <alignment horizontal="center"/>
    </xf>
    <xf numFmtId="170" fontId="3" fillId="34" borderId="43" xfId="0" applyNumberFormat="1" applyFont="1" applyFill="1" applyBorder="1" applyAlignment="1">
      <alignment horizontal="center"/>
    </xf>
    <xf numFmtId="2" fontId="4" fillId="34" borderId="23" xfId="0" applyNumberFormat="1" applyFont="1" applyFill="1" applyBorder="1" applyAlignment="1">
      <alignment horizontal="center"/>
    </xf>
    <xf numFmtId="37" fontId="4" fillId="34" borderId="22" xfId="42" applyNumberFormat="1" applyFont="1" applyFill="1" applyBorder="1" applyAlignment="1">
      <alignment horizontal="center"/>
    </xf>
    <xf numFmtId="37" fontId="4" fillId="34" borderId="23" xfId="42" applyNumberFormat="1" applyFont="1" applyFill="1" applyBorder="1" applyAlignment="1">
      <alignment horizontal="center"/>
    </xf>
    <xf numFmtId="2" fontId="3" fillId="34" borderId="22" xfId="0" applyNumberFormat="1" applyFont="1" applyFill="1" applyBorder="1" applyAlignment="1">
      <alignment horizontal="center"/>
    </xf>
    <xf numFmtId="2" fontId="3" fillId="34" borderId="14" xfId="0" applyNumberFormat="1" applyFont="1" applyFill="1" applyBorder="1" applyAlignment="1">
      <alignment horizontal="center"/>
    </xf>
    <xf numFmtId="2" fontId="3" fillId="34" borderId="23" xfId="0" applyNumberFormat="1" applyFont="1" applyFill="1" applyBorder="1" applyAlignment="1">
      <alignment horizontal="center"/>
    </xf>
    <xf numFmtId="37" fontId="4" fillId="34" borderId="14" xfId="42" applyNumberFormat="1" applyFont="1" applyFill="1" applyBorder="1" applyAlignment="1">
      <alignment horizontal="center"/>
    </xf>
    <xf numFmtId="1" fontId="14" fillId="34" borderId="22" xfId="0" applyNumberFormat="1" applyFont="1" applyFill="1" applyBorder="1" applyAlignment="1">
      <alignment horizontal="center"/>
    </xf>
    <xf numFmtId="1" fontId="14" fillId="34" borderId="14" xfId="0" applyNumberFormat="1" applyFont="1" applyFill="1" applyBorder="1" applyAlignment="1">
      <alignment horizontal="center"/>
    </xf>
    <xf numFmtId="191" fontId="14" fillId="34" borderId="0" xfId="44" applyNumberFormat="1" applyFont="1" applyFill="1" applyBorder="1" applyAlignment="1">
      <alignment horizontal="center"/>
    </xf>
    <xf numFmtId="191" fontId="14" fillId="34" borderId="14" xfId="44" applyNumberFormat="1" applyFont="1" applyFill="1" applyBorder="1" applyAlignment="1">
      <alignment horizontal="center"/>
    </xf>
    <xf numFmtId="1" fontId="3" fillId="34" borderId="13" xfId="0" applyNumberFormat="1" applyFont="1" applyFill="1" applyBorder="1" applyAlignment="1">
      <alignment horizontal="center"/>
    </xf>
    <xf numFmtId="1" fontId="3" fillId="34" borderId="42" xfId="0" applyNumberFormat="1" applyFont="1" applyFill="1" applyBorder="1" applyAlignment="1">
      <alignment horizontal="center"/>
    </xf>
    <xf numFmtId="1" fontId="3" fillId="34" borderId="32" xfId="0" applyNumberFormat="1" applyFont="1" applyFill="1" applyBorder="1" applyAlignment="1">
      <alignment horizontal="center"/>
    </xf>
    <xf numFmtId="192" fontId="2" fillId="33" borderId="0" xfId="0" applyNumberFormat="1" applyFont="1" applyFill="1" applyBorder="1" applyAlignment="1">
      <alignment horizontal="center"/>
    </xf>
    <xf numFmtId="192" fontId="2" fillId="33" borderId="14" xfId="0" applyNumberFormat="1" applyFont="1" applyFill="1" applyBorder="1" applyAlignment="1">
      <alignment horizontal="center"/>
    </xf>
    <xf numFmtId="192" fontId="2" fillId="33" borderId="17" xfId="0" applyNumberFormat="1" applyFont="1" applyFill="1" applyBorder="1" applyAlignment="1">
      <alignment horizontal="center"/>
    </xf>
    <xf numFmtId="192" fontId="2" fillId="33" borderId="18" xfId="0" applyNumberFormat="1" applyFont="1" applyFill="1" applyBorder="1" applyAlignment="1">
      <alignment horizontal="center"/>
    </xf>
    <xf numFmtId="0" fontId="3" fillId="34" borderId="44" xfId="0" applyFont="1" applyFill="1" applyBorder="1" applyAlignment="1">
      <alignment horizontal="center"/>
    </xf>
    <xf numFmtId="0" fontId="3" fillId="34" borderId="45" xfId="0" applyFont="1" applyFill="1" applyBorder="1" applyAlignment="1">
      <alignment horizontal="center"/>
    </xf>
    <xf numFmtId="1" fontId="4" fillId="34" borderId="23" xfId="0" applyNumberFormat="1" applyFont="1" applyFill="1" applyBorder="1" applyAlignment="1">
      <alignment horizontal="center"/>
    </xf>
    <xf numFmtId="0" fontId="3" fillId="34" borderId="46" xfId="0" applyFont="1" applyFill="1" applyBorder="1" applyAlignment="1">
      <alignment horizontal="center"/>
    </xf>
    <xf numFmtId="2" fontId="4" fillId="34" borderId="0" xfId="0" applyNumberFormat="1" applyFont="1" applyFill="1" applyBorder="1" applyAlignment="1">
      <alignment horizontal="center"/>
    </xf>
    <xf numFmtId="2" fontId="3" fillId="34" borderId="0" xfId="0" applyNumberFormat="1" applyFont="1" applyFill="1" applyBorder="1" applyAlignment="1">
      <alignment horizontal="center"/>
    </xf>
    <xf numFmtId="2" fontId="14" fillId="34" borderId="0" xfId="0" applyNumberFormat="1" applyFont="1" applyFill="1" applyBorder="1" applyAlignment="1">
      <alignment horizontal="center"/>
    </xf>
    <xf numFmtId="2" fontId="14" fillId="34" borderId="23" xfId="0" applyNumberFormat="1" applyFont="1" applyFill="1" applyBorder="1" applyAlignment="1">
      <alignment horizontal="center"/>
    </xf>
    <xf numFmtId="37" fontId="4" fillId="34" borderId="0" xfId="42" applyNumberFormat="1" applyFont="1" applyFill="1" applyBorder="1" applyAlignment="1">
      <alignment horizontal="center"/>
    </xf>
    <xf numFmtId="1" fontId="4" fillId="34" borderId="0" xfId="0" applyNumberFormat="1" applyFont="1" applyFill="1" applyBorder="1" applyAlignment="1">
      <alignment horizontal="center"/>
    </xf>
    <xf numFmtId="43" fontId="3" fillId="0" borderId="0" xfId="42" applyFont="1" applyAlignment="1">
      <alignment horizontal="center"/>
    </xf>
    <xf numFmtId="0" fontId="3" fillId="33" borderId="12" xfId="0" applyFont="1" applyFill="1" applyBorder="1" applyAlignment="1">
      <alignment horizontal="center"/>
    </xf>
    <xf numFmtId="0" fontId="3" fillId="33" borderId="15" xfId="0" applyFont="1" applyFill="1" applyBorder="1" applyAlignment="1">
      <alignment horizontal="center"/>
    </xf>
    <xf numFmtId="0" fontId="3" fillId="33" borderId="14" xfId="0" applyFont="1" applyFill="1" applyBorder="1" applyAlignment="1">
      <alignment horizontal="center"/>
    </xf>
    <xf numFmtId="0" fontId="5" fillId="33" borderId="15" xfId="0" applyFont="1" applyFill="1" applyBorder="1" applyAlignment="1">
      <alignment horizontal="center"/>
    </xf>
    <xf numFmtId="5" fontId="2" fillId="33" borderId="15" xfId="44" applyNumberFormat="1" applyFont="1" applyFill="1" applyBorder="1" applyAlignment="1">
      <alignment horizontal="center"/>
    </xf>
    <xf numFmtId="5" fontId="2" fillId="33" borderId="14" xfId="44" applyNumberFormat="1" applyFont="1" applyFill="1" applyBorder="1" applyAlignment="1">
      <alignment horizontal="center"/>
    </xf>
    <xf numFmtId="4" fontId="2" fillId="33" borderId="0" xfId="0" applyNumberFormat="1" applyFont="1" applyFill="1" applyBorder="1" applyAlignment="1">
      <alignment horizontal="center"/>
    </xf>
    <xf numFmtId="4" fontId="2" fillId="33" borderId="14" xfId="0" applyNumberFormat="1" applyFont="1" applyFill="1" applyBorder="1" applyAlignment="1">
      <alignment horizontal="center"/>
    </xf>
    <xf numFmtId="4" fontId="2" fillId="33" borderId="17" xfId="0" applyNumberFormat="1" applyFont="1" applyFill="1" applyBorder="1" applyAlignment="1">
      <alignment horizontal="center"/>
    </xf>
    <xf numFmtId="4" fontId="2" fillId="33" borderId="18" xfId="0" applyNumberFormat="1" applyFont="1" applyFill="1" applyBorder="1" applyAlignment="1">
      <alignment horizontal="center"/>
    </xf>
    <xf numFmtId="0" fontId="14" fillId="34" borderId="0" xfId="0" applyFont="1" applyFill="1" applyBorder="1" applyAlignment="1">
      <alignment horizontal="center"/>
    </xf>
    <xf numFmtId="0" fontId="14" fillId="34" borderId="23" xfId="0" applyFont="1" applyFill="1" applyBorder="1" applyAlignment="1">
      <alignment horizontal="center"/>
    </xf>
    <xf numFmtId="170" fontId="3" fillId="34" borderId="0" xfId="0" applyNumberFormat="1" applyFont="1" applyFill="1" applyBorder="1" applyAlignment="1">
      <alignment horizontal="center"/>
    </xf>
    <xf numFmtId="170" fontId="3" fillId="34" borderId="23" xfId="0" applyNumberFormat="1" applyFont="1" applyFill="1" applyBorder="1" applyAlignment="1">
      <alignment horizontal="center"/>
    </xf>
    <xf numFmtId="0" fontId="3" fillId="34" borderId="47" xfId="0" applyFont="1" applyFill="1" applyBorder="1" applyAlignment="1">
      <alignment horizontal="center"/>
    </xf>
    <xf numFmtId="5" fontId="14" fillId="34" borderId="0" xfId="44" applyNumberFormat="1" applyFont="1" applyFill="1" applyBorder="1" applyAlignment="1">
      <alignment horizontal="center"/>
    </xf>
    <xf numFmtId="5" fontId="14" fillId="34" borderId="14" xfId="44" applyNumberFormat="1" applyFont="1" applyFill="1" applyBorder="1" applyAlignment="1">
      <alignment horizontal="center"/>
    </xf>
    <xf numFmtId="0" fontId="4" fillId="34" borderId="0" xfId="0" applyFont="1" applyFill="1" applyBorder="1" applyAlignment="1">
      <alignment horizontal="center"/>
    </xf>
    <xf numFmtId="0" fontId="4" fillId="34" borderId="14" xfId="0" applyFont="1" applyFill="1" applyBorder="1" applyAlignment="1">
      <alignment horizontal="center"/>
    </xf>
    <xf numFmtId="170" fontId="3" fillId="34" borderId="14" xfId="0" applyNumberFormat="1" applyFont="1" applyFill="1" applyBorder="1" applyAlignment="1">
      <alignment horizontal="center"/>
    </xf>
    <xf numFmtId="0" fontId="3" fillId="0" borderId="27" xfId="0" applyFont="1" applyBorder="1" applyAlignment="1">
      <alignment vertical="top" wrapText="1"/>
    </xf>
    <xf numFmtId="0" fontId="3" fillId="0" borderId="28" xfId="0" applyFont="1" applyBorder="1" applyAlignment="1">
      <alignment vertical="top" wrapText="1"/>
    </xf>
    <xf numFmtId="0" fontId="3" fillId="0" borderId="29" xfId="0" applyFont="1" applyBorder="1" applyAlignment="1">
      <alignment vertical="top" wrapText="1"/>
    </xf>
    <xf numFmtId="0" fontId="24" fillId="0" borderId="27" xfId="0" applyFont="1" applyBorder="1" applyAlignment="1">
      <alignment horizontal="center" wrapText="1"/>
    </xf>
    <xf numFmtId="0" fontId="24" fillId="0" borderId="28" xfId="0" applyFont="1" applyBorder="1" applyAlignment="1">
      <alignment horizontal="center" wrapText="1"/>
    </xf>
    <xf numFmtId="0" fontId="24" fillId="0" borderId="29" xfId="0" applyFont="1" applyBorder="1" applyAlignment="1">
      <alignment horizontal="center" wrapText="1"/>
    </xf>
    <xf numFmtId="0" fontId="2" fillId="0" borderId="48" xfId="0" applyFont="1" applyBorder="1" applyAlignment="1">
      <alignment horizontal="center" wrapText="1"/>
    </xf>
    <xf numFmtId="0" fontId="2" fillId="0" borderId="38" xfId="0" applyFont="1" applyBorder="1" applyAlignment="1">
      <alignment horizontal="center" wrapText="1"/>
    </xf>
    <xf numFmtId="0" fontId="2" fillId="0" borderId="27" xfId="0" applyFont="1" applyBorder="1" applyAlignment="1">
      <alignment horizontal="center" wrapText="1"/>
    </xf>
    <xf numFmtId="0" fontId="2" fillId="0" borderId="28" xfId="0" applyFont="1" applyBorder="1" applyAlignment="1">
      <alignment horizontal="center" wrapText="1"/>
    </xf>
    <xf numFmtId="0" fontId="2" fillId="0" borderId="29" xfId="0" applyFont="1" applyBorder="1" applyAlignment="1">
      <alignment horizont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27" xfId="0" applyFont="1" applyBorder="1" applyAlignment="1">
      <alignment wrapText="1"/>
    </xf>
    <xf numFmtId="0" fontId="0" fillId="0" borderId="29" xfId="0" applyFont="1" applyBorder="1" applyAlignment="1">
      <alignment wrapText="1"/>
    </xf>
    <xf numFmtId="0" fontId="0" fillId="0" borderId="0" xfId="0"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yle 35" xfId="60"/>
    <cellStyle name="Style 36"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chartsheet" Target="chartsheets/sheet1.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chartsheet" Target="chartsheets/sheet2.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735"/>
          <c:w val="0.95175"/>
          <c:h val="0.911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forward val="10"/>
            <c:backward val="10"/>
            <c:dispEq val="1"/>
            <c:dispRSqr val="1"/>
            <c:trendlineLbl>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General"/>
            </c:trendlineLbl>
          </c:trendline>
          <c:xVal>
            <c:numRef>
              <c:f>Sheet1!$C$6:$C$23</c:f>
              <c:numCache>
                <c:ptCount val="18"/>
                <c:pt idx="0">
                  <c:v>20.18</c:v>
                </c:pt>
                <c:pt idx="1">
                  <c:v>14.82</c:v>
                </c:pt>
                <c:pt idx="2">
                  <c:v>12.12</c:v>
                </c:pt>
                <c:pt idx="3">
                  <c:v>12.01</c:v>
                </c:pt>
                <c:pt idx="4">
                  <c:v>11.49</c:v>
                </c:pt>
                <c:pt idx="5">
                  <c:v>11.49</c:v>
                </c:pt>
                <c:pt idx="6">
                  <c:v>9</c:v>
                </c:pt>
                <c:pt idx="7">
                  <c:v>6.76</c:v>
                </c:pt>
                <c:pt idx="8">
                  <c:v>6.5</c:v>
                </c:pt>
                <c:pt idx="10">
                  <c:v>18.36</c:v>
                </c:pt>
                <c:pt idx="11">
                  <c:v>10.4</c:v>
                </c:pt>
                <c:pt idx="12">
                  <c:v>12.06</c:v>
                </c:pt>
                <c:pt idx="14">
                  <c:v>20.75</c:v>
                </c:pt>
                <c:pt idx="15">
                  <c:v>16.12</c:v>
                </c:pt>
                <c:pt idx="16">
                  <c:v>8.22</c:v>
                </c:pt>
                <c:pt idx="17">
                  <c:v>7.02</c:v>
                </c:pt>
              </c:numCache>
            </c:numRef>
          </c:xVal>
          <c:yVal>
            <c:numRef>
              <c:f>Sheet1!$F$6:$F$23</c:f>
              <c:numCache>
                <c:ptCount val="18"/>
                <c:pt idx="0">
                  <c:v>11</c:v>
                </c:pt>
                <c:pt idx="1">
                  <c:v>9</c:v>
                </c:pt>
                <c:pt idx="2">
                  <c:v>7.8</c:v>
                </c:pt>
                <c:pt idx="3">
                  <c:v>7.5</c:v>
                </c:pt>
                <c:pt idx="4">
                  <c:v>8.3</c:v>
                </c:pt>
                <c:pt idx="5">
                  <c:v>7.4</c:v>
                </c:pt>
                <c:pt idx="6">
                  <c:v>5.4</c:v>
                </c:pt>
                <c:pt idx="7">
                  <c:v>5</c:v>
                </c:pt>
                <c:pt idx="8">
                  <c:v>5.1</c:v>
                </c:pt>
                <c:pt idx="10">
                  <c:v>12.1</c:v>
                </c:pt>
                <c:pt idx="11">
                  <c:v>8.5</c:v>
                </c:pt>
                <c:pt idx="12">
                  <c:v>9</c:v>
                </c:pt>
                <c:pt idx="14">
                  <c:v>10</c:v>
                </c:pt>
                <c:pt idx="15">
                  <c:v>11</c:v>
                </c:pt>
                <c:pt idx="16">
                  <c:v>5.9</c:v>
                </c:pt>
                <c:pt idx="17">
                  <c:v>4.8</c:v>
                </c:pt>
              </c:numCache>
            </c:numRef>
          </c:yVal>
          <c:smooth val="0"/>
        </c:ser>
        <c:axId val="50589228"/>
        <c:axId val="52649869"/>
      </c:scatterChart>
      <c:valAx>
        <c:axId val="50589228"/>
        <c:scaling>
          <c:orientation val="minMax"/>
          <c:max val="25"/>
          <c:min val="0"/>
        </c:scaling>
        <c:axPos val="b"/>
        <c:delete val="0"/>
        <c:numFmt formatCode="0.0" sourceLinked="0"/>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52649869"/>
        <c:crosses val="autoZero"/>
        <c:crossBetween val="midCat"/>
        <c:dispUnits/>
      </c:valAx>
      <c:valAx>
        <c:axId val="5264986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50589228"/>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Energy Factor Degradation</a:t>
            </a:r>
          </a:p>
        </c:rich>
      </c:tx>
      <c:layout>
        <c:manualLayout>
          <c:xMode val="factor"/>
          <c:yMode val="factor"/>
          <c:x val="-0.005"/>
          <c:y val="0"/>
        </c:manualLayout>
      </c:layout>
      <c:spPr>
        <a:noFill/>
        <a:ln>
          <a:noFill/>
        </a:ln>
      </c:spPr>
    </c:title>
    <c:plotArea>
      <c:layout>
        <c:manualLayout>
          <c:xMode val="edge"/>
          <c:yMode val="edge"/>
          <c:x val="0.03525"/>
          <c:y val="0.092"/>
          <c:w val="0.901"/>
          <c:h val="0.85375"/>
        </c:manualLayout>
      </c:layout>
      <c:scatterChart>
        <c:scatterStyle val="smoothMarker"/>
        <c:varyColors val="0"/>
        <c:ser>
          <c:idx val="0"/>
          <c:order val="0"/>
          <c:tx>
            <c:strRef>
              <c:f>Sheet2!$B$1</c:f>
              <c:strCache>
                <c:ptCount val="1"/>
                <c:pt idx="0">
                  <c:v>Efficiency Change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3175">
                <a:solidFill>
                  <a:srgbClr val="000000"/>
                </a:solidFill>
              </a:ln>
            </c:spPr>
            <c:trendlineType val="poly"/>
            <c:order val="3"/>
            <c:forward val="10"/>
            <c:backward val="20"/>
            <c:dispEq val="1"/>
            <c:dispRSqr val="1"/>
            <c:trendlineLbl>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General"/>
            </c:trendlineLbl>
          </c:trendline>
          <c:xVal>
            <c:numRef>
              <c:f>Sheet2!$A$2:$A$6</c:f>
              <c:numCache>
                <c:ptCount val="5"/>
                <c:pt idx="0">
                  <c:v>50</c:v>
                </c:pt>
                <c:pt idx="1">
                  <c:v>60</c:v>
                </c:pt>
                <c:pt idx="2">
                  <c:v>70</c:v>
                </c:pt>
                <c:pt idx="3">
                  <c:v>80</c:v>
                </c:pt>
                <c:pt idx="4">
                  <c:v>90</c:v>
                </c:pt>
              </c:numCache>
            </c:numRef>
          </c:xVal>
          <c:yVal>
            <c:numRef>
              <c:f>Sheet2!$B$2:$B$6</c:f>
              <c:numCache>
                <c:ptCount val="5"/>
                <c:pt idx="0">
                  <c:v>-11</c:v>
                </c:pt>
                <c:pt idx="1">
                  <c:v>-7</c:v>
                </c:pt>
                <c:pt idx="2">
                  <c:v>0</c:v>
                </c:pt>
                <c:pt idx="3">
                  <c:v>11</c:v>
                </c:pt>
                <c:pt idx="4">
                  <c:v>26</c:v>
                </c:pt>
              </c:numCache>
            </c:numRef>
          </c:yVal>
          <c:smooth val="1"/>
        </c:ser>
        <c:axId val="4086774"/>
        <c:axId val="36780967"/>
      </c:scatterChart>
      <c:valAx>
        <c:axId val="4086774"/>
        <c:scaling>
          <c:orientation val="minMax"/>
          <c:max val="100"/>
          <c:min val="30"/>
        </c:scaling>
        <c:axPos val="b"/>
        <c:title>
          <c:tx>
            <c:rich>
              <a:bodyPr vert="horz" rot="0" anchor="ctr"/>
              <a:lstStyle/>
              <a:p>
                <a:pPr algn="ctr">
                  <a:defRPr/>
                </a:pPr>
                <a:r>
                  <a:rPr lang="en-US" cap="none" sz="1200" b="1" i="0" u="none" baseline="0">
                    <a:solidFill>
                      <a:srgbClr val="000000"/>
                    </a:solidFill>
                    <a:latin typeface="Arial"/>
                    <a:ea typeface="Arial"/>
                    <a:cs typeface="Arial"/>
                  </a:rPr>
                  <a:t>Ambient Temperature (F)</a:t>
                </a:r>
              </a:p>
            </c:rich>
          </c:tx>
          <c:layout>
            <c:manualLayout>
              <c:xMode val="factor"/>
              <c:yMode val="factor"/>
              <c:x val="0.0035"/>
              <c:y val="0.00025"/>
            </c:manualLayout>
          </c:layout>
          <c:overlay val="0"/>
          <c:spPr>
            <a:noFill/>
            <a:ln>
              <a:noFill/>
            </a:ln>
          </c:spPr>
        </c:title>
        <c:delete val="0"/>
        <c:numFmt formatCode="General" sourceLinked="1"/>
        <c:majorTickMark val="out"/>
        <c:minorTickMark val="cross"/>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36780967"/>
        <c:crosses val="autoZero"/>
        <c:crossBetween val="midCat"/>
        <c:dispUnits/>
      </c:valAx>
      <c:valAx>
        <c:axId val="36780967"/>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Efficiency Change</a:t>
                </a:r>
              </a:p>
            </c:rich>
          </c:tx>
          <c:layout>
            <c:manualLayout>
              <c:xMode val="factor"/>
              <c:yMode val="factor"/>
              <c:x val="-0.0067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086774"/>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11"/>
  <sheetViews>
    <sheetView workbookViewId="0" zoomScale="64"/>
  </sheetViews>
  <pageMargins left="0.75" right="0.75" top="1"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Pr codeName="Chart1"/>
  <sheetViews>
    <sheetView workbookViewId="0" zoomScale="64"/>
  </sheetViews>
  <pageMargins left="0.25" right="0.25" top="0.25" bottom="0.25" header="0.5" footer="0.5"/>
  <pageSetup horizontalDpi="300" verticalDpi="3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91675" cy="7305675"/>
    <xdr:graphicFrame>
      <xdr:nvGraphicFramePr>
        <xdr:cNvPr id="1" name="Shape 1025"/>
        <xdr:cNvGraphicFramePr/>
      </xdr:nvGraphicFramePr>
      <xdr:xfrm>
        <a:off x="0" y="0"/>
        <a:ext cx="9591675" cy="7305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kgarner\Local%20Settings\Temporary%20Internet%20Files\OLKD\water%20heater%20spreadsheet%20public%204-04-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Hot Water Use"/>
      <sheetName val="Tank-to-Tank"/>
      <sheetName val="Tank-to-Tankless"/>
      <sheetName val="Tank-to-HP"/>
      <sheetName val="Tank-to-Solar"/>
      <sheetName val="Table 4"/>
      <sheetName val="Sheet1"/>
      <sheetName val="Chart1"/>
      <sheetName val="Sheet2"/>
      <sheetName val="Chart2"/>
      <sheetName val="Sheet4"/>
      <sheetName val="Dating Reference - Framework"/>
      <sheetName val="Data"/>
      <sheetName val="Table 5"/>
      <sheetName val="Table 6"/>
      <sheetName val="Table 7"/>
      <sheetName val="Appendix 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eia.doe.gov/cneaf/electricity/epa/average_price_state.xls" TargetMode="External" /><Relationship Id="rId2" Type="http://schemas.openxmlformats.org/officeDocument/2006/relationships/hyperlink" Target="http://tonto.eia.doe.gov/dnav/ng/ng_pri_sum_a_EPG0_FWA_DMcf_a.htm" TargetMode="External" /><Relationship Id="rId3" Type="http://schemas.openxmlformats.org/officeDocument/2006/relationships/hyperlink" Target="http://tonto.eia.doe.gov/dnav/pet/pet_pri_dist_a_EPD2_PRT_cpgal_a.htm" TargetMode="Externa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0"/>
  <sheetViews>
    <sheetView showGridLines="0" zoomScale="85" zoomScaleNormal="85" zoomScalePageLayoutView="0" workbookViewId="0" topLeftCell="A1">
      <selection activeCell="C7" sqref="C7:D7"/>
    </sheetView>
  </sheetViews>
  <sheetFormatPr defaultColWidth="9.140625" defaultRowHeight="12.75"/>
  <cols>
    <col min="1" max="1" width="3.140625" style="186" customWidth="1"/>
    <col min="2" max="2" width="4.7109375" style="186" customWidth="1"/>
    <col min="3" max="3" width="7.7109375" style="186" customWidth="1"/>
    <col min="4" max="4" width="86.140625" style="186" customWidth="1"/>
    <col min="5" max="16384" width="9.140625" style="186" customWidth="1"/>
  </cols>
  <sheetData>
    <row r="1" spans="1:4" ht="15.75" customHeight="1">
      <c r="A1" s="229" t="s">
        <v>215</v>
      </c>
      <c r="B1" s="229"/>
      <c r="C1" s="229"/>
      <c r="D1" s="229"/>
    </row>
    <row r="2" spans="1:4" ht="15.75" customHeight="1">
      <c r="A2" s="230"/>
      <c r="B2" s="230"/>
      <c r="C2" s="230"/>
      <c r="D2" s="230"/>
    </row>
    <row r="3" spans="2:4" ht="48" customHeight="1">
      <c r="B3" s="240" t="s">
        <v>287</v>
      </c>
      <c r="C3" s="240"/>
      <c r="D3" s="240"/>
    </row>
    <row r="4" spans="2:4" ht="15">
      <c r="B4" s="227" t="s">
        <v>234</v>
      </c>
      <c r="C4" s="227"/>
      <c r="D4" s="227"/>
    </row>
    <row r="5" spans="3:4" ht="31.5" customHeight="1">
      <c r="C5" s="238" t="s">
        <v>237</v>
      </c>
      <c r="D5" s="238"/>
    </row>
    <row r="6" spans="3:4" ht="31.5" customHeight="1">
      <c r="C6" s="238" t="s">
        <v>238</v>
      </c>
      <c r="D6" s="238"/>
    </row>
    <row r="7" spans="3:4" ht="31.5" customHeight="1">
      <c r="C7" s="238" t="s">
        <v>239</v>
      </c>
      <c r="D7" s="238"/>
    </row>
    <row r="8" spans="3:4" ht="31.5" customHeight="1">
      <c r="C8" s="238" t="s">
        <v>240</v>
      </c>
      <c r="D8" s="238"/>
    </row>
    <row r="9" spans="1:4" ht="15.75" customHeight="1">
      <c r="A9" s="230"/>
      <c r="B9" s="230"/>
      <c r="C9" s="230"/>
      <c r="D9" s="230"/>
    </row>
    <row r="10" spans="2:4" s="188" customFormat="1" ht="63.75" customHeight="1">
      <c r="B10" s="239" t="s">
        <v>261</v>
      </c>
      <c r="C10" s="239"/>
      <c r="D10" s="239"/>
    </row>
    <row r="11" spans="2:4" ht="30" customHeight="1">
      <c r="B11" s="241" t="s">
        <v>235</v>
      </c>
      <c r="C11" s="241"/>
      <c r="D11" s="241"/>
    </row>
    <row r="12" spans="2:4" ht="15.75" customHeight="1">
      <c r="B12" s="202" t="s">
        <v>236</v>
      </c>
      <c r="C12" s="202"/>
      <c r="D12" s="202"/>
    </row>
    <row r="13" ht="15.75" customHeight="1"/>
    <row r="14" spans="2:4" ht="15.75" customHeight="1" thickBot="1">
      <c r="B14" s="227" t="s">
        <v>241</v>
      </c>
      <c r="C14" s="228"/>
      <c r="D14" s="228"/>
    </row>
    <row r="15" spans="2:4" ht="31.5" customHeight="1">
      <c r="B15" s="215" t="s">
        <v>242</v>
      </c>
      <c r="C15" s="216"/>
      <c r="D15" s="217"/>
    </row>
    <row r="16" spans="2:4" ht="15.75" customHeight="1">
      <c r="B16" s="209" t="s">
        <v>243</v>
      </c>
      <c r="C16" s="210"/>
      <c r="D16" s="211"/>
    </row>
    <row r="17" spans="2:4" ht="31.5" customHeight="1">
      <c r="B17" s="209" t="s">
        <v>244</v>
      </c>
      <c r="C17" s="210"/>
      <c r="D17" s="211"/>
    </row>
    <row r="18" spans="2:4" ht="15.75" customHeight="1">
      <c r="B18" s="209" t="s">
        <v>245</v>
      </c>
      <c r="C18" s="210"/>
      <c r="D18" s="211"/>
    </row>
    <row r="19" spans="2:4" ht="15.75" customHeight="1">
      <c r="B19" s="209" t="s">
        <v>246</v>
      </c>
      <c r="C19" s="210"/>
      <c r="D19" s="211"/>
    </row>
    <row r="20" spans="2:4" ht="31.5" customHeight="1">
      <c r="B20" s="209" t="s">
        <v>247</v>
      </c>
      <c r="C20" s="210"/>
      <c r="D20" s="211"/>
    </row>
    <row r="21" spans="2:4" ht="31.5" customHeight="1">
      <c r="B21" s="209" t="s">
        <v>248</v>
      </c>
      <c r="C21" s="210"/>
      <c r="D21" s="211"/>
    </row>
    <row r="22" spans="2:4" ht="31.5" customHeight="1" thickBot="1">
      <c r="B22" s="212" t="s">
        <v>249</v>
      </c>
      <c r="C22" s="213"/>
      <c r="D22" s="214"/>
    </row>
    <row r="23" spans="2:4" s="190" customFormat="1" ht="15.75" customHeight="1" thickBot="1">
      <c r="B23" s="189"/>
      <c r="C23" s="189"/>
      <c r="D23" s="189"/>
    </row>
    <row r="24" spans="2:4" ht="31.5" customHeight="1">
      <c r="B24" s="218" t="s">
        <v>250</v>
      </c>
      <c r="C24" s="219"/>
      <c r="D24" s="220"/>
    </row>
    <row r="25" spans="2:4" ht="15.75" customHeight="1">
      <c r="B25" s="224" t="s">
        <v>251</v>
      </c>
      <c r="C25" s="225"/>
      <c r="D25" s="226"/>
    </row>
    <row r="26" spans="2:4" ht="31.5" customHeight="1">
      <c r="B26" s="221" t="s">
        <v>252</v>
      </c>
      <c r="C26" s="222"/>
      <c r="D26" s="223"/>
    </row>
    <row r="27" spans="2:4" ht="48" customHeight="1" thickBot="1">
      <c r="B27" s="235" t="s">
        <v>262</v>
      </c>
      <c r="C27" s="236"/>
      <c r="D27" s="237"/>
    </row>
    <row r="28" ht="15.75" customHeight="1"/>
    <row r="29" spans="2:4" ht="15.75" customHeight="1">
      <c r="B29" s="227" t="s">
        <v>253</v>
      </c>
      <c r="C29" s="228"/>
      <c r="D29" s="228"/>
    </row>
    <row r="30" spans="2:4" ht="93.75" customHeight="1" thickBot="1">
      <c r="B30" s="201" t="s">
        <v>260</v>
      </c>
      <c r="C30" s="201"/>
      <c r="D30" s="201"/>
    </row>
    <row r="31" spans="2:4" ht="31.5" customHeight="1">
      <c r="B31" s="206" t="s">
        <v>254</v>
      </c>
      <c r="C31" s="207"/>
      <c r="D31" s="208"/>
    </row>
    <row r="32" spans="2:4" ht="31.5" customHeight="1" thickBot="1">
      <c r="B32" s="203" t="s">
        <v>255</v>
      </c>
      <c r="C32" s="204"/>
      <c r="D32" s="205"/>
    </row>
    <row r="34" spans="2:4" ht="15.75" customHeight="1" thickBot="1">
      <c r="B34" s="187" t="s">
        <v>256</v>
      </c>
      <c r="D34" s="185"/>
    </row>
    <row r="35" spans="2:4" ht="31.5" customHeight="1">
      <c r="B35" s="206" t="s">
        <v>257</v>
      </c>
      <c r="C35" s="207"/>
      <c r="D35" s="208"/>
    </row>
    <row r="36" spans="2:4" ht="31.5" customHeight="1">
      <c r="B36" s="242" t="s">
        <v>258</v>
      </c>
      <c r="C36" s="243"/>
      <c r="D36" s="244"/>
    </row>
    <row r="37" spans="2:4" ht="31.5" customHeight="1">
      <c r="B37" s="231" t="s">
        <v>259</v>
      </c>
      <c r="C37" s="232"/>
      <c r="D37" s="233"/>
    </row>
    <row r="38" spans="2:4" ht="79.5" customHeight="1">
      <c r="B38" s="234" t="s">
        <v>263</v>
      </c>
      <c r="C38" s="232"/>
      <c r="D38" s="233"/>
    </row>
    <row r="39" spans="2:4" ht="46.5" customHeight="1" thickBot="1">
      <c r="B39" s="203" t="s">
        <v>264</v>
      </c>
      <c r="C39" s="204"/>
      <c r="D39" s="205"/>
    </row>
    <row r="40" ht="15">
      <c r="B40" s="187"/>
    </row>
  </sheetData>
  <sheetProtection/>
  <mergeCells count="34">
    <mergeCell ref="B39:D39"/>
    <mergeCell ref="B10:D10"/>
    <mergeCell ref="B3:D3"/>
    <mergeCell ref="C5:D5"/>
    <mergeCell ref="C7:D7"/>
    <mergeCell ref="C8:D8"/>
    <mergeCell ref="B14:D14"/>
    <mergeCell ref="B11:D11"/>
    <mergeCell ref="B36:D36"/>
    <mergeCell ref="B31:D31"/>
    <mergeCell ref="B37:D37"/>
    <mergeCell ref="B38:D38"/>
    <mergeCell ref="B19:D19"/>
    <mergeCell ref="B27:D27"/>
    <mergeCell ref="A9:D9"/>
    <mergeCell ref="B4:D4"/>
    <mergeCell ref="B17:D17"/>
    <mergeCell ref="C6:D6"/>
    <mergeCell ref="B24:D24"/>
    <mergeCell ref="B26:D26"/>
    <mergeCell ref="B25:D25"/>
    <mergeCell ref="B29:D29"/>
    <mergeCell ref="A1:D1"/>
    <mergeCell ref="A2:D2"/>
    <mergeCell ref="B30:D30"/>
    <mergeCell ref="B12:D12"/>
    <mergeCell ref="B32:D32"/>
    <mergeCell ref="B35:D35"/>
    <mergeCell ref="B20:D20"/>
    <mergeCell ref="B21:D21"/>
    <mergeCell ref="B22:D22"/>
    <mergeCell ref="B15:D15"/>
    <mergeCell ref="B16:D16"/>
    <mergeCell ref="B18:D18"/>
  </mergeCells>
  <printOptions horizontalCentered="1"/>
  <pageMargins left="1" right="1" top="1" bottom="1" header="0.5" footer="0.5"/>
  <pageSetup horizontalDpi="600" verticalDpi="600" orientation="portrait" scale="85" r:id="rId1"/>
  <rowBreaks count="1" manualBreakCount="1">
    <brk id="28" min="1" max="3" man="1"/>
  </rowBreaks>
</worksheet>
</file>

<file path=xl/worksheets/sheet10.xml><?xml version="1.0" encoding="utf-8"?>
<worksheet xmlns="http://schemas.openxmlformats.org/spreadsheetml/2006/main" xmlns:r="http://schemas.openxmlformats.org/officeDocument/2006/relationships">
  <sheetPr codeName="Sheet11"/>
  <dimension ref="B2:L6"/>
  <sheetViews>
    <sheetView showGridLines="0" zoomScalePageLayoutView="0" workbookViewId="0" topLeftCell="A1">
      <selection activeCell="A1" sqref="A1:D1"/>
    </sheetView>
  </sheetViews>
  <sheetFormatPr defaultColWidth="9.140625" defaultRowHeight="12.75"/>
  <cols>
    <col min="1" max="1" width="3.140625" style="43" customWidth="1"/>
    <col min="2" max="2" width="22.57421875" style="43" customWidth="1"/>
    <col min="3" max="7" width="12.140625" style="43" customWidth="1"/>
    <col min="8" max="11" width="11.00390625" style="43" customWidth="1"/>
    <col min="12" max="12" width="10.8515625" style="43" customWidth="1"/>
    <col min="13" max="15" width="8.28125" style="43" customWidth="1"/>
    <col min="16" max="16384" width="9.140625" style="43" customWidth="1"/>
  </cols>
  <sheetData>
    <row r="1" ht="6.75" customHeight="1"/>
    <row r="2" spans="2:11" ht="15.75" customHeight="1">
      <c r="B2" s="324" t="s">
        <v>280</v>
      </c>
      <c r="C2" s="325"/>
      <c r="D2" s="325"/>
      <c r="E2" s="325"/>
      <c r="F2" s="325"/>
      <c r="G2" s="326"/>
      <c r="H2"/>
      <c r="I2"/>
      <c r="J2"/>
      <c r="K2"/>
    </row>
    <row r="3" spans="2:11" ht="15.75" customHeight="1">
      <c r="B3" s="191" t="s">
        <v>267</v>
      </c>
      <c r="C3" s="192" t="s">
        <v>268</v>
      </c>
      <c r="D3" s="192" t="s">
        <v>269</v>
      </c>
      <c r="E3" s="192">
        <v>1985</v>
      </c>
      <c r="F3" s="192" t="s">
        <v>270</v>
      </c>
      <c r="G3" s="192" t="s">
        <v>271</v>
      </c>
      <c r="H3"/>
      <c r="I3"/>
      <c r="J3"/>
      <c r="K3"/>
    </row>
    <row r="4" spans="2:11" ht="15.75" customHeight="1">
      <c r="B4" s="195" t="s">
        <v>142</v>
      </c>
      <c r="C4" s="196">
        <v>0.8</v>
      </c>
      <c r="D4" s="194">
        <v>0.81</v>
      </c>
      <c r="E4" s="194">
        <v>0.82</v>
      </c>
      <c r="F4" s="194">
        <v>0.82</v>
      </c>
      <c r="G4" s="194">
        <v>0.83</v>
      </c>
      <c r="H4"/>
      <c r="I4"/>
      <c r="J4"/>
      <c r="K4"/>
    </row>
    <row r="5" spans="2:11" ht="15.75" customHeight="1">
      <c r="B5" s="195" t="s">
        <v>118</v>
      </c>
      <c r="C5" s="194">
        <v>0.48</v>
      </c>
      <c r="D5" s="194">
        <v>0.48</v>
      </c>
      <c r="E5" s="194">
        <v>0.48</v>
      </c>
      <c r="F5" s="194">
        <v>0.49</v>
      </c>
      <c r="G5" s="194">
        <v>0.49</v>
      </c>
      <c r="H5"/>
      <c r="I5"/>
      <c r="J5"/>
      <c r="K5"/>
    </row>
    <row r="6" spans="2:12" ht="38.25" customHeight="1">
      <c r="B6" s="332" t="s">
        <v>272</v>
      </c>
      <c r="C6" s="333"/>
      <c r="D6" s="333"/>
      <c r="E6" s="333"/>
      <c r="F6" s="333"/>
      <c r="G6" s="334"/>
      <c r="H6"/>
      <c r="I6"/>
      <c r="J6"/>
      <c r="K6"/>
      <c r="L6" s="16"/>
    </row>
  </sheetData>
  <sheetProtection sheet="1" objects="1" scenarios="1"/>
  <mergeCells count="2">
    <mergeCell ref="B2:G2"/>
    <mergeCell ref="B6:G6"/>
  </mergeCells>
  <printOptions horizontalCentered="1"/>
  <pageMargins left="1" right="1" top="1" bottom="1" header="0.5" footer="0.5"/>
  <pageSetup horizontalDpi="300" verticalDpi="300" orientation="portrait"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sheetPr codeName="Sheet12"/>
  <dimension ref="B2:C7"/>
  <sheetViews>
    <sheetView showGridLines="0" zoomScalePageLayoutView="0" workbookViewId="0" topLeftCell="A1">
      <selection activeCell="A1" sqref="A1:D1"/>
    </sheetView>
  </sheetViews>
  <sheetFormatPr defaultColWidth="9.140625" defaultRowHeight="12.75"/>
  <cols>
    <col min="1" max="1" width="3.140625" style="43" customWidth="1"/>
    <col min="2" max="2" width="29.28125" style="43" customWidth="1"/>
    <col min="3" max="3" width="37.8515625" style="43" customWidth="1"/>
    <col min="4" max="5" width="11.00390625" style="43" customWidth="1"/>
    <col min="6" max="6" width="11.7109375" style="43" customWidth="1"/>
    <col min="7" max="10" width="11.00390625" style="43" customWidth="1"/>
    <col min="11" max="11" width="10.8515625" style="43" customWidth="1"/>
    <col min="12" max="14" width="8.28125" style="43" customWidth="1"/>
    <col min="15" max="16384" width="9.140625" style="43" customWidth="1"/>
  </cols>
  <sheetData>
    <row r="1" ht="6.75" customHeight="1"/>
    <row r="2" spans="2:3" ht="15.75" customHeight="1">
      <c r="B2" s="324" t="s">
        <v>281</v>
      </c>
      <c r="C2" s="326"/>
    </row>
    <row r="3" spans="2:3" ht="15.75" customHeight="1">
      <c r="B3" s="197" t="s">
        <v>267</v>
      </c>
      <c r="C3" s="192" t="s">
        <v>273</v>
      </c>
    </row>
    <row r="4" spans="2:3" ht="15.75" customHeight="1">
      <c r="B4" s="193" t="s">
        <v>142</v>
      </c>
      <c r="C4" s="198">
        <v>0.98</v>
      </c>
    </row>
    <row r="5" spans="2:3" ht="15.75" customHeight="1">
      <c r="B5" s="193" t="s">
        <v>274</v>
      </c>
      <c r="C5" s="198">
        <v>0.76</v>
      </c>
    </row>
    <row r="6" spans="2:3" ht="15.75" customHeight="1">
      <c r="B6" s="193" t="s">
        <v>174</v>
      </c>
      <c r="C6" s="198">
        <v>0.76</v>
      </c>
    </row>
    <row r="7" spans="2:3" ht="38.25" customHeight="1">
      <c r="B7" s="335" t="s">
        <v>272</v>
      </c>
      <c r="C7" s="336"/>
    </row>
  </sheetData>
  <sheetProtection sheet="1" objects="1" scenarios="1"/>
  <mergeCells count="2">
    <mergeCell ref="B2:C2"/>
    <mergeCell ref="B7:C7"/>
  </mergeCells>
  <printOptions horizontalCentered="1"/>
  <pageMargins left="1" right="1" top="1" bottom="1" header="0.5" footer="0.5"/>
  <pageSetup horizontalDpi="300" verticalDpi="300" orientation="portrait"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sheetPr codeName="Sheet13"/>
  <dimension ref="B2:C6"/>
  <sheetViews>
    <sheetView showGridLines="0" zoomScalePageLayoutView="0" workbookViewId="0" topLeftCell="A1">
      <selection activeCell="A1" sqref="A1:D1"/>
    </sheetView>
  </sheetViews>
  <sheetFormatPr defaultColWidth="9.140625" defaultRowHeight="12.75"/>
  <cols>
    <col min="1" max="1" width="3.140625" style="43" customWidth="1"/>
    <col min="2" max="2" width="25.421875" style="43" customWidth="1"/>
    <col min="3" max="3" width="31.421875" style="43" customWidth="1"/>
    <col min="4" max="5" width="11.00390625" style="43" customWidth="1"/>
    <col min="6" max="6" width="11.7109375" style="43" customWidth="1"/>
    <col min="7" max="10" width="11.00390625" style="43" customWidth="1"/>
    <col min="11" max="11" width="10.8515625" style="43" customWidth="1"/>
    <col min="12" max="14" width="8.28125" style="43" customWidth="1"/>
    <col min="15" max="16384" width="9.140625" style="43" customWidth="1"/>
  </cols>
  <sheetData>
    <row r="1" ht="6.75" customHeight="1"/>
    <row r="2" spans="2:3" ht="15.75" customHeight="1">
      <c r="B2" s="324" t="s">
        <v>282</v>
      </c>
      <c r="C2" s="326"/>
    </row>
    <row r="3" spans="2:3" ht="15.75" customHeight="1">
      <c r="B3" s="199" t="s">
        <v>179</v>
      </c>
      <c r="C3" s="200" t="s">
        <v>283</v>
      </c>
    </row>
    <row r="4" spans="2:3" ht="15.75" customHeight="1">
      <c r="B4" s="193" t="s">
        <v>274</v>
      </c>
      <c r="C4" s="194" t="s">
        <v>275</v>
      </c>
    </row>
    <row r="5" spans="2:3" ht="15.75" customHeight="1">
      <c r="B5" s="193" t="s">
        <v>123</v>
      </c>
      <c r="C5" s="194" t="s">
        <v>276</v>
      </c>
    </row>
    <row r="6" spans="2:3" ht="15.75" customHeight="1">
      <c r="B6" s="193" t="s">
        <v>174</v>
      </c>
      <c r="C6" s="194" t="s">
        <v>277</v>
      </c>
    </row>
  </sheetData>
  <sheetProtection sheet="1" objects="1" scenarios="1"/>
  <mergeCells count="1">
    <mergeCell ref="B2:C2"/>
  </mergeCells>
  <printOptions horizontalCentered="1"/>
  <pageMargins left="1" right="1" top="1" bottom="1" header="0.5" footer="0.5"/>
  <pageSetup horizontalDpi="300" verticalDpi="300" orientation="portrait"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sheetPr codeName="Sheet15"/>
  <dimension ref="A1:L20"/>
  <sheetViews>
    <sheetView zoomScale="85" zoomScaleNormal="85" zoomScalePageLayoutView="0" workbookViewId="0" topLeftCell="A1">
      <selection activeCell="A1" sqref="A1:D1"/>
    </sheetView>
  </sheetViews>
  <sheetFormatPr defaultColWidth="9.140625" defaultRowHeight="12.75"/>
  <cols>
    <col min="1" max="1" width="19.140625" style="50" customWidth="1"/>
    <col min="2" max="2" width="52.00390625" style="50" customWidth="1"/>
    <col min="3" max="3" width="15.8515625" style="50" customWidth="1"/>
    <col min="4" max="5" width="20.140625" style="50" customWidth="1"/>
    <col min="6" max="16384" width="9.140625" style="50" customWidth="1"/>
  </cols>
  <sheetData>
    <row r="1" spans="1:12" s="47" customFormat="1" ht="13.5" customHeight="1">
      <c r="A1" s="45" t="s">
        <v>191</v>
      </c>
      <c r="B1" s="84" t="s">
        <v>172</v>
      </c>
      <c r="C1" s="46" t="s">
        <v>192</v>
      </c>
      <c r="D1" s="46" t="s">
        <v>193</v>
      </c>
      <c r="E1" s="46" t="s">
        <v>194</v>
      </c>
      <c r="G1" s="50"/>
      <c r="H1" s="50"/>
      <c r="I1" s="50"/>
      <c r="J1" s="50"/>
      <c r="K1" s="50"/>
      <c r="L1" s="50"/>
    </row>
    <row r="2" spans="1:5" ht="114.75" customHeight="1">
      <c r="A2" s="48" t="s">
        <v>145</v>
      </c>
      <c r="B2" s="85" t="s">
        <v>285</v>
      </c>
      <c r="C2" s="49" t="s">
        <v>195</v>
      </c>
      <c r="D2" s="49" t="s">
        <v>196</v>
      </c>
      <c r="E2" s="49" t="s">
        <v>197</v>
      </c>
    </row>
    <row r="3" spans="1:11" s="90" customFormat="1" ht="13.5" customHeight="1">
      <c r="A3" s="88" t="s">
        <v>147</v>
      </c>
      <c r="B3" s="91" t="s">
        <v>159</v>
      </c>
      <c r="C3" s="89"/>
      <c r="D3" s="88"/>
      <c r="E3" s="88"/>
      <c r="G3" s="50"/>
      <c r="H3" s="50"/>
      <c r="I3" s="50"/>
      <c r="J3" s="50"/>
      <c r="K3" s="50"/>
    </row>
    <row r="4" spans="1:5" ht="42" customHeight="1">
      <c r="A4" s="48" t="s">
        <v>146</v>
      </c>
      <c r="B4" s="85" t="s">
        <v>160</v>
      </c>
      <c r="C4" s="49" t="s">
        <v>198</v>
      </c>
      <c r="D4" s="49" t="s">
        <v>199</v>
      </c>
      <c r="E4" s="49" t="s">
        <v>200</v>
      </c>
    </row>
    <row r="5" spans="1:11" s="90" customFormat="1" ht="11.25">
      <c r="A5" s="88" t="s">
        <v>148</v>
      </c>
      <c r="B5" s="91" t="s">
        <v>171</v>
      </c>
      <c r="C5" s="89"/>
      <c r="D5" s="88"/>
      <c r="E5" s="88"/>
      <c r="G5" s="50"/>
      <c r="H5" s="50"/>
      <c r="I5" s="50"/>
      <c r="J5" s="50"/>
      <c r="K5" s="50"/>
    </row>
    <row r="6" spans="1:5" ht="33.75" customHeight="1">
      <c r="A6" s="48" t="s">
        <v>149</v>
      </c>
      <c r="B6" s="85" t="s">
        <v>161</v>
      </c>
      <c r="C6" s="49" t="s">
        <v>195</v>
      </c>
      <c r="D6" s="49" t="s">
        <v>201</v>
      </c>
      <c r="E6" s="49" t="s">
        <v>202</v>
      </c>
    </row>
    <row r="7" spans="1:11" s="90" customFormat="1" ht="11.25" customHeight="1">
      <c r="A7" s="88" t="s">
        <v>150</v>
      </c>
      <c r="B7" s="91" t="s">
        <v>169</v>
      </c>
      <c r="C7" s="89"/>
      <c r="D7" s="89"/>
      <c r="E7" s="89"/>
      <c r="G7" s="50"/>
      <c r="H7" s="50"/>
      <c r="I7" s="50"/>
      <c r="J7" s="50"/>
      <c r="K7" s="50"/>
    </row>
    <row r="8" spans="1:11" s="90" customFormat="1" ht="11.25" customHeight="1">
      <c r="A8" s="88" t="s">
        <v>151</v>
      </c>
      <c r="B8" s="91" t="s">
        <v>162</v>
      </c>
      <c r="C8" s="89"/>
      <c r="D8" s="88"/>
      <c r="E8" s="88"/>
      <c r="G8" s="50"/>
      <c r="H8" s="50"/>
      <c r="I8" s="50"/>
      <c r="J8" s="50"/>
      <c r="K8" s="50"/>
    </row>
    <row r="9" spans="1:5" ht="33.75">
      <c r="A9" s="48" t="s">
        <v>152</v>
      </c>
      <c r="B9" s="85" t="s">
        <v>152</v>
      </c>
      <c r="C9" s="49" t="s">
        <v>195</v>
      </c>
      <c r="D9" s="49" t="s">
        <v>203</v>
      </c>
      <c r="E9" s="49" t="s">
        <v>204</v>
      </c>
    </row>
    <row r="10" spans="1:5" ht="11.25">
      <c r="A10" s="48" t="s">
        <v>153</v>
      </c>
      <c r="B10" s="85" t="s">
        <v>153</v>
      </c>
      <c r="C10" s="89"/>
      <c r="D10" s="48"/>
      <c r="E10" s="48"/>
    </row>
    <row r="11" spans="1:11" s="90" customFormat="1" ht="51" customHeight="1">
      <c r="A11" s="88" t="s">
        <v>154</v>
      </c>
      <c r="B11" s="91" t="s">
        <v>163</v>
      </c>
      <c r="C11" s="89"/>
      <c r="D11" s="88"/>
      <c r="E11" s="88"/>
      <c r="G11" s="50"/>
      <c r="H11" s="50"/>
      <c r="I11" s="50"/>
      <c r="J11" s="50"/>
      <c r="K11" s="50"/>
    </row>
    <row r="12" spans="1:5" ht="38.25" customHeight="1">
      <c r="A12" s="48" t="s">
        <v>143</v>
      </c>
      <c r="B12" s="85" t="s">
        <v>164</v>
      </c>
      <c r="C12" s="49" t="s">
        <v>195</v>
      </c>
      <c r="D12" s="49" t="s">
        <v>203</v>
      </c>
      <c r="E12" s="49" t="s">
        <v>204</v>
      </c>
    </row>
    <row r="13" spans="1:5" ht="38.25" customHeight="1">
      <c r="A13" s="48" t="s">
        <v>155</v>
      </c>
      <c r="B13" s="85" t="s">
        <v>155</v>
      </c>
      <c r="C13" s="49" t="s">
        <v>195</v>
      </c>
      <c r="D13" s="49" t="s">
        <v>203</v>
      </c>
      <c r="E13" s="49" t="s">
        <v>204</v>
      </c>
    </row>
    <row r="14" spans="1:5" ht="38.25" customHeight="1">
      <c r="A14" s="48" t="s">
        <v>144</v>
      </c>
      <c r="B14" s="85" t="s">
        <v>165</v>
      </c>
      <c r="C14" s="49" t="s">
        <v>195</v>
      </c>
      <c r="D14" s="49" t="s">
        <v>203</v>
      </c>
      <c r="E14" s="49" t="s">
        <v>204</v>
      </c>
    </row>
    <row r="15" spans="1:5" ht="11.25">
      <c r="A15" s="48" t="s">
        <v>156</v>
      </c>
      <c r="B15" s="85" t="s">
        <v>166</v>
      </c>
      <c r="C15" s="49"/>
      <c r="D15" s="48"/>
      <c r="E15" s="48"/>
    </row>
    <row r="16" spans="1:5" ht="42" customHeight="1">
      <c r="A16" s="48" t="s">
        <v>157</v>
      </c>
      <c r="B16" s="85" t="s">
        <v>167</v>
      </c>
      <c r="C16" s="49" t="s">
        <v>205</v>
      </c>
      <c r="D16" s="49" t="s">
        <v>206</v>
      </c>
      <c r="E16" s="49" t="s">
        <v>207</v>
      </c>
    </row>
    <row r="17" spans="1:5" ht="42" customHeight="1">
      <c r="A17" s="48" t="s">
        <v>158</v>
      </c>
      <c r="B17" s="85" t="s">
        <v>4</v>
      </c>
      <c r="C17" s="49" t="s">
        <v>208</v>
      </c>
      <c r="D17" s="49" t="s">
        <v>209</v>
      </c>
      <c r="E17" s="49" t="s">
        <v>210</v>
      </c>
    </row>
    <row r="18" spans="1:11" s="90" customFormat="1" ht="25.5" customHeight="1">
      <c r="A18" s="89" t="s">
        <v>211</v>
      </c>
      <c r="B18" s="91" t="s">
        <v>168</v>
      </c>
      <c r="C18" s="89"/>
      <c r="D18" s="88"/>
      <c r="E18" s="88"/>
      <c r="G18" s="50"/>
      <c r="H18" s="50"/>
      <c r="I18" s="50"/>
      <c r="J18" s="50"/>
      <c r="K18" s="50"/>
    </row>
    <row r="19" spans="1:5" ht="111.75" customHeight="1">
      <c r="A19" s="49" t="s">
        <v>212</v>
      </c>
      <c r="B19" s="49" t="s">
        <v>286</v>
      </c>
      <c r="C19" s="49" t="s">
        <v>195</v>
      </c>
      <c r="D19" s="49" t="s">
        <v>196</v>
      </c>
      <c r="E19" s="49" t="s">
        <v>213</v>
      </c>
    </row>
    <row r="20" spans="1:5" ht="13.5" customHeight="1">
      <c r="A20" s="48" t="s">
        <v>284</v>
      </c>
      <c r="B20" s="85" t="s">
        <v>170</v>
      </c>
      <c r="C20" s="48"/>
      <c r="D20" s="48"/>
      <c r="E20" s="48"/>
    </row>
  </sheetData>
  <sheetProtection/>
  <printOptions horizontalCentered="1"/>
  <pageMargins left="0.25" right="0.25" top="0.5" bottom="0.5" header="0.5" footer="0.5"/>
  <pageSetup horizontalDpi="600" verticalDpi="600" orientation="landscape" scale="90" r:id="rId1"/>
</worksheet>
</file>

<file path=xl/worksheets/sheet14.xml><?xml version="1.0" encoding="utf-8"?>
<worksheet xmlns="http://schemas.openxmlformats.org/spreadsheetml/2006/main" xmlns:r="http://schemas.openxmlformats.org/officeDocument/2006/relationships">
  <sheetPr codeName="Sheet9"/>
  <dimension ref="A1:J20"/>
  <sheetViews>
    <sheetView zoomScalePageLayoutView="0" workbookViewId="0" topLeftCell="A1">
      <selection activeCell="A2" sqref="A2"/>
    </sheetView>
  </sheetViews>
  <sheetFormatPr defaultColWidth="9.140625" defaultRowHeight="12.75"/>
  <cols>
    <col min="1" max="1" width="12.28125" style="0" customWidth="1"/>
    <col min="2" max="2" width="15.7109375" style="0" customWidth="1"/>
  </cols>
  <sheetData>
    <row r="1" spans="1:10" ht="12.75">
      <c r="A1" t="s">
        <v>114</v>
      </c>
      <c r="B1" t="s">
        <v>115</v>
      </c>
      <c r="E1" s="31">
        <v>32</v>
      </c>
      <c r="F1" s="32">
        <f>0.0186*E1^2-1.68*E1+26.686</f>
        <v>-8.0276</v>
      </c>
      <c r="G1" s="29">
        <f>0.00008*E1^3+0.0011*E1^2-0.4833*E1+0.0857</f>
        <v>-11.632060000000001</v>
      </c>
      <c r="H1" s="2">
        <f>2.37*(1+F1/100)</f>
        <v>2.17974588</v>
      </c>
      <c r="I1" s="2">
        <f>2.37*(1+G1/100)</f>
        <v>2.0943201780000003</v>
      </c>
      <c r="J1" s="28">
        <f>I1/2.37</f>
        <v>0.8836794000000001</v>
      </c>
    </row>
    <row r="2" spans="1:10" ht="12.75">
      <c r="A2">
        <v>50</v>
      </c>
      <c r="B2">
        <v>-11</v>
      </c>
      <c r="E2">
        <f>35</f>
        <v>35</v>
      </c>
      <c r="F2" s="32">
        <f>0.0186*E2^2-1.68*E2+26.686</f>
        <v>-9.329</v>
      </c>
      <c r="G2" s="29">
        <f aca="true" t="shared" si="0" ref="G2:G15">0.00008*E2^3+0.0011*E2^2-0.4833*E2+0.0857</f>
        <v>-12.052300000000002</v>
      </c>
      <c r="H2" s="2">
        <f aca="true" t="shared" si="1" ref="H2:H15">2.37*(1+F2/100)</f>
        <v>2.1489027000000003</v>
      </c>
      <c r="I2" s="2">
        <f aca="true" t="shared" si="2" ref="I2:I15">2.37*(1+G2/100)</f>
        <v>2.08436049</v>
      </c>
      <c r="J2" s="28">
        <f aca="true" t="shared" si="3" ref="J2:J15">I2/2.37</f>
        <v>0.879477</v>
      </c>
    </row>
    <row r="3" spans="1:10" ht="12.75">
      <c r="A3">
        <v>60</v>
      </c>
      <c r="B3">
        <v>-7</v>
      </c>
      <c r="E3">
        <f>E2+5</f>
        <v>40</v>
      </c>
      <c r="F3" s="32">
        <f>0.0186*E3^2-1.68*E3+26.686</f>
        <v>-10.754000000000005</v>
      </c>
      <c r="G3" s="29">
        <f t="shared" si="0"/>
        <v>-12.366300000000003</v>
      </c>
      <c r="H3" s="2">
        <f t="shared" si="1"/>
        <v>2.1151302</v>
      </c>
      <c r="I3" s="2">
        <f t="shared" si="2"/>
        <v>2.07691869</v>
      </c>
      <c r="J3" s="28">
        <f t="shared" si="3"/>
        <v>0.8763369999999999</v>
      </c>
    </row>
    <row r="4" spans="1:10" ht="12.75">
      <c r="A4">
        <v>70</v>
      </c>
      <c r="B4">
        <v>0</v>
      </c>
      <c r="E4">
        <f aca="true" t="shared" si="4" ref="E4:E15">E3+5</f>
        <v>45</v>
      </c>
      <c r="F4" s="32">
        <f>0.0186*E4^2-1.68*E4+26.686</f>
        <v>-11.248999999999995</v>
      </c>
      <c r="G4" s="29">
        <f t="shared" si="0"/>
        <v>-12.145299999999999</v>
      </c>
      <c r="H4" s="2">
        <f t="shared" si="1"/>
        <v>2.1033987</v>
      </c>
      <c r="I4" s="2">
        <f t="shared" si="2"/>
        <v>2.08215639</v>
      </c>
      <c r="J4" s="28">
        <f t="shared" si="3"/>
        <v>0.8785470000000001</v>
      </c>
    </row>
    <row r="5" spans="1:10" ht="12.75">
      <c r="A5">
        <v>80</v>
      </c>
      <c r="B5">
        <v>11</v>
      </c>
      <c r="E5">
        <f t="shared" si="4"/>
        <v>50</v>
      </c>
      <c r="F5" s="32">
        <f aca="true" t="shared" si="5" ref="F5:F15">0.0186*E5^2-1.68*E5+26.686</f>
        <v>-10.814000000000007</v>
      </c>
      <c r="G5" s="29">
        <f t="shared" si="0"/>
        <v>-11.3293</v>
      </c>
      <c r="H5" s="2">
        <f t="shared" si="1"/>
        <v>2.1137081999999996</v>
      </c>
      <c r="I5" s="2">
        <f t="shared" si="2"/>
        <v>2.1014955900000003</v>
      </c>
      <c r="J5" s="28">
        <f t="shared" si="3"/>
        <v>0.8867070000000001</v>
      </c>
    </row>
    <row r="6" spans="1:10" ht="12.75">
      <c r="A6">
        <v>90</v>
      </c>
      <c r="B6">
        <v>26</v>
      </c>
      <c r="E6">
        <f t="shared" si="4"/>
        <v>55</v>
      </c>
      <c r="F6" s="32">
        <f t="shared" si="5"/>
        <v>-9.448999999999998</v>
      </c>
      <c r="G6" s="29">
        <f t="shared" si="0"/>
        <v>-9.858300000000003</v>
      </c>
      <c r="H6" s="2">
        <f t="shared" si="1"/>
        <v>2.1460587</v>
      </c>
      <c r="I6" s="2">
        <f t="shared" si="2"/>
        <v>2.13635829</v>
      </c>
      <c r="J6" s="28">
        <f t="shared" si="3"/>
        <v>0.9014169999999999</v>
      </c>
    </row>
    <row r="7" spans="5:10" ht="12.75">
      <c r="E7">
        <f t="shared" si="4"/>
        <v>60</v>
      </c>
      <c r="F7" s="32">
        <f t="shared" si="5"/>
        <v>-7.1540000000000035</v>
      </c>
      <c r="G7" s="29">
        <f t="shared" si="0"/>
        <v>-7.672299999999999</v>
      </c>
      <c r="H7" s="2">
        <f t="shared" si="1"/>
        <v>2.2004502</v>
      </c>
      <c r="I7" s="2">
        <f t="shared" si="2"/>
        <v>2.18816649</v>
      </c>
      <c r="J7" s="28">
        <f t="shared" si="3"/>
        <v>0.9232769999999999</v>
      </c>
    </row>
    <row r="8" spans="5:10" ht="12.75">
      <c r="E8">
        <f t="shared" si="4"/>
        <v>65</v>
      </c>
      <c r="F8" s="32">
        <f t="shared" si="5"/>
        <v>-3.929000000000009</v>
      </c>
      <c r="G8" s="29">
        <f t="shared" si="0"/>
        <v>-4.711299999999997</v>
      </c>
      <c r="H8" s="2">
        <f t="shared" si="1"/>
        <v>2.2768827</v>
      </c>
      <c r="I8" s="2">
        <f t="shared" si="2"/>
        <v>2.25834219</v>
      </c>
      <c r="J8" s="28">
        <f t="shared" si="3"/>
        <v>0.9528869999999999</v>
      </c>
    </row>
    <row r="9" spans="5:10" ht="12.75">
      <c r="E9">
        <f t="shared" si="4"/>
        <v>70</v>
      </c>
      <c r="F9" s="32">
        <f t="shared" si="5"/>
        <v>0.22599999999999199</v>
      </c>
      <c r="G9" s="29">
        <f t="shared" si="0"/>
        <v>-0.9153000000000048</v>
      </c>
      <c r="H9" s="2">
        <f t="shared" si="1"/>
        <v>2.3753562</v>
      </c>
      <c r="I9" s="2">
        <f t="shared" si="2"/>
        <v>2.34830739</v>
      </c>
      <c r="J9" s="28">
        <f t="shared" si="3"/>
        <v>0.9908469999999999</v>
      </c>
    </row>
    <row r="10" spans="5:10" ht="12.75">
      <c r="E10">
        <f t="shared" si="4"/>
        <v>75</v>
      </c>
      <c r="F10" s="32">
        <f t="shared" si="5"/>
        <v>5.310999999999986</v>
      </c>
      <c r="G10" s="29">
        <f t="shared" si="0"/>
        <v>3.775699999999998</v>
      </c>
      <c r="H10" s="2">
        <f t="shared" si="1"/>
        <v>2.4958706999999998</v>
      </c>
      <c r="I10" s="2">
        <f t="shared" si="2"/>
        <v>2.45948409</v>
      </c>
      <c r="J10" s="28">
        <f t="shared" si="3"/>
        <v>1.037757</v>
      </c>
    </row>
    <row r="11" spans="5:10" ht="12.75">
      <c r="E11">
        <f t="shared" si="4"/>
        <v>80</v>
      </c>
      <c r="F11" s="32">
        <f t="shared" si="5"/>
        <v>11.325999999999986</v>
      </c>
      <c r="G11" s="29">
        <f t="shared" si="0"/>
        <v>9.421699999999998</v>
      </c>
      <c r="H11" s="2">
        <f t="shared" si="1"/>
        <v>2.6384262</v>
      </c>
      <c r="I11" s="2">
        <f t="shared" si="2"/>
        <v>2.5932942900000002</v>
      </c>
      <c r="J11" s="28">
        <f t="shared" si="3"/>
        <v>1.094217</v>
      </c>
    </row>
    <row r="12" spans="5:10" ht="12.75">
      <c r="E12">
        <f t="shared" si="4"/>
        <v>85</v>
      </c>
      <c r="F12" s="32">
        <f t="shared" si="5"/>
        <v>18.271000000000008</v>
      </c>
      <c r="G12" s="29">
        <f t="shared" si="0"/>
        <v>16.0827</v>
      </c>
      <c r="H12" s="2">
        <f t="shared" si="1"/>
        <v>2.8030227000000005</v>
      </c>
      <c r="I12" s="2">
        <f t="shared" si="2"/>
        <v>2.75115999</v>
      </c>
      <c r="J12" s="28">
        <f t="shared" si="3"/>
        <v>1.160827</v>
      </c>
    </row>
    <row r="13" spans="5:10" ht="12.75">
      <c r="E13">
        <f t="shared" si="4"/>
        <v>90</v>
      </c>
      <c r="F13" s="32">
        <f t="shared" si="5"/>
        <v>26.146000000000008</v>
      </c>
      <c r="G13" s="29">
        <f t="shared" si="0"/>
        <v>23.818700000000003</v>
      </c>
      <c r="H13" s="2">
        <f t="shared" si="1"/>
        <v>2.9896602000000003</v>
      </c>
      <c r="I13" s="2">
        <f t="shared" si="2"/>
        <v>2.93450319</v>
      </c>
      <c r="J13" s="28">
        <f t="shared" si="3"/>
        <v>1.238187</v>
      </c>
    </row>
    <row r="14" spans="5:10" ht="12.75">
      <c r="E14">
        <f t="shared" si="4"/>
        <v>95</v>
      </c>
      <c r="F14" s="32">
        <f t="shared" si="5"/>
        <v>34.950999999999986</v>
      </c>
      <c r="G14" s="29">
        <f t="shared" si="0"/>
        <v>32.6897</v>
      </c>
      <c r="H14" s="2">
        <f t="shared" si="1"/>
        <v>3.1983387000000003</v>
      </c>
      <c r="I14" s="2">
        <f t="shared" si="2"/>
        <v>3.1447458900000003</v>
      </c>
      <c r="J14" s="28">
        <f t="shared" si="3"/>
        <v>1.326897</v>
      </c>
    </row>
    <row r="15" spans="5:10" ht="12.75">
      <c r="E15">
        <f t="shared" si="4"/>
        <v>100</v>
      </c>
      <c r="F15" s="32">
        <f t="shared" si="5"/>
        <v>44.68599999999997</v>
      </c>
      <c r="G15" s="29">
        <f t="shared" si="0"/>
        <v>42.755700000000004</v>
      </c>
      <c r="H15" s="2">
        <f t="shared" si="1"/>
        <v>3.429058199999999</v>
      </c>
      <c r="I15" s="2">
        <f t="shared" si="2"/>
        <v>3.38331009</v>
      </c>
      <c r="J15" s="28">
        <f t="shared" si="3"/>
        <v>1.427557</v>
      </c>
    </row>
    <row r="16" spans="6:8" ht="12.75">
      <c r="F16" s="32"/>
      <c r="H16" s="2"/>
    </row>
    <row r="17" spans="6:8" ht="12.75">
      <c r="F17" s="32"/>
      <c r="H17" s="2"/>
    </row>
    <row r="18" spans="6:8" ht="12.75">
      <c r="F18" s="32"/>
      <c r="H18" s="2"/>
    </row>
    <row r="19" spans="6:8" ht="12.75">
      <c r="F19" s="32"/>
      <c r="H19" s="2"/>
    </row>
    <row r="20" spans="6:8" ht="12.75">
      <c r="F20" s="32"/>
      <c r="H20" s="2"/>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6"/>
  <dimension ref="A1:I9"/>
  <sheetViews>
    <sheetView zoomScalePageLayoutView="0" workbookViewId="0" topLeftCell="A1">
      <selection activeCell="B3" sqref="B3"/>
    </sheetView>
  </sheetViews>
  <sheetFormatPr defaultColWidth="9.140625" defaultRowHeight="12.75"/>
  <cols>
    <col min="1" max="1" width="10.8515625" style="0" customWidth="1"/>
    <col min="2" max="9" width="10.00390625" style="0" customWidth="1"/>
  </cols>
  <sheetData>
    <row r="1" spans="2:9" ht="12.75">
      <c r="B1" s="337">
        <v>30</v>
      </c>
      <c r="C1" s="337"/>
      <c r="D1" s="337">
        <v>40</v>
      </c>
      <c r="E1" s="337"/>
      <c r="F1" s="337">
        <v>50</v>
      </c>
      <c r="G1" s="337"/>
      <c r="H1" s="337">
        <v>75</v>
      </c>
      <c r="I1" s="337"/>
    </row>
    <row r="2" spans="2:9" ht="12.75">
      <c r="B2" s="44" t="s">
        <v>176</v>
      </c>
      <c r="C2" s="44" t="s">
        <v>175</v>
      </c>
      <c r="D2" s="44" t="s">
        <v>176</v>
      </c>
      <c r="E2" s="44" t="s">
        <v>175</v>
      </c>
      <c r="F2" s="44" t="s">
        <v>176</v>
      </c>
      <c r="G2" s="44" t="s">
        <v>175</v>
      </c>
      <c r="H2" s="44" t="s">
        <v>176</v>
      </c>
      <c r="I2" s="44" t="s">
        <v>175</v>
      </c>
    </row>
    <row r="3" spans="1:9" ht="12.75">
      <c r="A3" t="s">
        <v>118</v>
      </c>
      <c r="B3" s="2">
        <f>0.62-0.0019*B1</f>
        <v>0.563</v>
      </c>
      <c r="C3" s="2">
        <f>0.67-0.0019*B1</f>
        <v>0.613</v>
      </c>
      <c r="D3" s="2">
        <f>0.62-0.0019*D1</f>
        <v>0.544</v>
      </c>
      <c r="E3" s="2">
        <f>0.67-0.0019*D1</f>
        <v>0.5940000000000001</v>
      </c>
      <c r="F3" s="2">
        <f>0.62-0.0019*F1</f>
        <v>0.525</v>
      </c>
      <c r="G3" s="2">
        <f>0.67-0.0019*F1</f>
        <v>0.5750000000000001</v>
      </c>
      <c r="H3" s="2">
        <f>0.62-0.0019*H1</f>
        <v>0.47750000000000004</v>
      </c>
      <c r="I3" s="2">
        <f>0.67-0.0019*H1</f>
        <v>0.5275000000000001</v>
      </c>
    </row>
    <row r="4" spans="1:9" ht="12.75">
      <c r="A4" t="s">
        <v>142</v>
      </c>
      <c r="B4" s="2">
        <f>0.93-0.00132*B1</f>
        <v>0.8904000000000001</v>
      </c>
      <c r="C4" s="2">
        <f>0.97-0.00132*B1</f>
        <v>0.9304</v>
      </c>
      <c r="D4" s="2">
        <f>0.93-0.00132*D1</f>
        <v>0.8772000000000001</v>
      </c>
      <c r="E4" s="2">
        <f>0.97-0.00132*D1</f>
        <v>0.9172</v>
      </c>
      <c r="F4" s="2">
        <f>0.93-0.00132*F1</f>
        <v>0.8640000000000001</v>
      </c>
      <c r="G4" s="2">
        <f>0.97-0.00132*F1</f>
        <v>0.9039999999999999</v>
      </c>
      <c r="H4" s="2">
        <f>0.93-0.00132*H1</f>
        <v>0.8310000000000001</v>
      </c>
      <c r="I4" s="2">
        <f>0.97-0.00132*H1</f>
        <v>0.871</v>
      </c>
    </row>
    <row r="5" spans="1:9" ht="12.75">
      <c r="A5" t="s">
        <v>174</v>
      </c>
      <c r="B5" s="2">
        <f>0.59-0.0019*B1</f>
        <v>0.5329999999999999</v>
      </c>
      <c r="C5" s="2">
        <f>0.59-0.0019*B1</f>
        <v>0.5329999999999999</v>
      </c>
      <c r="D5" s="2">
        <f>0.59-0.0019*D1</f>
        <v>0.514</v>
      </c>
      <c r="E5" s="2">
        <f>0.59-0.0019*D1</f>
        <v>0.514</v>
      </c>
      <c r="F5" s="2">
        <f>0.59-0.0019*F1</f>
        <v>0.495</v>
      </c>
      <c r="G5" s="2">
        <f>0.59-0.0019*F1</f>
        <v>0.495</v>
      </c>
      <c r="H5" s="2">
        <f>0.59-0.0019*H1</f>
        <v>0.4475</v>
      </c>
      <c r="I5" s="2">
        <f>0.59-0.0019*H1</f>
        <v>0.4475</v>
      </c>
    </row>
    <row r="9" spans="2:9" ht="12.75">
      <c r="B9" s="2"/>
      <c r="C9" s="2"/>
      <c r="D9" s="2"/>
      <c r="E9" s="2"/>
      <c r="F9" s="2"/>
      <c r="G9" s="2"/>
      <c r="H9" s="2"/>
      <c r="I9" s="2"/>
    </row>
  </sheetData>
  <sheetProtection/>
  <mergeCells count="4">
    <mergeCell ref="B1:C1"/>
    <mergeCell ref="D1:E1"/>
    <mergeCell ref="F1:G1"/>
    <mergeCell ref="H1:I1"/>
  </mergeCells>
  <printOptions/>
  <pageMargins left="0.75" right="0.75" top="1" bottom="1" header="0.5" footer="0.5"/>
  <pageSetup horizontalDpi="300" verticalDpi="300" orientation="portrait" r:id="rId1"/>
</worksheet>
</file>

<file path=xl/worksheets/sheet16.xml><?xml version="1.0" encoding="utf-8"?>
<worksheet xmlns="http://schemas.openxmlformats.org/spreadsheetml/2006/main" xmlns:r="http://schemas.openxmlformats.org/officeDocument/2006/relationships">
  <sheetPr codeName="Sheet7"/>
  <dimension ref="A1:I25"/>
  <sheetViews>
    <sheetView zoomScale="85" zoomScaleNormal="85" zoomScalePageLayoutView="0" workbookViewId="0" topLeftCell="A1">
      <selection activeCell="B2" sqref="B2"/>
    </sheetView>
  </sheetViews>
  <sheetFormatPr defaultColWidth="9.140625" defaultRowHeight="12.75"/>
  <cols>
    <col min="3" max="3" width="16.140625" style="2" customWidth="1"/>
    <col min="4" max="4" width="26.421875" style="27" customWidth="1"/>
    <col min="5" max="5" width="12.00390625" style="0" bestFit="1" customWidth="1"/>
  </cols>
  <sheetData>
    <row r="1" spans="2:6" ht="12.75">
      <c r="B1" t="s">
        <v>100</v>
      </c>
      <c r="C1" s="2" t="s">
        <v>101</v>
      </c>
      <c r="D1" s="27" t="s">
        <v>103</v>
      </c>
      <c r="F1" t="s">
        <v>120</v>
      </c>
    </row>
    <row r="2" spans="3:6" ht="12.75">
      <c r="C2" s="2" t="s">
        <v>102</v>
      </c>
      <c r="D2" s="27" t="s">
        <v>104</v>
      </c>
      <c r="F2" t="s">
        <v>121</v>
      </c>
    </row>
    <row r="5" spans="8:9" ht="12.75">
      <c r="H5" s="2"/>
      <c r="I5" s="2"/>
    </row>
    <row r="6" spans="1:7" ht="12.75">
      <c r="A6" t="s">
        <v>111</v>
      </c>
      <c r="B6">
        <v>1.87</v>
      </c>
      <c r="C6" s="2">
        <v>20.18</v>
      </c>
      <c r="D6" s="34">
        <v>3161.6</v>
      </c>
      <c r="E6" s="30">
        <f aca="true" t="shared" si="0" ref="E6:E14">(C6*1000000-D6*3413)/1000000</f>
        <v>9.389459200000001</v>
      </c>
      <c r="F6" s="39">
        <v>11</v>
      </c>
      <c r="G6" s="2">
        <f aca="true" t="shared" si="1" ref="G6:G14">F6/C6</f>
        <v>0.5450941526263627</v>
      </c>
    </row>
    <row r="7" spans="1:7" ht="12.75">
      <c r="A7" t="s">
        <v>106</v>
      </c>
      <c r="B7">
        <v>2.07</v>
      </c>
      <c r="C7" s="2">
        <v>14.82</v>
      </c>
      <c r="D7" s="34">
        <v>2100.8</v>
      </c>
      <c r="E7" s="30">
        <f t="shared" si="0"/>
        <v>7.6499695999999995</v>
      </c>
      <c r="F7" s="39">
        <v>9</v>
      </c>
      <c r="G7" s="2">
        <f t="shared" si="1"/>
        <v>0.6072874493927125</v>
      </c>
    </row>
    <row r="8" spans="1:7" ht="12.75">
      <c r="A8" t="s">
        <v>111</v>
      </c>
      <c r="B8">
        <v>1.81</v>
      </c>
      <c r="C8" s="2">
        <v>12.12</v>
      </c>
      <c r="D8" s="34">
        <v>1960.4</v>
      </c>
      <c r="E8" s="30">
        <f t="shared" si="0"/>
        <v>5.4291548</v>
      </c>
      <c r="F8" s="39">
        <v>7.8</v>
      </c>
      <c r="G8" s="2">
        <f t="shared" si="1"/>
        <v>0.6435643564356436</v>
      </c>
    </row>
    <row r="9" spans="1:7" ht="12.75">
      <c r="A9" t="s">
        <v>105</v>
      </c>
      <c r="B9">
        <v>2.45</v>
      </c>
      <c r="C9" s="2">
        <v>12.01</v>
      </c>
      <c r="D9" s="34">
        <v>1435.2</v>
      </c>
      <c r="E9" s="30">
        <f t="shared" si="0"/>
        <v>7.111662399999999</v>
      </c>
      <c r="F9" s="39">
        <v>7.5</v>
      </c>
      <c r="G9" s="2">
        <f t="shared" si="1"/>
        <v>0.6244796003330558</v>
      </c>
    </row>
    <row r="10" spans="1:7" ht="12.75">
      <c r="A10" t="s">
        <v>105</v>
      </c>
      <c r="B10" s="2">
        <v>2</v>
      </c>
      <c r="C10" s="2">
        <v>11.49</v>
      </c>
      <c r="D10" s="34">
        <v>1684.8</v>
      </c>
      <c r="E10" s="30">
        <f t="shared" si="0"/>
        <v>5.739777600000001</v>
      </c>
      <c r="F10" s="39">
        <v>8.3</v>
      </c>
      <c r="G10" s="2">
        <f t="shared" si="1"/>
        <v>0.7223672758920802</v>
      </c>
    </row>
    <row r="11" spans="1:7" ht="12.75">
      <c r="A11" t="s">
        <v>106</v>
      </c>
      <c r="B11">
        <v>1.86</v>
      </c>
      <c r="C11" s="2">
        <v>11.49</v>
      </c>
      <c r="D11" s="34">
        <v>1814.8</v>
      </c>
      <c r="E11" s="30">
        <f t="shared" si="0"/>
        <v>5.296087600000001</v>
      </c>
      <c r="F11" s="39">
        <v>7.4</v>
      </c>
      <c r="G11" s="2">
        <f t="shared" si="1"/>
        <v>0.6440382941688425</v>
      </c>
    </row>
    <row r="12" spans="1:7" ht="12.75">
      <c r="A12" t="s">
        <v>106</v>
      </c>
      <c r="B12">
        <v>2.29</v>
      </c>
      <c r="C12" s="2">
        <v>9</v>
      </c>
      <c r="D12" s="34">
        <v>1149.2</v>
      </c>
      <c r="E12" s="30">
        <f t="shared" si="0"/>
        <v>5.0777804</v>
      </c>
      <c r="F12" s="39">
        <v>5.4</v>
      </c>
      <c r="G12" s="2">
        <f t="shared" si="1"/>
        <v>0.6000000000000001</v>
      </c>
    </row>
    <row r="13" spans="1:7" ht="12.75">
      <c r="A13" t="s">
        <v>105</v>
      </c>
      <c r="B13">
        <v>2.16</v>
      </c>
      <c r="C13" s="2">
        <v>6.76</v>
      </c>
      <c r="D13" s="34">
        <v>915.2</v>
      </c>
      <c r="E13" s="30">
        <f t="shared" si="0"/>
        <v>3.6364224</v>
      </c>
      <c r="F13" s="39">
        <v>5</v>
      </c>
      <c r="G13" s="2">
        <f t="shared" si="1"/>
        <v>0.7396449704142012</v>
      </c>
    </row>
    <row r="14" spans="1:7" ht="12.75">
      <c r="A14" t="s">
        <v>110</v>
      </c>
      <c r="B14">
        <v>1.91</v>
      </c>
      <c r="C14" s="2">
        <v>6.5</v>
      </c>
      <c r="D14" s="34">
        <v>998.4</v>
      </c>
      <c r="E14" s="30">
        <f t="shared" si="0"/>
        <v>3.0924608000000005</v>
      </c>
      <c r="F14" s="39">
        <v>5.1</v>
      </c>
      <c r="G14" s="2">
        <f t="shared" si="1"/>
        <v>0.7846153846153846</v>
      </c>
    </row>
    <row r="15" spans="3:7" ht="12.75">
      <c r="D15" s="34"/>
      <c r="E15" s="30"/>
      <c r="F15" s="39"/>
      <c r="G15" s="2"/>
    </row>
    <row r="16" spans="1:7" ht="12.75">
      <c r="A16" t="s">
        <v>112</v>
      </c>
      <c r="B16">
        <v>1.83</v>
      </c>
      <c r="C16" s="2">
        <v>18.36</v>
      </c>
      <c r="D16" s="34">
        <v>2943.2</v>
      </c>
      <c r="E16" s="30">
        <f>(C16*1000000-D16*3413)/1000000</f>
        <v>8.3148584</v>
      </c>
      <c r="F16" s="39">
        <v>12.1</v>
      </c>
      <c r="G16" s="2">
        <f>F16/C16</f>
        <v>0.659041394335512</v>
      </c>
    </row>
    <row r="17" spans="1:7" ht="12.75">
      <c r="A17" t="s">
        <v>112</v>
      </c>
      <c r="B17">
        <v>1.62</v>
      </c>
      <c r="C17" s="2">
        <v>10.4</v>
      </c>
      <c r="D17" s="34">
        <v>1882.4</v>
      </c>
      <c r="E17" s="30">
        <f>(C17*1000000-D17*3413)/1000000</f>
        <v>3.9753688</v>
      </c>
      <c r="F17" s="39">
        <v>8.5</v>
      </c>
      <c r="G17" s="2">
        <f>F17/C17</f>
        <v>0.8173076923076923</v>
      </c>
    </row>
    <row r="18" spans="1:7" ht="12.75">
      <c r="A18" t="s">
        <v>109</v>
      </c>
      <c r="B18">
        <v>1.93</v>
      </c>
      <c r="C18" s="2">
        <v>12.06</v>
      </c>
      <c r="D18" s="34">
        <v>1830.4</v>
      </c>
      <c r="E18" s="30">
        <f>(C18*1000000-D18*3413)/1000000</f>
        <v>5.8128448</v>
      </c>
      <c r="F18" s="39">
        <v>9</v>
      </c>
      <c r="G18" s="2">
        <f>F18/C18</f>
        <v>0.7462686567164178</v>
      </c>
    </row>
    <row r="19" spans="3:7" ht="12.75">
      <c r="D19" s="34"/>
      <c r="E19" s="30"/>
      <c r="F19" s="39"/>
      <c r="G19" s="2"/>
    </row>
    <row r="20" spans="1:7" ht="12.75">
      <c r="A20" t="s">
        <v>113</v>
      </c>
      <c r="B20">
        <v>1.55</v>
      </c>
      <c r="C20" s="2">
        <v>20.75</v>
      </c>
      <c r="D20" s="34">
        <v>3920.8</v>
      </c>
      <c r="E20" s="30">
        <f>(C20*1000000-D20*3413)/1000000</f>
        <v>7.3683096</v>
      </c>
      <c r="F20" s="39">
        <v>10</v>
      </c>
      <c r="G20" s="2">
        <f>F20/C20</f>
        <v>0.4819277108433735</v>
      </c>
    </row>
    <row r="21" spans="1:7" ht="12.75">
      <c r="A21" t="s">
        <v>108</v>
      </c>
      <c r="B21">
        <v>2.05</v>
      </c>
      <c r="C21" s="2">
        <v>16.12</v>
      </c>
      <c r="D21" s="34">
        <v>2303.6</v>
      </c>
      <c r="E21" s="30">
        <f>(C21*1000000-D21*3413)/1000000</f>
        <v>8.257813200000003</v>
      </c>
      <c r="F21" s="39">
        <v>11</v>
      </c>
      <c r="G21" s="2">
        <f>F21/C21</f>
        <v>0.6823821339950372</v>
      </c>
    </row>
    <row r="22" spans="1:7" ht="12.75">
      <c r="A22" t="s">
        <v>107</v>
      </c>
      <c r="B22">
        <v>2.17</v>
      </c>
      <c r="C22" s="2">
        <v>8.22</v>
      </c>
      <c r="D22" s="34">
        <v>1107.6</v>
      </c>
      <c r="E22" s="30">
        <f>(C22*1000000-D22*3413)/1000000</f>
        <v>4.439761200000001</v>
      </c>
      <c r="F22" s="39">
        <v>5.9</v>
      </c>
      <c r="G22" s="2">
        <f>F22/C22</f>
        <v>0.7177615571776156</v>
      </c>
    </row>
    <row r="23" spans="1:7" ht="12.75">
      <c r="A23" t="s">
        <v>108</v>
      </c>
      <c r="B23">
        <v>2.15</v>
      </c>
      <c r="C23" s="2">
        <v>7.02</v>
      </c>
      <c r="D23" s="34">
        <v>956.8</v>
      </c>
      <c r="E23" s="30">
        <f>(C23*1000000-D23*3413)/1000000</f>
        <v>3.7544416000000003</v>
      </c>
      <c r="F23" s="39">
        <v>4.8</v>
      </c>
      <c r="G23" s="2">
        <f>F23/C23</f>
        <v>0.6837606837606838</v>
      </c>
    </row>
    <row r="24" spans="4:7" ht="12.75">
      <c r="D24" s="34"/>
      <c r="E24" s="30"/>
      <c r="F24" s="39"/>
      <c r="G24" s="2"/>
    </row>
    <row r="25" spans="2:7" ht="12.75">
      <c r="B25" s="2">
        <f aca="true" t="shared" si="2" ref="B25:G25">AVERAGE(B5:B18)</f>
        <v>1.9833333333333334</v>
      </c>
      <c r="C25" s="2">
        <f t="shared" si="2"/>
        <v>12.099166666666667</v>
      </c>
      <c r="D25" s="34">
        <f t="shared" si="2"/>
        <v>1823.0333333333335</v>
      </c>
      <c r="E25" s="40">
        <f t="shared" si="2"/>
        <v>5.8771539</v>
      </c>
      <c r="F25" s="40">
        <f t="shared" si="2"/>
        <v>8.008333333333331</v>
      </c>
      <c r="G25" s="40">
        <f t="shared" si="2"/>
        <v>0.6778091022698254</v>
      </c>
    </row>
  </sheetData>
  <sheetProtection/>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2"/>
  <dimension ref="A1:H14"/>
  <sheetViews>
    <sheetView zoomScale="85" zoomScaleNormal="85" zoomScalePageLayoutView="0" workbookViewId="0" topLeftCell="A1">
      <selection activeCell="H19" sqref="H19"/>
    </sheetView>
  </sheetViews>
  <sheetFormatPr defaultColWidth="9.140625" defaultRowHeight="12.75"/>
  <cols>
    <col min="1" max="1" width="37.28125" style="0" customWidth="1"/>
    <col min="2" max="2" width="17.421875" style="0" customWidth="1"/>
    <col min="3" max="3" width="21.8515625" style="0" customWidth="1"/>
  </cols>
  <sheetData>
    <row r="1" spans="1:3" ht="15.75">
      <c r="A1" s="13" t="s">
        <v>69</v>
      </c>
      <c r="B1" s="12">
        <v>4</v>
      </c>
      <c r="C1" s="5" t="s">
        <v>70</v>
      </c>
    </row>
    <row r="2" spans="1:3" ht="15.75">
      <c r="A2" s="13" t="s">
        <v>219</v>
      </c>
      <c r="B2" s="12" t="s">
        <v>288</v>
      </c>
      <c r="C2" s="5" t="s">
        <v>73</v>
      </c>
    </row>
    <row r="3" spans="1:3" ht="15.75">
      <c r="A3" s="13" t="s">
        <v>71</v>
      </c>
      <c r="B3" s="12" t="s">
        <v>72</v>
      </c>
      <c r="C3" s="5" t="s">
        <v>73</v>
      </c>
    </row>
    <row r="4" spans="1:3" ht="15">
      <c r="A4" s="5"/>
      <c r="B4" s="5"/>
      <c r="C4" s="5"/>
    </row>
    <row r="5" spans="1:6" ht="15">
      <c r="A5" s="5"/>
      <c r="B5" s="5"/>
      <c r="C5" s="5"/>
      <c r="D5" s="35"/>
      <c r="E5" s="35"/>
      <c r="F5" s="35"/>
    </row>
    <row r="6" spans="1:6" ht="15.75">
      <c r="A6" s="6" t="s">
        <v>74</v>
      </c>
      <c r="B6" s="11">
        <f>SUM(B8:B11)</f>
        <v>58.65827338129496</v>
      </c>
      <c r="C6" s="5" t="s">
        <v>79</v>
      </c>
      <c r="D6" s="36"/>
      <c r="E6" s="35"/>
      <c r="F6" s="37"/>
    </row>
    <row r="7" spans="1:6" ht="15.75" hidden="1">
      <c r="A7" s="6"/>
      <c r="B7" s="5"/>
      <c r="C7" s="5"/>
      <c r="D7" s="35"/>
      <c r="E7" s="35"/>
      <c r="F7" s="37"/>
    </row>
    <row r="8" spans="1:6" ht="15" hidden="1">
      <c r="A8" s="5" t="s">
        <v>75</v>
      </c>
      <c r="B8" s="9">
        <f>IF(B2="Y",6.4,0)</f>
        <v>6.4</v>
      </c>
      <c r="C8" s="5"/>
      <c r="D8" s="35"/>
      <c r="E8" s="35"/>
      <c r="F8" s="37"/>
    </row>
    <row r="9" spans="1:6" ht="15" hidden="1">
      <c r="A9" s="5" t="s">
        <v>76</v>
      </c>
      <c r="B9" s="9">
        <f>IF(B3="Y",7.5,0)</f>
        <v>7.5</v>
      </c>
      <c r="C9" s="5"/>
      <c r="D9" s="35"/>
      <c r="E9" s="35"/>
      <c r="F9" s="35"/>
    </row>
    <row r="10" spans="1:8" ht="15" hidden="1">
      <c r="A10" s="5" t="s">
        <v>77</v>
      </c>
      <c r="B10" s="9">
        <f>B1*(24.6+4.7)/(2.47+0.31)</f>
        <v>42.15827338129496</v>
      </c>
      <c r="C10" s="5"/>
      <c r="D10" s="37"/>
      <c r="E10" s="37"/>
      <c r="F10" s="37"/>
      <c r="G10" s="1"/>
      <c r="H10" s="1"/>
    </row>
    <row r="11" spans="1:8" ht="15.75" hidden="1" thickBot="1">
      <c r="A11" s="5" t="s">
        <v>78</v>
      </c>
      <c r="B11" s="10">
        <f>IF(B2="Y",2.6,6.3)</f>
        <v>2.6</v>
      </c>
      <c r="C11" s="5"/>
      <c r="D11" s="1"/>
      <c r="E11" s="1"/>
      <c r="F11" s="1"/>
      <c r="G11" s="1"/>
      <c r="H11" s="1"/>
    </row>
    <row r="12" ht="15">
      <c r="A12" s="5"/>
    </row>
    <row r="14" spans="4:8" ht="12.75">
      <c r="D14" s="1"/>
      <c r="E14" s="1"/>
      <c r="F14" s="1"/>
      <c r="G14" s="1"/>
      <c r="H14" s="1"/>
    </row>
  </sheetData>
  <sheetProtection/>
  <printOptions/>
  <pageMargins left="0.75" right="0.75" top="0.75" bottom="0.75" header="0.5" footer="0.5"/>
  <pageSetup horizontalDpi="300" verticalDpi="300" orientation="landscape" scale="95"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codeName="Sheet8"/>
  <dimension ref="A2:L16"/>
  <sheetViews>
    <sheetView zoomScale="85" zoomScaleNormal="85" zoomScalePageLayoutView="0" workbookViewId="0" topLeftCell="A1">
      <selection activeCell="A1" sqref="A1:D1"/>
    </sheetView>
  </sheetViews>
  <sheetFormatPr defaultColWidth="9.140625" defaultRowHeight="12.75"/>
  <cols>
    <col min="1" max="1" width="12.7109375" style="43" customWidth="1"/>
    <col min="2" max="5" width="11.00390625" style="43" customWidth="1"/>
    <col min="6" max="6" width="11.7109375" style="43" customWidth="1"/>
    <col min="7" max="10" width="11.00390625" style="43" customWidth="1"/>
    <col min="11" max="11" width="10.8515625" style="43" customWidth="1"/>
    <col min="12" max="14" width="8.28125" style="43" customWidth="1"/>
    <col min="15" max="16384" width="9.140625" style="43" customWidth="1"/>
  </cols>
  <sheetData>
    <row r="2" spans="1:10" ht="15.75">
      <c r="A2" s="5"/>
      <c r="B2" s="245" t="s">
        <v>142</v>
      </c>
      <c r="C2" s="245"/>
      <c r="D2" s="245"/>
      <c r="E2" s="245"/>
      <c r="F2" s="5"/>
      <c r="G2" s="245" t="s">
        <v>141</v>
      </c>
      <c r="H2" s="245"/>
      <c r="I2" s="245"/>
      <c r="J2" s="245"/>
    </row>
    <row r="3" spans="1:10" ht="15">
      <c r="A3" s="5"/>
      <c r="D3" s="15" t="s">
        <v>220</v>
      </c>
      <c r="E3" s="15" t="s">
        <v>3</v>
      </c>
      <c r="F3" s="5"/>
      <c r="I3" s="15" t="s">
        <v>220</v>
      </c>
      <c r="J3" s="15" t="s">
        <v>3</v>
      </c>
    </row>
    <row r="4" spans="1:10" ht="15">
      <c r="A4" s="5"/>
      <c r="B4" s="86" t="s">
        <v>1</v>
      </c>
      <c r="C4" s="86" t="s">
        <v>0</v>
      </c>
      <c r="D4" s="86" t="s">
        <v>214</v>
      </c>
      <c r="E4" s="86" t="s">
        <v>214</v>
      </c>
      <c r="F4" s="5"/>
      <c r="G4" s="86" t="s">
        <v>1</v>
      </c>
      <c r="H4" s="86" t="s">
        <v>0</v>
      </c>
      <c r="I4" s="86" t="s">
        <v>214</v>
      </c>
      <c r="J4" s="86" t="s">
        <v>214</v>
      </c>
    </row>
    <row r="5" spans="1:10" ht="15">
      <c r="A5" s="87" t="s">
        <v>140</v>
      </c>
      <c r="B5" s="97">
        <v>0.802</v>
      </c>
      <c r="C5" s="98">
        <v>0.98</v>
      </c>
      <c r="D5" s="99">
        <f aca="true" t="shared" si="0" ref="D5:D16">(1/B5-1/C5)/((67.5)*(24/(41094)-1/(C5*E5)))</f>
        <v>6.482586193053343</v>
      </c>
      <c r="E5" s="100">
        <f aca="true" t="shared" si="1" ref="E5:E16">4.5*3412</f>
        <v>15354</v>
      </c>
      <c r="F5" s="5"/>
      <c r="G5" s="97">
        <v>0.477</v>
      </c>
      <c r="H5" s="98">
        <v>0.68</v>
      </c>
      <c r="I5" s="99">
        <f aca="true" t="shared" si="2" ref="I5:I16">(1/G5-1/H5)/((67.5)*(24/(41094)-1/(H5*J5)))</f>
        <v>16.94219022373151</v>
      </c>
      <c r="J5" s="100">
        <v>40000</v>
      </c>
    </row>
    <row r="6" spans="1:11" ht="15">
      <c r="A6" s="87">
        <v>1980</v>
      </c>
      <c r="B6" s="101">
        <v>0.803</v>
      </c>
      <c r="C6" s="102">
        <v>0.98</v>
      </c>
      <c r="D6" s="103">
        <f t="shared" si="0"/>
        <v>6.4381395640553984</v>
      </c>
      <c r="E6" s="104">
        <f t="shared" si="1"/>
        <v>15354</v>
      </c>
      <c r="F6" s="16">
        <f>AVERAGE(D5:D7)</f>
        <v>6.438176418639974</v>
      </c>
      <c r="G6" s="101">
        <v>0.478</v>
      </c>
      <c r="H6" s="102">
        <v>0.68</v>
      </c>
      <c r="I6" s="103">
        <f t="shared" si="2"/>
        <v>16.82346184654271</v>
      </c>
      <c r="J6" s="104">
        <v>40000</v>
      </c>
      <c r="K6" s="16"/>
    </row>
    <row r="7" spans="1:11" ht="15">
      <c r="A7" s="87">
        <f aca="true" t="shared" si="3" ref="A7:A16">A6+1</f>
        <v>1981</v>
      </c>
      <c r="B7" s="105">
        <v>0.804</v>
      </c>
      <c r="C7" s="106">
        <v>0.98</v>
      </c>
      <c r="D7" s="107">
        <f t="shared" si="0"/>
        <v>6.39380349881118</v>
      </c>
      <c r="E7" s="108">
        <f t="shared" si="1"/>
        <v>15354</v>
      </c>
      <c r="F7" s="15"/>
      <c r="G7" s="101">
        <v>0.479</v>
      </c>
      <c r="H7" s="102">
        <v>0.68</v>
      </c>
      <c r="I7" s="103">
        <f t="shared" si="2"/>
        <v>16.705229203705443</v>
      </c>
      <c r="J7" s="104">
        <v>40000</v>
      </c>
      <c r="K7" s="16"/>
    </row>
    <row r="8" spans="1:11" ht="15">
      <c r="A8" s="87">
        <f t="shared" si="3"/>
        <v>1982</v>
      </c>
      <c r="B8" s="97">
        <v>0.806</v>
      </c>
      <c r="C8" s="98">
        <v>0.98</v>
      </c>
      <c r="D8" s="99">
        <f t="shared" si="0"/>
        <v>6.305461413473445</v>
      </c>
      <c r="E8" s="100">
        <f t="shared" si="1"/>
        <v>15354</v>
      </c>
      <c r="F8" s="15"/>
      <c r="G8" s="101">
        <v>0.48</v>
      </c>
      <c r="H8" s="102">
        <v>0.68</v>
      </c>
      <c r="I8" s="103">
        <f t="shared" si="2"/>
        <v>16.58748919687999</v>
      </c>
      <c r="J8" s="104">
        <v>40000</v>
      </c>
      <c r="K8" s="16">
        <f>AVERAGE(I5:I11)</f>
        <v>16.555314011061867</v>
      </c>
    </row>
    <row r="9" spans="1:11" ht="15">
      <c r="A9" s="87">
        <f t="shared" si="3"/>
        <v>1983</v>
      </c>
      <c r="B9" s="101">
        <v>0.809</v>
      </c>
      <c r="C9" s="102">
        <v>0.98</v>
      </c>
      <c r="D9" s="103">
        <f t="shared" si="0"/>
        <v>6.1737672788414155</v>
      </c>
      <c r="E9" s="104">
        <f t="shared" si="1"/>
        <v>15354</v>
      </c>
      <c r="F9" s="16">
        <f>AVERAGE(D8:D10)</f>
        <v>6.17409164863115</v>
      </c>
      <c r="G9" s="101">
        <v>0.481</v>
      </c>
      <c r="H9" s="102">
        <v>0.68</v>
      </c>
      <c r="I9" s="103">
        <f t="shared" si="2"/>
        <v>16.470238753492477</v>
      </c>
      <c r="J9" s="104">
        <v>40000</v>
      </c>
      <c r="K9" s="16"/>
    </row>
    <row r="10" spans="1:12" ht="15">
      <c r="A10" s="87">
        <f t="shared" si="3"/>
        <v>1984</v>
      </c>
      <c r="B10" s="105">
        <v>0.812</v>
      </c>
      <c r="C10" s="106">
        <v>0.98</v>
      </c>
      <c r="D10" s="107">
        <f t="shared" si="0"/>
        <v>6.04304625357859</v>
      </c>
      <c r="E10" s="108">
        <f t="shared" si="1"/>
        <v>15354</v>
      </c>
      <c r="F10" s="15"/>
      <c r="G10" s="101">
        <v>0.483</v>
      </c>
      <c r="H10" s="102">
        <v>0.68</v>
      </c>
      <c r="I10" s="103">
        <f t="shared" si="2"/>
        <v>16.237194393964508</v>
      </c>
      <c r="J10" s="104">
        <v>40000</v>
      </c>
      <c r="K10" s="16"/>
      <c r="L10" s="113">
        <f>AVERAGE(G5:G16)</f>
        <v>0.48433333333333334</v>
      </c>
    </row>
    <row r="11" spans="1:12" ht="15">
      <c r="A11" s="87">
        <f t="shared" si="3"/>
        <v>1985</v>
      </c>
      <c r="B11" s="97">
        <v>0.815</v>
      </c>
      <c r="C11" s="98">
        <v>0.98</v>
      </c>
      <c r="D11" s="99">
        <f t="shared" si="0"/>
        <v>5.9132875916919385</v>
      </c>
      <c r="E11" s="100">
        <f t="shared" si="1"/>
        <v>15354</v>
      </c>
      <c r="F11" s="15"/>
      <c r="G11" s="105">
        <v>0.484</v>
      </c>
      <c r="H11" s="106">
        <v>0.68</v>
      </c>
      <c r="I11" s="107">
        <f t="shared" si="2"/>
        <v>16.12139445911642</v>
      </c>
      <c r="J11" s="108">
        <v>40000</v>
      </c>
      <c r="K11" s="16"/>
      <c r="L11" s="30">
        <f>AVERAGE(I5:I16)</f>
        <v>16.08991710888257</v>
      </c>
    </row>
    <row r="12" spans="1:11" ht="15">
      <c r="A12" s="87">
        <f t="shared" si="3"/>
        <v>1986</v>
      </c>
      <c r="B12" s="101">
        <v>0.819</v>
      </c>
      <c r="C12" s="102">
        <v>0.98</v>
      </c>
      <c r="D12" s="103">
        <f t="shared" si="0"/>
        <v>5.7417547736993235</v>
      </c>
      <c r="E12" s="104">
        <f t="shared" si="1"/>
        <v>15354</v>
      </c>
      <c r="F12" s="16">
        <f>AVERAGE(D11:D13)</f>
        <v>5.742310570598448</v>
      </c>
      <c r="G12" s="97">
        <v>0.486</v>
      </c>
      <c r="H12" s="98">
        <v>0.68</v>
      </c>
      <c r="I12" s="99">
        <f t="shared" si="2"/>
        <v>15.891224218245515</v>
      </c>
      <c r="J12" s="100">
        <v>40000</v>
      </c>
      <c r="K12" s="16"/>
    </row>
    <row r="13" spans="1:11" ht="15">
      <c r="A13" s="87">
        <f t="shared" si="3"/>
        <v>1987</v>
      </c>
      <c r="B13" s="105">
        <v>0.823</v>
      </c>
      <c r="C13" s="106">
        <v>0.98</v>
      </c>
      <c r="D13" s="107">
        <f t="shared" si="0"/>
        <v>5.571889346404082</v>
      </c>
      <c r="E13" s="108">
        <f t="shared" si="1"/>
        <v>15354</v>
      </c>
      <c r="F13" s="15"/>
      <c r="G13" s="101">
        <v>0.488</v>
      </c>
      <c r="H13" s="102">
        <v>0.68</v>
      </c>
      <c r="I13" s="103">
        <f t="shared" si="2"/>
        <v>15.662940618693227</v>
      </c>
      <c r="J13" s="104">
        <v>40000</v>
      </c>
      <c r="K13" s="16"/>
    </row>
    <row r="14" spans="1:11" ht="15">
      <c r="A14" s="87">
        <f t="shared" si="3"/>
        <v>1988</v>
      </c>
      <c r="B14" s="97">
        <v>0.828</v>
      </c>
      <c r="C14" s="98">
        <v>0.98</v>
      </c>
      <c r="D14" s="99">
        <f t="shared" si="0"/>
        <v>5.361865516460235</v>
      </c>
      <c r="E14" s="100">
        <f t="shared" si="1"/>
        <v>15354</v>
      </c>
      <c r="F14" s="15"/>
      <c r="G14" s="101">
        <v>0.49</v>
      </c>
      <c r="H14" s="102">
        <v>0.68</v>
      </c>
      <c r="I14" s="103">
        <f t="shared" si="2"/>
        <v>15.43652055872913</v>
      </c>
      <c r="J14" s="104">
        <v>40000</v>
      </c>
      <c r="K14" s="16">
        <f>AVERAGE(I12:I16)</f>
        <v>15.43836144583155</v>
      </c>
    </row>
    <row r="15" spans="1:11" ht="15">
      <c r="A15" s="87">
        <f t="shared" si="3"/>
        <v>1989</v>
      </c>
      <c r="B15" s="105">
        <v>0.832</v>
      </c>
      <c r="C15" s="106">
        <v>0.98</v>
      </c>
      <c r="D15" s="107">
        <f t="shared" si="0"/>
        <v>5.195663966418134</v>
      </c>
      <c r="E15" s="108">
        <f t="shared" si="1"/>
        <v>15354</v>
      </c>
      <c r="F15" s="16">
        <f>AVERAGE(D14:D15)</f>
        <v>5.2787647414391845</v>
      </c>
      <c r="G15" s="101">
        <v>0.492</v>
      </c>
      <c r="H15" s="102">
        <v>0.68</v>
      </c>
      <c r="I15" s="103">
        <f t="shared" si="2"/>
        <v>15.211941312260674</v>
      </c>
      <c r="J15" s="104">
        <v>40000</v>
      </c>
      <c r="K15" s="16"/>
    </row>
    <row r="16" spans="1:11" ht="15">
      <c r="A16" s="87">
        <f t="shared" si="3"/>
        <v>1990</v>
      </c>
      <c r="B16" s="109">
        <v>0.837</v>
      </c>
      <c r="C16" s="110">
        <v>0.98</v>
      </c>
      <c r="D16" s="111">
        <f t="shared" si="0"/>
        <v>4.990145920667154</v>
      </c>
      <c r="E16" s="112">
        <f t="shared" si="1"/>
        <v>15354</v>
      </c>
      <c r="F16" s="16">
        <f>D16</f>
        <v>4.990145920667154</v>
      </c>
      <c r="G16" s="105">
        <v>0.494</v>
      </c>
      <c r="H16" s="106">
        <v>0.68</v>
      </c>
      <c r="I16" s="107">
        <f t="shared" si="2"/>
        <v>14.989180521229201</v>
      </c>
      <c r="J16" s="108">
        <v>40000</v>
      </c>
      <c r="K16" s="16"/>
    </row>
  </sheetData>
  <sheetProtection/>
  <mergeCells count="2">
    <mergeCell ref="B2:E2"/>
    <mergeCell ref="G2:J2"/>
  </mergeCells>
  <printOptions gridLines="1"/>
  <pageMargins left="0.25" right="0.25" top="0.25" bottom="0.25" header="0.5" footer="0.5"/>
  <pageSetup horizontalDpi="300" verticalDpi="300" orientation="landscape" scale="90"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codeName="Sheet3"/>
  <dimension ref="B2:V52"/>
  <sheetViews>
    <sheetView zoomScale="85" zoomScaleNormal="85" zoomScalePageLayoutView="0" workbookViewId="0" topLeftCell="A1">
      <selection activeCell="A1" sqref="A1:D1"/>
    </sheetView>
  </sheetViews>
  <sheetFormatPr defaultColWidth="9.140625" defaultRowHeight="12.75"/>
  <cols>
    <col min="1" max="1" width="1.7109375" style="0" customWidth="1"/>
    <col min="2" max="2" width="40.421875" style="0" customWidth="1"/>
    <col min="3" max="6" width="9.28125" style="0" hidden="1" customWidth="1"/>
    <col min="7" max="17" width="9.28125" style="0" customWidth="1"/>
    <col min="18" max="18" width="7.8515625" style="0" hidden="1" customWidth="1"/>
    <col min="19" max="19" width="8.28125" style="0" hidden="1" customWidth="1"/>
    <col min="20" max="21" width="8.28125" style="0" customWidth="1"/>
  </cols>
  <sheetData>
    <row r="1" ht="6" customHeight="1" thickBot="1"/>
    <row r="2" spans="2:20" ht="15">
      <c r="B2" s="121"/>
      <c r="C2" s="122"/>
      <c r="D2" s="122"/>
      <c r="E2" s="122"/>
      <c r="F2" s="122"/>
      <c r="G2" s="266" t="s">
        <v>64</v>
      </c>
      <c r="H2" s="267"/>
      <c r="I2" s="266" t="s">
        <v>65</v>
      </c>
      <c r="J2" s="268"/>
      <c r="K2" s="18"/>
      <c r="L2" s="18"/>
      <c r="M2" s="18"/>
      <c r="N2" s="29"/>
      <c r="O2" s="18"/>
      <c r="P2" s="18"/>
      <c r="Q2" s="18"/>
      <c r="R2" s="18"/>
      <c r="S2" s="23"/>
      <c r="T2" s="28"/>
    </row>
    <row r="3" spans="2:20" ht="15">
      <c r="B3" s="182" t="s">
        <v>181</v>
      </c>
      <c r="C3" s="123"/>
      <c r="D3" s="123"/>
      <c r="E3" s="124"/>
      <c r="F3" s="123"/>
      <c r="G3" s="269">
        <f>'Hot Water Consumption'!B6</f>
        <v>58.65827338129496</v>
      </c>
      <c r="H3" s="270"/>
      <c r="I3" s="269">
        <f>'Hot Water Consumption'!B6</f>
        <v>58.65827338129496</v>
      </c>
      <c r="J3" s="271"/>
      <c r="K3" s="18"/>
      <c r="L3" s="18"/>
      <c r="M3" s="18"/>
      <c r="N3" s="29"/>
      <c r="O3" s="18"/>
      <c r="P3" s="18"/>
      <c r="Q3" s="18"/>
      <c r="R3" s="18"/>
      <c r="S3" s="23"/>
      <c r="T3" s="28"/>
    </row>
    <row r="4" spans="2:20" ht="15" customHeight="1">
      <c r="B4" s="125" t="s">
        <v>179</v>
      </c>
      <c r="C4" s="126"/>
      <c r="D4" s="126"/>
      <c r="E4" s="126"/>
      <c r="F4" s="126"/>
      <c r="G4" s="127"/>
      <c r="H4" s="128"/>
      <c r="I4" s="127"/>
      <c r="J4" s="129"/>
      <c r="K4" s="18"/>
      <c r="L4" s="18"/>
      <c r="M4" s="18"/>
      <c r="N4" s="29"/>
      <c r="O4" s="18"/>
      <c r="P4" s="18"/>
      <c r="Q4" s="18"/>
      <c r="R4" s="1">
        <v>2</v>
      </c>
      <c r="S4" s="1">
        <v>2</v>
      </c>
      <c r="T4" s="28"/>
    </row>
    <row r="5" spans="2:20" ht="15" customHeight="1">
      <c r="B5" s="130" t="s">
        <v>1</v>
      </c>
      <c r="C5" s="131"/>
      <c r="D5" s="131"/>
      <c r="E5" s="131"/>
      <c r="F5" s="131"/>
      <c r="G5" s="262">
        <v>0.5</v>
      </c>
      <c r="H5" s="272"/>
      <c r="I5" s="262">
        <v>0.62</v>
      </c>
      <c r="J5" s="263"/>
      <c r="K5" s="18"/>
      <c r="L5" s="18"/>
      <c r="M5" s="18"/>
      <c r="N5" s="29"/>
      <c r="O5" s="18"/>
      <c r="P5" s="18"/>
      <c r="Q5" s="18"/>
      <c r="R5" s="18">
        <v>0</v>
      </c>
      <c r="S5" s="23"/>
      <c r="T5" s="28"/>
    </row>
    <row r="6" spans="2:19" ht="15" customHeight="1">
      <c r="B6" s="132" t="s">
        <v>0</v>
      </c>
      <c r="C6" s="133"/>
      <c r="D6" s="133"/>
      <c r="E6" s="134"/>
      <c r="F6" s="133"/>
      <c r="G6" s="262">
        <v>0.66</v>
      </c>
      <c r="H6" s="272"/>
      <c r="I6" s="262">
        <v>0.76</v>
      </c>
      <c r="J6" s="263"/>
      <c r="K6" s="18"/>
      <c r="L6" s="18"/>
      <c r="M6" s="18"/>
      <c r="N6" s="29"/>
      <c r="O6" s="18"/>
      <c r="P6" s="18"/>
      <c r="Q6" s="18"/>
      <c r="R6" s="18"/>
      <c r="S6" s="23"/>
    </row>
    <row r="7" spans="2:20" ht="15" customHeight="1">
      <c r="B7" s="132" t="s">
        <v>177</v>
      </c>
      <c r="C7" s="135"/>
      <c r="D7" s="135"/>
      <c r="E7" s="135"/>
      <c r="F7" s="135"/>
      <c r="G7" s="273">
        <f>IF(OR(R4=2,R4=3),40000,IF(R4=1,15354,"uh oh"))</f>
        <v>40000</v>
      </c>
      <c r="H7" s="274"/>
      <c r="I7" s="273">
        <f>IF(OR(S4=2,S4=3),40000,IF(S4=1,15354,"uh oh"))</f>
        <v>40000</v>
      </c>
      <c r="J7" s="278"/>
      <c r="K7" s="18"/>
      <c r="L7" s="18"/>
      <c r="O7" s="18"/>
      <c r="P7" s="18"/>
      <c r="R7" s="22">
        <v>2</v>
      </c>
      <c r="S7" s="29"/>
      <c r="T7" s="28"/>
    </row>
    <row r="8" spans="2:20" ht="15" hidden="1">
      <c r="B8" s="136" t="s">
        <v>2</v>
      </c>
      <c r="C8" s="135"/>
      <c r="D8" s="135"/>
      <c r="E8" s="134"/>
      <c r="F8" s="135"/>
      <c r="G8" s="275">
        <f>(1/EnergyFactor1-1/RE1)/((67.5)*(24/(41094)-1/(RE1*power1)))</f>
        <v>13.152001836268324</v>
      </c>
      <c r="H8" s="277"/>
      <c r="I8" s="275">
        <f>(1/EnergyFactor_new1-1/RE_new1)/((67.5)*24/(41094)-1/(RE_new1*power_new1))</f>
        <v>7.543079682823908</v>
      </c>
      <c r="J8" s="276"/>
      <c r="K8" s="23"/>
      <c r="L8" s="18"/>
      <c r="O8" s="18"/>
      <c r="P8" s="18"/>
      <c r="R8" s="18"/>
      <c r="S8" s="29"/>
      <c r="T8" s="28"/>
    </row>
    <row r="9" spans="2:20" ht="15">
      <c r="B9" s="136" t="s">
        <v>180</v>
      </c>
      <c r="C9" s="135"/>
      <c r="D9" s="135"/>
      <c r="E9" s="135"/>
      <c r="F9" s="135"/>
      <c r="G9" s="275">
        <f>INDEX(Data!B2:M53,R13,IF(R4=2,5,IF(R4=1,3,IF(R4=3,6,"OOPS"))))</f>
        <v>12.238532110091743</v>
      </c>
      <c r="H9" s="277"/>
      <c r="I9" s="275">
        <f>INDEX(Data!B2:M53,R13,IF(S4=2,5,IF(S4=1,3,IF(S4=3,6,"OOPS"))))</f>
        <v>12.238532110091743</v>
      </c>
      <c r="J9" s="276"/>
      <c r="K9" s="23"/>
      <c r="L9" s="18"/>
      <c r="O9" s="18"/>
      <c r="P9" s="18"/>
      <c r="R9" s="18"/>
      <c r="S9" s="29"/>
      <c r="T9" s="28"/>
    </row>
    <row r="10" spans="2:19" ht="15" customHeight="1">
      <c r="B10" s="132" t="s">
        <v>178</v>
      </c>
      <c r="C10" s="135"/>
      <c r="D10" s="135"/>
      <c r="E10" s="135"/>
      <c r="F10" s="135"/>
      <c r="G10" s="137"/>
      <c r="H10" s="138"/>
      <c r="I10" s="264">
        <v>10</v>
      </c>
      <c r="J10" s="265"/>
      <c r="K10" s="18"/>
      <c r="L10" s="18"/>
      <c r="O10" s="18"/>
      <c r="P10" s="18"/>
      <c r="R10" s="18"/>
      <c r="S10" s="29"/>
    </row>
    <row r="11" spans="2:19" ht="15" customHeight="1">
      <c r="B11" s="130" t="s">
        <v>216</v>
      </c>
      <c r="C11" s="139"/>
      <c r="D11" s="139"/>
      <c r="E11" s="139"/>
      <c r="F11" s="139"/>
      <c r="G11" s="140"/>
      <c r="H11" s="141"/>
      <c r="I11" s="260">
        <v>750</v>
      </c>
      <c r="J11" s="261"/>
      <c r="K11" s="18"/>
      <c r="L11" s="18"/>
      <c r="O11" s="18"/>
      <c r="P11" s="18"/>
      <c r="R11" s="18"/>
      <c r="S11" s="29"/>
    </row>
    <row r="12" spans="2:19" ht="15" customHeight="1">
      <c r="B12" s="130" t="s">
        <v>4</v>
      </c>
      <c r="C12" s="142"/>
      <c r="D12" s="142"/>
      <c r="E12" s="142"/>
      <c r="F12" s="142"/>
      <c r="G12" s="143"/>
      <c r="H12" s="144"/>
      <c r="I12" s="145"/>
      <c r="J12" s="146"/>
      <c r="K12" s="18"/>
      <c r="L12" s="18"/>
      <c r="O12" s="18"/>
      <c r="P12" s="18"/>
      <c r="R12" s="18"/>
      <c r="S12" s="29"/>
    </row>
    <row r="13" spans="2:20" ht="15" customHeight="1" thickBot="1">
      <c r="B13" s="147" t="s">
        <v>182</v>
      </c>
      <c r="C13" s="148"/>
      <c r="D13" s="148"/>
      <c r="E13" s="148"/>
      <c r="F13" s="148"/>
      <c r="G13" s="248">
        <f>INDEX(Data!B2:M53,R13,8)</f>
        <v>69</v>
      </c>
      <c r="H13" s="249"/>
      <c r="I13" s="249"/>
      <c r="J13" s="250"/>
      <c r="K13" s="18"/>
      <c r="L13" s="18"/>
      <c r="O13" s="15"/>
      <c r="P13" s="18"/>
      <c r="R13" s="22">
        <v>1</v>
      </c>
      <c r="S13" s="29"/>
      <c r="T13" s="28"/>
    </row>
    <row r="14" spans="11:19" ht="6" customHeight="1" thickBot="1">
      <c r="K14" s="18"/>
      <c r="L14" s="18"/>
      <c r="M14" s="18"/>
      <c r="N14" s="29"/>
      <c r="O14" s="18"/>
      <c r="P14" s="18"/>
      <c r="Q14" s="18"/>
      <c r="R14" s="18"/>
      <c r="S14" s="23"/>
    </row>
    <row r="15" spans="2:13" ht="15">
      <c r="B15" s="51"/>
      <c r="C15" s="52" t="s">
        <v>94</v>
      </c>
      <c r="D15" s="52"/>
      <c r="E15" s="52"/>
      <c r="F15" s="52"/>
      <c r="G15" s="251" t="s">
        <v>183</v>
      </c>
      <c r="H15" s="251"/>
      <c r="I15" s="54"/>
      <c r="J15" s="53" t="s">
        <v>185</v>
      </c>
      <c r="K15" s="54"/>
      <c r="L15" s="251" t="s">
        <v>218</v>
      </c>
      <c r="M15" s="255"/>
    </row>
    <row r="16" spans="2:13" ht="15">
      <c r="B16" s="72" t="s">
        <v>85</v>
      </c>
      <c r="C16" s="55" t="s">
        <v>81</v>
      </c>
      <c r="D16" s="55" t="s">
        <v>82</v>
      </c>
      <c r="E16" s="55" t="s">
        <v>83</v>
      </c>
      <c r="F16" s="55" t="s">
        <v>84</v>
      </c>
      <c r="G16" s="252" t="s">
        <v>184</v>
      </c>
      <c r="H16" s="252"/>
      <c r="I16" s="56"/>
      <c r="J16" s="55" t="s">
        <v>217</v>
      </c>
      <c r="K16" s="56"/>
      <c r="L16" s="256" t="s">
        <v>216</v>
      </c>
      <c r="M16" s="257"/>
    </row>
    <row r="17" spans="2:13" ht="15" customHeight="1" hidden="1">
      <c r="B17" s="59"/>
      <c r="C17" s="60">
        <f>INDEX(Data!B2:M53,R13,9)</f>
        <v>46.5</v>
      </c>
      <c r="D17" s="60">
        <f>INDEX(Data!B2:M53,R13,10)</f>
        <v>62.5</v>
      </c>
      <c r="E17" s="60">
        <f>INDEX(Data!B2:M53,R13,11)</f>
        <v>78.6</v>
      </c>
      <c r="F17" s="60">
        <f>INDEX(Data!B2:M53,R13,12)</f>
        <v>63.7</v>
      </c>
      <c r="G17" s="61"/>
      <c r="H17" s="56"/>
      <c r="I17" s="56"/>
      <c r="J17" s="82"/>
      <c r="K17" s="61"/>
      <c r="L17" s="56"/>
      <c r="M17" s="83"/>
    </row>
    <row r="18" spans="2:20" ht="15" customHeight="1">
      <c r="B18" s="59" t="s">
        <v>86</v>
      </c>
      <c r="C18" s="63">
        <f>(USAGE1*8.2938*1.007*(120-$G$13)/RE1*(1-UA1*(120-C$17)/power1)+24*UA1*(120-C$17))*365/4*fuel_price1/1000000-((usage_new1*8.2938*1.007*(120-$G$13)/RE_new1*(1-UA_new1*(120-C$17)/power_new1)+24*UA_new1*(120-C$17))*365/4)*fuel_price_new1/1000000</f>
        <v>16.099336088923685</v>
      </c>
      <c r="D18" s="63">
        <f>(USAGE1*8.2938*1.007*(120-$G$13)/RE1*(1-UA1*(120-D$17)/power1)+24*UA1*(120-D$17))*365/4*fuel_price1/1000000-((usage_new1*8.2938*1.007*(120-$G$13)/RE_new1*(1-UA_new1*(120-D$17)/power_new1)+24*UA_new1*(120-D$17))*365/4)*fuel_price_new1/1000000</f>
        <v>13.805650834146228</v>
      </c>
      <c r="E18" s="63">
        <f>(USAGE1*8.2938*1.007*(120-$G$13)/RE1*(1-UA1*(120-E$17)/power1)+24*UA1*(120-E$17))*365/4*fuel_price1/1000000-((usage_new1*8.2938*1.007*(120-$G$13)/RE_new1*(1-UA_new1*(120-E$17)/power_new1)+24*UA_new1*(120-E$17))*365/4)*fuel_price_new1/1000000</f>
        <v>11.497630046526396</v>
      </c>
      <c r="F18" s="63">
        <f>(USAGE1*8.2938*1.007*(120-$G$13)/RE1*(1-UA1*(120-F$17)/power1)+24*UA1*(120-F$17))*365/4*fuel_price1/1000000-((usage_new1*8.2938*1.007*(120-$G$13)/RE_new1*(1-UA_new1*(120-F$17)/power_new1)+24*UA_new1*(120-F$17))*365/4)*fuel_price_new1/1000000</f>
        <v>13.633624440037913</v>
      </c>
      <c r="G18" s="246">
        <f>SUM(C18:F18)</f>
        <v>55.03624140963422</v>
      </c>
      <c r="H18" s="246"/>
      <c r="I18" s="246">
        <f>-PV(0.033,$I$10,G18)/1</f>
        <v>462.363712267873</v>
      </c>
      <c r="J18" s="246"/>
      <c r="K18" s="246"/>
      <c r="L18" s="258">
        <f>-PV(0.033,$I$10,G18)/$I$11</f>
        <v>0.6164849496904973</v>
      </c>
      <c r="M18" s="259"/>
      <c r="T18" s="3"/>
    </row>
    <row r="19" spans="2:20" ht="15.75" customHeight="1" hidden="1">
      <c r="B19" s="59"/>
      <c r="C19" s="120">
        <v>68</v>
      </c>
      <c r="D19" s="120">
        <v>78</v>
      </c>
      <c r="E19" s="120">
        <v>78</v>
      </c>
      <c r="F19" s="120">
        <v>68</v>
      </c>
      <c r="G19" s="62"/>
      <c r="H19" s="56"/>
      <c r="I19" s="62"/>
      <c r="J19" s="35"/>
      <c r="K19" s="56"/>
      <c r="L19" s="92"/>
      <c r="M19" s="83"/>
      <c r="T19" s="3"/>
    </row>
    <row r="20" spans="2:22" ht="15" customHeight="1">
      <c r="B20" s="59" t="s">
        <v>87</v>
      </c>
      <c r="C20" s="63">
        <f>(USAGE1*8.2938*1.007*(120-$G$13)/RE1*(1-UA1*(120-C$19)/power1)+24*UA1*(120-C$19))*365/4*fuel_price1/1000000-((usage_new1*8.2938*1.007*(120-$G$13)/RE_new1*(1-UA_new1*(120-C$19)/power_new1)+24*UA_new1*(120-C$19))*365/4)*fuel_price_new1/1000000</f>
        <v>13.017196527816466</v>
      </c>
      <c r="D20" s="63">
        <f>(USAGE1*8.2938*1.007*(120-$G$13)/RE1*(1-UA1*(120-D$19)/power1)+24*UA1*(120-D$19))*365/4*fuel_price1/1000000-((usage_new1*8.2938*1.007*(120-$G$13)/RE_new1*(1-UA_new1*(120-D$19)/power_new1)+24*UA_new1*(120-D$19))*365/4)*fuel_price_new1/1000000</f>
        <v>11.583643243580568</v>
      </c>
      <c r="E20" s="63">
        <f>(USAGE1*8.2938*1.007*(120-$G$13)/RE1*(1-UA1*(120-E$19)/power1)+24*UA1*(120-E$19))*365/4*fuel_price1/1000000-((usage_new1*8.2938*1.007*(120-$G$13)/RE_new1*(1-UA_new1*(120-E$19)/power_new1)+24*UA_new1*(120-E$19))*365/4)*fuel_price_new1/1000000</f>
        <v>11.583643243580568</v>
      </c>
      <c r="F20" s="63">
        <f>(USAGE1*8.2938*1.007*(120-$G$13)/RE1*(1-UA1*(120-F$19)/power1)+24*UA1*(120-F$19))*365/4*fuel_price1/1000000-((usage_new1*8.2938*1.007*(120-$G$13)/RE_new1*(1-UA_new1*(120-F$19)/power_new1)+24*UA_new1*(120-F$19))*365/4)*fuel_price_new1/1000000</f>
        <v>13.017196527816466</v>
      </c>
      <c r="G20" s="246">
        <f>SUM(C20:F20)</f>
        <v>49.20167954279407</v>
      </c>
      <c r="H20" s="246"/>
      <c r="I20" s="246">
        <f>-PV(0.033,$I$10,G20)/1</f>
        <v>413.3471076612846</v>
      </c>
      <c r="J20" s="246"/>
      <c r="K20" s="246"/>
      <c r="L20" s="258">
        <f>-PV(0.033,$I$10,G20)/$I$11</f>
        <v>0.5511294768817128</v>
      </c>
      <c r="M20" s="259"/>
      <c r="T20" s="3"/>
      <c r="V20" s="3"/>
    </row>
    <row r="21" spans="2:22" ht="15.75" customHeight="1" hidden="1">
      <c r="B21" s="59"/>
      <c r="C21" s="120">
        <f>C19-5</f>
        <v>63</v>
      </c>
      <c r="D21" s="120">
        <f>D19+5</f>
        <v>83</v>
      </c>
      <c r="E21" s="120">
        <f>E19+5</f>
        <v>83</v>
      </c>
      <c r="F21" s="120">
        <f>F19-5</f>
        <v>63</v>
      </c>
      <c r="G21" s="62"/>
      <c r="H21" s="56"/>
      <c r="I21" s="62"/>
      <c r="J21" s="35"/>
      <c r="K21" s="56"/>
      <c r="L21" s="92"/>
      <c r="M21" s="83"/>
      <c r="T21" s="3"/>
      <c r="V21" s="3"/>
    </row>
    <row r="22" spans="2:20" ht="15" customHeight="1">
      <c r="B22" s="59" t="s">
        <v>88</v>
      </c>
      <c r="C22" s="63">
        <f>(USAGE1*8.2938*1.007*(120-$G$13)/RE1*(1-UA1*(120-C$21)/power1)+24*UA1*(120-C$21))*365/4*fuel_price1/1000000-((usage_new1*8.2938*1.007*(120-$G$13)/RE_new1*(1-UA_new1*(120-C$21)/power_new1)+24*UA_new1*(120-C$21))*365/4)*fuel_price_new1/1000000</f>
        <v>13.733973169934409</v>
      </c>
      <c r="D22" s="63">
        <f>(USAGE1*8.2938*1.007*(120-$G$13)/RE1*(1-UA1*(120-D$21)/power1)+24*UA1*(120-D$21))*365/4*fuel_price1/1000000-((usage_new1*8.2938*1.007*(120-$G$13)/RE_new1*(1-UA_new1*(120-D$21)/power_new1)+24*UA_new1*(120-D$21))*365/4)*fuel_price_new1/1000000</f>
        <v>10.86686660146259</v>
      </c>
      <c r="E22" s="63">
        <f>(USAGE1*8.2938*1.007*(120-$G$13)/RE1*(1-UA1*(120-E$21)/power1)+24*UA1*(120-E$21))*365/4*fuel_price1/1000000-((usage_new1*8.2938*1.007*(120-$G$13)/RE_new1*(1-UA_new1*(120-E$21)/power_new1)+24*UA_new1*(120-E$21))*365/4)*fuel_price_new1/1000000</f>
        <v>10.86686660146259</v>
      </c>
      <c r="F22" s="63">
        <f>(USAGE1*8.2938*1.007*(120-$G$13)/RE1*(1-UA1*(120-F$21)/power1)+24*UA1*(120-F$21))*365/4*fuel_price1/1000000-((usage_new1*8.2938*1.007*(120-$G$13)/RE_new1*(1-UA_new1*(120-F$21)/power_new1)+24*UA_new1*(120-F$21))*365/4)*fuel_price_new1/1000000</f>
        <v>13.733973169934409</v>
      </c>
      <c r="G22" s="246">
        <f>SUM(C22:F22)</f>
        <v>49.201679542794</v>
      </c>
      <c r="H22" s="246"/>
      <c r="I22" s="246">
        <f>-PV(0.033,$I$10,G22)/1</f>
        <v>413.347107661284</v>
      </c>
      <c r="J22" s="246"/>
      <c r="K22" s="246"/>
      <c r="L22" s="258">
        <f>-PV(0.033,$I$10,G22)/$I$11</f>
        <v>0.551129476881712</v>
      </c>
      <c r="M22" s="259"/>
      <c r="T22" s="3"/>
    </row>
    <row r="23" spans="2:20" ht="15.75" customHeight="1" hidden="1">
      <c r="B23" s="59"/>
      <c r="C23" s="60">
        <f>C17+10</f>
        <v>56.5</v>
      </c>
      <c r="D23" s="60">
        <f>D17+5</f>
        <v>67.5</v>
      </c>
      <c r="E23" s="60">
        <f>E17+5</f>
        <v>83.6</v>
      </c>
      <c r="F23" s="60">
        <f>F17+10</f>
        <v>73.7</v>
      </c>
      <c r="G23" s="62"/>
      <c r="H23" s="56"/>
      <c r="I23" s="62"/>
      <c r="J23" s="35"/>
      <c r="K23" s="56"/>
      <c r="L23" s="92"/>
      <c r="M23" s="83"/>
      <c r="T23" s="3"/>
    </row>
    <row r="24" spans="2:20" ht="14.25" customHeight="1" thickBot="1">
      <c r="B24" s="68" t="s">
        <v>89</v>
      </c>
      <c r="C24" s="69">
        <f>(USAGE1*8.2938*1.007*(120-$G$13)/RE1*(1-UA1*(120-C$23)/power1)+24*UA1*(120-C$23))*365/4*fuel_price1/1000000-((usage_new1*8.2938*1.007*(120-$G$13)/RE_new1*(1-UA_new1*(120-C$23)/power_new1)+24*UA_new1*(120-C$23))*365/4)*fuel_price_new1/1000000</f>
        <v>14.665782804687773</v>
      </c>
      <c r="D24" s="69">
        <f>(USAGE1*8.2938*1.007*(120-$G$13)/RE1*(1-UA1*(120-D$23)/power1)+24*UA1*(120-D$23))*365/4*fuel_price1/1000000-((usage_new1*8.2938*1.007*(120-$G$13)/RE_new1*(1-UA_new1*(120-D$23)/power_new1)+24*UA_new1*(120-D$23))*365/4)*fuel_price_new1/1000000</f>
        <v>13.088874192028271</v>
      </c>
      <c r="E24" s="69">
        <f>(USAGE1*8.2938*1.007*(120-$G$13)/RE1*(1-UA1*(120-E$23)/power1)+24*UA1*(120-E$23))*365/4*fuel_price1/1000000-((usage_new1*8.2938*1.007*(120-$G$13)/RE_new1*(1-UA_new1*(120-E$23)/power_new1)+24*UA_new1*(120-E$23))*365/4)*fuel_price_new1/1000000</f>
        <v>10.78085340440844</v>
      </c>
      <c r="F24" s="69">
        <f>(USAGE1*8.2938*1.007*(120-$G$13)/RE1*(1-UA1*(120-F$23)/power1)+24*UA1*(120-F$23))*365/4*fuel_price1/1000000-((usage_new1*8.2938*1.007*(120-$G$13)/RE_new1*(1-UA_new1*(120-F$23)/power_new1)+24*UA_new1*(120-F$23))*365/4)*fuel_price_new1/1000000</f>
        <v>12.200071155801993</v>
      </c>
      <c r="G24" s="247">
        <f>SUM(C24:F24)</f>
        <v>50.735581556926476</v>
      </c>
      <c r="H24" s="247"/>
      <c r="I24" s="247">
        <f>-PV(0.033,$I$10,G24)/1</f>
        <v>426.23353688218117</v>
      </c>
      <c r="J24" s="247"/>
      <c r="K24" s="247"/>
      <c r="L24" s="253">
        <f>-PV(0.033,$I$10,G24)/$I$11</f>
        <v>0.5683113825095749</v>
      </c>
      <c r="M24" s="254"/>
      <c r="T24" s="3"/>
    </row>
    <row r="25" spans="7:10" ht="15">
      <c r="G25" s="38"/>
      <c r="H25" s="38"/>
      <c r="I25" s="38"/>
      <c r="J25" s="38"/>
    </row>
    <row r="26" spans="3:6" ht="12.75">
      <c r="C26" s="114"/>
      <c r="D26" s="114"/>
      <c r="E26" s="114"/>
      <c r="F26" s="114"/>
    </row>
    <row r="27" spans="3:6" ht="12.75">
      <c r="C27" s="114"/>
      <c r="D27" s="114"/>
      <c r="E27" s="114"/>
      <c r="F27" s="114"/>
    </row>
    <row r="28" spans="3:7" ht="12.75">
      <c r="C28" s="115"/>
      <c r="D28" s="115"/>
      <c r="E28" s="115"/>
      <c r="F28" s="115"/>
      <c r="G28" s="117"/>
    </row>
    <row r="29" spans="3:7" ht="12.75">
      <c r="C29" s="115"/>
      <c r="D29" s="115"/>
      <c r="E29" s="115"/>
      <c r="F29" s="115"/>
      <c r="G29" s="117"/>
    </row>
    <row r="30" spans="3:7" ht="12.75">
      <c r="C30" s="115"/>
      <c r="D30" s="115"/>
      <c r="E30" s="115"/>
      <c r="F30" s="115"/>
      <c r="G30" s="117"/>
    </row>
    <row r="31" spans="3:6" ht="12.75">
      <c r="C31" s="115"/>
      <c r="D31" s="115"/>
      <c r="E31" s="115"/>
      <c r="F31" s="115"/>
    </row>
    <row r="32" spans="3:7" ht="12.75">
      <c r="C32" s="116"/>
      <c r="D32" s="115"/>
      <c r="E32" s="115"/>
      <c r="F32" s="115"/>
      <c r="G32" s="117"/>
    </row>
    <row r="33" spans="3:7" ht="12.75">
      <c r="C33" s="116"/>
      <c r="D33" s="115"/>
      <c r="E33" s="115"/>
      <c r="F33" s="115"/>
      <c r="G33" s="117"/>
    </row>
    <row r="34" spans="3:7" ht="12.75">
      <c r="C34" s="116"/>
      <c r="D34" s="115"/>
      <c r="E34" s="115"/>
      <c r="F34" s="115"/>
      <c r="G34" s="117"/>
    </row>
    <row r="36" spans="3:6" ht="12.75">
      <c r="C36" s="115"/>
      <c r="D36" s="115"/>
      <c r="E36" s="115"/>
      <c r="F36" s="115"/>
    </row>
    <row r="37" spans="3:6" ht="12.75">
      <c r="C37" s="115"/>
      <c r="D37" s="115"/>
      <c r="E37" s="115"/>
      <c r="F37" s="115"/>
    </row>
    <row r="52" ht="12.75">
      <c r="R52">
        <v>1</v>
      </c>
    </row>
  </sheetData>
  <sheetProtection/>
  <mergeCells count="33">
    <mergeCell ref="G7:H7"/>
    <mergeCell ref="G6:H6"/>
    <mergeCell ref="I9:J9"/>
    <mergeCell ref="G9:H9"/>
    <mergeCell ref="I8:J8"/>
    <mergeCell ref="I7:J7"/>
    <mergeCell ref="G8:H8"/>
    <mergeCell ref="I11:J11"/>
    <mergeCell ref="I20:K20"/>
    <mergeCell ref="I5:J5"/>
    <mergeCell ref="I6:J6"/>
    <mergeCell ref="I10:J10"/>
    <mergeCell ref="G2:H2"/>
    <mergeCell ref="I2:J2"/>
    <mergeCell ref="G3:H3"/>
    <mergeCell ref="I3:J3"/>
    <mergeCell ref="G5:H5"/>
    <mergeCell ref="L24:M24"/>
    <mergeCell ref="L15:M15"/>
    <mergeCell ref="L16:M16"/>
    <mergeCell ref="L18:M18"/>
    <mergeCell ref="L20:M20"/>
    <mergeCell ref="L22:M22"/>
    <mergeCell ref="G22:H22"/>
    <mergeCell ref="G24:H24"/>
    <mergeCell ref="G13:J13"/>
    <mergeCell ref="G15:H15"/>
    <mergeCell ref="G16:H16"/>
    <mergeCell ref="G18:H18"/>
    <mergeCell ref="G20:H20"/>
    <mergeCell ref="I24:K24"/>
    <mergeCell ref="I22:K22"/>
    <mergeCell ref="I18:K18"/>
  </mergeCells>
  <printOptions/>
  <pageMargins left="0.75" right="0.75" top="0.75" bottom="0.75" header="0.5" footer="0.5"/>
  <pageSetup horizontalDpi="300" verticalDpi="300" orientation="landscape" r:id="rId3"/>
  <headerFooter alignWithMargins="0">
    <oddFooter>&amp;C&amp;14&amp;A</oddFooter>
  </headerFooter>
  <legacyDrawing r:id="rId2"/>
</worksheet>
</file>

<file path=xl/worksheets/sheet5.xml><?xml version="1.0" encoding="utf-8"?>
<worksheet xmlns="http://schemas.openxmlformats.org/spreadsheetml/2006/main" xmlns:r="http://schemas.openxmlformats.org/officeDocument/2006/relationships">
  <sheetPr codeName="Sheet6"/>
  <dimension ref="B1:V68"/>
  <sheetViews>
    <sheetView zoomScalePageLayoutView="0" workbookViewId="0" topLeftCell="A1">
      <pane xSplit="2" ySplit="1" topLeftCell="C2" activePane="bottomRight" state="frozen"/>
      <selection pane="topLeft" activeCell="A1" sqref="A1"/>
      <selection pane="topRight" activeCell="I1" sqref="I1"/>
      <selection pane="bottomLeft" activeCell="A2" sqref="A2"/>
      <selection pane="bottomRight" activeCell="F77" sqref="F77"/>
    </sheetView>
  </sheetViews>
  <sheetFormatPr defaultColWidth="9.140625" defaultRowHeight="12.75"/>
  <cols>
    <col min="1" max="1" width="9.00390625" style="0" customWidth="1"/>
    <col min="2" max="2" width="19.00390625" style="7" customWidth="1"/>
    <col min="3" max="3" width="7.28125" style="0" customWidth="1"/>
    <col min="4" max="4" width="6.7109375" style="0" customWidth="1"/>
    <col min="5" max="5" width="9.421875" style="0" customWidth="1"/>
    <col min="6" max="6" width="7.140625" style="0" customWidth="1"/>
    <col min="7" max="8" width="11.57421875" style="155" customWidth="1"/>
    <col min="9" max="9" width="11.57421875" style="0" customWidth="1"/>
    <col min="10" max="10" width="4.28125" style="1" customWidth="1"/>
    <col min="11" max="11" width="4.57421875" style="1" customWidth="1"/>
    <col min="12" max="12" width="4.8515625" style="1" customWidth="1"/>
    <col min="13" max="13" width="4.421875" style="1" customWidth="1"/>
    <col min="14" max="14" width="0" style="0" hidden="1" customWidth="1"/>
    <col min="19" max="19" width="14.28125" style="0" customWidth="1"/>
    <col min="20" max="20" width="17.140625" style="0" customWidth="1"/>
    <col min="21" max="22" width="14.28125" style="0" customWidth="1"/>
  </cols>
  <sheetData>
    <row r="1" spans="2:22" ht="12.75">
      <c r="B1" s="7" t="s">
        <v>4</v>
      </c>
      <c r="C1" t="s">
        <v>5</v>
      </c>
      <c r="E1" t="s">
        <v>6</v>
      </c>
      <c r="G1" s="155" t="s">
        <v>7</v>
      </c>
      <c r="H1" s="155" t="s">
        <v>173</v>
      </c>
      <c r="I1" t="s">
        <v>116</v>
      </c>
      <c r="J1" s="26" t="s">
        <v>60</v>
      </c>
      <c r="K1" s="26" t="s">
        <v>61</v>
      </c>
      <c r="L1" s="26" t="s">
        <v>62</v>
      </c>
      <c r="M1" s="26" t="s">
        <v>63</v>
      </c>
      <c r="R1" t="s">
        <v>125</v>
      </c>
      <c r="S1" s="26" t="s">
        <v>127</v>
      </c>
      <c r="T1" s="26" t="s">
        <v>130</v>
      </c>
      <c r="U1" s="26" t="s">
        <v>128</v>
      </c>
      <c r="V1" s="26" t="s">
        <v>133</v>
      </c>
    </row>
    <row r="2" spans="2:22" ht="12.75">
      <c r="B2" s="7" t="s">
        <v>8</v>
      </c>
      <c r="C2" s="153">
        <v>7.62</v>
      </c>
      <c r="D2" s="2">
        <f>C2*1000000/100/3412</f>
        <v>22.332942555685815</v>
      </c>
      <c r="E2" s="155">
        <v>13.34</v>
      </c>
      <c r="F2" s="2">
        <f>E2/1090*1000</f>
        <v>12.238532110091743</v>
      </c>
      <c r="G2" s="156">
        <v>17.90049751243781</v>
      </c>
      <c r="H2" s="156">
        <v>9.075012933264356</v>
      </c>
      <c r="I2" s="1">
        <f>(72+66)/2</f>
        <v>69</v>
      </c>
      <c r="J2" s="1">
        <v>46.5</v>
      </c>
      <c r="K2" s="1">
        <v>62.5</v>
      </c>
      <c r="L2" s="1">
        <v>78.6</v>
      </c>
      <c r="M2" s="1">
        <v>63.7</v>
      </c>
      <c r="O2" s="1">
        <f>AVERAGE(J2:M2)</f>
        <v>62.825</v>
      </c>
      <c r="P2" s="1">
        <f>STDEV(J2:M2)</f>
        <v>13.117767848736042</v>
      </c>
      <c r="Q2" s="1"/>
      <c r="R2" t="s">
        <v>117</v>
      </c>
      <c r="S2" t="s">
        <v>117</v>
      </c>
      <c r="T2" t="s">
        <v>122</v>
      </c>
      <c r="U2" t="s">
        <v>117</v>
      </c>
      <c r="V2" t="s">
        <v>134</v>
      </c>
    </row>
    <row r="3" spans="2:22" ht="12.75">
      <c r="B3" s="7" t="s">
        <v>9</v>
      </c>
      <c r="C3" s="153">
        <v>12.44</v>
      </c>
      <c r="D3" s="2">
        <f aca="true" t="shared" si="0" ref="D3:D53">C3*1000000/100/3412</f>
        <v>36.45955451348183</v>
      </c>
      <c r="E3" s="155">
        <v>4.88</v>
      </c>
      <c r="F3" s="14">
        <f>E3/1090*1000</f>
        <v>4.477064220183486</v>
      </c>
      <c r="G3" s="156">
        <v>19.07296849087894</v>
      </c>
      <c r="H3" s="156">
        <v>11.037765131919295</v>
      </c>
      <c r="I3" s="1">
        <v>39</v>
      </c>
      <c r="J3" s="118">
        <v>2.6</v>
      </c>
      <c r="K3" s="118">
        <v>24.7</v>
      </c>
      <c r="L3" s="119">
        <v>52.3</v>
      </c>
      <c r="M3" s="118">
        <v>26.3</v>
      </c>
      <c r="O3" s="1">
        <f aca="true" t="shared" si="1" ref="O3:O53">AVERAGE(J3:M3)</f>
        <v>26.474999999999998</v>
      </c>
      <c r="P3" s="1">
        <f aca="true" t="shared" si="2" ref="P3:P53">STDEV(J3:M3)</f>
        <v>20.331646104861587</v>
      </c>
      <c r="Q3" s="1"/>
      <c r="R3" t="s">
        <v>118</v>
      </c>
      <c r="S3" t="s">
        <v>118</v>
      </c>
      <c r="T3" t="s">
        <v>131</v>
      </c>
      <c r="U3" t="s">
        <v>129</v>
      </c>
      <c r="V3" t="s">
        <v>135</v>
      </c>
    </row>
    <row r="4" spans="2:22" ht="12.75">
      <c r="B4" s="7" t="s">
        <v>10</v>
      </c>
      <c r="C4" s="153">
        <v>8.46</v>
      </c>
      <c r="D4" s="2">
        <f t="shared" si="0"/>
        <v>24.794841735052756</v>
      </c>
      <c r="E4" s="155">
        <v>12.16</v>
      </c>
      <c r="F4" s="14">
        <f aca="true" t="shared" si="3" ref="F4:F52">E4/1090*1000</f>
        <v>11.155963302752294</v>
      </c>
      <c r="G4" s="156">
        <v>19.07296849087894</v>
      </c>
      <c r="H4" s="156">
        <v>12.008277289187792</v>
      </c>
      <c r="I4" s="1">
        <v>82</v>
      </c>
      <c r="J4" s="1">
        <v>43.6</v>
      </c>
      <c r="K4" s="1">
        <v>58.2</v>
      </c>
      <c r="L4" s="1">
        <v>78.1</v>
      </c>
      <c r="M4" s="1">
        <v>61.3</v>
      </c>
      <c r="O4" s="1">
        <f t="shared" si="1"/>
        <v>60.3</v>
      </c>
      <c r="P4" s="1">
        <f t="shared" si="2"/>
        <v>14.155564276990177</v>
      </c>
      <c r="Q4" s="1"/>
      <c r="R4" t="s">
        <v>119</v>
      </c>
      <c r="S4" t="s">
        <v>119</v>
      </c>
      <c r="T4" t="s">
        <v>124</v>
      </c>
      <c r="V4" t="s">
        <v>131</v>
      </c>
    </row>
    <row r="5" spans="2:20" ht="12.75">
      <c r="B5" s="7" t="s">
        <v>11</v>
      </c>
      <c r="C5" s="153">
        <v>7.36</v>
      </c>
      <c r="D5" s="2">
        <f t="shared" si="0"/>
        <v>21.570926143024618</v>
      </c>
      <c r="E5" s="155">
        <v>11.73</v>
      </c>
      <c r="F5" s="14">
        <f t="shared" si="3"/>
        <v>10.761467889908257</v>
      </c>
      <c r="G5" s="156">
        <v>17.90049751243781</v>
      </c>
      <c r="H5" s="156">
        <v>9.075012933264356</v>
      </c>
      <c r="I5" s="1">
        <v>64</v>
      </c>
      <c r="J5" s="1">
        <v>41.5</v>
      </c>
      <c r="K5" s="1">
        <v>60.3</v>
      </c>
      <c r="L5" s="1">
        <v>78.8</v>
      </c>
      <c r="M5" s="1">
        <v>61.4</v>
      </c>
      <c r="O5" s="1">
        <f t="shared" si="1"/>
        <v>60.5</v>
      </c>
      <c r="P5" s="1">
        <f t="shared" si="2"/>
        <v>15.239641290616587</v>
      </c>
      <c r="Q5" s="1"/>
      <c r="S5" t="s">
        <v>126</v>
      </c>
      <c r="T5" t="s">
        <v>132</v>
      </c>
    </row>
    <row r="6" spans="2:20" ht="12.75">
      <c r="B6" s="7" t="s">
        <v>12</v>
      </c>
      <c r="C6" s="153">
        <v>12.08</v>
      </c>
      <c r="D6" s="2">
        <f t="shared" si="0"/>
        <v>35.40445486518171</v>
      </c>
      <c r="E6" s="155">
        <v>9.86</v>
      </c>
      <c r="F6" s="14">
        <f t="shared" si="3"/>
        <v>9.045871559633026</v>
      </c>
      <c r="G6" s="156">
        <v>19.07296849087894</v>
      </c>
      <c r="H6" s="156">
        <v>12.008277289187792</v>
      </c>
      <c r="I6" s="1">
        <f>(68+73+76)/3</f>
        <v>72.33333333333333</v>
      </c>
      <c r="J6" s="1">
        <v>46.2</v>
      </c>
      <c r="K6" s="1">
        <v>57.1</v>
      </c>
      <c r="L6" s="1">
        <v>73.4</v>
      </c>
      <c r="M6" s="1">
        <v>60.9</v>
      </c>
      <c r="O6" s="1">
        <f t="shared" si="1"/>
        <v>59.400000000000006</v>
      </c>
      <c r="P6" s="1">
        <f t="shared" si="2"/>
        <v>11.221705158605161</v>
      </c>
      <c r="Q6" s="1"/>
      <c r="S6" t="s">
        <v>129</v>
      </c>
      <c r="T6" t="s">
        <v>123</v>
      </c>
    </row>
    <row r="7" spans="2:17" ht="12.75">
      <c r="B7" s="7" t="s">
        <v>13</v>
      </c>
      <c r="C7" s="153">
        <v>8.42</v>
      </c>
      <c r="D7" s="2">
        <f t="shared" si="0"/>
        <v>24.677608440797187</v>
      </c>
      <c r="E7" s="155">
        <v>8.47</v>
      </c>
      <c r="F7" s="14">
        <f t="shared" si="3"/>
        <v>7.770642201834862</v>
      </c>
      <c r="G7" s="156">
        <v>15.334991708126037</v>
      </c>
      <c r="H7" s="156">
        <v>10.11795137092602</v>
      </c>
      <c r="I7" s="1">
        <v>61</v>
      </c>
      <c r="J7" s="118">
        <v>25.8</v>
      </c>
      <c r="K7" s="1">
        <v>43.7</v>
      </c>
      <c r="L7" s="1">
        <v>65.2</v>
      </c>
      <c r="M7" s="1">
        <v>45.9</v>
      </c>
      <c r="O7" s="1">
        <f t="shared" si="1"/>
        <v>45.15</v>
      </c>
      <c r="P7" s="1">
        <f t="shared" si="2"/>
        <v>16.115106784215456</v>
      </c>
      <c r="Q7" s="1"/>
    </row>
    <row r="8" spans="2:17" ht="12.75">
      <c r="B8" s="7" t="s">
        <v>14</v>
      </c>
      <c r="C8" s="153">
        <v>11.63</v>
      </c>
      <c r="D8" s="2">
        <f t="shared" si="0"/>
        <v>34.08558030480656</v>
      </c>
      <c r="E8" s="155">
        <v>14.06</v>
      </c>
      <c r="F8" s="14">
        <f t="shared" si="3"/>
        <v>12.89908256880734</v>
      </c>
      <c r="G8" s="156">
        <v>21.552860696517413</v>
      </c>
      <c r="H8" s="156">
        <v>10.994309363683392</v>
      </c>
      <c r="I8" s="1">
        <v>57</v>
      </c>
      <c r="J8" s="118">
        <v>28.5</v>
      </c>
      <c r="K8" s="1">
        <v>47.3</v>
      </c>
      <c r="L8" s="1">
        <v>68.2</v>
      </c>
      <c r="M8" s="1">
        <v>51.2</v>
      </c>
      <c r="O8" s="1">
        <f t="shared" si="1"/>
        <v>48.8</v>
      </c>
      <c r="P8" s="1">
        <f t="shared" si="2"/>
        <v>16.293761587388826</v>
      </c>
      <c r="Q8" s="1"/>
    </row>
    <row r="9" spans="2:17" ht="12.75">
      <c r="B9" s="7" t="s">
        <v>15</v>
      </c>
      <c r="C9" s="153">
        <v>8.78</v>
      </c>
      <c r="D9" s="2">
        <f t="shared" si="0"/>
        <v>25.732708089097304</v>
      </c>
      <c r="E9" s="155">
        <v>12.08</v>
      </c>
      <c r="F9" s="14">
        <f t="shared" si="3"/>
        <v>11.08256880733945</v>
      </c>
      <c r="G9" s="156">
        <v>22.087820895522388</v>
      </c>
      <c r="H9" s="156">
        <v>11.370926021727882</v>
      </c>
      <c r="I9" s="1">
        <v>61</v>
      </c>
      <c r="J9" s="1">
        <v>36.1</v>
      </c>
      <c r="K9" s="1">
        <v>53.3</v>
      </c>
      <c r="L9" s="1">
        <v>74.2</v>
      </c>
      <c r="M9" s="1">
        <v>57.4</v>
      </c>
      <c r="O9" s="1">
        <f t="shared" si="1"/>
        <v>55.25000000000001</v>
      </c>
      <c r="P9" s="1">
        <f t="shared" si="2"/>
        <v>15.644487847161997</v>
      </c>
      <c r="Q9" s="1"/>
    </row>
    <row r="10" spans="2:17" ht="12.75">
      <c r="B10" s="7" t="s">
        <v>16</v>
      </c>
      <c r="C10" s="153">
        <v>7.97</v>
      </c>
      <c r="D10" s="2">
        <f t="shared" si="0"/>
        <v>23.35873388042204</v>
      </c>
      <c r="E10" s="155">
        <v>14.31</v>
      </c>
      <c r="F10" s="14">
        <f t="shared" si="3"/>
        <v>13.128440366972479</v>
      </c>
      <c r="G10" s="156">
        <v>21.589137645107794</v>
      </c>
      <c r="H10" s="156">
        <v>11.544749094671495</v>
      </c>
      <c r="I10" s="1">
        <v>64</v>
      </c>
      <c r="J10" s="1">
        <v>34.7</v>
      </c>
      <c r="K10" s="1">
        <v>52.8</v>
      </c>
      <c r="L10" s="1">
        <v>73.2</v>
      </c>
      <c r="M10" s="1">
        <v>56.1</v>
      </c>
      <c r="O10" s="1">
        <f t="shared" si="1"/>
        <v>54.199999999999996</v>
      </c>
      <c r="P10" s="1">
        <f t="shared" si="2"/>
        <v>15.777832550765682</v>
      </c>
      <c r="Q10" s="1"/>
    </row>
    <row r="11" spans="2:17" ht="12.75">
      <c r="B11" s="7" t="s">
        <v>17</v>
      </c>
      <c r="C11" s="153">
        <v>8.99</v>
      </c>
      <c r="D11" s="2">
        <f t="shared" si="0"/>
        <v>26.34818288393904</v>
      </c>
      <c r="E11" s="155">
        <v>17.75</v>
      </c>
      <c r="F11" s="14">
        <f t="shared" si="3"/>
        <v>16.28440366972477</v>
      </c>
      <c r="G11" s="156">
        <v>19.81592039800995</v>
      </c>
      <c r="H11" s="156">
        <v>10.595964821520951</v>
      </c>
      <c r="I11" s="1">
        <v>75</v>
      </c>
      <c r="J11" s="1">
        <v>59.4</v>
      </c>
      <c r="K11" s="1">
        <v>69.9</v>
      </c>
      <c r="L11" s="1">
        <v>81</v>
      </c>
      <c r="M11" s="1">
        <v>72.7</v>
      </c>
      <c r="O11" s="1">
        <f t="shared" si="1"/>
        <v>70.75</v>
      </c>
      <c r="P11" s="1">
        <f t="shared" si="2"/>
        <v>8.914594774862174</v>
      </c>
      <c r="Q11" s="1"/>
    </row>
    <row r="12" spans="2:17" ht="12.75">
      <c r="B12" s="7" t="s">
        <v>18</v>
      </c>
      <c r="C12" s="153">
        <v>7.86</v>
      </c>
      <c r="D12" s="2">
        <f t="shared" si="0"/>
        <v>23.036342321219227</v>
      </c>
      <c r="E12" s="155">
        <v>13.87</v>
      </c>
      <c r="F12" s="14">
        <f t="shared" si="3"/>
        <v>12.724770642201834</v>
      </c>
      <c r="G12" s="156">
        <v>19.81592039800995</v>
      </c>
      <c r="H12" s="156">
        <v>10.595964821520951</v>
      </c>
      <c r="I12" s="1">
        <f>(62+68)/2</f>
        <v>65</v>
      </c>
      <c r="J12" s="1">
        <v>47.8</v>
      </c>
      <c r="K12" s="1">
        <v>63.1</v>
      </c>
      <c r="L12" s="1">
        <v>78.7</v>
      </c>
      <c r="M12" s="1">
        <v>64.6</v>
      </c>
      <c r="O12" s="1">
        <f t="shared" si="1"/>
        <v>63.550000000000004</v>
      </c>
      <c r="P12" s="1">
        <f t="shared" si="2"/>
        <v>12.634476641317566</v>
      </c>
      <c r="Q12" s="1"/>
    </row>
    <row r="13" spans="2:17" ht="12.75">
      <c r="B13" s="7" t="s">
        <v>19</v>
      </c>
      <c r="C13" s="153">
        <v>18.06</v>
      </c>
      <c r="D13" s="2">
        <f t="shared" si="0"/>
        <v>52.93083235638922</v>
      </c>
      <c r="E13" s="155">
        <v>27.15</v>
      </c>
      <c r="F13" s="14">
        <f t="shared" si="3"/>
        <v>24.908256880733944</v>
      </c>
      <c r="G13" s="156">
        <v>19.07296849087894</v>
      </c>
      <c r="H13" s="156">
        <v>12.008277289187792</v>
      </c>
      <c r="I13" s="1">
        <v>77</v>
      </c>
      <c r="J13" s="1">
        <v>67.4</v>
      </c>
      <c r="K13" s="1">
        <v>68.6</v>
      </c>
      <c r="L13" s="1">
        <v>72.2</v>
      </c>
      <c r="M13" s="1">
        <v>71.8</v>
      </c>
      <c r="O13" s="1">
        <f t="shared" si="1"/>
        <v>70</v>
      </c>
      <c r="P13" s="1">
        <f t="shared" si="2"/>
        <v>2.366431913239846</v>
      </c>
      <c r="Q13" s="1"/>
    </row>
    <row r="14" spans="2:17" ht="12.75">
      <c r="B14" s="7" t="s">
        <v>20</v>
      </c>
      <c r="C14" s="153">
        <v>6.1</v>
      </c>
      <c r="D14" s="2">
        <f t="shared" si="0"/>
        <v>17.878077373974207</v>
      </c>
      <c r="E14" s="155">
        <v>9.04</v>
      </c>
      <c r="F14" s="14">
        <f t="shared" si="3"/>
        <v>8.293577981651374</v>
      </c>
      <c r="G14" s="156">
        <v>15.334991708126037</v>
      </c>
      <c r="H14" s="156">
        <v>10.8277289187791</v>
      </c>
      <c r="I14" s="1">
        <v>45</v>
      </c>
      <c r="J14" s="118">
        <v>25.4</v>
      </c>
      <c r="K14" s="1">
        <v>43.6</v>
      </c>
      <c r="L14" s="1">
        <v>63.7</v>
      </c>
      <c r="M14" s="1">
        <v>44.8</v>
      </c>
      <c r="O14" s="1">
        <f t="shared" si="1"/>
        <v>44.375</v>
      </c>
      <c r="P14" s="1">
        <f t="shared" si="2"/>
        <v>15.644887343793823</v>
      </c>
      <c r="Q14" s="1"/>
    </row>
    <row r="15" spans="2:17" ht="12.75">
      <c r="B15" s="7" t="s">
        <v>21</v>
      </c>
      <c r="C15" s="153">
        <v>8.37</v>
      </c>
      <c r="D15" s="2">
        <f t="shared" si="0"/>
        <v>24.53106682297772</v>
      </c>
      <c r="E15" s="155">
        <v>9.41</v>
      </c>
      <c r="F15" s="14">
        <f t="shared" si="3"/>
        <v>8.63302752293578</v>
      </c>
      <c r="G15" s="156">
        <v>16.618708126036484</v>
      </c>
      <c r="H15" s="156">
        <v>10.175892395240558</v>
      </c>
      <c r="I15" s="1">
        <v>54</v>
      </c>
      <c r="J15" s="118">
        <v>28.3</v>
      </c>
      <c r="K15" s="1">
        <v>51.6</v>
      </c>
      <c r="L15" s="1">
        <v>73.4</v>
      </c>
      <c r="M15" s="1">
        <v>53.8</v>
      </c>
      <c r="O15" s="1">
        <f t="shared" si="1"/>
        <v>51.775000000000006</v>
      </c>
      <c r="P15" s="1">
        <f t="shared" si="2"/>
        <v>18.46480887165275</v>
      </c>
      <c r="Q15" s="1"/>
    </row>
    <row r="16" spans="2:17" ht="12.75">
      <c r="B16" s="7" t="s">
        <v>22</v>
      </c>
      <c r="C16" s="153">
        <v>7.3</v>
      </c>
      <c r="D16" s="2">
        <f t="shared" si="0"/>
        <v>21.395076201641267</v>
      </c>
      <c r="E16" s="155">
        <v>9.98</v>
      </c>
      <c r="F16" s="14">
        <f t="shared" si="3"/>
        <v>9.155963302752294</v>
      </c>
      <c r="G16" s="156">
        <v>16.988733001658375</v>
      </c>
      <c r="H16" s="156">
        <v>11.131919296430418</v>
      </c>
      <c r="I16" s="1">
        <v>49</v>
      </c>
      <c r="J16" s="118">
        <v>28.4</v>
      </c>
      <c r="K16" s="1">
        <v>51.1</v>
      </c>
      <c r="L16" s="1">
        <v>72.4</v>
      </c>
      <c r="M16" s="1">
        <v>53.8</v>
      </c>
      <c r="O16" s="1">
        <f t="shared" si="1"/>
        <v>51.425</v>
      </c>
      <c r="P16" s="1">
        <f t="shared" si="2"/>
        <v>18.03558981569498</v>
      </c>
      <c r="Q16" s="1"/>
    </row>
    <row r="17" spans="2:17" ht="12.75">
      <c r="B17" s="7" t="s">
        <v>23</v>
      </c>
      <c r="C17" s="153">
        <v>8.96</v>
      </c>
      <c r="D17" s="2">
        <f t="shared" si="0"/>
        <v>26.26025791324736</v>
      </c>
      <c r="E17" s="155">
        <v>10.14</v>
      </c>
      <c r="F17" s="14">
        <f t="shared" si="3"/>
        <v>9.302752293577983</v>
      </c>
      <c r="G17" s="156">
        <v>13.87085406301824</v>
      </c>
      <c r="H17" s="156">
        <v>10.719693050525954</v>
      </c>
      <c r="I17" s="1">
        <v>60</v>
      </c>
      <c r="J17" s="118">
        <v>21.7</v>
      </c>
      <c r="K17" s="1">
        <v>48.2</v>
      </c>
      <c r="L17" s="1">
        <v>71.6</v>
      </c>
      <c r="M17" s="1">
        <v>49.8</v>
      </c>
      <c r="O17" s="1">
        <f t="shared" si="1"/>
        <v>47.825</v>
      </c>
      <c r="P17" s="1">
        <f t="shared" si="2"/>
        <v>20.427167367666677</v>
      </c>
      <c r="Q17" s="1"/>
    </row>
    <row r="18" spans="2:17" ht="12.75">
      <c r="B18" s="7" t="s">
        <v>24</v>
      </c>
      <c r="C18" s="153">
        <v>7.74</v>
      </c>
      <c r="D18" s="2">
        <f t="shared" si="0"/>
        <v>22.68464243845252</v>
      </c>
      <c r="E18" s="155">
        <v>10.72</v>
      </c>
      <c r="F18" s="14">
        <f t="shared" si="3"/>
        <v>9.8348623853211</v>
      </c>
      <c r="G18" s="156">
        <v>16.618708126036484</v>
      </c>
      <c r="H18" s="156">
        <v>10.552509053285048</v>
      </c>
      <c r="I18" s="1">
        <v>59</v>
      </c>
      <c r="J18" s="118">
        <v>31.9</v>
      </c>
      <c r="K18" s="1">
        <v>53.6</v>
      </c>
      <c r="L18" s="1">
        <v>76.4</v>
      </c>
      <c r="M18" s="1">
        <v>55.4</v>
      </c>
      <c r="O18" s="1">
        <f t="shared" si="1"/>
        <v>54.325</v>
      </c>
      <c r="P18" s="1">
        <f t="shared" si="2"/>
        <v>18.183027800671688</v>
      </c>
      <c r="Q18" s="1"/>
    </row>
    <row r="19" spans="2:17" ht="12.75">
      <c r="B19" s="7" t="s">
        <v>25</v>
      </c>
      <c r="C19" s="153">
        <v>6.11</v>
      </c>
      <c r="D19" s="2">
        <f t="shared" si="0"/>
        <v>17.9073856975381</v>
      </c>
      <c r="E19" s="155">
        <v>10.97</v>
      </c>
      <c r="F19" s="14">
        <f t="shared" si="3"/>
        <v>10.064220183486238</v>
      </c>
      <c r="G19" s="156">
        <v>18.692786069651742</v>
      </c>
      <c r="H19" s="156">
        <v>11.343162614243834</v>
      </c>
      <c r="I19" s="1">
        <v>56</v>
      </c>
      <c r="J19" s="118">
        <v>35.9</v>
      </c>
      <c r="K19" s="1">
        <v>55.1</v>
      </c>
      <c r="L19" s="1">
        <v>74.5</v>
      </c>
      <c r="M19" s="1">
        <v>57</v>
      </c>
      <c r="O19" s="1">
        <f t="shared" si="1"/>
        <v>55.625</v>
      </c>
      <c r="P19" s="1">
        <f t="shared" si="2"/>
        <v>15.785093178903525</v>
      </c>
      <c r="Q19" s="1"/>
    </row>
    <row r="20" spans="2:17" ht="12.75">
      <c r="B20" s="7" t="s">
        <v>26</v>
      </c>
      <c r="C20" s="153">
        <v>8.05</v>
      </c>
      <c r="D20" s="2">
        <f t="shared" si="0"/>
        <v>23.59320046893318</v>
      </c>
      <c r="E20" s="155">
        <v>11.21</v>
      </c>
      <c r="F20" s="14">
        <f t="shared" si="3"/>
        <v>10.284403669724771</v>
      </c>
      <c r="G20" s="156">
        <v>17.90049751243781</v>
      </c>
      <c r="H20" s="156">
        <v>9.075012933264356</v>
      </c>
      <c r="I20" s="1">
        <v>65</v>
      </c>
      <c r="J20" s="1">
        <v>50.9</v>
      </c>
      <c r="K20" s="1">
        <v>66.3</v>
      </c>
      <c r="L20" s="1">
        <v>81.1</v>
      </c>
      <c r="M20" s="1">
        <v>67.4</v>
      </c>
      <c r="O20" s="1">
        <f t="shared" si="1"/>
        <v>66.425</v>
      </c>
      <c r="P20" s="1">
        <f t="shared" si="2"/>
        <v>12.347030682178927</v>
      </c>
      <c r="Q20" s="1"/>
    </row>
    <row r="21" spans="2:17" ht="12.75">
      <c r="B21" s="7" t="s">
        <v>27</v>
      </c>
      <c r="C21" s="153">
        <v>8.41</v>
      </c>
      <c r="D21" s="2">
        <f t="shared" si="0"/>
        <v>24.648300117233294</v>
      </c>
      <c r="E21" s="155">
        <v>14</v>
      </c>
      <c r="F21" s="14">
        <f t="shared" si="3"/>
        <v>12.844036697247708</v>
      </c>
      <c r="G21" s="156">
        <v>22.30210447761194</v>
      </c>
      <c r="H21" s="156">
        <v>10.943610967408173</v>
      </c>
      <c r="I21" s="1">
        <v>64</v>
      </c>
      <c r="J21" s="118">
        <v>16.8</v>
      </c>
      <c r="K21" s="1">
        <v>39.1</v>
      </c>
      <c r="L21" s="1">
        <v>63.7</v>
      </c>
      <c r="M21" s="1">
        <v>44.2</v>
      </c>
      <c r="O21" s="1">
        <f t="shared" si="1"/>
        <v>40.95</v>
      </c>
      <c r="P21" s="1">
        <f t="shared" si="2"/>
        <v>19.27666983687795</v>
      </c>
      <c r="Q21" s="1"/>
    </row>
    <row r="22" spans="2:17" ht="12.75">
      <c r="B22" s="7" t="s">
        <v>28</v>
      </c>
      <c r="C22" s="153">
        <v>7.78</v>
      </c>
      <c r="D22" s="2">
        <f t="shared" si="0"/>
        <v>22.80187573270809</v>
      </c>
      <c r="E22" s="155">
        <v>12.37</v>
      </c>
      <c r="F22" s="14">
        <f t="shared" si="3"/>
        <v>11.34862385321101</v>
      </c>
      <c r="G22" s="156">
        <v>22.59377114427861</v>
      </c>
      <c r="H22" s="156">
        <v>11.819968960165545</v>
      </c>
      <c r="I22" s="1">
        <v>57</v>
      </c>
      <c r="J22" s="1">
        <v>34.7</v>
      </c>
      <c r="K22" s="1">
        <v>52.8</v>
      </c>
      <c r="L22" s="1">
        <v>73.2</v>
      </c>
      <c r="M22" s="1">
        <v>56.1</v>
      </c>
      <c r="O22" s="1">
        <f t="shared" si="1"/>
        <v>54.199999999999996</v>
      </c>
      <c r="P22" s="1">
        <f t="shared" si="2"/>
        <v>15.777832550765682</v>
      </c>
      <c r="Q22" s="1"/>
    </row>
    <row r="23" spans="2:17" ht="12.75">
      <c r="B23" s="7" t="s">
        <v>29</v>
      </c>
      <c r="C23" s="153">
        <v>11.72</v>
      </c>
      <c r="D23" s="2">
        <f t="shared" si="0"/>
        <v>34.34935521688159</v>
      </c>
      <c r="E23" s="155">
        <v>14.41</v>
      </c>
      <c r="F23" s="14">
        <f t="shared" si="3"/>
        <v>13.220183486238533</v>
      </c>
      <c r="G23" s="156">
        <v>21.114635157545607</v>
      </c>
      <c r="H23" s="156">
        <v>11.291257113295396</v>
      </c>
      <c r="I23" s="1">
        <v>59</v>
      </c>
      <c r="J23" s="118">
        <v>27.4</v>
      </c>
      <c r="K23" s="1">
        <v>45.7</v>
      </c>
      <c r="L23" s="1">
        <v>68</v>
      </c>
      <c r="M23" s="1">
        <v>50.3</v>
      </c>
      <c r="O23" s="1">
        <f t="shared" si="1"/>
        <v>47.849999999999994</v>
      </c>
      <c r="P23" s="1">
        <f t="shared" si="2"/>
        <v>16.681826438772646</v>
      </c>
      <c r="Q23" s="1"/>
    </row>
    <row r="24" spans="2:17" ht="12.75">
      <c r="B24" s="7" t="s">
        <v>30</v>
      </c>
      <c r="C24" s="153">
        <v>8.33</v>
      </c>
      <c r="D24" s="2">
        <f t="shared" si="0"/>
        <v>24.413833528722158</v>
      </c>
      <c r="E24" s="155">
        <v>8.52</v>
      </c>
      <c r="F24" s="14">
        <f t="shared" si="3"/>
        <v>7.816513761467889</v>
      </c>
      <c r="G24" s="156">
        <v>17.862769485903815</v>
      </c>
      <c r="H24" s="156">
        <v>11.146404552509054</v>
      </c>
      <c r="I24" s="1">
        <v>50</v>
      </c>
      <c r="J24" s="118">
        <v>21.7</v>
      </c>
      <c r="K24" s="1">
        <v>42.6</v>
      </c>
      <c r="L24" s="1">
        <v>66.2</v>
      </c>
      <c r="M24" s="1">
        <v>47.3</v>
      </c>
      <c r="O24" s="1">
        <f t="shared" si="1"/>
        <v>44.45</v>
      </c>
      <c r="P24" s="1">
        <f t="shared" si="2"/>
        <v>18.27721714776804</v>
      </c>
      <c r="Q24" s="1"/>
    </row>
    <row r="25" spans="2:17" ht="12.75">
      <c r="B25" s="7" t="s">
        <v>31</v>
      </c>
      <c r="C25" s="153">
        <v>7.92</v>
      </c>
      <c r="D25" s="2">
        <f t="shared" si="0"/>
        <v>23.212192262602578</v>
      </c>
      <c r="E25" s="155">
        <v>9.5</v>
      </c>
      <c r="F25" s="14">
        <f t="shared" si="3"/>
        <v>8.715596330275229</v>
      </c>
      <c r="G25" s="156">
        <v>15.968149253731344</v>
      </c>
      <c r="H25" s="156">
        <v>10.378685980341437</v>
      </c>
      <c r="I25" s="1">
        <v>46</v>
      </c>
      <c r="J25" s="118">
        <v>12.4</v>
      </c>
      <c r="K25" s="1">
        <v>41.9</v>
      </c>
      <c r="L25" s="1">
        <v>66.8</v>
      </c>
      <c r="M25" s="1">
        <v>43.5</v>
      </c>
      <c r="O25" s="1">
        <f t="shared" si="1"/>
        <v>41.15</v>
      </c>
      <c r="P25" s="1">
        <f t="shared" si="2"/>
        <v>22.29028188845235</v>
      </c>
      <c r="Q25" s="1"/>
    </row>
    <row r="26" spans="2:17" ht="12.75">
      <c r="B26" s="7" t="s">
        <v>32</v>
      </c>
      <c r="C26" s="153">
        <v>8.21</v>
      </c>
      <c r="D26" s="2">
        <f t="shared" si="0"/>
        <v>24.062133645955456</v>
      </c>
      <c r="E26" s="155">
        <v>10.56</v>
      </c>
      <c r="F26" s="14">
        <f t="shared" si="3"/>
        <v>9.688073394495413</v>
      </c>
      <c r="G26" s="156">
        <v>17.90049751243781</v>
      </c>
      <c r="H26" s="156">
        <v>9.075012933264356</v>
      </c>
      <c r="I26" s="1">
        <f>(68+65)/2</f>
        <v>66.5</v>
      </c>
      <c r="J26" s="1">
        <v>46.7</v>
      </c>
      <c r="K26" s="1">
        <v>63.2</v>
      </c>
      <c r="L26" s="1">
        <v>79.5</v>
      </c>
      <c r="M26" s="1">
        <v>64.2</v>
      </c>
      <c r="O26" s="1">
        <f t="shared" si="1"/>
        <v>63.400000000000006</v>
      </c>
      <c r="P26" s="1">
        <f t="shared" si="2"/>
        <v>13.401243723376288</v>
      </c>
      <c r="Q26" s="1"/>
    </row>
    <row r="27" spans="2:17" ht="12.75">
      <c r="B27" s="7" t="s">
        <v>33</v>
      </c>
      <c r="C27" s="153">
        <v>6.97</v>
      </c>
      <c r="D27" s="2">
        <f t="shared" si="0"/>
        <v>20.427901524032826</v>
      </c>
      <c r="E27" s="155">
        <v>11.02</v>
      </c>
      <c r="F27" s="14">
        <f t="shared" si="3"/>
        <v>10.110091743119266</v>
      </c>
      <c r="G27" s="156">
        <v>16.362354892205637</v>
      </c>
      <c r="H27" s="156">
        <v>10.552509053285048</v>
      </c>
      <c r="I27" s="1">
        <f>(51+61)/2</f>
        <v>56</v>
      </c>
      <c r="J27" s="1">
        <v>32.3</v>
      </c>
      <c r="K27" s="1">
        <v>54.4</v>
      </c>
      <c r="L27" s="1">
        <v>75.4</v>
      </c>
      <c r="M27" s="1">
        <v>56</v>
      </c>
      <c r="O27" s="1">
        <f t="shared" si="1"/>
        <v>54.525</v>
      </c>
      <c r="P27" s="1">
        <f t="shared" si="2"/>
        <v>17.624864065669662</v>
      </c>
      <c r="Q27" s="1"/>
    </row>
    <row r="28" spans="2:17" ht="12.75">
      <c r="B28" s="7" t="s">
        <v>34</v>
      </c>
      <c r="C28" s="153">
        <v>7.86</v>
      </c>
      <c r="D28" s="2">
        <f t="shared" si="0"/>
        <v>23.036342321219227</v>
      </c>
      <c r="E28" s="155">
        <v>9.19</v>
      </c>
      <c r="F28" s="14">
        <f t="shared" si="3"/>
        <v>8.431192660550458</v>
      </c>
      <c r="G28" s="156">
        <v>15.334991708126037</v>
      </c>
      <c r="H28" s="156">
        <v>10.3578634247284</v>
      </c>
      <c r="I28" s="1">
        <v>42</v>
      </c>
      <c r="J28" s="118">
        <v>21.2</v>
      </c>
      <c r="K28" s="1">
        <v>42.5</v>
      </c>
      <c r="L28" s="1">
        <v>64.2</v>
      </c>
      <c r="M28" s="1">
        <v>43</v>
      </c>
      <c r="O28" s="1">
        <f t="shared" si="1"/>
        <v>42.725</v>
      </c>
      <c r="P28" s="1">
        <f t="shared" si="2"/>
        <v>17.55588695186508</v>
      </c>
      <c r="Q28" s="1"/>
    </row>
    <row r="29" spans="2:17" ht="12.75">
      <c r="B29" s="7" t="s">
        <v>35</v>
      </c>
      <c r="C29" s="153">
        <v>6.96</v>
      </c>
      <c r="D29" s="2">
        <f t="shared" si="0"/>
        <v>20.398593200468934</v>
      </c>
      <c r="E29" s="155">
        <v>9.06</v>
      </c>
      <c r="F29" s="14">
        <f t="shared" si="3"/>
        <v>8.311926605504588</v>
      </c>
      <c r="G29" s="156">
        <v>13.198517412935322</v>
      </c>
      <c r="H29" s="156">
        <v>12.008277289187792</v>
      </c>
      <c r="I29" s="1">
        <v>54</v>
      </c>
      <c r="J29" s="118">
        <v>25.7</v>
      </c>
      <c r="K29" s="1">
        <v>48.2</v>
      </c>
      <c r="L29" s="1">
        <v>71.8</v>
      </c>
      <c r="M29" s="1">
        <v>49.5</v>
      </c>
      <c r="O29" s="1">
        <f t="shared" si="1"/>
        <v>48.8</v>
      </c>
      <c r="P29" s="1">
        <f t="shared" si="2"/>
        <v>18.827816301065496</v>
      </c>
      <c r="Q29" s="1"/>
    </row>
    <row r="30" spans="2:17" ht="12.75">
      <c r="B30" s="7" t="s">
        <v>36</v>
      </c>
      <c r="C30" s="153">
        <v>9.69</v>
      </c>
      <c r="D30" s="2">
        <f t="shared" si="0"/>
        <v>28.39976553341149</v>
      </c>
      <c r="E30" s="155">
        <v>10.05</v>
      </c>
      <c r="F30" s="14">
        <f t="shared" si="3"/>
        <v>9.220183486238533</v>
      </c>
      <c r="G30" s="156">
        <v>19.07296849087894</v>
      </c>
      <c r="H30" s="156">
        <v>12.008277289187792</v>
      </c>
      <c r="I30" s="1">
        <v>58</v>
      </c>
      <c r="J30" s="118">
        <v>32.2</v>
      </c>
      <c r="K30" s="1">
        <v>48</v>
      </c>
      <c r="L30" s="1">
        <v>69</v>
      </c>
      <c r="M30" s="1">
        <v>50.2</v>
      </c>
      <c r="O30" s="1">
        <f t="shared" si="1"/>
        <v>49.849999999999994</v>
      </c>
      <c r="P30" s="1">
        <f t="shared" si="2"/>
        <v>15.075255663945942</v>
      </c>
      <c r="Q30" s="1"/>
    </row>
    <row r="31" spans="2:17" ht="12.75">
      <c r="B31" s="7" t="s">
        <v>37</v>
      </c>
      <c r="C31" s="153">
        <v>12.49</v>
      </c>
      <c r="D31" s="2">
        <f t="shared" si="0"/>
        <v>36.60609613130129</v>
      </c>
      <c r="E31" s="155">
        <v>14.52</v>
      </c>
      <c r="F31" s="14">
        <f t="shared" si="3"/>
        <v>13.321100917431192</v>
      </c>
      <c r="G31" s="156">
        <v>22.066542288557216</v>
      </c>
      <c r="H31" s="156">
        <v>10.842214174857732</v>
      </c>
      <c r="I31" s="1">
        <v>66</v>
      </c>
      <c r="J31" s="118">
        <v>21.1</v>
      </c>
      <c r="K31" s="1">
        <v>42.4</v>
      </c>
      <c r="L31" s="1">
        <v>65.5</v>
      </c>
      <c r="M31" s="1">
        <v>46.3</v>
      </c>
      <c r="O31" s="1">
        <f t="shared" si="1"/>
        <v>43.825</v>
      </c>
      <c r="P31" s="1">
        <f t="shared" si="2"/>
        <v>18.206111611214506</v>
      </c>
      <c r="Q31" s="1"/>
    </row>
    <row r="32" spans="2:17" ht="12.75">
      <c r="B32" s="7" t="s">
        <v>38</v>
      </c>
      <c r="C32" s="153">
        <v>11.25</v>
      </c>
      <c r="D32" s="2">
        <f t="shared" si="0"/>
        <v>32.97186400937866</v>
      </c>
      <c r="E32" s="155">
        <v>11.56</v>
      </c>
      <c r="F32" s="14">
        <f t="shared" si="3"/>
        <v>10.605504587155965</v>
      </c>
      <c r="G32" s="156">
        <v>22.735489220563846</v>
      </c>
      <c r="H32" s="156">
        <v>12.037247801345059</v>
      </c>
      <c r="I32" s="1">
        <v>55</v>
      </c>
      <c r="J32" s="1">
        <v>33</v>
      </c>
      <c r="K32" s="1">
        <v>50.6</v>
      </c>
      <c r="L32" s="1">
        <v>72.2</v>
      </c>
      <c r="M32" s="1">
        <v>54.8</v>
      </c>
      <c r="O32" s="1">
        <f t="shared" si="1"/>
        <v>52.650000000000006</v>
      </c>
      <c r="P32" s="1">
        <f t="shared" si="2"/>
        <v>16.095030288881077</v>
      </c>
      <c r="Q32" s="1"/>
    </row>
    <row r="33" spans="2:17" ht="12.75">
      <c r="B33" s="7" t="s">
        <v>39</v>
      </c>
      <c r="C33" s="153">
        <v>8.67</v>
      </c>
      <c r="D33" s="2">
        <f t="shared" si="0"/>
        <v>25.41031652989449</v>
      </c>
      <c r="E33" s="155">
        <v>9.57</v>
      </c>
      <c r="F33" s="14">
        <f t="shared" si="3"/>
        <v>8.77981651376147</v>
      </c>
      <c r="G33" s="156">
        <v>17.90049751243781</v>
      </c>
      <c r="H33" s="156">
        <v>9.075012933264356</v>
      </c>
      <c r="I33" s="1">
        <v>76</v>
      </c>
      <c r="J33" s="1">
        <v>36.1</v>
      </c>
      <c r="K33" s="1">
        <v>52.4</v>
      </c>
      <c r="L33" s="1">
        <v>71.4</v>
      </c>
      <c r="M33" s="1">
        <v>53.8</v>
      </c>
      <c r="O33" s="1">
        <f t="shared" si="1"/>
        <v>53.425</v>
      </c>
      <c r="P33" s="1">
        <f t="shared" si="2"/>
        <v>14.427375598724348</v>
      </c>
      <c r="Q33" s="1"/>
    </row>
    <row r="34" spans="2:17" ht="12.75">
      <c r="B34" s="7" t="s">
        <v>40</v>
      </c>
      <c r="C34" s="153">
        <v>14.6</v>
      </c>
      <c r="D34" s="2">
        <f t="shared" si="0"/>
        <v>42.790152403282534</v>
      </c>
      <c r="E34" s="155">
        <v>12.5</v>
      </c>
      <c r="F34" s="14">
        <f t="shared" si="3"/>
        <v>11.46788990825688</v>
      </c>
      <c r="G34" s="156">
        <v>21.29263018242123</v>
      </c>
      <c r="H34" s="156">
        <v>11.783755819968958</v>
      </c>
      <c r="I34" s="1">
        <f>(49+57+51+55+60+52+53+52+51+57+49+58)/12</f>
        <v>53.666666666666664</v>
      </c>
      <c r="J34" s="118">
        <v>23.2</v>
      </c>
      <c r="K34" s="1">
        <v>43.6</v>
      </c>
      <c r="L34" s="1">
        <v>66.5</v>
      </c>
      <c r="M34" s="1">
        <v>48.1</v>
      </c>
      <c r="O34" s="1">
        <f t="shared" si="1"/>
        <v>45.35</v>
      </c>
      <c r="P34" s="1">
        <f t="shared" si="2"/>
        <v>17.781732199085663</v>
      </c>
      <c r="Q34" s="1"/>
    </row>
    <row r="35" spans="2:17" ht="12.75">
      <c r="B35" s="7" t="s">
        <v>41</v>
      </c>
      <c r="C35" s="153">
        <v>8.45</v>
      </c>
      <c r="D35" s="2">
        <f t="shared" si="0"/>
        <v>24.765533411488864</v>
      </c>
      <c r="E35" s="155">
        <v>12.7</v>
      </c>
      <c r="F35" s="14">
        <f t="shared" si="3"/>
        <v>11.65137614678899</v>
      </c>
      <c r="G35" s="156">
        <v>19.2640232172471</v>
      </c>
      <c r="H35" s="156">
        <v>10.595964821520951</v>
      </c>
      <c r="I35" s="1">
        <v>72</v>
      </c>
      <c r="J35" s="1">
        <v>42.1</v>
      </c>
      <c r="K35" s="1">
        <v>58.2</v>
      </c>
      <c r="L35" s="1">
        <v>75.7</v>
      </c>
      <c r="M35" s="1">
        <v>60.2</v>
      </c>
      <c r="O35" s="1">
        <f t="shared" si="1"/>
        <v>59.05</v>
      </c>
      <c r="P35" s="1">
        <f t="shared" si="2"/>
        <v>13.742513113207053</v>
      </c>
      <c r="Q35" s="1"/>
    </row>
    <row r="36" spans="2:17" ht="12.75">
      <c r="B36" s="7" t="s">
        <v>42</v>
      </c>
      <c r="C36" s="153">
        <v>6.79</v>
      </c>
      <c r="D36" s="2">
        <f t="shared" si="0"/>
        <v>19.900351699882766</v>
      </c>
      <c r="E36" s="155">
        <v>9.03</v>
      </c>
      <c r="F36" s="14">
        <f t="shared" si="3"/>
        <v>8.28440366972477</v>
      </c>
      <c r="G36" s="156">
        <v>14.266998341625209</v>
      </c>
      <c r="H36" s="156">
        <v>10.552509053285048</v>
      </c>
      <c r="I36" s="1">
        <v>51</v>
      </c>
      <c r="J36" s="118">
        <v>12.2</v>
      </c>
      <c r="K36" s="1">
        <v>41.1</v>
      </c>
      <c r="L36" s="1">
        <v>66.6</v>
      </c>
      <c r="M36" s="1">
        <v>42</v>
      </c>
      <c r="O36" s="1">
        <f t="shared" si="1"/>
        <v>40.474999999999994</v>
      </c>
      <c r="P36" s="1">
        <f t="shared" si="2"/>
        <v>22.24640420382585</v>
      </c>
      <c r="Q36" s="1"/>
    </row>
    <row r="37" spans="2:17" ht="12.75">
      <c r="B37" s="7" t="s">
        <v>43</v>
      </c>
      <c r="C37" s="153">
        <v>8.14</v>
      </c>
      <c r="D37" s="2">
        <f t="shared" si="0"/>
        <v>23.856975381008212</v>
      </c>
      <c r="E37" s="155">
        <v>10.46</v>
      </c>
      <c r="F37" s="14">
        <f t="shared" si="3"/>
        <v>9.59633027522936</v>
      </c>
      <c r="G37" s="156">
        <v>18.510913764510782</v>
      </c>
      <c r="H37" s="156">
        <v>10.682876357992757</v>
      </c>
      <c r="I37" s="1">
        <v>55</v>
      </c>
      <c r="J37" s="118">
        <v>29.5</v>
      </c>
      <c r="K37" s="1">
        <v>49.7</v>
      </c>
      <c r="L37" s="1">
        <v>70.9</v>
      </c>
      <c r="M37" s="1">
        <v>52.9</v>
      </c>
      <c r="O37" s="1">
        <f t="shared" si="1"/>
        <v>50.75000000000001</v>
      </c>
      <c r="P37" s="1">
        <f t="shared" si="2"/>
        <v>16.963784955015175</v>
      </c>
      <c r="Q37" s="1"/>
    </row>
    <row r="38" spans="2:17" ht="12.75">
      <c r="B38" s="7" t="s">
        <v>44</v>
      </c>
      <c r="C38" s="153">
        <v>7.72</v>
      </c>
      <c r="D38" s="2">
        <f t="shared" si="0"/>
        <v>22.626025791324736</v>
      </c>
      <c r="E38" s="155">
        <v>10.23</v>
      </c>
      <c r="F38" s="14">
        <f t="shared" si="3"/>
        <v>9.38532110091743</v>
      </c>
      <c r="G38" s="156">
        <v>16.618708126036484</v>
      </c>
      <c r="H38" s="156">
        <v>10.552509053285048</v>
      </c>
      <c r="I38" s="1">
        <v>59</v>
      </c>
      <c r="J38" s="1">
        <v>39.1</v>
      </c>
      <c r="K38" s="1">
        <v>59.1</v>
      </c>
      <c r="L38" s="1">
        <v>79.6</v>
      </c>
      <c r="M38" s="1">
        <v>60.6</v>
      </c>
      <c r="O38" s="1">
        <f t="shared" si="1"/>
        <v>59.6</v>
      </c>
      <c r="P38" s="1">
        <f t="shared" si="2"/>
        <v>16.547910240671865</v>
      </c>
      <c r="Q38" s="1"/>
    </row>
    <row r="39" spans="2:17" ht="12.75">
      <c r="B39" s="7" t="s">
        <v>45</v>
      </c>
      <c r="C39" s="153">
        <v>7.18</v>
      </c>
      <c r="D39" s="2">
        <f t="shared" si="0"/>
        <v>21.04337631887456</v>
      </c>
      <c r="E39" s="155">
        <v>11.11</v>
      </c>
      <c r="F39" s="14">
        <f t="shared" si="3"/>
        <v>10.192660550458715</v>
      </c>
      <c r="G39" s="156">
        <v>19.07296849087894</v>
      </c>
      <c r="H39" s="156">
        <v>11.544749094671495</v>
      </c>
      <c r="I39" s="1">
        <v>52</v>
      </c>
      <c r="J39" s="1">
        <v>34</v>
      </c>
      <c r="K39" s="1">
        <v>46.9</v>
      </c>
      <c r="L39" s="1">
        <v>63.7</v>
      </c>
      <c r="M39" s="1">
        <v>48.9</v>
      </c>
      <c r="O39" s="1">
        <f t="shared" si="1"/>
        <v>48.37500000000001</v>
      </c>
      <c r="P39" s="1">
        <f t="shared" si="2"/>
        <v>12.164805793764192</v>
      </c>
      <c r="Q39" s="1"/>
    </row>
    <row r="40" spans="2:17" ht="12.75">
      <c r="B40" s="7" t="s">
        <v>46</v>
      </c>
      <c r="C40" s="153">
        <v>9.38</v>
      </c>
      <c r="D40" s="2">
        <f t="shared" si="0"/>
        <v>27.491207502930834</v>
      </c>
      <c r="E40" s="155">
        <v>12.27</v>
      </c>
      <c r="F40" s="14">
        <f t="shared" si="3"/>
        <v>11.256880733944953</v>
      </c>
      <c r="G40" s="156">
        <v>21.33568656716418</v>
      </c>
      <c r="H40" s="156">
        <v>10.784273150543196</v>
      </c>
      <c r="I40" s="1">
        <v>57</v>
      </c>
      <c r="J40" s="118">
        <v>28.4</v>
      </c>
      <c r="K40" s="1">
        <v>47.4</v>
      </c>
      <c r="L40" s="1">
        <v>68.6</v>
      </c>
      <c r="M40" s="1">
        <v>50.9</v>
      </c>
      <c r="O40" s="1">
        <f t="shared" si="1"/>
        <v>48.824999999999996</v>
      </c>
      <c r="P40" s="1">
        <f t="shared" si="2"/>
        <v>16.47793979840926</v>
      </c>
      <c r="Q40" s="1"/>
    </row>
    <row r="41" spans="2:17" ht="12.75">
      <c r="B41" s="7" t="s">
        <v>47</v>
      </c>
      <c r="C41" s="153">
        <v>12.19</v>
      </c>
      <c r="D41" s="2">
        <f t="shared" si="0"/>
        <v>35.726846424384526</v>
      </c>
      <c r="E41" s="155">
        <v>13.24</v>
      </c>
      <c r="F41" s="14">
        <f t="shared" si="3"/>
        <v>12.146788990825687</v>
      </c>
      <c r="G41" s="156">
        <v>24.308457711442784</v>
      </c>
      <c r="H41" s="156">
        <v>10.943610967408173</v>
      </c>
      <c r="I41" s="1">
        <v>50</v>
      </c>
      <c r="J41" s="118">
        <v>31.4</v>
      </c>
      <c r="K41" s="1">
        <v>47</v>
      </c>
      <c r="L41" s="1">
        <v>68.8</v>
      </c>
      <c r="M41" s="1">
        <v>53.1</v>
      </c>
      <c r="O41" s="1">
        <f t="shared" si="1"/>
        <v>50.074999999999996</v>
      </c>
      <c r="P41" s="1">
        <f t="shared" si="2"/>
        <v>15.470267181489369</v>
      </c>
      <c r="Q41" s="1"/>
    </row>
    <row r="42" spans="2:17" ht="12.75">
      <c r="B42" s="7" t="s">
        <v>48</v>
      </c>
      <c r="C42" s="153">
        <v>8.12</v>
      </c>
      <c r="D42" s="2">
        <f t="shared" si="0"/>
        <v>23.798358733880416</v>
      </c>
      <c r="E42" s="155">
        <v>12</v>
      </c>
      <c r="F42" s="14">
        <f t="shared" si="3"/>
        <v>11.009174311926607</v>
      </c>
      <c r="G42" s="156">
        <v>19.81592039800995</v>
      </c>
      <c r="H42" s="156">
        <v>10.595964821520951</v>
      </c>
      <c r="I42" s="1">
        <v>59</v>
      </c>
      <c r="J42" s="1">
        <v>46.1</v>
      </c>
      <c r="K42" s="1">
        <v>62</v>
      </c>
      <c r="L42" s="1">
        <v>78.4</v>
      </c>
      <c r="M42" s="1">
        <v>63.4</v>
      </c>
      <c r="O42" s="1">
        <f t="shared" si="1"/>
        <v>62.475</v>
      </c>
      <c r="P42" s="1">
        <f t="shared" si="2"/>
        <v>13.201357253454402</v>
      </c>
      <c r="Q42" s="1"/>
    </row>
    <row r="43" spans="2:17" ht="12.75">
      <c r="B43" s="7" t="s">
        <v>49</v>
      </c>
      <c r="C43" s="153">
        <v>7.65</v>
      </c>
      <c r="D43" s="2">
        <f t="shared" si="0"/>
        <v>22.420867526377492</v>
      </c>
      <c r="E43" s="155">
        <v>9.52</v>
      </c>
      <c r="F43" s="14">
        <f t="shared" si="3"/>
        <v>8.73394495412844</v>
      </c>
      <c r="G43" s="156">
        <v>14.125756218905472</v>
      </c>
      <c r="H43" s="156">
        <v>10.552509053285048</v>
      </c>
      <c r="I43" s="1">
        <v>55</v>
      </c>
      <c r="J43" s="118">
        <v>19.5</v>
      </c>
      <c r="K43" s="1">
        <v>44.8</v>
      </c>
      <c r="L43" s="1">
        <v>69.9</v>
      </c>
      <c r="M43" s="1">
        <v>46.4</v>
      </c>
      <c r="O43" s="1">
        <f t="shared" si="1"/>
        <v>45.15</v>
      </c>
      <c r="P43" s="1">
        <f t="shared" si="2"/>
        <v>20.59263622430765</v>
      </c>
      <c r="Q43" s="1"/>
    </row>
    <row r="44" spans="2:17" ht="12.75">
      <c r="B44" s="7" t="s">
        <v>50</v>
      </c>
      <c r="C44" s="153">
        <v>6.9</v>
      </c>
      <c r="D44" s="2">
        <f t="shared" si="0"/>
        <v>20.22274325908558</v>
      </c>
      <c r="E44" s="155">
        <v>10.6</v>
      </c>
      <c r="F44" s="14">
        <f t="shared" si="3"/>
        <v>9.724770642201834</v>
      </c>
      <c r="G44" s="156">
        <v>16.618708126036484</v>
      </c>
      <c r="H44" s="156">
        <v>10.552509053285048</v>
      </c>
      <c r="I44" s="1">
        <f>(68+55+55)/3</f>
        <v>59.333333333333336</v>
      </c>
      <c r="J44" s="1">
        <v>39.1</v>
      </c>
      <c r="K44" s="1">
        <v>57.3</v>
      </c>
      <c r="L44" s="1">
        <v>75.6</v>
      </c>
      <c r="M44" s="1">
        <v>58.6</v>
      </c>
      <c r="O44" s="1">
        <f t="shared" si="1"/>
        <v>57.65</v>
      </c>
      <c r="P44" s="1">
        <f t="shared" si="2"/>
        <v>14.914534298238504</v>
      </c>
      <c r="Q44" s="1"/>
    </row>
    <row r="45" spans="2:17" ht="12.75">
      <c r="B45" s="7" t="s">
        <v>51</v>
      </c>
      <c r="C45" s="153">
        <v>9.73</v>
      </c>
      <c r="D45" s="2">
        <f t="shared" si="0"/>
        <v>28.516998827667056</v>
      </c>
      <c r="E45" s="155">
        <v>10.37</v>
      </c>
      <c r="F45" s="14">
        <f t="shared" si="3"/>
        <v>9.513761467889909</v>
      </c>
      <c r="G45" s="156">
        <v>17.90049751243781</v>
      </c>
      <c r="H45" s="156">
        <v>9.075012933264356</v>
      </c>
      <c r="I45" s="1">
        <v>67</v>
      </c>
      <c r="J45" s="1">
        <v>47.9</v>
      </c>
      <c r="K45" s="1">
        <v>65.1</v>
      </c>
      <c r="L45" s="1">
        <v>81.1</v>
      </c>
      <c r="M45" s="1">
        <v>65.5</v>
      </c>
      <c r="O45" s="1">
        <f t="shared" si="1"/>
        <v>64.9</v>
      </c>
      <c r="P45" s="1">
        <f t="shared" si="2"/>
        <v>13.562693931025072</v>
      </c>
      <c r="Q45" s="1"/>
    </row>
    <row r="46" spans="2:17" ht="12.75">
      <c r="B46" s="8" t="s">
        <v>59</v>
      </c>
      <c r="C46" s="154">
        <v>8.97</v>
      </c>
      <c r="D46" s="2">
        <f t="shared" si="0"/>
        <v>26.289566236811254</v>
      </c>
      <c r="E46" s="155">
        <v>10.75</v>
      </c>
      <c r="F46" s="14">
        <f t="shared" si="3"/>
        <v>9.862385321100918</v>
      </c>
      <c r="G46" s="156">
        <v>18.591210613598673</v>
      </c>
      <c r="H46" s="156">
        <v>11.211588204862908</v>
      </c>
      <c r="I46" s="1"/>
      <c r="O46" s="1"/>
      <c r="P46" s="1"/>
      <c r="Q46" s="1"/>
    </row>
    <row r="47" spans="2:17" ht="12.75">
      <c r="B47" s="7" t="s">
        <v>52</v>
      </c>
      <c r="C47" s="153">
        <v>7.21</v>
      </c>
      <c r="D47" s="2">
        <f t="shared" si="0"/>
        <v>21.131301289566238</v>
      </c>
      <c r="E47" s="155">
        <v>8.12</v>
      </c>
      <c r="F47" s="14">
        <f t="shared" si="3"/>
        <v>7.449541284403669</v>
      </c>
      <c r="G47" s="156">
        <v>15.334991708126037</v>
      </c>
      <c r="H47" s="156">
        <v>10.11795137092602</v>
      </c>
      <c r="I47" s="1">
        <v>71</v>
      </c>
      <c r="J47" s="118">
        <v>28.2</v>
      </c>
      <c r="K47" s="1">
        <v>47.5</v>
      </c>
      <c r="L47" s="1">
        <v>68.6</v>
      </c>
      <c r="M47" s="1">
        <v>49.1</v>
      </c>
      <c r="O47" s="1">
        <f t="shared" si="1"/>
        <v>48.35</v>
      </c>
      <c r="P47" s="1">
        <f t="shared" si="2"/>
        <v>16.506261438213855</v>
      </c>
      <c r="Q47" s="1"/>
    </row>
    <row r="48" spans="2:17" ht="12.75">
      <c r="B48" s="7" t="s">
        <v>53</v>
      </c>
      <c r="C48" s="153">
        <v>12.94</v>
      </c>
      <c r="D48" s="2">
        <f t="shared" si="0"/>
        <v>37.924970691676435</v>
      </c>
      <c r="E48" s="155">
        <v>11.03</v>
      </c>
      <c r="F48" s="14">
        <f t="shared" si="3"/>
        <v>10.119266055045872</v>
      </c>
      <c r="G48" s="156">
        <v>23.656436152570482</v>
      </c>
      <c r="H48" s="156">
        <v>10.90015519917227</v>
      </c>
      <c r="I48" s="1">
        <v>48</v>
      </c>
      <c r="J48" s="118">
        <v>19.4</v>
      </c>
      <c r="K48" s="1">
        <v>41.5</v>
      </c>
      <c r="L48" s="1">
        <v>65.1</v>
      </c>
      <c r="M48" s="1">
        <v>45.7</v>
      </c>
      <c r="O48" s="1">
        <f t="shared" si="1"/>
        <v>42.925</v>
      </c>
      <c r="P48" s="1">
        <f t="shared" si="2"/>
        <v>18.751777693505932</v>
      </c>
      <c r="Q48" s="1"/>
    </row>
    <row r="49" spans="2:17" ht="12.75">
      <c r="B49" s="7" t="s">
        <v>54</v>
      </c>
      <c r="C49" s="153">
        <v>7.99</v>
      </c>
      <c r="D49" s="2">
        <f t="shared" si="0"/>
        <v>23.417350527549825</v>
      </c>
      <c r="E49" s="155">
        <v>13.04</v>
      </c>
      <c r="F49" s="14">
        <f t="shared" si="3"/>
        <v>11.963302752293577</v>
      </c>
      <c r="G49" s="156">
        <v>21.299885572139303</v>
      </c>
      <c r="H49" s="156">
        <v>10.588722193481633</v>
      </c>
      <c r="I49" s="1">
        <v>59</v>
      </c>
      <c r="J49" s="1">
        <v>36.8</v>
      </c>
      <c r="K49" s="1">
        <v>54.1</v>
      </c>
      <c r="L49" s="1">
        <v>73.2</v>
      </c>
      <c r="M49" s="1">
        <v>56.5</v>
      </c>
      <c r="O49" s="1">
        <f t="shared" si="1"/>
        <v>55.150000000000006</v>
      </c>
      <c r="P49" s="1">
        <f t="shared" si="2"/>
        <v>14.893510891212532</v>
      </c>
      <c r="Q49" s="1"/>
    </row>
    <row r="50" spans="2:17" ht="12.75">
      <c r="B50" s="7" t="s">
        <v>55</v>
      </c>
      <c r="C50" s="153">
        <v>6.37</v>
      </c>
      <c r="D50" s="2">
        <f t="shared" si="0"/>
        <v>18.669402110199297</v>
      </c>
      <c r="E50" s="155">
        <v>9.91</v>
      </c>
      <c r="F50" s="14">
        <f t="shared" si="3"/>
        <v>9.091743119266054</v>
      </c>
      <c r="G50" s="156">
        <v>19.07296849087894</v>
      </c>
      <c r="H50" s="156">
        <v>12.667356440765648</v>
      </c>
      <c r="I50" s="1">
        <v>41</v>
      </c>
      <c r="J50" s="1">
        <v>33</v>
      </c>
      <c r="K50" s="1">
        <v>47.7</v>
      </c>
      <c r="L50" s="1">
        <v>63.8</v>
      </c>
      <c r="M50" s="1">
        <v>48.5</v>
      </c>
      <c r="O50" s="1">
        <f t="shared" si="1"/>
        <v>48.25</v>
      </c>
      <c r="P50" s="1">
        <f t="shared" si="2"/>
        <v>12.579480646407196</v>
      </c>
      <c r="Q50" s="1"/>
    </row>
    <row r="51" spans="2:17" ht="12.75">
      <c r="B51" s="7" t="s">
        <v>56</v>
      </c>
      <c r="C51" s="153">
        <v>6.23</v>
      </c>
      <c r="D51" s="2">
        <f t="shared" si="0"/>
        <v>18.259085580304806</v>
      </c>
      <c r="E51" s="155">
        <v>10.91</v>
      </c>
      <c r="F51" s="14">
        <f t="shared" si="3"/>
        <v>10.009174311926605</v>
      </c>
      <c r="G51" s="156">
        <v>19.81592039800995</v>
      </c>
      <c r="H51" s="156">
        <v>10.813243662700465</v>
      </c>
      <c r="I51" s="1">
        <v>63</v>
      </c>
      <c r="J51" s="1">
        <v>32.8</v>
      </c>
      <c r="K51" s="1">
        <v>50.9</v>
      </c>
      <c r="L51" s="1">
        <v>70.2</v>
      </c>
      <c r="M51" s="1">
        <v>53.3</v>
      </c>
      <c r="O51" s="1">
        <f t="shared" si="1"/>
        <v>51.8</v>
      </c>
      <c r="P51" s="1">
        <f t="shared" si="2"/>
        <v>15.303812161244869</v>
      </c>
      <c r="Q51" s="1"/>
    </row>
    <row r="52" spans="2:17" ht="12.75">
      <c r="B52" s="7" t="s">
        <v>57</v>
      </c>
      <c r="C52" s="153">
        <v>9.07</v>
      </c>
      <c r="D52" s="2">
        <f t="shared" si="0"/>
        <v>26.582649472450175</v>
      </c>
      <c r="E52" s="155">
        <v>10.16</v>
      </c>
      <c r="F52" s="14">
        <f t="shared" si="3"/>
        <v>9.321100917431192</v>
      </c>
      <c r="G52" s="156">
        <v>16.265132669983416</v>
      </c>
      <c r="H52" s="156">
        <v>10.610450077599586</v>
      </c>
      <c r="I52" s="1">
        <v>45.5</v>
      </c>
      <c r="J52" s="118">
        <v>17.2</v>
      </c>
      <c r="K52" s="1">
        <v>42.9</v>
      </c>
      <c r="L52" s="1">
        <v>66.8</v>
      </c>
      <c r="M52" s="1">
        <v>45.7</v>
      </c>
      <c r="O52" s="1">
        <f t="shared" si="1"/>
        <v>43.15</v>
      </c>
      <c r="P52" s="1">
        <f t="shared" si="2"/>
        <v>20.324779621601476</v>
      </c>
      <c r="Q52" s="1"/>
    </row>
    <row r="53" spans="2:17" ht="12.75">
      <c r="B53" s="7" t="s">
        <v>58</v>
      </c>
      <c r="C53" s="153">
        <v>7.21</v>
      </c>
      <c r="D53" s="2">
        <f t="shared" si="0"/>
        <v>21.131301289566238</v>
      </c>
      <c r="E53" s="155">
        <v>8.65</v>
      </c>
      <c r="F53" s="14">
        <f>E53/1090*1000</f>
        <v>7.935779816513762</v>
      </c>
      <c r="G53" s="156">
        <v>15.334991708126037</v>
      </c>
      <c r="H53" s="156">
        <v>10.11795137092602</v>
      </c>
      <c r="I53" s="1">
        <v>52</v>
      </c>
      <c r="J53" s="118">
        <v>21.2</v>
      </c>
      <c r="K53" s="1">
        <v>40.8</v>
      </c>
      <c r="L53" s="1">
        <v>63.5</v>
      </c>
      <c r="M53" s="1">
        <v>42.5</v>
      </c>
      <c r="O53" s="1">
        <f t="shared" si="1"/>
        <v>42</v>
      </c>
      <c r="P53" s="1">
        <f t="shared" si="2"/>
        <v>17.287567787285752</v>
      </c>
      <c r="Q53" s="1"/>
    </row>
    <row r="55" spans="3:9" ht="12.75">
      <c r="C55" s="7" t="s">
        <v>80</v>
      </c>
      <c r="D55" t="s">
        <v>80</v>
      </c>
      <c r="E55" t="s">
        <v>80</v>
      </c>
      <c r="F55" t="s">
        <v>80</v>
      </c>
      <c r="G55" s="155" t="s">
        <v>92</v>
      </c>
      <c r="H55" s="155" t="s">
        <v>92</v>
      </c>
      <c r="I55" t="s">
        <v>93</v>
      </c>
    </row>
    <row r="56" spans="3:8" ht="12.75">
      <c r="C56" s="150" t="s">
        <v>221</v>
      </c>
      <c r="E56" s="150" t="s">
        <v>224</v>
      </c>
      <c r="G56" s="155" t="s">
        <v>226</v>
      </c>
      <c r="H56" s="155" t="s">
        <v>227</v>
      </c>
    </row>
    <row r="57" spans="7:8" ht="12.75">
      <c r="G57" s="155" t="s">
        <v>228</v>
      </c>
      <c r="H57" s="157" t="s">
        <v>223</v>
      </c>
    </row>
    <row r="58" spans="2:8" ht="12.75">
      <c r="B58" s="7" t="s">
        <v>222</v>
      </c>
      <c r="C58" s="158"/>
      <c r="D58" s="7"/>
      <c r="G58" s="155" t="s">
        <v>229</v>
      </c>
      <c r="H58" s="155" t="s">
        <v>225</v>
      </c>
    </row>
    <row r="59" spans="3:4" ht="12.75">
      <c r="C59" s="159"/>
      <c r="D59" s="7"/>
    </row>
    <row r="60" spans="3:4" ht="12.75">
      <c r="C60" s="159"/>
      <c r="D60" s="7"/>
    </row>
    <row r="61" spans="2:4" ht="12.75">
      <c r="B61" s="7" t="s">
        <v>230</v>
      </c>
      <c r="C61" s="159"/>
      <c r="D61" s="7"/>
    </row>
    <row r="62" spans="2:4" ht="12.75">
      <c r="B62" s="7" t="s">
        <v>232</v>
      </c>
      <c r="C62" s="159"/>
      <c r="D62" s="7"/>
    </row>
    <row r="63" spans="2:4" ht="12.75">
      <c r="B63" s="7" t="s">
        <v>231</v>
      </c>
      <c r="C63" s="159"/>
      <c r="D63" s="7"/>
    </row>
    <row r="64" spans="2:4" ht="12.75">
      <c r="B64" s="7" t="s">
        <v>233</v>
      </c>
      <c r="C64" s="159"/>
      <c r="D64" s="7"/>
    </row>
    <row r="65" spans="3:4" ht="12.75">
      <c r="C65" s="159"/>
      <c r="D65" s="7"/>
    </row>
    <row r="67" spans="4:8" ht="12.75">
      <c r="D67" s="28"/>
      <c r="E67" s="28"/>
      <c r="F67" s="28"/>
      <c r="G67" s="28"/>
      <c r="H67" s="28"/>
    </row>
    <row r="68" spans="4:8" ht="12.75">
      <c r="D68" s="28"/>
      <c r="E68" s="28"/>
      <c r="F68" s="28"/>
      <c r="G68" s="28"/>
      <c r="H68" s="28"/>
    </row>
  </sheetData>
  <sheetProtection/>
  <hyperlinks>
    <hyperlink ref="C56" r:id="rId1" display="http://www.eia.doe.gov/cneaf/electricity/epa/average_price_state.xls"/>
    <hyperlink ref="E56" r:id="rId2" display="http://tonto.eia.doe.gov/dnav/ng/ng_pri_sum_a_EPG0_FWA_DMcf_a.htm"/>
    <hyperlink ref="H57" r:id="rId3" display="http://tonto.eia.doe.gov/dnav/pet/pet_pri_dist_a_EPD2_PRT_cpgal_a.htm"/>
  </hyperlinks>
  <printOptions gridLines="1" horizontalCentered="1"/>
  <pageMargins left="0.5" right="0.5" top="0.5" bottom="0.5" header="0.5" footer="0.5"/>
  <pageSetup horizontalDpi="300" verticalDpi="300" orientation="portrait" r:id="rId4"/>
</worksheet>
</file>

<file path=xl/worksheets/sheet6.xml><?xml version="1.0" encoding="utf-8"?>
<worksheet xmlns="http://schemas.openxmlformats.org/spreadsheetml/2006/main" xmlns:r="http://schemas.openxmlformats.org/officeDocument/2006/relationships">
  <sheetPr codeName="Sheet5"/>
  <dimension ref="B2:V28"/>
  <sheetViews>
    <sheetView zoomScale="85" zoomScaleNormal="85" zoomScalePageLayoutView="0" workbookViewId="0" topLeftCell="A1">
      <selection activeCell="A1" sqref="A1:D1"/>
    </sheetView>
  </sheetViews>
  <sheetFormatPr defaultColWidth="9.140625" defaultRowHeight="12.75"/>
  <cols>
    <col min="1" max="1" width="1.7109375" style="5" customWidth="1"/>
    <col min="2" max="2" width="40.57421875" style="5" customWidth="1"/>
    <col min="3" max="5" width="9.140625" style="5" hidden="1" customWidth="1"/>
    <col min="6" max="6" width="9.28125" style="5" hidden="1" customWidth="1"/>
    <col min="7" max="12" width="9.28125" style="5" customWidth="1"/>
    <col min="13" max="14" width="9.140625" style="5" customWidth="1"/>
    <col min="15" max="15" width="9.28125" style="5" hidden="1" customWidth="1"/>
    <col min="16" max="16" width="8.28125" style="5" hidden="1" customWidth="1"/>
    <col min="17" max="21" width="8.28125" style="5" customWidth="1"/>
    <col min="22" max="16384" width="9.140625" style="5" customWidth="1"/>
  </cols>
  <sheetData>
    <row r="1" ht="6" customHeight="1" thickBot="1"/>
    <row r="2" spans="2:10" ht="15">
      <c r="B2" s="121"/>
      <c r="C2" s="122"/>
      <c r="D2" s="122"/>
      <c r="E2" s="122"/>
      <c r="F2" s="122"/>
      <c r="G2" s="266" t="s">
        <v>64</v>
      </c>
      <c r="H2" s="267"/>
      <c r="I2" s="266" t="s">
        <v>65</v>
      </c>
      <c r="J2" s="268"/>
    </row>
    <row r="3" spans="2:10" ht="15">
      <c r="B3" s="182" t="s">
        <v>90</v>
      </c>
      <c r="C3" s="123"/>
      <c r="D3" s="123"/>
      <c r="E3" s="124"/>
      <c r="F3" s="123"/>
      <c r="G3" s="269">
        <f>'Hot Water Consumption'!B6</f>
        <v>58.65827338129496</v>
      </c>
      <c r="H3" s="270"/>
      <c r="I3" s="269">
        <f>'Hot Water Consumption'!B6</f>
        <v>58.65827338129496</v>
      </c>
      <c r="J3" s="271"/>
    </row>
    <row r="4" spans="2:10" ht="15" customHeight="1">
      <c r="B4" s="125" t="s">
        <v>179</v>
      </c>
      <c r="C4" s="126"/>
      <c r="D4" s="126"/>
      <c r="E4" s="126"/>
      <c r="F4" s="126"/>
      <c r="G4" s="127"/>
      <c r="H4" s="128"/>
      <c r="I4" s="127"/>
      <c r="J4" s="129"/>
    </row>
    <row r="5" spans="2:10" ht="15" customHeight="1">
      <c r="B5" s="130" t="s">
        <v>1</v>
      </c>
      <c r="C5" s="131"/>
      <c r="D5" s="131"/>
      <c r="E5" s="131"/>
      <c r="F5" s="131"/>
      <c r="G5" s="262">
        <v>0.5</v>
      </c>
      <c r="H5" s="272"/>
      <c r="I5" s="262">
        <v>0.8</v>
      </c>
      <c r="J5" s="263"/>
    </row>
    <row r="6" spans="2:10" ht="15" customHeight="1">
      <c r="B6" s="132" t="s">
        <v>0</v>
      </c>
      <c r="C6" s="133"/>
      <c r="D6" s="133"/>
      <c r="E6" s="134"/>
      <c r="F6" s="133"/>
      <c r="G6" s="262">
        <v>0.68</v>
      </c>
      <c r="H6" s="272"/>
      <c r="I6" s="262">
        <v>0.82</v>
      </c>
      <c r="J6" s="263"/>
    </row>
    <row r="7" spans="2:16" ht="15" customHeight="1">
      <c r="B7" s="132" t="s">
        <v>177</v>
      </c>
      <c r="C7" s="135"/>
      <c r="D7" s="135"/>
      <c r="E7" s="135"/>
      <c r="F7" s="135"/>
      <c r="G7" s="273">
        <f>IF(OR(O7=2,O7=3),40000,IF(O7=1,15354,"uh oh"))</f>
        <v>40000</v>
      </c>
      <c r="H7" s="274"/>
      <c r="I7" s="273">
        <v>165000</v>
      </c>
      <c r="J7" s="278"/>
      <c r="O7" s="5">
        <v>2</v>
      </c>
      <c r="P7" s="5">
        <v>2</v>
      </c>
    </row>
    <row r="8" spans="2:10" ht="15" customHeight="1" thickBot="1">
      <c r="B8" s="167" t="s">
        <v>180</v>
      </c>
      <c r="C8" s="148"/>
      <c r="D8" s="148"/>
      <c r="E8" s="148"/>
      <c r="F8" s="148"/>
      <c r="G8" s="275">
        <f>INDEX(Data!B2:M53,O12,IF(O7=2,5,IF(O7=1,3,IF(O7=3,6,"OOPS"))))</f>
        <v>12.238532110091743</v>
      </c>
      <c r="H8" s="277"/>
      <c r="I8" s="275">
        <f>INDEX(Data!B2:M53,O12,IF(P7=2,5,IF(P7=1,3,IF(P7=3,6,"OOPS"))))</f>
        <v>12.238532110091743</v>
      </c>
      <c r="J8" s="276"/>
    </row>
    <row r="9" spans="2:10" ht="15" customHeight="1">
      <c r="B9" s="132" t="s">
        <v>178</v>
      </c>
      <c r="C9" s="135"/>
      <c r="D9" s="135"/>
      <c r="E9" s="134"/>
      <c r="F9" s="135"/>
      <c r="G9" s="275"/>
      <c r="H9" s="277"/>
      <c r="I9" s="279">
        <v>15</v>
      </c>
      <c r="J9" s="280"/>
    </row>
    <row r="10" spans="2:10" ht="15" customHeight="1">
      <c r="B10" s="132" t="s">
        <v>216</v>
      </c>
      <c r="C10" s="135"/>
      <c r="D10" s="135"/>
      <c r="E10" s="135"/>
      <c r="F10" s="135"/>
      <c r="G10" s="137"/>
      <c r="H10" s="138"/>
      <c r="I10" s="281">
        <v>1250</v>
      </c>
      <c r="J10" s="282"/>
    </row>
    <row r="11" spans="2:10" ht="15" customHeight="1" hidden="1">
      <c r="B11" s="130" t="s">
        <v>2</v>
      </c>
      <c r="C11" s="139"/>
      <c r="D11" s="139"/>
      <c r="E11" s="139"/>
      <c r="F11" s="139"/>
      <c r="G11" s="140">
        <f>(1/energyfactor2-1/RE2)/((135-67.5)*(24/41094-1/(RE2*power2)))</f>
        <v>14.331590666104308</v>
      </c>
      <c r="H11" s="141"/>
      <c r="I11" s="260">
        <f>(1/EnergyFactor_new2-1/RE_new2)/((135-67.5)*(24/41094-1/(RE_new2*power_new2)))</f>
        <v>0.7832866411778032</v>
      </c>
      <c r="J11" s="261"/>
    </row>
    <row r="12" spans="2:15" ht="15" customHeight="1">
      <c r="B12" s="130" t="s">
        <v>4</v>
      </c>
      <c r="C12" s="142"/>
      <c r="D12" s="142"/>
      <c r="E12" s="142"/>
      <c r="F12" s="142"/>
      <c r="G12" s="143"/>
      <c r="H12" s="144"/>
      <c r="I12" s="145"/>
      <c r="J12" s="146"/>
      <c r="O12" s="5">
        <v>1</v>
      </c>
    </row>
    <row r="13" spans="2:10" ht="15" customHeight="1" thickBot="1">
      <c r="B13" s="183" t="s">
        <v>182</v>
      </c>
      <c r="C13" s="184"/>
      <c r="D13" s="184"/>
      <c r="E13" s="184"/>
      <c r="F13" s="184"/>
      <c r="G13" s="248">
        <f>INDEX(Data!B2:M53,O12,8)</f>
        <v>69</v>
      </c>
      <c r="H13" s="249"/>
      <c r="I13" s="249"/>
      <c r="J13" s="250"/>
    </row>
    <row r="14" spans="8:9" ht="6" customHeight="1" thickBot="1">
      <c r="H14" s="15"/>
      <c r="I14" s="15"/>
    </row>
    <row r="15" spans="2:13" ht="15">
      <c r="B15" s="51"/>
      <c r="C15" s="52" t="s">
        <v>94</v>
      </c>
      <c r="D15" s="52"/>
      <c r="E15" s="52"/>
      <c r="F15" s="52"/>
      <c r="G15" s="251" t="s">
        <v>183</v>
      </c>
      <c r="H15" s="251"/>
      <c r="I15" s="54"/>
      <c r="J15" s="53" t="s">
        <v>185</v>
      </c>
      <c r="K15" s="54"/>
      <c r="L15" s="251" t="s">
        <v>218</v>
      </c>
      <c r="M15" s="255"/>
    </row>
    <row r="16" spans="2:13" ht="15">
      <c r="B16" s="72" t="s">
        <v>85</v>
      </c>
      <c r="C16" s="55" t="s">
        <v>81</v>
      </c>
      <c r="D16" s="55" t="s">
        <v>82</v>
      </c>
      <c r="E16" s="55" t="s">
        <v>83</v>
      </c>
      <c r="F16" s="55" t="s">
        <v>84</v>
      </c>
      <c r="G16" s="256" t="s">
        <v>184</v>
      </c>
      <c r="H16" s="256"/>
      <c r="I16" s="56"/>
      <c r="J16" s="55" t="s">
        <v>217</v>
      </c>
      <c r="K16" s="56"/>
      <c r="L16" s="256" t="s">
        <v>216</v>
      </c>
      <c r="M16" s="257"/>
    </row>
    <row r="17" spans="2:21" ht="15.75" hidden="1">
      <c r="B17" s="59"/>
      <c r="C17" s="60">
        <f>INDEX(Data!B2:M53,8,9)</f>
        <v>36.1</v>
      </c>
      <c r="D17" s="60">
        <f>INDEX(Data!B2:M53,8,10)</f>
        <v>53.3</v>
      </c>
      <c r="E17" s="60">
        <f>INDEX(Data!B2:M53,8,11)</f>
        <v>74.2</v>
      </c>
      <c r="F17" s="60">
        <f>INDEX(Data!B2:M53,8,12)</f>
        <v>57.4</v>
      </c>
      <c r="G17" s="61"/>
      <c r="H17" s="82"/>
      <c r="I17" s="82"/>
      <c r="J17" s="82"/>
      <c r="K17" s="61"/>
      <c r="L17" s="61"/>
      <c r="M17" s="96"/>
      <c r="R17" s="21"/>
      <c r="S17" s="21"/>
      <c r="T17" s="21"/>
      <c r="U17" s="21"/>
    </row>
    <row r="18" spans="2:22" ht="15" customHeight="1">
      <c r="B18" s="59" t="s">
        <v>86</v>
      </c>
      <c r="C18" s="63">
        <f>(usage2*8.2938*1.007*(120-$G$13)/RE2*(1-UA2*(120-C17)/power2)+24*UA2*(120-C17))*365/4*fuel_price2/1000000-((usage_new2*8.2938*1.007*(120-$G$13)/RE_new2*(1-UA_new2*(120-C17)/power_new2)+24*UA_new2*(120-C17))*365/4)*fuel_price_new2/1000000</f>
        <v>36.25209122143517</v>
      </c>
      <c r="D18" s="63">
        <f>(usage2*8.2938*1.007*(120-$G$13)/RE2*(1-UA2*(120-D17)/power2)+24*UA2*(120-D17))*365/4*fuel_price2/1000000-((usage_new2*8.2938*1.007*(120-$G$13)/RE_new2*(1-UA_new2*(120-D17)/power_new2)+24*UA_new2*(120-D17))*365/4)*fuel_price_new2/1000000</f>
        <v>30.25640150215441</v>
      </c>
      <c r="E18" s="63">
        <f>(usage2*8.2938*1.007*(120-$G$13)/RE2*(1-UA2*(120-E17)/power2)+24*UA2*(120-E17))*365/4*fuel_price2/1000000-((usage_new2*8.2938*1.007*(120-$G$13)/RE_new2*(1-UA_new2*(120-E17)/power_new2)+24*UA_new2*(120-E17))*365/4)*fuel_price_new2/1000000</f>
        <v>22.970941320005103</v>
      </c>
      <c r="F18" s="63">
        <f>(usage2*8.2938*1.007*(120-$G$13)/RE2*(1-UA2*(120-F17)/power2)+24*UA2*(120-F17))*365/4*fuel_price2/1000000-((usage_new2*8.2938*1.007*(120-$G$13)/RE_new2*(1-UA_new2*(120-F17)/power_new2)+24*UA_new2*(120-F17))*365/4)*fuel_price_new2/1000000</f>
        <v>28.827196394651445</v>
      </c>
      <c r="G18" s="246">
        <f>SUM(C18:F18)</f>
        <v>118.30663043824615</v>
      </c>
      <c r="H18" s="246"/>
      <c r="I18" s="246">
        <f>-PV(0.033,$I$9,G18)/1</f>
        <v>1382.1720322042408</v>
      </c>
      <c r="J18" s="246"/>
      <c r="K18" s="246"/>
      <c r="L18" s="258">
        <f>-PV(0.033,$I$9,G18)/$I$10</f>
        <v>1.1057376257633926</v>
      </c>
      <c r="M18" s="259"/>
      <c r="R18" s="21"/>
      <c r="S18" s="21"/>
      <c r="T18" s="21"/>
      <c r="U18" s="21"/>
      <c r="V18" s="21"/>
    </row>
    <row r="19" spans="2:22" ht="15.75" hidden="1">
      <c r="B19" s="59"/>
      <c r="C19" s="60">
        <v>68</v>
      </c>
      <c r="D19" s="60">
        <v>78</v>
      </c>
      <c r="E19" s="60">
        <v>78</v>
      </c>
      <c r="F19" s="60">
        <v>68</v>
      </c>
      <c r="G19" s="62"/>
      <c r="H19" s="82"/>
      <c r="I19" s="62"/>
      <c r="J19" s="95"/>
      <c r="K19" s="61"/>
      <c r="L19" s="61"/>
      <c r="M19" s="96"/>
      <c r="R19" s="21"/>
      <c r="S19" s="21"/>
      <c r="T19" s="21"/>
      <c r="U19" s="21"/>
      <c r="V19" s="21"/>
    </row>
    <row r="20" spans="2:21" ht="15" customHeight="1">
      <c r="B20" s="59" t="s">
        <v>87</v>
      </c>
      <c r="C20" s="63">
        <f>(usage2*8.2938*1.007*(120-$G$13)/RE2*(1-UA2*(120-C19)/power2)+24*UA2*(120-C19))*365/4*fuel_price2/1000000-((usage_new2*8.2938*1.007*(120-$G$13)/RE_new2*(1-UA_new2*(120-C19)/power_new2)+24*UA_new2*(120-C19))*365/4)*fuel_price_new2/1000000</f>
        <v>25.132178311838878</v>
      </c>
      <c r="D20" s="63">
        <f>(usage2*8.2938*1.007*(120-$G$13)/RE2*(1-UA2*(120-D19)/power2)+24*UA2*(120-D19))*365/4*fuel_price2/1000000-((usage_new2*8.2938*1.007*(120-$G$13)/RE_new2*(1-UA_new2*(120-D19)/power_new2)+24*UA_new2*(120-D19))*365/4)*fuel_price_new2/1000000</f>
        <v>21.64631219597797</v>
      </c>
      <c r="E20" s="63">
        <f>(usage2*8.2938*1.007*(120-$G$13)/RE2*(1-UA2*(120-E19)/power2)+24*UA2*(120-E19))*365/4*fuel_price2/1000000-((usage_new2*8.2938*1.007*(120-$G$13)/RE_new2*(1-UA_new2*(120-E19)/power_new2)+24*UA_new2*(120-E19))*365/4)*fuel_price_new2/1000000</f>
        <v>21.64631219597797</v>
      </c>
      <c r="F20" s="63">
        <f>(usage2*8.2938*1.007*(120-$G$13)/RE2*(1-UA2*(120-F19)/power2)+24*UA2*(120-F19))*365/4*fuel_price2/1000000-((usage_new2*8.2938*1.007*(120-$G$13)/RE_new2*(1-UA_new2*(120-F19)/power_new2)+24*UA_new2*(120-F19))*365/4)*fuel_price_new2/1000000</f>
        <v>25.132178311838878</v>
      </c>
      <c r="G20" s="246">
        <f>SUM(C20:F20)</f>
        <v>93.55698101563371</v>
      </c>
      <c r="H20" s="246"/>
      <c r="I20" s="246">
        <f>-PV(0.033,$I$9,G20)/1</f>
        <v>1093.0227840845353</v>
      </c>
      <c r="J20" s="246"/>
      <c r="K20" s="246"/>
      <c r="L20" s="258">
        <f>-PV(0.033,$I$9,G20)/$I$10</f>
        <v>0.8744182272676282</v>
      </c>
      <c r="M20" s="259"/>
      <c r="R20" s="21"/>
      <c r="S20" s="21"/>
      <c r="T20" s="21"/>
      <c r="U20" s="21"/>
    </row>
    <row r="21" spans="2:21" ht="15.75" hidden="1">
      <c r="B21" s="59"/>
      <c r="C21" s="60">
        <f>C19-5</f>
        <v>63</v>
      </c>
      <c r="D21" s="60">
        <f>D19+5</f>
        <v>83</v>
      </c>
      <c r="E21" s="60">
        <f>E19+5</f>
        <v>83</v>
      </c>
      <c r="F21" s="60">
        <f>F19-5</f>
        <v>63</v>
      </c>
      <c r="G21" s="62"/>
      <c r="H21" s="82"/>
      <c r="I21" s="62"/>
      <c r="J21" s="95"/>
      <c r="K21" s="61"/>
      <c r="L21" s="61"/>
      <c r="M21" s="96"/>
      <c r="R21" s="21"/>
      <c r="S21" s="21"/>
      <c r="T21" s="21"/>
      <c r="U21" s="21"/>
    </row>
    <row r="22" spans="2:21" ht="14.25" customHeight="1">
      <c r="B22" s="59" t="s">
        <v>88</v>
      </c>
      <c r="C22" s="63">
        <f>(usage2*8.2938*1.007*(120-$G$13)/RE2*(1-UA2*(120-C21)/power2)+24*UA2*(120-C21))*365/4*fuel_price2/1000000-((usage_new2*8.2938*1.007*(120-$G$13)/RE_new2*(1-UA_new2*(120-C21)/power_new2)+24*UA_new2*(120-C21))*365/4)*fuel_price_new2/1000000</f>
        <v>26.87511136976933</v>
      </c>
      <c r="D22" s="63">
        <f>(usage2*8.2938*1.007*(120-$G$13)/RE2*(1-UA2*(120-D21)/power2)+24*UA2*(120-D21))*365/4*fuel_price2/1000000-((usage_new2*8.2938*1.007*(120-$G$13)/RE_new2*(1-UA_new2*(120-D21)/power_new2)+24*UA_new2*(120-D21))*365/4)*fuel_price_new2/1000000</f>
        <v>19.903379138047505</v>
      </c>
      <c r="E22" s="63">
        <f>(usage2*8.2938*1.007*(120-$G$13)/RE2*(1-UA2*(120-E21)/power2)+24*UA2*(120-E21))*365/4*fuel_price2/1000000-((usage_new2*8.2938*1.007*(120-$G$13)/RE_new2*(1-UA_new2*(120-E21)/power_new2)+24*UA_new2*(120-E21))*365/4)*fuel_price_new2/1000000</f>
        <v>19.903379138047505</v>
      </c>
      <c r="F22" s="63">
        <f>(usage2*8.2938*1.007*(120-$G$13)/RE2*(1-UA2*(120-F21)/power2)+24*UA2*(120-F21))*365/4*fuel_price2/1000000-((usage_new2*8.2938*1.007*(120-$G$13)/RE_new2*(1-UA_new2*(120-F21)/power_new2)+24*UA_new2*(120-F21))*365/4)*fuel_price_new2/1000000</f>
        <v>26.87511136976933</v>
      </c>
      <c r="G22" s="246">
        <f>SUM(C22:F22)</f>
        <v>93.55698101563367</v>
      </c>
      <c r="H22" s="246"/>
      <c r="I22" s="246">
        <f>-PV(0.033,$I$9,G22)/1</f>
        <v>1093.0227840845346</v>
      </c>
      <c r="J22" s="246"/>
      <c r="K22" s="246"/>
      <c r="L22" s="258">
        <f>-PV(0.033,$I$9,G22)/$I$10</f>
        <v>0.8744182272676276</v>
      </c>
      <c r="M22" s="259"/>
      <c r="R22" s="21"/>
      <c r="S22" s="21"/>
      <c r="T22" s="21"/>
      <c r="U22" s="21"/>
    </row>
    <row r="23" spans="2:21" ht="15.75" hidden="1">
      <c r="B23" s="59"/>
      <c r="C23" s="60">
        <f>C17+10</f>
        <v>46.1</v>
      </c>
      <c r="D23" s="60">
        <f>D17+5</f>
        <v>58.3</v>
      </c>
      <c r="E23" s="60">
        <f>E17+5</f>
        <v>79.2</v>
      </c>
      <c r="F23" s="60">
        <f>F17+10</f>
        <v>67.4</v>
      </c>
      <c r="G23" s="62"/>
      <c r="H23" s="82"/>
      <c r="I23" s="62"/>
      <c r="J23" s="95"/>
      <c r="K23" s="61"/>
      <c r="L23" s="61"/>
      <c r="M23" s="96"/>
      <c r="R23" s="21"/>
      <c r="S23" s="21"/>
      <c r="T23" s="21"/>
      <c r="U23" s="21"/>
    </row>
    <row r="24" spans="2:21" ht="15" customHeight="1" thickBot="1">
      <c r="B24" s="68" t="s">
        <v>89</v>
      </c>
      <c r="C24" s="69">
        <f>(usage2*8.2938*1.007*(120-$G$13)/RE2*(1-UA2*(120-C23)/power2)+24*UA2*(120-C23))*365/4*fuel_price2/1000000-((usage_new2*8.2938*1.007*(120-$G$13)/RE_new2*(1-UA_new2*(120-C23)/power_new2)+24*UA_new2*(120-C23))*365/4)*fuel_price_new2/1000000</f>
        <v>32.76622510557428</v>
      </c>
      <c r="D24" s="69">
        <f>(usage2*8.2938*1.007*(120-$G$13)/RE2*(1-UA2*(120-D23)/power2)+24*UA2*(120-D23))*365/4*fuel_price2/1000000-((usage_new2*8.2938*1.007*(120-$G$13)/RE_new2*(1-UA_new2*(120-D23)/power_new2)+24*UA_new2*(120-D23))*365/4)*fuel_price_new2/1000000</f>
        <v>28.51346844422396</v>
      </c>
      <c r="E24" s="69">
        <f>(usage2*8.2938*1.007*(120-$G$13)/RE2*(1-UA2*(120-E23)/power2)+24*UA2*(120-E23))*365/4*fuel_price2/1000000-((usage_new2*8.2938*1.007*(120-$G$13)/RE_new2*(1-UA_new2*(120-E23)/power_new2)+24*UA_new2*(120-E23))*365/4)*fuel_price_new2/1000000</f>
        <v>21.228008262074667</v>
      </c>
      <c r="F24" s="69">
        <f>(usage2*8.2938*1.007*(120-$G$13)/RE2*(1-UA2*(120-F23)/power2)+24*UA2*(120-F23))*365/4*fuel_price2/1000000-((usage_new2*8.2938*1.007*(120-$G$13)/RE_new2*(1-UA_new2*(120-F23)/power_new2)+24*UA_new2*(120-F23))*365/4)*fuel_price_new2/1000000</f>
        <v>25.341330278790522</v>
      </c>
      <c r="G24" s="247">
        <f>SUM(C24:F24)</f>
        <v>107.84903209066343</v>
      </c>
      <c r="H24" s="247"/>
      <c r="I24" s="247">
        <f>-PV(0.033,$I$9,G24)/1</f>
        <v>1259.9962935621115</v>
      </c>
      <c r="J24" s="247"/>
      <c r="K24" s="247"/>
      <c r="L24" s="253">
        <f>-PV(0.033,$I$9,G24)/$I$10</f>
        <v>1.0079970348496892</v>
      </c>
      <c r="M24" s="254"/>
      <c r="R24" s="21"/>
      <c r="S24" s="21"/>
      <c r="T24" s="21"/>
      <c r="U24" s="21"/>
    </row>
    <row r="25" spans="8:21" ht="15.75">
      <c r="H25" s="21"/>
      <c r="I25" s="21"/>
      <c r="J25" s="21"/>
      <c r="K25" s="21"/>
      <c r="L25" s="21"/>
      <c r="M25" s="21"/>
      <c r="O25" s="21"/>
      <c r="P25" s="21"/>
      <c r="Q25" s="21"/>
      <c r="R25" s="21"/>
      <c r="S25" s="21"/>
      <c r="T25" s="21"/>
      <c r="U25" s="21"/>
    </row>
    <row r="26" spans="8:21" ht="15.75">
      <c r="H26" s="21"/>
      <c r="I26" s="21"/>
      <c r="J26" s="21"/>
      <c r="K26" s="21"/>
      <c r="L26" s="21"/>
      <c r="M26" s="21"/>
      <c r="O26" s="21"/>
      <c r="P26" s="21"/>
      <c r="Q26" s="21"/>
      <c r="R26" s="21"/>
      <c r="S26" s="21"/>
      <c r="T26" s="21"/>
      <c r="U26" s="21"/>
    </row>
    <row r="27" spans="8:21" ht="15.75">
      <c r="H27" s="21"/>
      <c r="I27" s="21"/>
      <c r="J27" s="21"/>
      <c r="K27" s="21"/>
      <c r="L27" s="21"/>
      <c r="M27" s="21"/>
      <c r="O27" s="21"/>
      <c r="P27" s="21"/>
      <c r="Q27" s="21"/>
      <c r="R27" s="21"/>
      <c r="S27" s="21"/>
      <c r="T27" s="21"/>
      <c r="U27" s="21"/>
    </row>
    <row r="28" spans="8:21" ht="15.75">
      <c r="H28" s="21"/>
      <c r="I28" s="21"/>
      <c r="J28" s="21"/>
      <c r="K28" s="21"/>
      <c r="L28" s="21"/>
      <c r="M28" s="21"/>
      <c r="O28" s="21"/>
      <c r="P28" s="21"/>
      <c r="Q28" s="21"/>
      <c r="R28" s="21"/>
      <c r="S28" s="21"/>
      <c r="T28" s="21"/>
      <c r="U28" s="21"/>
    </row>
  </sheetData>
  <sheetProtection/>
  <mergeCells count="33">
    <mergeCell ref="G2:H2"/>
    <mergeCell ref="G6:H6"/>
    <mergeCell ref="G3:H3"/>
    <mergeCell ref="G7:H7"/>
    <mergeCell ref="G5:H5"/>
    <mergeCell ref="I2:J2"/>
    <mergeCell ref="I5:J5"/>
    <mergeCell ref="I6:J6"/>
    <mergeCell ref="G15:H15"/>
    <mergeCell ref="G16:H16"/>
    <mergeCell ref="I9:J9"/>
    <mergeCell ref="I8:J8"/>
    <mergeCell ref="G9:H9"/>
    <mergeCell ref="I10:J10"/>
    <mergeCell ref="G8:H8"/>
    <mergeCell ref="I11:J11"/>
    <mergeCell ref="I18:K18"/>
    <mergeCell ref="L15:M15"/>
    <mergeCell ref="L16:M16"/>
    <mergeCell ref="L18:M18"/>
    <mergeCell ref="L20:M20"/>
    <mergeCell ref="I3:J3"/>
    <mergeCell ref="I7:J7"/>
    <mergeCell ref="G13:J13"/>
    <mergeCell ref="L22:M22"/>
    <mergeCell ref="L24:M24"/>
    <mergeCell ref="G18:H18"/>
    <mergeCell ref="I20:K20"/>
    <mergeCell ref="I22:K22"/>
    <mergeCell ref="I24:K24"/>
    <mergeCell ref="G20:H20"/>
    <mergeCell ref="G22:H22"/>
    <mergeCell ref="G24:H24"/>
  </mergeCells>
  <printOptions gridLines="1"/>
  <pageMargins left="0.75" right="0.75" top="0.75" bottom="0.75" header="0.5" footer="0.5"/>
  <pageSetup horizontalDpi="300" verticalDpi="300" orientation="landscape" scale="95" r:id="rId3"/>
  <headerFooter alignWithMargins="0">
    <oddFooter>&amp;C&amp;14&amp;A</oddFooter>
  </headerFooter>
  <legacyDrawing r:id="rId2"/>
</worksheet>
</file>

<file path=xl/worksheets/sheet7.xml><?xml version="1.0" encoding="utf-8"?>
<worksheet xmlns="http://schemas.openxmlformats.org/spreadsheetml/2006/main" xmlns:r="http://schemas.openxmlformats.org/officeDocument/2006/relationships">
  <sheetPr codeName="Sheet4"/>
  <dimension ref="B2:Z44"/>
  <sheetViews>
    <sheetView showGridLines="0" showRowColHeaders="0" tabSelected="1" zoomScale="85" zoomScaleNormal="85" workbookViewId="0" topLeftCell="A1">
      <selection activeCell="B42" sqref="B42"/>
    </sheetView>
  </sheetViews>
  <sheetFormatPr defaultColWidth="9.140625" defaultRowHeight="12.75"/>
  <cols>
    <col min="1" max="1" width="1.7109375" style="5" customWidth="1"/>
    <col min="2" max="2" width="40.57421875" style="5" customWidth="1"/>
    <col min="3" max="6" width="9.28125" style="5" hidden="1" customWidth="1"/>
    <col min="7" max="10" width="9.28125" style="5" customWidth="1"/>
    <col min="11" max="11" width="6.8515625" style="5" customWidth="1"/>
    <col min="12" max="15" width="8.140625" style="5" customWidth="1"/>
    <col min="16" max="16" width="1.7109375" style="5" customWidth="1"/>
    <col min="17" max="17" width="7.421875" style="5" customWidth="1"/>
    <col min="18" max="18" width="7.421875" style="5" hidden="1" customWidth="1"/>
    <col min="19" max="19" width="7.421875" style="5" customWidth="1"/>
    <col min="20" max="25" width="8.28125" style="5" customWidth="1"/>
    <col min="26" max="16384" width="9.140625" style="5" customWidth="1"/>
  </cols>
  <sheetData>
    <row r="1" ht="6" customHeight="1" thickBot="1"/>
    <row r="2" spans="2:15" ht="15">
      <c r="B2" s="172"/>
      <c r="C2" s="122"/>
      <c r="D2" s="122"/>
      <c r="E2" s="122"/>
      <c r="F2" s="122"/>
      <c r="G2" s="293" t="s">
        <v>64</v>
      </c>
      <c r="H2" s="291"/>
      <c r="I2" s="290" t="s">
        <v>65</v>
      </c>
      <c r="J2" s="291"/>
      <c r="K2" s="122"/>
      <c r="L2" s="122"/>
      <c r="M2" s="122"/>
      <c r="N2" s="122"/>
      <c r="O2" s="160"/>
    </row>
    <row r="3" spans="2:18" ht="15.75">
      <c r="B3" s="173" t="s">
        <v>1</v>
      </c>
      <c r="C3" s="131"/>
      <c r="D3" s="131"/>
      <c r="E3" s="131"/>
      <c r="F3" s="131"/>
      <c r="G3" s="294">
        <v>0.88</v>
      </c>
      <c r="H3" s="272"/>
      <c r="I3" s="262">
        <v>2.37</v>
      </c>
      <c r="J3" s="272"/>
      <c r="K3" s="161"/>
      <c r="L3" s="161"/>
      <c r="M3" s="161"/>
      <c r="N3" s="161"/>
      <c r="O3" s="162"/>
      <c r="R3" s="33">
        <v>1</v>
      </c>
    </row>
    <row r="4" spans="2:15" ht="15.75">
      <c r="B4" s="173" t="s">
        <v>0</v>
      </c>
      <c r="C4" s="131"/>
      <c r="D4" s="131"/>
      <c r="E4" s="131"/>
      <c r="F4" s="131"/>
      <c r="G4" s="296">
        <v>0.98</v>
      </c>
      <c r="H4" s="297"/>
      <c r="I4" s="163"/>
      <c r="J4" s="176"/>
      <c r="K4" s="161"/>
      <c r="L4" s="161" t="s">
        <v>186</v>
      </c>
      <c r="M4" s="161"/>
      <c r="N4" s="161"/>
      <c r="O4" s="162"/>
    </row>
    <row r="5" spans="2:18" ht="15.75">
      <c r="B5" s="173" t="s">
        <v>179</v>
      </c>
      <c r="C5" s="131"/>
      <c r="D5" s="131"/>
      <c r="E5" s="131"/>
      <c r="F5" s="131"/>
      <c r="G5" s="295"/>
      <c r="H5" s="277"/>
      <c r="I5" s="275" t="s">
        <v>142</v>
      </c>
      <c r="J5" s="277"/>
      <c r="K5" s="161"/>
      <c r="L5" s="161" t="s">
        <v>187</v>
      </c>
      <c r="M5" s="161"/>
      <c r="N5" s="161"/>
      <c r="O5" s="151"/>
      <c r="P5" s="16"/>
      <c r="R5" s="22">
        <v>5</v>
      </c>
    </row>
    <row r="6" spans="2:18" ht="15">
      <c r="B6" s="174" t="s">
        <v>181</v>
      </c>
      <c r="C6" s="135"/>
      <c r="D6" s="135"/>
      <c r="E6" s="135"/>
      <c r="F6" s="135"/>
      <c r="G6" s="295">
        <f>'Hot Water Consumption'!B6</f>
        <v>58.65827338129496</v>
      </c>
      <c r="H6" s="277"/>
      <c r="I6" s="275">
        <f>'Hot Water Consumption'!B6</f>
        <v>58.65827338129496</v>
      </c>
      <c r="J6" s="277"/>
      <c r="K6" s="161"/>
      <c r="L6" s="161" t="s">
        <v>188</v>
      </c>
      <c r="M6" s="161"/>
      <c r="N6" s="161"/>
      <c r="O6" s="162"/>
      <c r="R6" s="22">
        <v>1</v>
      </c>
    </row>
    <row r="7" spans="2:15" ht="15" hidden="1">
      <c r="B7" s="174" t="s">
        <v>2</v>
      </c>
      <c r="C7" s="135"/>
      <c r="D7" s="135"/>
      <c r="E7" s="135"/>
      <c r="F7" s="135"/>
      <c r="G7" s="295">
        <f>(1/EnergyFactor3-1/RE3)/((135-67.5)*(24/41094-1/(RE3*power3)))</f>
        <v>3.3190973741246097</v>
      </c>
      <c r="H7" s="277"/>
      <c r="I7" s="163"/>
      <c r="J7" s="161"/>
      <c r="K7" s="161"/>
      <c r="L7" s="161"/>
      <c r="M7" s="161"/>
      <c r="N7" s="161"/>
      <c r="O7" s="162"/>
    </row>
    <row r="8" spans="2:18" ht="15" hidden="1">
      <c r="B8" s="174"/>
      <c r="C8" s="135"/>
      <c r="D8" s="135"/>
      <c r="E8" s="135"/>
      <c r="F8" s="135"/>
      <c r="G8" s="163"/>
      <c r="H8" s="152"/>
      <c r="I8" s="163"/>
      <c r="J8" s="161"/>
      <c r="K8" s="161"/>
      <c r="L8" s="161" t="s">
        <v>189</v>
      </c>
      <c r="M8" s="161"/>
      <c r="N8" s="161"/>
      <c r="O8" s="164">
        <f>IF(R6=5,0,INDEX(Data!B2:M53,R13,IF(R6=2,5,IF(R6=1,3,IF(R6=3,6,IF(R6=4,7,"OOPS")))))*IF(AND(OR(R6=2,R6=3,R6=4),OR(R5=1,R5=3,R5=4)),1/0.8,IF(AND(R6=1,R5=2),3.412/6.8,IF(AND(OR(R5=1,R5=3,R5=5),R6=1),1/0.98,"OOPS"))))</f>
        <v>21.47283297844343</v>
      </c>
      <c r="R8" s="22"/>
    </row>
    <row r="9" spans="2:15" ht="15.75">
      <c r="B9" s="175" t="s">
        <v>177</v>
      </c>
      <c r="C9" s="135"/>
      <c r="D9" s="135"/>
      <c r="E9" s="135"/>
      <c r="F9" s="135"/>
      <c r="G9" s="298">
        <f>IF(OR(R3=2,R3=3),40000,IF(R3=1,15354,"uh oh"))</f>
        <v>15354</v>
      </c>
      <c r="H9" s="274"/>
      <c r="I9" s="165"/>
      <c r="J9" s="176"/>
      <c r="K9" s="161"/>
      <c r="L9" s="161" t="s">
        <v>190</v>
      </c>
      <c r="M9" s="161"/>
      <c r="N9" s="161"/>
      <c r="O9" s="162"/>
    </row>
    <row r="10" spans="2:18" ht="15">
      <c r="B10" s="174" t="s">
        <v>180</v>
      </c>
      <c r="C10" s="135"/>
      <c r="D10" s="135"/>
      <c r="E10" s="135"/>
      <c r="F10" s="135"/>
      <c r="G10" s="295">
        <f>INDEX(Data!B2:M53,R13,IF(R3=2,5,IF(R3=1,3,IF(R3=3,6,"OOPS"))))</f>
        <v>21.04337631887456</v>
      </c>
      <c r="H10" s="277"/>
      <c r="I10" s="275">
        <f>INDEX(Data!B2:M53,R13,3)</f>
        <v>21.04337631887456</v>
      </c>
      <c r="J10" s="277"/>
      <c r="K10" s="161"/>
      <c r="L10" s="161" t="s">
        <v>187</v>
      </c>
      <c r="M10" s="161"/>
      <c r="N10" s="161"/>
      <c r="O10" s="151"/>
      <c r="P10" s="16"/>
      <c r="R10" s="22">
        <v>2</v>
      </c>
    </row>
    <row r="11" spans="2:18" ht="15.75">
      <c r="B11" s="175" t="s">
        <v>178</v>
      </c>
      <c r="C11" s="133"/>
      <c r="D11" s="133"/>
      <c r="E11" s="133"/>
      <c r="F11" s="133"/>
      <c r="G11" s="299"/>
      <c r="H11" s="292"/>
      <c r="I11" s="264">
        <v>10</v>
      </c>
      <c r="J11" s="292"/>
      <c r="K11" s="161"/>
      <c r="L11" s="161" t="s">
        <v>188</v>
      </c>
      <c r="M11" s="161"/>
      <c r="N11" s="161"/>
      <c r="O11" s="162"/>
      <c r="R11" s="41">
        <v>2</v>
      </c>
    </row>
    <row r="12" spans="2:18" ht="16.5" thickBot="1">
      <c r="B12" s="173" t="s">
        <v>216</v>
      </c>
      <c r="C12" s="148"/>
      <c r="D12" s="148"/>
      <c r="E12" s="148"/>
      <c r="F12" s="148"/>
      <c r="G12" s="168"/>
      <c r="H12" s="149"/>
      <c r="I12" s="169">
        <v>1400</v>
      </c>
      <c r="J12" s="177"/>
      <c r="K12" s="161"/>
      <c r="L12" s="161"/>
      <c r="M12" s="161"/>
      <c r="N12" s="161"/>
      <c r="O12" s="162"/>
      <c r="R12" s="41"/>
    </row>
    <row r="13" spans="2:18" ht="15.75">
      <c r="B13" s="173" t="s">
        <v>4</v>
      </c>
      <c r="C13" s="131"/>
      <c r="D13" s="131"/>
      <c r="E13" s="131"/>
      <c r="F13" s="131"/>
      <c r="G13" s="283">
        <f>INDEX(Data!B2:M53,R13,8)</f>
        <v>52</v>
      </c>
      <c r="H13" s="283"/>
      <c r="I13" s="283"/>
      <c r="J13" s="284"/>
      <c r="K13" s="161"/>
      <c r="L13" s="161"/>
      <c r="M13" s="161"/>
      <c r="N13" s="161"/>
      <c r="O13" s="162"/>
      <c r="P13" s="26"/>
      <c r="Q13" s="26"/>
      <c r="R13" s="42">
        <v>38</v>
      </c>
    </row>
    <row r="14" spans="2:17" ht="15.75" thickBot="1">
      <c r="B14" s="181" t="s">
        <v>182</v>
      </c>
      <c r="C14" s="148"/>
      <c r="D14" s="148"/>
      <c r="E14" s="148"/>
      <c r="F14" s="148"/>
      <c r="G14" s="249"/>
      <c r="H14" s="249"/>
      <c r="I14" s="249"/>
      <c r="J14" s="285"/>
      <c r="K14" s="148"/>
      <c r="L14" s="148"/>
      <c r="M14" s="148"/>
      <c r="N14" s="170"/>
      <c r="O14" s="171"/>
      <c r="P14"/>
      <c r="Q14"/>
    </row>
    <row r="15" spans="11:17" ht="15.75" hidden="1" thickBot="1">
      <c r="K15" s="148"/>
      <c r="L15" s="161" t="s">
        <v>189</v>
      </c>
      <c r="M15" s="161"/>
      <c r="N15" s="161"/>
      <c r="O15" s="164">
        <f>IF(R10=2,0,INDEX(Data!B2:M53,R13,3)*3.412/10)</f>
        <v>0</v>
      </c>
      <c r="P15"/>
      <c r="Q15"/>
    </row>
    <row r="16" spans="7:17" ht="6" customHeight="1" thickBot="1">
      <c r="G16" s="15"/>
      <c r="I16" s="15"/>
      <c r="N16"/>
      <c r="O16"/>
      <c r="P16"/>
      <c r="Q16"/>
    </row>
    <row r="17" spans="2:13" ht="15.75">
      <c r="B17" s="51"/>
      <c r="C17" s="73" t="s">
        <v>94</v>
      </c>
      <c r="D17" s="52"/>
      <c r="E17" s="52"/>
      <c r="F17" s="52"/>
      <c r="G17" s="251" t="s">
        <v>183</v>
      </c>
      <c r="H17" s="251"/>
      <c r="I17" s="93"/>
      <c r="J17" s="53" t="s">
        <v>185</v>
      </c>
      <c r="K17" s="54"/>
      <c r="L17" s="251" t="s">
        <v>218</v>
      </c>
      <c r="M17" s="255"/>
    </row>
    <row r="18" spans="2:13" ht="15.75">
      <c r="B18" s="72" t="s">
        <v>85</v>
      </c>
      <c r="C18" s="74" t="s">
        <v>81</v>
      </c>
      <c r="D18" s="74" t="s">
        <v>82</v>
      </c>
      <c r="E18" s="74" t="s">
        <v>83</v>
      </c>
      <c r="F18" s="74" t="s">
        <v>84</v>
      </c>
      <c r="G18" s="256" t="s">
        <v>184</v>
      </c>
      <c r="H18" s="256"/>
      <c r="I18" s="61"/>
      <c r="J18" s="55" t="s">
        <v>217</v>
      </c>
      <c r="K18" s="56"/>
      <c r="L18" s="256" t="s">
        <v>216</v>
      </c>
      <c r="M18" s="257"/>
    </row>
    <row r="19" spans="2:13" ht="15" customHeight="1" hidden="1">
      <c r="B19" s="75" t="s">
        <v>114</v>
      </c>
      <c r="C19" s="76">
        <f>INDEX(Data!B2:M53,R13,9)</f>
        <v>34</v>
      </c>
      <c r="D19" s="76">
        <f>INDEX(Data!B2:M53,R13,10)</f>
        <v>46.9</v>
      </c>
      <c r="E19" s="76">
        <f>INDEX(Data!B2:M53,R13,11)</f>
        <v>63.7</v>
      </c>
      <c r="F19" s="76">
        <f>INDEX(Data!B2:M53,R13,12)</f>
        <v>48.9</v>
      </c>
      <c r="G19" s="55"/>
      <c r="H19" s="61"/>
      <c r="I19" s="61"/>
      <c r="J19" s="61"/>
      <c r="K19" s="61"/>
      <c r="L19" s="61"/>
      <c r="M19" s="77"/>
    </row>
    <row r="20" spans="2:13" ht="15" customHeight="1" hidden="1">
      <c r="B20" s="75" t="s">
        <v>139</v>
      </c>
      <c r="C20" s="78">
        <f>IF(C19&gt;32,(0.00008*C19^3+0.0011*C19^2-0.4833*C19+0.0857)/100,(1/EnergyFactor_new3-1))</f>
        <v>-0.11930580000000003</v>
      </c>
      <c r="D20" s="78">
        <f>IF(D19&gt;32,(0.00008*D19^3+0.0011*D19^2-0.4833*D19+0.0857)/100,(1/EnergyFactor_new3-1))</f>
        <v>-0.11908562280000001</v>
      </c>
      <c r="E20" s="78">
        <f>IF(E19&gt;32,(0.00008*E19^3+0.0011*E19^2-0.4833*E19+0.0857)/100,(1/EnergyFactor_new3-1))</f>
        <v>-0.055590627599999956</v>
      </c>
      <c r="F20" s="78">
        <f>IF(F19&gt;32,(0.00008*F19^3+0.0011*F19^2-0.4833*F19+0.0857)/100,(1/EnergyFactor_new3-1))</f>
        <v>-0.11562925480000001</v>
      </c>
      <c r="G20" s="55"/>
      <c r="H20" s="61"/>
      <c r="I20" s="61"/>
      <c r="J20" s="61"/>
      <c r="K20" s="61"/>
      <c r="L20" s="61"/>
      <c r="M20" s="77"/>
    </row>
    <row r="21" spans="2:13" ht="15" customHeight="1" hidden="1">
      <c r="B21" s="75" t="s">
        <v>137</v>
      </c>
      <c r="C21" s="79">
        <f>(Usage3*8.2938*1.007*(120-$G$13)/RE3*(1-UA3*(120-C19)/power3)+24*UA3*(120-C19))*365/4*fuel_price3/1000000</f>
        <v>77.21559087391623</v>
      </c>
      <c r="D21" s="79">
        <f>(Usage3*8.2938*1.007*(120-$G$13)/RE3*(1-UA3*(120-D19)/power3)+24*UA3*(120-D19))*365/4*fuel_price3/1000000</f>
        <v>75.42442458926955</v>
      </c>
      <c r="E21" s="79">
        <f>(Usage3*8.2938*1.007*(120-$G$13)/RE3*(1-UA3*(120-E19)/power3)+24*UA3*(120-E19))*365/4*fuel_price3/1000000</f>
        <v>73.0917429162413</v>
      </c>
      <c r="F21" s="79">
        <f>(Usage3*8.2938*1.007*(120-$G$13)/RE3*(1-UA3*(120-F19)/power3)+24*UA3*(120-F19))*365/4*fuel_price3/1000000</f>
        <v>75.1467243900995</v>
      </c>
      <c r="G21" s="55"/>
      <c r="H21" s="61"/>
      <c r="I21" s="61"/>
      <c r="J21" s="61"/>
      <c r="K21" s="61"/>
      <c r="L21" s="61"/>
      <c r="M21" s="77"/>
    </row>
    <row r="22" spans="2:13" ht="15.75" customHeight="1" hidden="1">
      <c r="B22" s="75" t="s">
        <v>138</v>
      </c>
      <c r="C22" s="79">
        <f>(usage_new3*8.2938*1.007*(120-$G$13)/(EnergyFactor_new3*(1+C20))*365/4)*fuel_price_new3/1000000</f>
        <v>30.64756886658271</v>
      </c>
      <c r="D22" s="79">
        <f>(usage_new3*8.2938*1.007*(120-$G$13)/(EnergyFactor_new3*(1+D20))*365/4)*fuel_price_new3/1000000</f>
        <v>30.639908762406293</v>
      </c>
      <c r="E22" s="79">
        <f>(usage_new3*8.2938*1.007*(120-$G$13)/(EnergyFactor_new3*(1+E20))*365/4)*fuel_price_new3/1000000</f>
        <v>28.579911353810665</v>
      </c>
      <c r="F22" s="79">
        <f>(usage_new3*8.2938*1.007*(120-$G$13)/(EnergyFactor_new3*(1+F20))*365/4)*fuel_price_new3/1000000</f>
        <v>30.520159436974513</v>
      </c>
      <c r="G22" s="57"/>
      <c r="H22" s="57"/>
      <c r="I22" s="61"/>
      <c r="J22" s="61"/>
      <c r="K22" s="61"/>
      <c r="L22" s="57"/>
      <c r="M22" s="80"/>
    </row>
    <row r="23" spans="2:25" ht="15.75">
      <c r="B23" s="59" t="s">
        <v>86</v>
      </c>
      <c r="C23" s="63">
        <f>C21-C22</f>
        <v>46.56802200733352</v>
      </c>
      <c r="D23" s="63">
        <f>D21-D22</f>
        <v>44.784515826863256</v>
      </c>
      <c r="E23" s="63">
        <f>E21-E22</f>
        <v>44.511831562430636</v>
      </c>
      <c r="F23" s="63">
        <f>F21-F22</f>
        <v>44.62656495312498</v>
      </c>
      <c r="G23" s="246">
        <f>SUM(C23:F23)</f>
        <v>180.4909343497524</v>
      </c>
      <c r="H23" s="246"/>
      <c r="I23" s="246">
        <f>-PV(0.033,$I$11,G23)/1</f>
        <v>1516.3182713643653</v>
      </c>
      <c r="J23" s="246"/>
      <c r="K23" s="246"/>
      <c r="L23" s="286">
        <f>-PV(0.033,$I$11,G23)/$I$12</f>
        <v>1.083084479545975</v>
      </c>
      <c r="M23" s="287"/>
      <c r="S23" s="21"/>
      <c r="T23" s="21"/>
      <c r="U23" s="21"/>
      <c r="V23" s="21"/>
      <c r="W23" s="21"/>
      <c r="X23" s="21"/>
      <c r="Y23" s="21"/>
    </row>
    <row r="24" spans="2:25" ht="15.75" customHeight="1" hidden="1">
      <c r="B24" s="75" t="s">
        <v>114</v>
      </c>
      <c r="C24" s="76">
        <v>68</v>
      </c>
      <c r="D24" s="76">
        <v>78</v>
      </c>
      <c r="E24" s="76">
        <v>78</v>
      </c>
      <c r="F24" s="76">
        <v>68</v>
      </c>
      <c r="G24" s="62"/>
      <c r="H24" s="62"/>
      <c r="I24" s="61"/>
      <c r="J24" s="95"/>
      <c r="K24" s="81"/>
      <c r="L24" s="62"/>
      <c r="M24" s="58"/>
      <c r="S24" s="21"/>
      <c r="T24" s="21"/>
      <c r="U24" s="21"/>
      <c r="V24" s="21"/>
      <c r="W24" s="21"/>
      <c r="X24" s="21"/>
      <c r="Y24" s="21"/>
    </row>
    <row r="25" spans="2:25" ht="15.75" customHeight="1" hidden="1">
      <c r="B25" s="75" t="s">
        <v>139</v>
      </c>
      <c r="C25" s="78">
        <f>IF(C24&gt;32,(0.00008*C24^3+0.0011*C24^2-0.4833*C24+0.0857)/100,(1/EnergyFactor_new3-1))</f>
        <v>-0.025377399999999984</v>
      </c>
      <c r="D25" s="78">
        <f>IF(D24&gt;32,(0.00008*D24^3+0.0011*D24^2-0.4833*D24+0.0857)/100,(1/EnergyFactor_new3-1))</f>
        <v>0.07044859999999997</v>
      </c>
      <c r="E25" s="78">
        <f>IF(E24&gt;32,(0.00008*E24^3+0.0011*E24^2-0.4833*E24+0.0857)/100,(1/EnergyFactor_new3-1))</f>
        <v>0.07044859999999997</v>
      </c>
      <c r="F25" s="78">
        <f>IF(F24&gt;32,(0.00008*F24^3+0.0011*F24^2-0.4833*F24+0.0857)/100,(1/EnergyFactor_new3-1))</f>
        <v>-0.025377399999999984</v>
      </c>
      <c r="G25" s="62"/>
      <c r="H25" s="62"/>
      <c r="I25" s="61"/>
      <c r="J25" s="95"/>
      <c r="K25" s="81"/>
      <c r="L25" s="62"/>
      <c r="M25" s="58"/>
      <c r="S25" s="21"/>
      <c r="T25" s="21"/>
      <c r="U25" s="21"/>
      <c r="V25" s="21"/>
      <c r="W25" s="21"/>
      <c r="X25" s="21"/>
      <c r="Y25" s="21"/>
    </row>
    <row r="26" spans="2:25" ht="15.75" customHeight="1" hidden="1">
      <c r="B26" s="75" t="s">
        <v>137</v>
      </c>
      <c r="C26" s="79">
        <f>(Usage3*8.2938*1.007*(120-$G$13)/RE3*(1-UA3*(120-C24)/power3)+24*UA3*(120-C24))*365/4*fuel_price3/1000000</f>
        <v>72.49468748802575</v>
      </c>
      <c r="D26" s="79">
        <f>(Usage3*8.2938*1.007*(120-$G$13)/RE3*(1-UA3*(120-D24)/power3)+24*UA3*(120-D24))*365/4*fuel_price3/1000000</f>
        <v>71.1061864921756</v>
      </c>
      <c r="E26" s="79">
        <f>(Usage3*8.2938*1.007*(120-$G$13)/RE3*(1-UA3*(120-E24)/power3)+24*UA3*(120-E24))*365/4*fuel_price3/1000000</f>
        <v>71.1061864921756</v>
      </c>
      <c r="F26" s="79">
        <f>(Usage3*8.2938*1.007*(120-$G$13)/RE3*(1-UA3*(120-F24)/power3)+24*UA3*(120-F24))*365/4*fuel_price3/1000000</f>
        <v>72.49468748802575</v>
      </c>
      <c r="G26" s="62"/>
      <c r="H26" s="62"/>
      <c r="I26" s="61"/>
      <c r="J26" s="95"/>
      <c r="K26" s="81"/>
      <c r="L26" s="62"/>
      <c r="M26" s="58"/>
      <c r="S26" s="21"/>
      <c r="T26" s="21"/>
      <c r="U26" s="21"/>
      <c r="V26" s="21"/>
      <c r="W26" s="21"/>
      <c r="X26" s="21"/>
      <c r="Y26" s="21"/>
    </row>
    <row r="27" spans="2:26" ht="15.75" customHeight="1" hidden="1">
      <c r="B27" s="75" t="s">
        <v>138</v>
      </c>
      <c r="C27" s="79">
        <f>(usage_new3*8.2938*1.007*(120-$G$13)/(EnergyFactor_new3*(1+C25))*365/4)*fuel_price_new3/1000000</f>
        <v>27.693936242500392</v>
      </c>
      <c r="D27" s="79">
        <f>(usage_new3*8.2938*1.007*(120-$G$13)/(EnergyFactor_new3*(1+D25))*365/4)*fuel_price_new3/1000000</f>
        <v>25.214789523663224</v>
      </c>
      <c r="E27" s="79">
        <f>(usage_new3*8.2938*1.007*(120-$G$13)/(EnergyFactor_new3*(1+E25))*365/4)*fuel_price_new3/1000000</f>
        <v>25.214789523663224</v>
      </c>
      <c r="F27" s="79">
        <f>(usage_new3*8.2938*1.007*(120-$G$13)/(EnergyFactor_new3*(1+F25))*365/4)*fuel_price_new3/1000000</f>
        <v>27.693936242500392</v>
      </c>
      <c r="G27" s="62"/>
      <c r="H27" s="62"/>
      <c r="I27" s="61"/>
      <c r="J27" s="95"/>
      <c r="K27" s="81"/>
      <c r="L27" s="62"/>
      <c r="M27" s="58"/>
      <c r="T27" s="21"/>
      <c r="U27" s="21"/>
      <c r="V27" s="21"/>
      <c r="W27" s="21"/>
      <c r="X27" s="21"/>
      <c r="Y27" s="21"/>
      <c r="Z27" s="21"/>
    </row>
    <row r="28" spans="2:26" ht="15.75" customHeight="1" hidden="1">
      <c r="B28" s="75" t="s">
        <v>136</v>
      </c>
      <c r="C28" s="79">
        <f>IF(C19&gt;32,((usage_new3*1.007*8.2938*(120-$G$13)*365/1000000)*0.4623+2.2865)*3500*365/4/1000000*$O8,0)</f>
        <v>54.230898690174826</v>
      </c>
      <c r="D28" s="79">
        <f>IF(D19&gt;32,((usage_new3*1.007*8.2938*(120-$G$13)*365/1000000)*0.4623+2.2865)*3500*365/4/1000000*$O15,0)</f>
        <v>0</v>
      </c>
      <c r="E28" s="79">
        <f>IF(E19&gt;32,((usage_new3*1.007*8.2938*(120-$G$13)*365/1000000)*0.4623+2.2865)*3500*365/4/1000000*$O15,0)</f>
        <v>0</v>
      </c>
      <c r="F28" s="79">
        <f>IF(F19&gt;32,((usage_new3*1.007*8.2938*(120-$G$13)*365/1000000)*0.4623+2.2865)*3500*365/4/1000000*$O8,0)</f>
        <v>54.230898690174826</v>
      </c>
      <c r="G28" s="62"/>
      <c r="H28" s="62"/>
      <c r="I28" s="61"/>
      <c r="J28" s="95"/>
      <c r="K28" s="81"/>
      <c r="L28" s="62"/>
      <c r="M28" s="58"/>
      <c r="T28" s="21"/>
      <c r="U28" s="21"/>
      <c r="V28" s="21"/>
      <c r="W28" s="21"/>
      <c r="X28" s="21"/>
      <c r="Y28" s="21"/>
      <c r="Z28" s="21"/>
    </row>
    <row r="29" spans="2:25" ht="15.75">
      <c r="B29" s="59" t="s">
        <v>87</v>
      </c>
      <c r="C29" s="63">
        <f>C26-C27-C28</f>
        <v>-9.43014744464947</v>
      </c>
      <c r="D29" s="63">
        <f>D26-D27+D28</f>
        <v>45.89139696851237</v>
      </c>
      <c r="E29" s="63">
        <f>E26-E27+E28</f>
        <v>45.89139696851237</v>
      </c>
      <c r="F29" s="63">
        <f>F26-F27-F28</f>
        <v>-9.43014744464947</v>
      </c>
      <c r="G29" s="246">
        <f>SUM(C29:F29)</f>
        <v>72.92249904772581</v>
      </c>
      <c r="H29" s="246"/>
      <c r="I29" s="246">
        <f>-PV(0.033,$I$11,G29)/1</f>
        <v>612.627543305578</v>
      </c>
      <c r="J29" s="246"/>
      <c r="K29" s="246"/>
      <c r="L29" s="286">
        <f>-PV(0.033,$I$11,G29)/$I$12</f>
        <v>0.43759110236112714</v>
      </c>
      <c r="M29" s="287"/>
      <c r="T29" s="24"/>
      <c r="U29" s="24"/>
      <c r="V29" s="24"/>
      <c r="W29" s="24"/>
      <c r="X29" s="24"/>
      <c r="Y29" s="24"/>
    </row>
    <row r="30" spans="2:25" ht="15.75" customHeight="1" hidden="1">
      <c r="B30" s="75" t="s">
        <v>114</v>
      </c>
      <c r="C30" s="76">
        <f>C24-5</f>
        <v>63</v>
      </c>
      <c r="D30" s="76">
        <f>D24+5</f>
        <v>83</v>
      </c>
      <c r="E30" s="76">
        <f>E24+5</f>
        <v>83</v>
      </c>
      <c r="F30" s="76">
        <f>F24-5</f>
        <v>63</v>
      </c>
      <c r="G30" s="62"/>
      <c r="H30" s="62"/>
      <c r="I30" s="61"/>
      <c r="J30" s="65"/>
      <c r="K30" s="81"/>
      <c r="L30" s="62"/>
      <c r="M30" s="58"/>
      <c r="T30" s="24"/>
      <c r="U30" s="24"/>
      <c r="V30" s="24"/>
      <c r="W30" s="24"/>
      <c r="X30" s="24"/>
      <c r="Y30" s="24"/>
    </row>
    <row r="31" spans="2:25" ht="15.75" customHeight="1" hidden="1">
      <c r="B31" s="75" t="s">
        <v>139</v>
      </c>
      <c r="C31" s="78">
        <f>IF(C30&gt;32,(0.00008*C30^3+0.0011*C30^2-0.4833*C30+0.0857)/100,(1/EnergyFactor_new3-1))</f>
        <v>-0.059925399999999976</v>
      </c>
      <c r="D31" s="78">
        <f>IF(D30&gt;32,(0.00008*D30^3+0.0011*D30^2-0.4833*D30+0.0857)/100,(1/EnergyFactor_new3-1))</f>
        <v>0.1329266</v>
      </c>
      <c r="E31" s="78">
        <f>IF(E30&gt;32,(0.00008*E30^3+0.0011*E30^2-0.4833*E30+0.0857)/100,(1/EnergyFactor_new3-1))</f>
        <v>0.1329266</v>
      </c>
      <c r="F31" s="78">
        <f>IF(F30&gt;32,(0.00008*F30^3+0.0011*F30^2-0.4833*F30+0.0857)/100,(1/EnergyFactor_new3-1))</f>
        <v>-0.059925399999999976</v>
      </c>
      <c r="G31" s="62"/>
      <c r="H31" s="62"/>
      <c r="I31" s="61"/>
      <c r="J31" s="65"/>
      <c r="K31" s="81"/>
      <c r="L31" s="62"/>
      <c r="M31" s="58"/>
      <c r="T31" s="24"/>
      <c r="U31" s="24"/>
      <c r="V31" s="24"/>
      <c r="W31" s="24"/>
      <c r="X31" s="24"/>
      <c r="Y31" s="24"/>
    </row>
    <row r="32" spans="2:25" ht="15.75" customHeight="1" hidden="1">
      <c r="B32" s="75" t="s">
        <v>137</v>
      </c>
      <c r="C32" s="79">
        <f>(Usage3*8.2938*1.007*(120-$G$13)/RE3*(1-UA3*(120-C30)/power3)+24*UA3*(120-C30))*365/4*fuel_price3/1000000</f>
        <v>73.18893798595082</v>
      </c>
      <c r="D32" s="79">
        <f>(Usage3*8.2938*1.007*(120-$G$13)/RE3*(1-UA3*(120-D30)/power3)+24*UA3*(120-D30))*365/4*fuel_price3/1000000</f>
        <v>70.41193599425053</v>
      </c>
      <c r="E32" s="79">
        <f>(Usage3*8.2938*1.007*(120-$G$13)/RE3*(1-UA3*(120-E30)/power3)+24*UA3*(120-E30))*365/4*fuel_price3/1000000</f>
        <v>70.41193599425053</v>
      </c>
      <c r="F32" s="79">
        <f>(Usage3*8.2938*1.007*(120-$G$13)/RE3*(1-UA3*(120-F30)/power3)+24*UA3*(120-F30))*365/4*fuel_price3/1000000</f>
        <v>73.18893798595082</v>
      </c>
      <c r="G32" s="62"/>
      <c r="H32" s="62"/>
      <c r="I32" s="61"/>
      <c r="J32" s="65"/>
      <c r="K32" s="81"/>
      <c r="L32" s="62"/>
      <c r="M32" s="58"/>
      <c r="T32" s="21"/>
      <c r="U32" s="21"/>
      <c r="V32" s="21"/>
      <c r="W32" s="21"/>
      <c r="X32" s="21"/>
      <c r="Y32" s="21"/>
    </row>
    <row r="33" spans="2:25" ht="15.75" customHeight="1" hidden="1">
      <c r="B33" s="75" t="s">
        <v>138</v>
      </c>
      <c r="C33" s="79">
        <f>(usage_new3*8.2938*1.007*(120-$G$13)/(EnergyFactor_new3*(1+C31))*365/4)*fuel_price_new3/1000000</f>
        <v>28.711696013167426</v>
      </c>
      <c r="D33" s="79">
        <f>(usage_new3*8.2938*1.007*(120-$G$13)/(EnergyFactor_new3*(1+D31))*365/4)*fuel_price_new3/1000000</f>
        <v>23.82425846908349</v>
      </c>
      <c r="E33" s="79">
        <f>(usage_new3*8.2938*1.007*(120-$G$13)/(EnergyFactor_new3*(1+E31))*365/4)*fuel_price_new3/1000000</f>
        <v>23.82425846908349</v>
      </c>
      <c r="F33" s="79">
        <f>(usage_new3*8.2938*1.007*(120-$G$13)/(EnergyFactor_new3*(1+F31))*365/4)*fuel_price_new3/1000000</f>
        <v>28.711696013167426</v>
      </c>
      <c r="G33" s="62"/>
      <c r="H33" s="62"/>
      <c r="I33" s="61"/>
      <c r="J33" s="65"/>
      <c r="K33" s="81"/>
      <c r="L33" s="62"/>
      <c r="M33" s="58"/>
      <c r="T33" s="21"/>
      <c r="U33" s="21"/>
      <c r="V33" s="21"/>
      <c r="W33" s="21"/>
      <c r="X33" s="21"/>
      <c r="Y33" s="21"/>
    </row>
    <row r="34" spans="2:25" ht="15.75" customHeight="1" hidden="1">
      <c r="B34" s="75" t="s">
        <v>136</v>
      </c>
      <c r="C34" s="79">
        <f>IF(C19&gt;32,((usage_new3*1.007*8.2938*(120-$G$13)*365/1000000)*0.4623+2.2865)*3500*365/4/1000000*$O8,0)</f>
        <v>54.230898690174826</v>
      </c>
      <c r="D34" s="79">
        <v>0</v>
      </c>
      <c r="E34" s="79">
        <v>0</v>
      </c>
      <c r="F34" s="79">
        <f>IF(F19&gt;32,((usage_new3*1.007*8.2938*(120-$G$13)*365/1000000)*0.4623+2.2865)*3500*365/4/1000000*$O8,0)</f>
        <v>54.230898690174826</v>
      </c>
      <c r="G34" s="62"/>
      <c r="H34" s="62"/>
      <c r="I34" s="61"/>
      <c r="J34" s="65"/>
      <c r="K34" s="81"/>
      <c r="L34" s="62"/>
      <c r="M34" s="58"/>
      <c r="T34" s="21"/>
      <c r="U34" s="21"/>
      <c r="V34" s="21"/>
      <c r="W34" s="21"/>
      <c r="X34" s="21"/>
      <c r="Y34" s="21"/>
    </row>
    <row r="35" spans="2:25" ht="15.75">
      <c r="B35" s="59" t="s">
        <v>88</v>
      </c>
      <c r="C35" s="63">
        <f>C32-C33-C34</f>
        <v>-9.753656717391436</v>
      </c>
      <c r="D35" s="63">
        <f>D32-D33</f>
        <v>46.58767752516704</v>
      </c>
      <c r="E35" s="63">
        <f>E32-E33</f>
        <v>46.58767752516704</v>
      </c>
      <c r="F35" s="63">
        <f>F32-F33-F34</f>
        <v>-9.753656717391436</v>
      </c>
      <c r="G35" s="246">
        <f>SUM(C35:F35)</f>
        <v>73.6680416155512</v>
      </c>
      <c r="H35" s="246"/>
      <c r="I35" s="246">
        <f>-PV(0.033,$I$11,G35)/1</f>
        <v>618.8909039654709</v>
      </c>
      <c r="J35" s="246"/>
      <c r="K35" s="246"/>
      <c r="L35" s="286">
        <f>-PV(0.033,$I$11,G35)/$I$12</f>
        <v>0.4420649314039078</v>
      </c>
      <c r="M35" s="287"/>
      <c r="T35" s="21"/>
      <c r="U35" s="21"/>
      <c r="V35" s="21"/>
      <c r="W35" s="21"/>
      <c r="X35" s="21"/>
      <c r="Y35" s="21"/>
    </row>
    <row r="36" spans="2:25" ht="15.75" customHeight="1" hidden="1">
      <c r="B36" s="75" t="s">
        <v>114</v>
      </c>
      <c r="C36" s="76">
        <f>C19+10</f>
        <v>44</v>
      </c>
      <c r="D36" s="76">
        <f>D19+5</f>
        <v>51.9</v>
      </c>
      <c r="E36" s="76">
        <f>E19+5</f>
        <v>68.7</v>
      </c>
      <c r="F36" s="76">
        <f>F19+10</f>
        <v>58.9</v>
      </c>
      <c r="G36" s="62"/>
      <c r="H36" s="62"/>
      <c r="I36" s="61"/>
      <c r="J36" s="65"/>
      <c r="K36" s="81"/>
      <c r="L36" s="62"/>
      <c r="M36" s="58"/>
      <c r="T36" s="21"/>
      <c r="U36" s="21"/>
      <c r="V36" s="21"/>
      <c r="W36" s="21"/>
      <c r="X36" s="21"/>
      <c r="Y36" s="21"/>
    </row>
    <row r="37" spans="2:25" ht="15.75" customHeight="1" hidden="1">
      <c r="B37" s="75" t="s">
        <v>139</v>
      </c>
      <c r="C37" s="78">
        <f>IF(C36&gt;32,(0.00008*C36^3+0.0011*C36^2-0.4833*C36+0.0857)/100,(1/EnergyFactor_new3-1))</f>
        <v>-0.1223518</v>
      </c>
      <c r="D37" s="78">
        <f>IF(D36&gt;32,(0.00008*D36^3+0.0011*D36^2-0.4833*D36+0.0857)/100,(1/EnergyFactor_new3-1))</f>
        <v>-0.10850730280000002</v>
      </c>
      <c r="E37" s="78">
        <f>IF(E36&gt;32,(0.00008*E36^3+0.0011*E36^2-0.4833*E36+0.0857)/100,(1/EnergyFactor_new3-1))</f>
        <v>-0.019859347599999983</v>
      </c>
      <c r="F37" s="78">
        <f>IF(F36&gt;32,(0.00008*F36^3+0.0011*F36^2-0.4833*F36+0.0857)/100,(1/EnergyFactor_new3-1))</f>
        <v>-0.08217621479999998</v>
      </c>
      <c r="G37" s="62"/>
      <c r="H37" s="62"/>
      <c r="I37" s="61"/>
      <c r="J37" s="65"/>
      <c r="K37" s="81"/>
      <c r="L37" s="62"/>
      <c r="M37" s="58"/>
      <c r="T37" s="21"/>
      <c r="U37" s="21"/>
      <c r="V37" s="21"/>
      <c r="W37" s="21"/>
      <c r="X37" s="21"/>
      <c r="Y37" s="21"/>
    </row>
    <row r="38" spans="2:25" ht="15.75" customHeight="1" hidden="1">
      <c r="B38" s="75" t="s">
        <v>137</v>
      </c>
      <c r="C38" s="79">
        <f>(Usage3*8.2938*1.007*(120-$G$13)/RE3*(1-UA3*(120-C36)/power3)+24*UA3*(120-C36))*365/4*fuel_price3/1000000</f>
        <v>75.82708987806609</v>
      </c>
      <c r="D38" s="79">
        <f>(Usage3*8.2938*1.007*(120-$G$13)/RE3*(1-UA3*(120-D36)/power3)+24*UA3*(120-D36))*365/4*fuel_price3/1000000</f>
        <v>74.73017409134448</v>
      </c>
      <c r="E38" s="79">
        <f>(Usage3*8.2938*1.007*(120-$G$13)/RE3*(1-UA3*(120-E36)/power3)+24*UA3*(120-E36))*365/4*fuel_price3/1000000</f>
        <v>72.39749241831623</v>
      </c>
      <c r="F38" s="79">
        <f>(Usage3*8.2938*1.007*(120-$G$13)/RE3*(1-UA3*(120-F36)/power3)+24*UA3*(120-F36))*365/4*fuel_price3/1000000</f>
        <v>73.75822339424937</v>
      </c>
      <c r="G38" s="62"/>
      <c r="H38" s="62"/>
      <c r="I38" s="61"/>
      <c r="J38" s="65"/>
      <c r="K38" s="81"/>
      <c r="L38" s="62"/>
      <c r="M38" s="58"/>
      <c r="T38" s="21"/>
      <c r="U38" s="21"/>
      <c r="V38" s="21"/>
      <c r="W38" s="21"/>
      <c r="X38" s="21"/>
      <c r="Y38" s="21"/>
    </row>
    <row r="39" spans="2:25" ht="15.75" customHeight="1" hidden="1">
      <c r="B39" s="75" t="s">
        <v>138</v>
      </c>
      <c r="C39" s="79">
        <f>(usage_new3*8.2938*1.007*(120-$G$13)/(EnergyFactor_new3*(1+C37))*365/4)*fuel_price_new3/1000000</f>
        <v>30.75393551185995</v>
      </c>
      <c r="D39" s="79">
        <f>(usage_new3*8.2938*1.007*(120-$G$13)/(EnergyFactor_new3*(1+D37))*365/4)*fuel_price_new3/1000000</f>
        <v>30.276340153625164</v>
      </c>
      <c r="E39" s="79">
        <f>(usage_new3*8.2938*1.007*(120-$G$13)/(EnergyFactor_new3*(1+E37))*365/4)*fuel_price_new3/1000000</f>
        <v>27.538023322273904</v>
      </c>
      <c r="F39" s="79">
        <f>(usage_new3*8.2938*1.007*(120-$G$13)/(EnergyFactor_new3*(1+F37))*365/4)*fuel_price_new3/1000000</f>
        <v>29.407754059259222</v>
      </c>
      <c r="G39" s="62"/>
      <c r="H39" s="62"/>
      <c r="I39" s="61"/>
      <c r="J39" s="65"/>
      <c r="K39" s="81"/>
      <c r="L39" s="62"/>
      <c r="M39" s="58"/>
      <c r="T39" s="21"/>
      <c r="U39" s="21"/>
      <c r="V39" s="21"/>
      <c r="W39" s="21"/>
      <c r="X39" s="21"/>
      <c r="Y39" s="21"/>
    </row>
    <row r="40" spans="2:25" ht="16.5" thickBot="1">
      <c r="B40" s="68" t="s">
        <v>89</v>
      </c>
      <c r="C40" s="69">
        <f>(Usage3*8.2938*1.007*(120-$G$13)/RE3*(1-UA3*(120-C36)/power3)+24*UA3*(120-C36))*365/4*fuel_price3/1000000-(usage_new3*8.2938*1.007*(120-$G$13)/(EnergyFactor_new3*(1+C37))*365/4)*fuel_price_new3/1000000</f>
        <v>45.07315436620614</v>
      </c>
      <c r="D40" s="69">
        <f>(Usage3*8.2938*1.007*(120-$G$13)/RE3*(1-UA3*(120-D36)/power3)+24*UA3*(120-D36))*365/4*fuel_price3/1000000-(usage_new3*8.2938*1.007*(120-$G$13)/(EnergyFactor_new3*(1+D37))*365/4)*fuel_price_new3/1000000</f>
        <v>44.45383393771932</v>
      </c>
      <c r="E40" s="69">
        <f>(Usage3*8.2938*1.007*(120-$G$13)/RE3*(1-UA3*(120-E36)/power3)+24*UA3*(120-E36))*365/4*fuel_price3/1000000-(usage_new3*8.2938*1.007*(120-$G$13)/(EnergyFactor_new3*(1+E37))*365/4)*fuel_price_new3/1000000</f>
        <v>44.85946909604233</v>
      </c>
      <c r="F40" s="69">
        <f>(Usage3*8.2938*1.007*(120-$G$13)/RE3*(1-UA3*(120-F36)/power3)+24*UA3*(120-F36))*365/4*fuel_price3/1000000-(usage_new3*8.2938*1.007*(120-$G$13)/(EnergyFactor_new3*(1+F37))*365/4)*fuel_price_new3/1000000</f>
        <v>44.35046933499015</v>
      </c>
      <c r="G40" s="247">
        <f>SUM(C40:F40)</f>
        <v>178.73692673495796</v>
      </c>
      <c r="H40" s="247"/>
      <c r="I40" s="247">
        <f>-PV(0.033,$I$11,G40)/1</f>
        <v>1501.5827180026035</v>
      </c>
      <c r="J40" s="247"/>
      <c r="K40" s="247"/>
      <c r="L40" s="288">
        <f>-PV(0.033,$I$11,G40)/$I$12</f>
        <v>1.0725590842875738</v>
      </c>
      <c r="M40" s="289"/>
      <c r="T40" s="21"/>
      <c r="U40" s="21"/>
      <c r="V40" s="21"/>
      <c r="W40" s="21"/>
      <c r="X40" s="21"/>
      <c r="Y40" s="21"/>
    </row>
    <row r="41" spans="7:25" ht="15.75">
      <c r="G41" s="19"/>
      <c r="H41" s="19"/>
      <c r="I41" s="19"/>
      <c r="J41" s="19"/>
      <c r="K41" s="24"/>
      <c r="L41" s="20"/>
      <c r="M41" s="24"/>
      <c r="N41" s="24"/>
      <c r="O41" s="21"/>
      <c r="P41" s="21"/>
      <c r="Q41" s="21"/>
      <c r="T41" s="21"/>
      <c r="U41" s="21"/>
      <c r="V41" s="21"/>
      <c r="W41" s="21"/>
      <c r="X41" s="21"/>
      <c r="Y41" s="21"/>
    </row>
    <row r="42" spans="11:25" ht="15.75">
      <c r="K42" s="24"/>
      <c r="L42" s="20"/>
      <c r="M42" s="24"/>
      <c r="N42" s="24"/>
      <c r="O42" s="21"/>
      <c r="P42" s="21"/>
      <c r="Q42" s="21"/>
      <c r="S42" s="21"/>
      <c r="T42" s="21"/>
      <c r="U42" s="21"/>
      <c r="V42" s="21"/>
      <c r="W42" s="21"/>
      <c r="X42" s="21"/>
      <c r="Y42" s="21"/>
    </row>
    <row r="43" spans="8:25" ht="15.75">
      <c r="H43" s="24"/>
      <c r="I43" s="24"/>
      <c r="J43" s="24"/>
      <c r="K43" s="24"/>
      <c r="L43" s="24"/>
      <c r="M43" s="24"/>
      <c r="N43" s="24"/>
      <c r="O43" s="21"/>
      <c r="P43" s="21"/>
      <c r="Q43" s="21"/>
      <c r="S43" s="21"/>
      <c r="T43" s="21"/>
      <c r="U43" s="21"/>
      <c r="V43" s="21"/>
      <c r="W43" s="21"/>
      <c r="X43" s="21"/>
      <c r="Y43" s="21"/>
    </row>
    <row r="44" spans="8:25" ht="15.75">
      <c r="H44" s="24"/>
      <c r="I44" s="24"/>
      <c r="J44" s="24"/>
      <c r="K44" s="24"/>
      <c r="L44" s="24"/>
      <c r="M44" s="24"/>
      <c r="N44" s="24"/>
      <c r="O44" s="21"/>
      <c r="P44" s="21"/>
      <c r="Q44" s="21"/>
      <c r="S44" s="21"/>
      <c r="T44" s="21"/>
      <c r="U44" s="21"/>
      <c r="V44" s="21"/>
      <c r="W44" s="21"/>
      <c r="X44" s="21"/>
      <c r="Y44" s="21"/>
    </row>
  </sheetData>
  <sheetProtection/>
  <mergeCells count="32">
    <mergeCell ref="G9:H9"/>
    <mergeCell ref="G10:H10"/>
    <mergeCell ref="G11:H11"/>
    <mergeCell ref="G2:H2"/>
    <mergeCell ref="G3:H3"/>
    <mergeCell ref="G5:H5"/>
    <mergeCell ref="G6:H6"/>
    <mergeCell ref="G4:H4"/>
    <mergeCell ref="G7:H7"/>
    <mergeCell ref="I2:J2"/>
    <mergeCell ref="I3:J3"/>
    <mergeCell ref="I5:J5"/>
    <mergeCell ref="I6:J6"/>
    <mergeCell ref="I10:J10"/>
    <mergeCell ref="I11:J11"/>
    <mergeCell ref="L23:M23"/>
    <mergeCell ref="L29:M29"/>
    <mergeCell ref="L35:M35"/>
    <mergeCell ref="G18:H18"/>
    <mergeCell ref="L40:M40"/>
    <mergeCell ref="L17:M17"/>
    <mergeCell ref="L18:M18"/>
    <mergeCell ref="I35:K35"/>
    <mergeCell ref="I40:K40"/>
    <mergeCell ref="G13:J14"/>
    <mergeCell ref="G23:H23"/>
    <mergeCell ref="G29:H29"/>
    <mergeCell ref="G35:H35"/>
    <mergeCell ref="G40:H40"/>
    <mergeCell ref="G17:H17"/>
    <mergeCell ref="I23:K23"/>
    <mergeCell ref="I29:K29"/>
  </mergeCells>
  <printOptions gridLines="1"/>
  <pageMargins left="0.75" right="0.75" top="0.75" bottom="0.75" header="0.5" footer="0.5"/>
  <pageSetup horizontalDpi="300" verticalDpi="300" orientation="landscape" scale="95" r:id="rId3"/>
  <headerFooter alignWithMargins="0">
    <oddFooter>&amp;C&amp;14&amp;A</oddFooter>
  </headerFooter>
  <legacyDrawing r:id="rId2"/>
</worksheet>
</file>

<file path=xl/worksheets/sheet8.xml><?xml version="1.0" encoding="utf-8"?>
<worksheet xmlns="http://schemas.openxmlformats.org/spreadsheetml/2006/main" xmlns:r="http://schemas.openxmlformats.org/officeDocument/2006/relationships">
  <sheetPr codeName="Sheet1"/>
  <dimension ref="B2:Z29"/>
  <sheetViews>
    <sheetView zoomScale="85" zoomScaleNormal="85" zoomScalePageLayoutView="0" workbookViewId="0" topLeftCell="A1">
      <selection activeCell="A1" sqref="A1:D1"/>
    </sheetView>
  </sheetViews>
  <sheetFormatPr defaultColWidth="9.140625" defaultRowHeight="12.75"/>
  <cols>
    <col min="1" max="1" width="1.57421875" style="5" customWidth="1"/>
    <col min="2" max="2" width="40.57421875" style="5" customWidth="1"/>
    <col min="3" max="6" width="9.28125" style="5" hidden="1" customWidth="1"/>
    <col min="7" max="13" width="9.28125" style="5" customWidth="1"/>
    <col min="14" max="15" width="9.28125" style="5" hidden="1" customWidth="1"/>
    <col min="16" max="16" width="9.28125" style="5" customWidth="1"/>
    <col min="17" max="17" width="11.421875" style="5" customWidth="1"/>
    <col min="18" max="18" width="9.28125" style="5" hidden="1" customWidth="1"/>
    <col min="19" max="19" width="10.140625" style="5" hidden="1" customWidth="1"/>
    <col min="20" max="21" width="10.140625" style="5" customWidth="1"/>
    <col min="22" max="23" width="9.00390625" style="5" customWidth="1"/>
    <col min="24" max="25" width="8.28125" style="5" customWidth="1"/>
    <col min="26" max="16384" width="9.140625" style="5" customWidth="1"/>
  </cols>
  <sheetData>
    <row r="1" ht="6" customHeight="1" thickBot="1"/>
    <row r="2" spans="2:10" ht="15">
      <c r="B2" s="180"/>
      <c r="C2" s="178"/>
      <c r="D2" s="178"/>
      <c r="E2" s="178"/>
      <c r="F2" s="178"/>
      <c r="G2" s="293" t="s">
        <v>64</v>
      </c>
      <c r="H2" s="291"/>
      <c r="I2" s="290" t="s">
        <v>65</v>
      </c>
      <c r="J2" s="315"/>
    </row>
    <row r="3" spans="2:10" ht="15" customHeight="1">
      <c r="B3" s="173" t="s">
        <v>68</v>
      </c>
      <c r="C3" s="131"/>
      <c r="D3" s="131"/>
      <c r="E3" s="131"/>
      <c r="F3" s="131"/>
      <c r="G3" s="294">
        <v>0.86</v>
      </c>
      <c r="H3" s="272"/>
      <c r="I3" s="294">
        <v>2.2</v>
      </c>
      <c r="J3" s="263"/>
    </row>
    <row r="4" spans="2:10" ht="15" customHeight="1">
      <c r="B4" s="174" t="s">
        <v>0</v>
      </c>
      <c r="C4" s="135"/>
      <c r="D4" s="135"/>
      <c r="E4" s="135"/>
      <c r="F4" s="135"/>
      <c r="G4" s="311">
        <f>IF(OR(R5=2,R5=3),0.76,IF(R5=1,0.98,"uh oh"))</f>
        <v>0.98</v>
      </c>
      <c r="H4" s="312"/>
      <c r="I4" s="166"/>
      <c r="J4" s="162"/>
    </row>
    <row r="5" spans="2:19" ht="15" customHeight="1">
      <c r="B5" s="173" t="s">
        <v>179</v>
      </c>
      <c r="C5" s="131"/>
      <c r="D5" s="131"/>
      <c r="E5" s="131"/>
      <c r="F5" s="131"/>
      <c r="G5" s="161"/>
      <c r="H5" s="166"/>
      <c r="I5" s="318"/>
      <c r="J5" s="319"/>
      <c r="R5" s="5">
        <v>1</v>
      </c>
      <c r="S5" s="5">
        <v>1</v>
      </c>
    </row>
    <row r="6" spans="2:15" ht="15">
      <c r="B6" s="174" t="s">
        <v>181</v>
      </c>
      <c r="C6" s="135"/>
      <c r="D6" s="135"/>
      <c r="E6" s="135"/>
      <c r="F6" s="135"/>
      <c r="G6" s="313">
        <f>'Hot Water Consumption'!B6</f>
        <v>58.65827338129496</v>
      </c>
      <c r="H6" s="314"/>
      <c r="I6" s="313">
        <f>'Hot Water Consumption'!B6</f>
        <v>58.65827338129496</v>
      </c>
      <c r="J6" s="320"/>
      <c r="N6" s="18"/>
      <c r="O6" s="18"/>
    </row>
    <row r="7" spans="2:10" ht="15" hidden="1">
      <c r="B7" s="174" t="s">
        <v>2</v>
      </c>
      <c r="C7" s="135"/>
      <c r="D7" s="135"/>
      <c r="E7" s="135"/>
      <c r="F7" s="135"/>
      <c r="G7" s="295">
        <f>(1/energyfactor4-1/RE4)/((120-67.5)*(24/41094-1/(RE4*power4)))</f>
        <v>5.239983628518319</v>
      </c>
      <c r="H7" s="295"/>
      <c r="I7" s="163"/>
      <c r="J7" s="162"/>
    </row>
    <row r="8" spans="2:16" ht="15" customHeight="1">
      <c r="B8" s="174" t="s">
        <v>177</v>
      </c>
      <c r="C8" s="135"/>
      <c r="D8" s="135"/>
      <c r="E8" s="135"/>
      <c r="F8" s="135"/>
      <c r="G8" s="298">
        <f>IF(OR(R5=2,R5=3),40000,IF(R5=1,15354,"uh oh"))</f>
        <v>15354</v>
      </c>
      <c r="H8" s="274"/>
      <c r="I8" s="166"/>
      <c r="J8" s="162"/>
      <c r="P8" s="12"/>
    </row>
    <row r="9" spans="2:13" ht="15">
      <c r="B9" s="174" t="s">
        <v>180</v>
      </c>
      <c r="C9" s="135"/>
      <c r="D9" s="135"/>
      <c r="E9" s="135"/>
      <c r="F9" s="135"/>
      <c r="G9" s="295">
        <f>INDEX(Data!B2:M53,R14,IF(R5=2,5,IF(R5=1,3,IF(R5=3,6,"OOPS"))))</f>
        <v>42.790152403282534</v>
      </c>
      <c r="H9" s="277"/>
      <c r="I9" s="295">
        <f>INDEX(Data!B2:M53,R14,IF(S5=2,5,IF(S5=1,3,IF(S5=3,6,"OOPS"))))</f>
        <v>42.790152403282534</v>
      </c>
      <c r="J9" s="276"/>
      <c r="L9" s="300"/>
      <c r="M9" s="300"/>
    </row>
    <row r="10" spans="2:10" ht="15" customHeight="1">
      <c r="B10" s="174" t="s">
        <v>66</v>
      </c>
      <c r="C10" s="135"/>
      <c r="D10" s="135"/>
      <c r="E10" s="135"/>
      <c r="F10" s="135"/>
      <c r="G10" s="166"/>
      <c r="H10" s="138"/>
      <c r="I10" s="316">
        <v>2000</v>
      </c>
      <c r="J10" s="317"/>
    </row>
    <row r="11" spans="2:13" ht="15" customHeight="1">
      <c r="B11" s="174" t="s">
        <v>67</v>
      </c>
      <c r="C11" s="135"/>
      <c r="D11" s="135"/>
      <c r="E11" s="135"/>
      <c r="F11" s="135"/>
      <c r="G11" s="166"/>
      <c r="H11" s="138"/>
      <c r="I11" s="318">
        <v>20</v>
      </c>
      <c r="J11" s="319"/>
      <c r="L11" s="300"/>
      <c r="M11" s="300"/>
    </row>
    <row r="12" spans="2:13" ht="15" customHeight="1">
      <c r="B12" s="174" t="s">
        <v>98</v>
      </c>
      <c r="C12" s="135"/>
      <c r="D12" s="135"/>
      <c r="E12" s="135"/>
      <c r="F12" s="135"/>
      <c r="G12" s="166"/>
      <c r="H12" s="138"/>
      <c r="I12" s="316">
        <v>400</v>
      </c>
      <c r="J12" s="317"/>
      <c r="L12" s="300"/>
      <c r="M12" s="300"/>
    </row>
    <row r="13" spans="2:13" ht="15" customHeight="1">
      <c r="B13" s="174" t="s">
        <v>99</v>
      </c>
      <c r="C13" s="135"/>
      <c r="D13" s="135"/>
      <c r="E13" s="135"/>
      <c r="F13" s="135"/>
      <c r="G13" s="166"/>
      <c r="H13" s="138"/>
      <c r="I13" s="318">
        <v>10</v>
      </c>
      <c r="J13" s="319"/>
      <c r="L13" s="300"/>
      <c r="M13" s="300"/>
    </row>
    <row r="14" spans="2:18" ht="15" customHeight="1">
      <c r="B14" s="173" t="s">
        <v>4</v>
      </c>
      <c r="C14" s="131"/>
      <c r="D14" s="131"/>
      <c r="E14" s="131"/>
      <c r="F14" s="131"/>
      <c r="G14" s="179"/>
      <c r="H14" s="166"/>
      <c r="I14" s="166"/>
      <c r="J14" s="162"/>
      <c r="L14" s="300"/>
      <c r="M14" s="300"/>
      <c r="R14" s="5">
        <v>33</v>
      </c>
    </row>
    <row r="15" spans="2:10" ht="15" customHeight="1" thickBot="1">
      <c r="B15" s="181" t="s">
        <v>182</v>
      </c>
      <c r="C15" s="148"/>
      <c r="D15" s="148"/>
      <c r="E15" s="148"/>
      <c r="F15" s="148"/>
      <c r="G15" s="249">
        <f>INDEX(Data!B2:M53,R14,8)</f>
        <v>53.666666666666664</v>
      </c>
      <c r="H15" s="249"/>
      <c r="I15" s="249"/>
      <c r="J15" s="250"/>
    </row>
    <row r="16" ht="6" customHeight="1" thickBot="1">
      <c r="G16" s="17"/>
    </row>
    <row r="17" spans="2:15" ht="15">
      <c r="B17" s="51"/>
      <c r="C17" s="52" t="s">
        <v>94</v>
      </c>
      <c r="D17" s="52"/>
      <c r="E17" s="52"/>
      <c r="F17" s="52"/>
      <c r="G17" s="251" t="s">
        <v>183</v>
      </c>
      <c r="H17" s="251"/>
      <c r="I17" s="93"/>
      <c r="J17" s="53" t="s">
        <v>185</v>
      </c>
      <c r="K17" s="93"/>
      <c r="L17" s="251" t="s">
        <v>218</v>
      </c>
      <c r="M17" s="255"/>
      <c r="N17" s="301" t="s">
        <v>95</v>
      </c>
      <c r="O17" s="255"/>
    </row>
    <row r="18" spans="2:15" ht="15">
      <c r="B18" s="72" t="s">
        <v>85</v>
      </c>
      <c r="C18" s="55" t="s">
        <v>81</v>
      </c>
      <c r="D18" s="55" t="s">
        <v>82</v>
      </c>
      <c r="E18" s="55" t="s">
        <v>83</v>
      </c>
      <c r="F18" s="55" t="s">
        <v>84</v>
      </c>
      <c r="G18" s="256" t="s">
        <v>184</v>
      </c>
      <c r="H18" s="256"/>
      <c r="I18" s="61"/>
      <c r="J18" s="55" t="s">
        <v>217</v>
      </c>
      <c r="K18" s="61"/>
      <c r="L18" s="256" t="s">
        <v>216</v>
      </c>
      <c r="M18" s="257"/>
      <c r="N18" s="302" t="s">
        <v>96</v>
      </c>
      <c r="O18" s="303"/>
    </row>
    <row r="19" spans="2:15" ht="15.75" customHeight="1" hidden="1">
      <c r="B19" s="59"/>
      <c r="C19" s="60">
        <f>INDEX(Data!B2:M53,R14,9)</f>
        <v>23.2</v>
      </c>
      <c r="D19" s="60">
        <f>INDEX(Data!B2:M53,R14,10)</f>
        <v>43.6</v>
      </c>
      <c r="E19" s="60">
        <f>INDEX(Data!B2:M53,R14,11)</f>
        <v>66.5</v>
      </c>
      <c r="F19" s="60">
        <f>INDEX(Data!B2:M53,R14,12)</f>
        <v>48.1</v>
      </c>
      <c r="G19" s="61"/>
      <c r="H19" s="61"/>
      <c r="I19" s="61"/>
      <c r="J19" s="61"/>
      <c r="K19" s="61"/>
      <c r="L19" s="61"/>
      <c r="M19" s="58"/>
      <c r="N19" s="57" t="s">
        <v>97</v>
      </c>
      <c r="O19" s="58"/>
    </row>
    <row r="20" spans="2:25" ht="15" customHeight="1">
      <c r="B20" s="59" t="s">
        <v>86</v>
      </c>
      <c r="C20" s="63">
        <f>(usage4*8.2938*1.007*(120-$G$15)/RE4*(1-UA4*(120-C19)/power4)+24*UA4*(120-C19))*365/4*fuel_price4/1000000-(usage_new4*8.2938*1.007*(120-$G$15)*(1/energyfactor_new4))*365/4/1000000*fuel_price_new4</f>
        <v>115.05662931239883</v>
      </c>
      <c r="D20" s="63">
        <f>(usage4*8.2938*1.007*(120-$G$15)/RE4*(1-UA4*(120-D19)/power4)+24*UA4*(120-D19))*365/4*fuel_price4/1000000-(usage_new4*8.2938*1.007*(120-$G$15)*(1/energyfactor_new4))*365/4/1000000*fuel_price_new4</f>
        <v>105.94082280203065</v>
      </c>
      <c r="E20" s="63">
        <f>(usage4*8.2938*1.007*(120-$G$15)/RE4*(1-UA4*(120-E19)/power4)+24*UA4*(120-E19))*365/4*fuel_price4/1000000-(usage_new4*8.2938*1.007*(120-$G$15)*(1/energyfactor_new4))*365/4/1000000*fuel_price_new4</f>
        <v>95.70788314088207</v>
      </c>
      <c r="F20" s="63">
        <f>(usage4*8.2938*1.007*(120-$G$15)/RE4*(1-UA4*(120-F19)/power4)+24*UA4*(120-F19))*365/4*fuel_price4/1000000-(usage_new4*8.2938*1.007*(120-$G$15)*(1/energyfactor_new4))*365/4/1000000*fuel_price_new4</f>
        <v>103.92998313062589</v>
      </c>
      <c r="G20" s="246">
        <f>SUM(C20:F20)</f>
        <v>420.6353183859374</v>
      </c>
      <c r="H20" s="246"/>
      <c r="I20" s="246">
        <f>-PV(0.033,$I$11,G20)/1</f>
        <v>6087.8874133092395</v>
      </c>
      <c r="J20" s="246"/>
      <c r="K20" s="246"/>
      <c r="L20" s="307">
        <f>-PV(0.033,I11,G20)/(I10+IF((I11/I13)&gt;5,-PV(0.033,I13,I12)+PV(0.033,I13-1,I12)-PV(0.033,I13*2,I12)+PV(0.033,I13*2-1,I12)-PV(0.033,I13*3,I12)+PV(0.033,I13*3-1,I12)-PV(0.033,I13*4,I12)+PV(0.033,I13*4-1,I12)-PV(0.033,I13*5,I12)+PV(0.033,I13*5-1,I12),IF((I11/I13)&gt;4,-PV(0.033,I13,I12)+PV(0.033,I13-1,I12)-PV(0.033,I13*2,I12)+PV(0.033,I13*2-1,I12)-PV(0.033,I13*3,I12)+PV(0.033,I13*3-1,I12)-PV(0.033,I13*4,I12)+PV(0.033,I13*4-1,I12),IF((I11/I13)&gt;3,-PV(0.033,I13,I12)+PV(0.033,I13-1,I12)-PV(0.033,I13*2,I12)+PV(0.033,I13*2-1,I12)-PV(0.033,I13*3,I12)+PV(0.033,I13*3-1,I12),IF((I11/I13)&gt;2,-PV(0.033,I13,I12)+PV(0.033,I13-1,I12)-PV(0.033,I13*2,I12)+PV(0.033,I13*2-1,I12),IF((I11/I13)&gt;1,-PV(0.033,I13,I12)+PV(0.033,I13-1,I12),0))))))</f>
        <v>2.659504625585961</v>
      </c>
      <c r="M20" s="308"/>
      <c r="N20" s="304" t="s">
        <v>91</v>
      </c>
      <c r="O20" s="257"/>
      <c r="S20" s="22"/>
      <c r="Y20" s="21"/>
    </row>
    <row r="21" spans="2:26" ht="15.75" customHeight="1" hidden="1">
      <c r="B21" s="59"/>
      <c r="C21" s="60">
        <v>68</v>
      </c>
      <c r="D21" s="60">
        <v>78</v>
      </c>
      <c r="E21" s="60">
        <v>78</v>
      </c>
      <c r="F21" s="60">
        <v>68</v>
      </c>
      <c r="G21" s="64"/>
      <c r="H21" s="61"/>
      <c r="I21" s="61"/>
      <c r="J21" s="66"/>
      <c r="K21" s="61"/>
      <c r="L21" s="61"/>
      <c r="M21" s="58"/>
      <c r="N21" s="57"/>
      <c r="O21" s="58"/>
      <c r="Q21" s="25"/>
      <c r="X21" s="21"/>
      <c r="Y21" s="21"/>
      <c r="Z21" s="21"/>
    </row>
    <row r="22" spans="2:23" ht="15" customHeight="1">
      <c r="B22" s="59" t="s">
        <v>87</v>
      </c>
      <c r="C22" s="63">
        <f>(usage4*8.2938*1.007*(120-$G$15)/RE4*(1-UA4*(120-C21)/power4)+24*UA4*(120-C21))*365/4*fuel_price4/1000000-(usage_new4*8.2938*1.007*(120-$G$15)*(1/energyfactor_new4))*365/4/1000000*fuel_price_new4</f>
        <v>95.03760325041381</v>
      </c>
      <c r="D22" s="63">
        <f>(usage4*8.2938*1.007*(120-$G$15)/RE4*(1-UA4*(120-D21)/power4)+24*UA4*(120-D21))*365/4*fuel_price4/1000000-(usage_new4*8.2938*1.007*(120-$G$15)*(1/energyfactor_new4))*365/4/1000000*fuel_price_new4</f>
        <v>90.5690706472922</v>
      </c>
      <c r="E22" s="63">
        <f>(usage4*8.2938*1.007*(120-$G$15)/RE4*(1-UA4*(120-E21)/power4)+24*UA4*(120-E21))*365/4*fuel_price4/1000000-(usage_new4*8.2938*1.007*(120-$G$15)*(1/energyfactor_new4))*365/4/1000000*fuel_price_new4</f>
        <v>90.5690706472922</v>
      </c>
      <c r="F22" s="63">
        <f>(usage4*8.2938*1.007*(120-$G$15)/RE4*(1-UA4*(120-F21)/power4)+24*UA4*(120-F21))*365/4*fuel_price4/1000000-(usage_new4*8.2938*1.007*(120-$G$15)*(1/energyfactor_new4))*365/4/1000000*fuel_price_new4</f>
        <v>95.03760325041381</v>
      </c>
      <c r="G22" s="246">
        <f>SUM(C22:F22)</f>
        <v>371.213347795412</v>
      </c>
      <c r="H22" s="246"/>
      <c r="I22" s="246">
        <f>-PV(0.033,$I$11,G22)/1</f>
        <v>5372.59942024789</v>
      </c>
      <c r="J22" s="246"/>
      <c r="K22" s="246"/>
      <c r="L22" s="307">
        <f>-PV(0.033,I11,G22)/(I10+IF((I11/I13)&gt;5,-PV(0.033,I13,I12)+PV(0.033,I13-1,I12)-PV(0.033,I13*2,I12)+PV(0.033,I13*2-1,I12)-PV(0.033,I13*3,I12)+PV(0.033,I13*3-1,I12)-PV(0.033,I13*4,I12)+PV(0.033,I13*4-1,I12)-PV(0.033,I13*5,I12)+PV(0.033,I13*5-1,I12),IF((I11/I13)&gt;4,-PV(0.033,I13,I12)+PV(0.033,I13-1,I12)-PV(0.033,I13*2,I12)+PV(0.033,I13*2-1,I12)-PV(0.033,I13*3,I12)+PV(0.033,I13*3-1,I12)-PV(0.033,I13*4,I12)+PV(0.033,I13*4-1,I12),IF((I11/I13)&gt;3,-PV(0.033,I13,I12)+PV(0.033,I13-1,I12)-PV(0.033,I13*2,I12)+PV(0.033,I13*2-1,I12)-PV(0.033,I13*3,I12)+PV(0.033,I13*3-1,I12),IF((I11/I13)&gt;2,-PV(0.033,I13,I12)+PV(0.033,I13-1,I12)-PV(0.033,I13*2,I12)+PV(0.033,I13*2-1,I12),IF((I11/I13)&gt;1,-PV(0.033,I13,I12)+PV(0.033,I13-1,I12),0))))))</f>
        <v>2.3470297723201208</v>
      </c>
      <c r="M22" s="308"/>
      <c r="N22" s="305">
        <f>I10+IF((I11/I13)&gt;5,-PV(0.033,I13,I12)+PV(0.033,I13-1,I12)-PV(0.033,I13*2,I12)+PV(0.033,I13*2-1,I12)-PV(0.033,I13*3,I12)+PV(0.033,I13*3-1,I12)-PV(0.033,I13*4,I12)+PV(0.033,I13*4-1,I12)-PV(0.033,I13*5,I12)+PV(0.033,I13*5-1,I12),IF((I11/I13)&gt;4,-PV(0.033,I13,I12)+PV(0.033,I13-1,I12)-PV(0.033,I13*2,I12)+PV(0.033,I13*2-1,I12)-PV(0.033,I13*3,I12)+PV(0.033,I13*3-1,I12)-PV(0.033,I13*4,I12)+PV(0.033,I13*4-1,I12),IF((I11/I13)&gt;3,-PV(0.033,I13,I12)+PV(0.033,I13-1,I12)-PV(0.033,I13*2,I12)+PV(0.033,I13*2-1,I12)-PV(0.033,I13*3,I12)+PV(0.033,I13*3-1,I12),IF((I11/I13)&gt;2,-PV(0.033,I13,I12)+PV(0.033,I13-1,I12)-PV(0.033,I13*2,I12)+PV(0.033,I13*2-1,I12),IF((I11/I13)&gt;1,-PV(0.033,I13,I12)+PV(0.033,I13-1,I12),0)))))</f>
        <v>2289.105781106853</v>
      </c>
      <c r="O22" s="306"/>
      <c r="Q22" s="25"/>
      <c r="S22" s="22"/>
      <c r="T22" s="22"/>
      <c r="U22" s="22"/>
      <c r="V22" s="22"/>
      <c r="W22" s="22"/>
    </row>
    <row r="23" spans="2:22" ht="15.75" customHeight="1" hidden="1">
      <c r="B23" s="59"/>
      <c r="C23" s="60">
        <f>C21-5</f>
        <v>63</v>
      </c>
      <c r="D23" s="60">
        <f>D21+5</f>
        <v>83</v>
      </c>
      <c r="E23" s="60">
        <f>E21+5</f>
        <v>83</v>
      </c>
      <c r="F23" s="60">
        <f>F21-5</f>
        <v>63</v>
      </c>
      <c r="G23" s="64"/>
      <c r="H23" s="61"/>
      <c r="I23" s="61"/>
      <c r="J23" s="66"/>
      <c r="K23" s="61"/>
      <c r="L23" s="94"/>
      <c r="M23" s="58"/>
      <c r="N23" s="67"/>
      <c r="O23" s="58"/>
      <c r="Q23" s="25"/>
      <c r="V23" s="21"/>
    </row>
    <row r="24" spans="2:23" ht="15" customHeight="1">
      <c r="B24" s="59" t="s">
        <v>88</v>
      </c>
      <c r="C24" s="63">
        <f>(usage4*8.2938*1.007*(120-$G$15)/RE4*(1-UA4*(120-C23)/power4)+24*UA4*(120-C23))*365/4*fuel_price4/1000000-(usage_new4*8.2938*1.007*(120-$G$15)*(1/energyfactor_new4))*365/4/1000000*fuel_price_new4</f>
        <v>97.27186955197465</v>
      </c>
      <c r="D24" s="63">
        <f>(usage4*8.2938*1.007*(120-$G$15)/RE4*(1-UA4*(120-D23)/power4)+24*UA4*(120-D23))*365/4*fuel_price4/1000000-(usage_new4*8.2938*1.007*(120-$G$15)*(1/energyfactor_new4))*365/4/1000000*fuel_price_new4</f>
        <v>88.33480434573136</v>
      </c>
      <c r="E24" s="63">
        <f>(usage4*8.2938*1.007*(120-$G$15)/RE4*(1-UA4*(120-E23)/power4)+24*UA4*(120-E23))*365/4*fuel_price4/1000000-(usage_new4*8.2938*1.007*(120-$G$15)*(1/energyfactor_new4))*365/4/1000000*fuel_price_new4</f>
        <v>88.33480434573136</v>
      </c>
      <c r="F24" s="63">
        <f>(usage4*8.2938*1.007*(120-$G$15)/RE4*(1-UA4*(120-F23)/power4)+24*UA4*(120-F23))*365/4*fuel_price4/1000000-(usage_new4*8.2938*1.007*(120-$G$15)*(1/energyfactor_new4))*365/4/1000000*fuel_price_new4</f>
        <v>97.27186955197465</v>
      </c>
      <c r="G24" s="246">
        <f>SUM(C24:F24)</f>
        <v>371.213347795412</v>
      </c>
      <c r="H24" s="246"/>
      <c r="I24" s="246">
        <f>-PV(0.033,$I$11,G24)/1</f>
        <v>5372.59942024789</v>
      </c>
      <c r="J24" s="246"/>
      <c r="K24" s="246"/>
      <c r="L24" s="307">
        <f>-PV(0.033,I11,G24)/(I10+IF((I11/I13)&gt;5,-PV(0.033,I13,I12)+PV(0.033,I13-1,I12)-PV(0.033,I13*2,I12)+PV(0.033,I13*2-1,I12)-PV(0.033,I13*3,I12)+PV(0.033,I13*3-1,I12)-PV(0.033,I13*4,I12)+PV(0.033,I13*4-1,I12)-PV(0.033,I13*5,I12)+PV(0.033,I13*5-1,I12),IF((I11/I13)&gt;4,-PV(0.033,I13,I12)+PV(0.033,I13-1,I12)-PV(0.033,I13*2,I12)+PV(0.033,I13*2-1,I12)-PV(0.033,I13*3,I12)+PV(0.033,I13*3-1,I12)-PV(0.033,I13*4,I12)+PV(0.033,I13*4-1,I12),IF((I11/I13)&gt;3,-PV(0.033,I13,I12)+PV(0.033,I13-1,I12)-PV(0.033,I13*2,I12)+PV(0.033,I13*2-1,I12)-PV(0.033,I13*3,I12)+PV(0.033,I13*3-1,I12),IF((I11/I13)&gt;2,-PV(0.033,I13,I12)+PV(0.033,I13-1,I12)-PV(0.033,I13*2,I12)+PV(0.033,I13*2-1,I12),IF((I11/I13)&gt;1,-PV(0.033,I13,I12)+PV(0.033,I13-1,I12),0))))))</f>
        <v>2.3470297723201208</v>
      </c>
      <c r="M24" s="308"/>
      <c r="N24" s="67"/>
      <c r="O24" s="58"/>
      <c r="Q24" s="25"/>
      <c r="S24" s="22"/>
      <c r="T24" s="22"/>
      <c r="U24" s="22"/>
      <c r="V24" s="22"/>
      <c r="W24" s="22"/>
    </row>
    <row r="25" spans="2:17" ht="15.75" customHeight="1" hidden="1">
      <c r="B25" s="59"/>
      <c r="C25" s="60">
        <f>C19+10</f>
        <v>33.2</v>
      </c>
      <c r="D25" s="60">
        <f>D19+5</f>
        <v>48.6</v>
      </c>
      <c r="E25" s="60">
        <f>E19+5</f>
        <v>71.5</v>
      </c>
      <c r="F25" s="60">
        <f>F19+10</f>
        <v>58.1</v>
      </c>
      <c r="G25" s="64"/>
      <c r="H25" s="61"/>
      <c r="I25" s="61"/>
      <c r="J25" s="66"/>
      <c r="K25" s="61"/>
      <c r="L25" s="94"/>
      <c r="M25" s="58"/>
      <c r="N25" s="67"/>
      <c r="O25" s="58"/>
      <c r="Q25" s="25"/>
    </row>
    <row r="26" spans="2:23" ht="15" customHeight="1" thickBot="1">
      <c r="B26" s="68" t="s">
        <v>89</v>
      </c>
      <c r="C26" s="69">
        <f>(usage4*8.2938*1.007*(120-$G$15)/RE4*(1-UA4*(120-C25)/power4)+24*UA4*(120-C25))*365/4*fuel_price4/1000000-(usage_new4*8.2938*1.007*(120-$G$15)*(1/energyfactor_new4))*365/4/1000000*fuel_price_new4</f>
        <v>110.58809670927715</v>
      </c>
      <c r="D26" s="69">
        <f>(usage4*8.2938*1.007*(120-$G$15)/RE4*(1-UA4*(120-D25)/power4)+24*UA4*(120-D25))*365/4*fuel_price4/1000000-(usage_new4*8.2938*1.007*(120-$G$15)*(1/energyfactor_new4))*365/4/1000000*fuel_price_new4</f>
        <v>103.70655650046982</v>
      </c>
      <c r="E26" s="69">
        <f>(usage4*8.2938*1.007*(120-$G$15)/RE4*(1-UA4*(120-E25)/power4)+24*UA4*(120-E25))*365/4*fuel_price4/1000000-(usage_new4*8.2938*1.007*(120-$G$15)*(1/energyfactor_new4))*365/4/1000000*fuel_price_new4</f>
        <v>93.47361683932127</v>
      </c>
      <c r="F26" s="69">
        <f>(usage4*8.2938*1.007*(120-$G$15)/RE4*(1-UA4*(120-F25)/power4)+24*UA4*(120-F25))*365/4*fuel_price4/1000000-(usage_new4*8.2938*1.007*(120-$G$15)*(1/energyfactor_new4))*365/4/1000000*fuel_price_new4</f>
        <v>99.46145052750427</v>
      </c>
      <c r="G26" s="247">
        <f>SUM(C26:F26)</f>
        <v>407.2297205765725</v>
      </c>
      <c r="H26" s="247"/>
      <c r="I26" s="247">
        <f>-PV(0.033,$I$11,G26)/1</f>
        <v>5893.867162026776</v>
      </c>
      <c r="J26" s="247"/>
      <c r="K26" s="247"/>
      <c r="L26" s="309">
        <f>-PV(0.033,I11,G26)/(I10+IF((I11/I13)&gt;5,-PV(0.033,I13,I12)+PV(0.033,I13-1,I12)-PV(0.033,I13*2,I12)+PV(0.033,I13*2-1,I12)-PV(0.033,I13*3,I12)+PV(0.033,I13*3-1,I12)-PV(0.033,I13*4,I12)+PV(0.033,I13*4-1,I12)-PV(0.033,I13*5,I12)+PV(0.033,I13*5-1,I12),IF((I11/I13)&gt;4,-PV(0.033,I13,I12)+PV(0.033,I13-1,I12)-PV(0.033,I13*2,I12)+PV(0.033,I13*2-1,I12)-PV(0.033,I13*3,I12)+PV(0.033,I13*3-1,I12)-PV(0.033,I13*4,I12)+PV(0.033,I13*4-1,I12),IF((I11/I13)&gt;3,-PV(0.033,I13,I12)+PV(0.033,I13-1,I12)-PV(0.033,I13*2,I12)+PV(0.033,I13*2-1,I12)-PV(0.033,I13*3,I12)+PV(0.033,I13*3-1,I12),IF((I11/I13)&gt;2,-PV(0.033,I13,I12)+PV(0.033,I13-1,I12)-PV(0.033,I13*2,I12)+PV(0.033,I13*2-1,I12),IF((I11/I13)&gt;1,-PV(0.033,I13,I12)+PV(0.033,I13-1,I12),0))))))</f>
        <v>2.574746527955082</v>
      </c>
      <c r="M26" s="310"/>
      <c r="N26" s="70"/>
      <c r="O26" s="71"/>
      <c r="Q26" s="25"/>
      <c r="S26" s="22"/>
      <c r="T26" s="22"/>
      <c r="U26" s="22"/>
      <c r="V26" s="22"/>
      <c r="W26" s="22"/>
    </row>
    <row r="27" spans="11:23" ht="15.75">
      <c r="K27" s="25"/>
      <c r="L27" s="25"/>
      <c r="M27" s="25"/>
      <c r="N27" s="25"/>
      <c r="S27" s="22"/>
      <c r="T27" s="22"/>
      <c r="U27" s="22"/>
      <c r="V27" s="22"/>
      <c r="W27" s="22"/>
    </row>
    <row r="28" ht="15"/>
    <row r="29" spans="11:13" ht="15.75">
      <c r="K29" s="4"/>
      <c r="L29" s="4"/>
      <c r="M29" s="4"/>
    </row>
  </sheetData>
  <sheetProtection/>
  <mergeCells count="42">
    <mergeCell ref="G8:H8"/>
    <mergeCell ref="G9:H9"/>
    <mergeCell ref="I2:J2"/>
    <mergeCell ref="I3:J3"/>
    <mergeCell ref="I12:J12"/>
    <mergeCell ref="I13:J13"/>
    <mergeCell ref="I11:J11"/>
    <mergeCell ref="I5:J5"/>
    <mergeCell ref="I6:J6"/>
    <mergeCell ref="I9:J9"/>
    <mergeCell ref="L24:M24"/>
    <mergeCell ref="L26:M26"/>
    <mergeCell ref="L17:M17"/>
    <mergeCell ref="L18:M18"/>
    <mergeCell ref="G15:J15"/>
    <mergeCell ref="G2:H2"/>
    <mergeCell ref="G3:H3"/>
    <mergeCell ref="G4:H4"/>
    <mergeCell ref="G6:H6"/>
    <mergeCell ref="G7:H7"/>
    <mergeCell ref="N17:O17"/>
    <mergeCell ref="N18:O18"/>
    <mergeCell ref="N20:O20"/>
    <mergeCell ref="N22:O22"/>
    <mergeCell ref="L20:M20"/>
    <mergeCell ref="L22:M22"/>
    <mergeCell ref="I20:K20"/>
    <mergeCell ref="G17:H17"/>
    <mergeCell ref="G18:H18"/>
    <mergeCell ref="G20:H20"/>
    <mergeCell ref="L14:M14"/>
    <mergeCell ref="L9:M9"/>
    <mergeCell ref="L11:M11"/>
    <mergeCell ref="L12:M12"/>
    <mergeCell ref="L13:M13"/>
    <mergeCell ref="I10:J10"/>
    <mergeCell ref="G22:H22"/>
    <mergeCell ref="G24:H24"/>
    <mergeCell ref="G26:H26"/>
    <mergeCell ref="I22:K22"/>
    <mergeCell ref="I24:K24"/>
    <mergeCell ref="I26:K26"/>
  </mergeCells>
  <printOptions gridLines="1"/>
  <pageMargins left="0.5" right="0.5" top="0.75" bottom="0.75" header="0.5" footer="0.5"/>
  <pageSetup horizontalDpi="300" verticalDpi="300" orientation="landscape" scale="90" r:id="rId3"/>
  <headerFooter alignWithMargins="0">
    <oddFooter>&amp;C&amp;14&amp;A</oddFooter>
  </headerFooter>
  <legacyDrawing r:id="rId2"/>
</worksheet>
</file>

<file path=xl/worksheets/sheet9.xml><?xml version="1.0" encoding="utf-8"?>
<worksheet xmlns="http://schemas.openxmlformats.org/spreadsheetml/2006/main" xmlns:r="http://schemas.openxmlformats.org/officeDocument/2006/relationships">
  <sheetPr codeName="Sheet10"/>
  <dimension ref="B2:F8"/>
  <sheetViews>
    <sheetView showGridLines="0" zoomScalePageLayoutView="0" workbookViewId="0" topLeftCell="A1">
      <selection activeCell="A1" sqref="A1:D1"/>
    </sheetView>
  </sheetViews>
  <sheetFormatPr defaultColWidth="9.140625" defaultRowHeight="12.75"/>
  <cols>
    <col min="1" max="1" width="3.28125" style="43" customWidth="1"/>
    <col min="2" max="2" width="21.7109375" style="43" customWidth="1"/>
    <col min="3" max="6" width="8.7109375" style="43" customWidth="1"/>
    <col min="7" max="7" width="11.7109375" style="43" customWidth="1"/>
    <col min="8" max="11" width="11.00390625" style="43" customWidth="1"/>
    <col min="12" max="12" width="10.8515625" style="43" customWidth="1"/>
    <col min="13" max="15" width="8.28125" style="43" customWidth="1"/>
    <col min="16" max="16384" width="9.140625" style="43" customWidth="1"/>
  </cols>
  <sheetData>
    <row r="1" ht="6.75" customHeight="1"/>
    <row r="2" spans="2:6" ht="31.5" customHeight="1">
      <c r="B2" s="324" t="s">
        <v>278</v>
      </c>
      <c r="C2" s="325"/>
      <c r="D2" s="325"/>
      <c r="E2" s="325"/>
      <c r="F2" s="326"/>
    </row>
    <row r="3" spans="2:6" ht="15.75" customHeight="1">
      <c r="B3" s="327" t="s">
        <v>179</v>
      </c>
      <c r="C3" s="329" t="s">
        <v>265</v>
      </c>
      <c r="D3" s="330"/>
      <c r="E3" s="330"/>
      <c r="F3" s="331"/>
    </row>
    <row r="4" spans="2:6" ht="15.75" customHeight="1">
      <c r="B4" s="328"/>
      <c r="C4" s="192">
        <v>30</v>
      </c>
      <c r="D4" s="192">
        <v>40</v>
      </c>
      <c r="E4" s="192">
        <v>50</v>
      </c>
      <c r="F4" s="192">
        <v>75</v>
      </c>
    </row>
    <row r="5" spans="2:6" ht="15.75" customHeight="1">
      <c r="B5" s="193" t="s">
        <v>266</v>
      </c>
      <c r="C5" s="194">
        <v>0.56</v>
      </c>
      <c r="D5" s="194">
        <v>0.54</v>
      </c>
      <c r="E5" s="194">
        <v>0.53</v>
      </c>
      <c r="F5" s="194">
        <v>0.48</v>
      </c>
    </row>
    <row r="6" spans="2:6" ht="15.75" customHeight="1">
      <c r="B6" s="193" t="s">
        <v>142</v>
      </c>
      <c r="C6" s="194">
        <v>0.89</v>
      </c>
      <c r="D6" s="194">
        <v>0.88</v>
      </c>
      <c r="E6" s="194">
        <v>0.86</v>
      </c>
      <c r="F6" s="194">
        <v>0.83</v>
      </c>
    </row>
    <row r="7" spans="2:6" ht="15.75" customHeight="1">
      <c r="B7" s="193" t="s">
        <v>174</v>
      </c>
      <c r="C7" s="194">
        <v>0.53</v>
      </c>
      <c r="D7" s="194">
        <v>0.51</v>
      </c>
      <c r="E7" s="194">
        <v>0.5</v>
      </c>
      <c r="F7" s="194">
        <v>0.45</v>
      </c>
    </row>
    <row r="8" spans="2:6" ht="15" customHeight="1">
      <c r="B8" s="321" t="s">
        <v>279</v>
      </c>
      <c r="C8" s="322"/>
      <c r="D8" s="322"/>
      <c r="E8" s="322"/>
      <c r="F8" s="323"/>
    </row>
  </sheetData>
  <sheetProtection sheet="1" objects="1" scenarios="1"/>
  <mergeCells count="4">
    <mergeCell ref="B8:F8"/>
    <mergeCell ref="B2:F2"/>
    <mergeCell ref="B3:B4"/>
    <mergeCell ref="C3:F3"/>
  </mergeCells>
  <printOptions horizontalCentered="1"/>
  <pageMargins left="1" right="1" top="1" bottom="1" header="0.5" footer="0.5"/>
  <pageSetup horizontalDpi="300" verticalDpi="300" orientation="portrait"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D&amp;R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Water Heater Evaluation Spreadsheet</dc:title>
  <dc:subject/>
  <dc:creator>Jennifer Bowman</dc:creator>
  <cp:keywords>Water Heater Evaluation Spreadsheet</cp:keywords>
  <dc:description/>
  <cp:lastModifiedBy>John Rutledge</cp:lastModifiedBy>
  <cp:lastPrinted>2014-05-08T16:13:24Z</cp:lastPrinted>
  <dcterms:created xsi:type="dcterms:W3CDTF">2002-06-04T18:47:57Z</dcterms:created>
  <dcterms:modified xsi:type="dcterms:W3CDTF">2014-05-08T16:13:41Z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Locale">
    <vt:lpwstr>en</vt:lpwstr>
  </property>
  <property fmtid="{D5CDD505-2E9C-101B-9397-08002B2CF9AE}" pid="3" name="CopyToStateLib">
    <vt:lpwstr>0</vt:lpwstr>
  </property>
  <property fmtid="{D5CDD505-2E9C-101B-9397-08002B2CF9AE}" pid="4" name="Metadata">
    <vt:lpwstr>Water Heater Evaluation Spreadsheet</vt:lpwstr>
  </property>
  <property fmtid="{D5CDD505-2E9C-101B-9397-08002B2CF9AE}" pid="5" name="RoutingRuleDescription">
    <vt:lpwstr>Water Heater Replacement Evaluation Tools</vt:lpwstr>
  </property>
</Properties>
</file>