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tabRatio="823"/>
  </bookViews>
  <sheets>
    <sheet name="No Build Yr 2017" sheetId="5" r:id="rId1"/>
    <sheet name="NoBuild Yr 2042" sheetId="10" r:id="rId2"/>
    <sheet name="Build Yr 2017" sheetId="9" r:id="rId3"/>
    <sheet name="Build Yr 2042" sheetId="12" r:id="rId4"/>
    <sheet name="Demand" sheetId="14" r:id="rId5"/>
    <sheet name="BPR" sheetId="2" r:id="rId6"/>
  </sheets>
  <definedNames>
    <definedName name="_xlnm.Print_Area" localSheetId="0">'No Build Yr 2017'!$A$1:$G$60</definedName>
    <definedName name="_xlnm.Print_Titles" localSheetId="0">'No Build Yr 2017'!$1:$4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8" i="5" l="1"/>
  <c r="E68" i="5"/>
  <c r="D68" i="5"/>
  <c r="C68" i="5"/>
  <c r="B68" i="5"/>
  <c r="D35" i="5" l="1"/>
  <c r="B72" i="12" l="1"/>
  <c r="B72" i="9"/>
  <c r="B72" i="10"/>
  <c r="B72" i="5"/>
  <c r="F66" i="12" l="1"/>
  <c r="E66" i="12"/>
  <c r="D66" i="12"/>
  <c r="C66" i="12"/>
  <c r="F66" i="9"/>
  <c r="E66" i="9"/>
  <c r="D66" i="9"/>
  <c r="C66" i="9"/>
  <c r="F66" i="10"/>
  <c r="E66" i="10"/>
  <c r="D66" i="10"/>
  <c r="C66" i="10"/>
  <c r="F66" i="5"/>
  <c r="E66" i="5"/>
  <c r="D66" i="5"/>
  <c r="C66" i="5"/>
  <c r="F63" i="12"/>
  <c r="E63" i="12"/>
  <c r="D63" i="12"/>
  <c r="C63" i="12"/>
  <c r="B63" i="12"/>
  <c r="F63" i="9"/>
  <c r="E63" i="9"/>
  <c r="D63" i="9"/>
  <c r="C63" i="9"/>
  <c r="B63" i="9"/>
  <c r="F63" i="10"/>
  <c r="E63" i="10"/>
  <c r="D63" i="10"/>
  <c r="C63" i="10"/>
  <c r="B63" i="10"/>
  <c r="F63" i="5"/>
  <c r="E63" i="5"/>
  <c r="D63" i="5"/>
  <c r="C63" i="5"/>
  <c r="B63" i="5"/>
  <c r="H38" i="5" l="1"/>
  <c r="B10" i="14" l="1"/>
  <c r="F5" i="14"/>
  <c r="F7" i="14" s="1"/>
  <c r="E5" i="14"/>
  <c r="E7" i="14" s="1"/>
  <c r="D5" i="14"/>
  <c r="D7" i="14" s="1"/>
  <c r="C5" i="14"/>
  <c r="C7" i="14" s="1"/>
  <c r="C39" i="10"/>
  <c r="C42" i="10" s="1"/>
  <c r="E39" i="10"/>
  <c r="E42" i="10" s="1"/>
  <c r="F39" i="10"/>
  <c r="F42" i="10" s="1"/>
  <c r="D42" i="10"/>
  <c r="D69" i="10"/>
  <c r="F62" i="12"/>
  <c r="E62" i="12"/>
  <c r="D62" i="12"/>
  <c r="C62" i="12"/>
  <c r="F62" i="9"/>
  <c r="E62" i="9"/>
  <c r="D62" i="9"/>
  <c r="C62" i="9"/>
  <c r="F62" i="10"/>
  <c r="E62" i="10"/>
  <c r="D62" i="10"/>
  <c r="C62" i="10"/>
  <c r="F62" i="5"/>
  <c r="E62" i="5"/>
  <c r="D62" i="5"/>
  <c r="C62" i="5"/>
  <c r="B74" i="12"/>
  <c r="B73" i="12"/>
  <c r="B71" i="12"/>
  <c r="B70" i="12"/>
  <c r="D69" i="12"/>
  <c r="B69" i="12"/>
  <c r="B68" i="12"/>
  <c r="F67" i="12"/>
  <c r="E67" i="12"/>
  <c r="D67" i="12"/>
  <c r="C67" i="12"/>
  <c r="B67" i="12"/>
  <c r="F65" i="12"/>
  <c r="E65" i="12"/>
  <c r="D65" i="12"/>
  <c r="C65" i="12"/>
  <c r="B65" i="12"/>
  <c r="F64" i="12"/>
  <c r="E64" i="12"/>
  <c r="D64" i="12"/>
  <c r="C64" i="12"/>
  <c r="B64" i="12"/>
  <c r="B74" i="9"/>
  <c r="B73" i="9"/>
  <c r="B71" i="9"/>
  <c r="B70" i="9"/>
  <c r="D69" i="9"/>
  <c r="B69" i="9"/>
  <c r="B68" i="9"/>
  <c r="F67" i="9"/>
  <c r="E67" i="9"/>
  <c r="D67" i="9"/>
  <c r="C67" i="9"/>
  <c r="B67" i="9"/>
  <c r="F65" i="9"/>
  <c r="E65" i="9"/>
  <c r="D65" i="9"/>
  <c r="C65" i="9"/>
  <c r="B65" i="9"/>
  <c r="F64" i="9"/>
  <c r="E64" i="9"/>
  <c r="D64" i="9"/>
  <c r="C64" i="9"/>
  <c r="B64" i="9"/>
  <c r="B74" i="10"/>
  <c r="B73" i="10"/>
  <c r="B71" i="10"/>
  <c r="B70" i="10"/>
  <c r="B69" i="10"/>
  <c r="B68" i="10"/>
  <c r="F67" i="10"/>
  <c r="E67" i="10"/>
  <c r="D67" i="10"/>
  <c r="C67" i="10"/>
  <c r="B67" i="10"/>
  <c r="F65" i="10"/>
  <c r="E65" i="10"/>
  <c r="D65" i="10"/>
  <c r="C65" i="10"/>
  <c r="B65" i="10"/>
  <c r="F64" i="10"/>
  <c r="E64" i="10"/>
  <c r="D64" i="10"/>
  <c r="C64" i="10"/>
  <c r="B64" i="10"/>
  <c r="B70" i="5"/>
  <c r="B71" i="5"/>
  <c r="B73" i="5"/>
  <c r="D69" i="5"/>
  <c r="B69" i="5"/>
  <c r="F67" i="5"/>
  <c r="E67" i="5"/>
  <c r="D67" i="5"/>
  <c r="C67" i="5"/>
  <c r="B67" i="5"/>
  <c r="F65" i="5"/>
  <c r="E65" i="5"/>
  <c r="D65" i="5"/>
  <c r="C65" i="5"/>
  <c r="B65" i="5"/>
  <c r="F64" i="5"/>
  <c r="E64" i="5"/>
  <c r="D64" i="5"/>
  <c r="C64" i="5"/>
  <c r="B64" i="5"/>
  <c r="B74" i="5"/>
  <c r="C10" i="14" l="1"/>
  <c r="F10" i="14"/>
  <c r="F11" i="14" s="1"/>
  <c r="F12" i="14" s="1"/>
  <c r="C11" i="14"/>
  <c r="C12" i="14" s="1"/>
  <c r="D10" i="14"/>
  <c r="D11" i="14" s="1"/>
  <c r="D12" i="14" s="1"/>
  <c r="E10" i="14"/>
  <c r="E11" i="14" s="1"/>
  <c r="E12" i="14" s="1"/>
  <c r="F69" i="10"/>
  <c r="E69" i="10"/>
  <c r="C69" i="10"/>
  <c r="C34" i="2"/>
  <c r="E68" i="9" l="1"/>
  <c r="D32" i="10"/>
  <c r="D32" i="12"/>
  <c r="D68" i="12" s="1"/>
  <c r="C32" i="12"/>
  <c r="C32" i="10"/>
  <c r="E32" i="12"/>
  <c r="E68" i="12" s="1"/>
  <c r="E32" i="10"/>
  <c r="F32" i="12"/>
  <c r="F68" i="12" s="1"/>
  <c r="F32" i="10"/>
  <c r="F68" i="9"/>
  <c r="D68" i="9"/>
  <c r="D42" i="12"/>
  <c r="F39" i="12"/>
  <c r="E39" i="12"/>
  <c r="C39" i="12"/>
  <c r="F17" i="12"/>
  <c r="F18" i="12" s="1"/>
  <c r="E17" i="12"/>
  <c r="E18" i="12" s="1"/>
  <c r="D17" i="12"/>
  <c r="C17" i="12"/>
  <c r="N13" i="12"/>
  <c r="M13" i="12"/>
  <c r="D35" i="12" l="1"/>
  <c r="D46" i="12" s="1"/>
  <c r="C42" i="12"/>
  <c r="C69" i="12"/>
  <c r="E42" i="12"/>
  <c r="E69" i="12"/>
  <c r="F42" i="12"/>
  <c r="F69" i="12"/>
  <c r="F35" i="12"/>
  <c r="F46" i="12" s="1"/>
  <c r="E35" i="12"/>
  <c r="E46" i="12" s="1"/>
  <c r="D35" i="10"/>
  <c r="D46" i="10" s="1"/>
  <c r="D68" i="10"/>
  <c r="C32" i="5"/>
  <c r="C35" i="5"/>
  <c r="C35" i="10"/>
  <c r="C46" i="10" s="1"/>
  <c r="C68" i="10"/>
  <c r="F35" i="10"/>
  <c r="F46" i="10" s="1"/>
  <c r="F68" i="10"/>
  <c r="C68" i="9"/>
  <c r="C35" i="9"/>
  <c r="C68" i="12"/>
  <c r="C35" i="12"/>
  <c r="E32" i="5"/>
  <c r="E35" i="5"/>
  <c r="E35" i="10"/>
  <c r="E46" i="10" s="1"/>
  <c r="E68" i="10"/>
  <c r="D32" i="5"/>
  <c r="F35" i="5"/>
  <c r="F32" i="5"/>
  <c r="E19" i="12"/>
  <c r="E57" i="12" s="1"/>
  <c r="E71" i="12" s="1"/>
  <c r="F19" i="12"/>
  <c r="F24" i="12" s="1"/>
  <c r="C18" i="12"/>
  <c r="C19" i="12" s="1"/>
  <c r="D18" i="12"/>
  <c r="D19" i="12" s="1"/>
  <c r="F17" i="10"/>
  <c r="F18" i="10" s="1"/>
  <c r="E17" i="10"/>
  <c r="E18" i="10" s="1"/>
  <c r="D17" i="10"/>
  <c r="D18" i="10" s="1"/>
  <c r="C17" i="10"/>
  <c r="C18" i="10" s="1"/>
  <c r="N13" i="10"/>
  <c r="M13" i="10"/>
  <c r="D42" i="9"/>
  <c r="F39" i="9"/>
  <c r="E39" i="9"/>
  <c r="C39" i="9"/>
  <c r="F35" i="9"/>
  <c r="E35" i="9"/>
  <c r="D35" i="9"/>
  <c r="F17" i="9"/>
  <c r="F18" i="9" s="1"/>
  <c r="E17" i="9"/>
  <c r="D17" i="9"/>
  <c r="D18" i="9" s="1"/>
  <c r="C17" i="9"/>
  <c r="C18" i="9" s="1"/>
  <c r="N13" i="9"/>
  <c r="M13" i="9"/>
  <c r="C17" i="5"/>
  <c r="C18" i="5" s="1"/>
  <c r="D17" i="5"/>
  <c r="D18" i="5" s="1"/>
  <c r="E17" i="5"/>
  <c r="E18" i="5" s="1"/>
  <c r="F17" i="5"/>
  <c r="F18" i="5" s="1"/>
  <c r="C46" i="12" l="1"/>
  <c r="C42" i="9"/>
  <c r="C69" i="9"/>
  <c r="F42" i="9"/>
  <c r="F46" i="9" s="1"/>
  <c r="F69" i="9"/>
  <c r="E42" i="9"/>
  <c r="E46" i="9" s="1"/>
  <c r="E69" i="9"/>
  <c r="F57" i="12"/>
  <c r="F71" i="12" s="1"/>
  <c r="E24" i="12"/>
  <c r="E27" i="12" s="1"/>
  <c r="E29" i="12" s="1"/>
  <c r="E48" i="12" s="1"/>
  <c r="D46" i="9"/>
  <c r="C24" i="12"/>
  <c r="C27" i="12" s="1"/>
  <c r="C29" i="12" s="1"/>
  <c r="C48" i="12" s="1"/>
  <c r="C57" i="12"/>
  <c r="C71" i="12" s="1"/>
  <c r="D24" i="12"/>
  <c r="D27" i="12" s="1"/>
  <c r="D29" i="12" s="1"/>
  <c r="D48" i="12" s="1"/>
  <c r="D57" i="12"/>
  <c r="D71" i="12" s="1"/>
  <c r="C19" i="9"/>
  <c r="C24" i="9" s="1"/>
  <c r="C46" i="9"/>
  <c r="F19" i="9"/>
  <c r="F24" i="9" s="1"/>
  <c r="E18" i="9"/>
  <c r="E19" i="9" s="1"/>
  <c r="D19" i="9"/>
  <c r="D24" i="9" s="1"/>
  <c r="C19" i="10"/>
  <c r="C57" i="10" s="1"/>
  <c r="C71" i="10" s="1"/>
  <c r="D19" i="10"/>
  <c r="D24" i="10" s="1"/>
  <c r="E19" i="10"/>
  <c r="E57" i="10" s="1"/>
  <c r="E71" i="10" s="1"/>
  <c r="F27" i="12"/>
  <c r="F29" i="12" s="1"/>
  <c r="F48" i="12" s="1"/>
  <c r="F19" i="10"/>
  <c r="M13" i="5"/>
  <c r="N13" i="5"/>
  <c r="C52" i="12" l="1"/>
  <c r="C54" i="12" s="1"/>
  <c r="C70" i="12"/>
  <c r="E52" i="12"/>
  <c r="E54" i="12" s="1"/>
  <c r="E70" i="12"/>
  <c r="F52" i="12"/>
  <c r="F54" i="12" s="1"/>
  <c r="F70" i="12"/>
  <c r="D52" i="12"/>
  <c r="D54" i="12" s="1"/>
  <c r="D70" i="12"/>
  <c r="F57" i="9"/>
  <c r="F71" i="9" s="1"/>
  <c r="C57" i="9"/>
  <c r="C71" i="9" s="1"/>
  <c r="E24" i="10"/>
  <c r="E27" i="10" s="1"/>
  <c r="E29" i="10" s="1"/>
  <c r="E48" i="10" s="1"/>
  <c r="D57" i="10"/>
  <c r="D71" i="10" s="1"/>
  <c r="E24" i="9"/>
  <c r="E27" i="9" s="1"/>
  <c r="E29" i="9" s="1"/>
  <c r="E48" i="9" s="1"/>
  <c r="E57" i="9"/>
  <c r="E71" i="9" s="1"/>
  <c r="D57" i="9"/>
  <c r="D71" i="9" s="1"/>
  <c r="C24" i="10"/>
  <c r="C27" i="10" s="1"/>
  <c r="C29" i="10" s="1"/>
  <c r="C48" i="10" s="1"/>
  <c r="F24" i="10"/>
  <c r="F57" i="10"/>
  <c r="F71" i="10" s="1"/>
  <c r="D27" i="10"/>
  <c r="D29" i="10" s="1"/>
  <c r="D48" i="10" s="1"/>
  <c r="D27" i="9"/>
  <c r="D29" i="9" s="1"/>
  <c r="D48" i="9" s="1"/>
  <c r="C27" i="9"/>
  <c r="C29" i="9" s="1"/>
  <c r="C48" i="9" s="1"/>
  <c r="F27" i="9"/>
  <c r="F29" i="9" s="1"/>
  <c r="F48" i="9" s="1"/>
  <c r="D42" i="5"/>
  <c r="D46" i="5" s="1"/>
  <c r="F39" i="5"/>
  <c r="E39" i="5"/>
  <c r="C39" i="5"/>
  <c r="E58" i="12" l="1"/>
  <c r="E59" i="12" s="1"/>
  <c r="E74" i="12" s="1"/>
  <c r="E55" i="12"/>
  <c r="E72" i="12" s="1"/>
  <c r="D58" i="12"/>
  <c r="D55" i="12"/>
  <c r="D72" i="12" s="1"/>
  <c r="C58" i="12"/>
  <c r="C59" i="12" s="1"/>
  <c r="C74" i="12" s="1"/>
  <c r="C55" i="12"/>
  <c r="C72" i="12" s="1"/>
  <c r="F58" i="12"/>
  <c r="F73" i="12" s="1"/>
  <c r="F55" i="12"/>
  <c r="F72" i="12" s="1"/>
  <c r="D59" i="12"/>
  <c r="D74" i="12" s="1"/>
  <c r="D73" i="12"/>
  <c r="D52" i="9"/>
  <c r="D54" i="9" s="1"/>
  <c r="D70" i="9"/>
  <c r="F52" i="9"/>
  <c r="F54" i="9" s="1"/>
  <c r="F70" i="9"/>
  <c r="E52" i="9"/>
  <c r="E54" i="9" s="1"/>
  <c r="E70" i="9"/>
  <c r="C52" i="9"/>
  <c r="C54" i="9" s="1"/>
  <c r="C70" i="9"/>
  <c r="E52" i="10"/>
  <c r="E54" i="10" s="1"/>
  <c r="E70" i="10"/>
  <c r="C52" i="10"/>
  <c r="C54" i="10" s="1"/>
  <c r="C70" i="10"/>
  <c r="D52" i="10"/>
  <c r="D54" i="10" s="1"/>
  <c r="D70" i="10"/>
  <c r="F42" i="5"/>
  <c r="F46" i="5" s="1"/>
  <c r="F69" i="5"/>
  <c r="C42" i="5"/>
  <c r="C46" i="5" s="1"/>
  <c r="C69" i="5"/>
  <c r="E42" i="5"/>
  <c r="E46" i="5" s="1"/>
  <c r="E69" i="5"/>
  <c r="F27" i="10"/>
  <c r="F29" i="10" s="1"/>
  <c r="F48" i="10" s="1"/>
  <c r="C19" i="5"/>
  <c r="D19" i="5"/>
  <c r="E19" i="5"/>
  <c r="F19" i="5"/>
  <c r="F59" i="12" l="1"/>
  <c r="F74" i="12" s="1"/>
  <c r="C73" i="12"/>
  <c r="E73" i="12"/>
  <c r="C58" i="9"/>
  <c r="C59" i="9" s="1"/>
  <c r="C74" i="9" s="1"/>
  <c r="C55" i="9"/>
  <c r="C72" i="9" s="1"/>
  <c r="F58" i="9"/>
  <c r="F73" i="9" s="1"/>
  <c r="F55" i="9"/>
  <c r="F72" i="9" s="1"/>
  <c r="E58" i="9"/>
  <c r="E59" i="9" s="1"/>
  <c r="E74" i="9" s="1"/>
  <c r="E55" i="9"/>
  <c r="E72" i="9" s="1"/>
  <c r="D58" i="9"/>
  <c r="D59" i="9" s="1"/>
  <c r="D74" i="9" s="1"/>
  <c r="D55" i="9"/>
  <c r="D72" i="9" s="1"/>
  <c r="C58" i="10"/>
  <c r="C59" i="10" s="1"/>
  <c r="C74" i="10" s="1"/>
  <c r="C55" i="10"/>
  <c r="C72" i="10" s="1"/>
  <c r="D58" i="10"/>
  <c r="D73" i="10" s="1"/>
  <c r="D55" i="10"/>
  <c r="D72" i="10" s="1"/>
  <c r="E58" i="10"/>
  <c r="E59" i="10" s="1"/>
  <c r="E74" i="10" s="1"/>
  <c r="E55" i="10"/>
  <c r="E72" i="10" s="1"/>
  <c r="F52" i="10"/>
  <c r="F54" i="10" s="1"/>
  <c r="F70" i="10"/>
  <c r="F57" i="5"/>
  <c r="F71" i="5" s="1"/>
  <c r="F24" i="5"/>
  <c r="D57" i="5"/>
  <c r="D71" i="5" s="1"/>
  <c r="D24" i="5"/>
  <c r="E57" i="5"/>
  <c r="E71" i="5" s="1"/>
  <c r="E24" i="5"/>
  <c r="C57" i="5"/>
  <c r="C71" i="5" s="1"/>
  <c r="C24" i="5"/>
  <c r="E73" i="10" l="1"/>
  <c r="D59" i="10"/>
  <c r="D74" i="10" s="1"/>
  <c r="C73" i="9"/>
  <c r="F59" i="9"/>
  <c r="F74" i="9" s="1"/>
  <c r="E73" i="9"/>
  <c r="C73" i="10"/>
  <c r="D73" i="9"/>
  <c r="F58" i="10"/>
  <c r="F55" i="10"/>
  <c r="F72" i="10" s="1"/>
  <c r="F59" i="10"/>
  <c r="F74" i="10" s="1"/>
  <c r="F73" i="10"/>
  <c r="C27" i="5"/>
  <c r="C29" i="5" s="1"/>
  <c r="C48" i="5" s="1"/>
  <c r="D27" i="5"/>
  <c r="D29" i="5" s="1"/>
  <c r="D48" i="5" s="1"/>
  <c r="E27" i="5"/>
  <c r="E29" i="5" s="1"/>
  <c r="E48" i="5" s="1"/>
  <c r="F27" i="5"/>
  <c r="F29" i="5" s="1"/>
  <c r="F48" i="5" s="1"/>
  <c r="D52" i="5" l="1"/>
  <c r="D54" i="5" s="1"/>
  <c r="D70" i="5"/>
  <c r="F52" i="5"/>
  <c r="F54" i="5" s="1"/>
  <c r="F70" i="5"/>
  <c r="E52" i="5"/>
  <c r="E54" i="5" s="1"/>
  <c r="E70" i="5"/>
  <c r="C52" i="5"/>
  <c r="C54" i="5" s="1"/>
  <c r="C70" i="5"/>
  <c r="D58" i="5" l="1"/>
  <c r="D73" i="5" s="1"/>
  <c r="D55" i="5"/>
  <c r="D72" i="5" s="1"/>
  <c r="F58" i="5"/>
  <c r="F59" i="5" s="1"/>
  <c r="F74" i="5" s="1"/>
  <c r="F55" i="5"/>
  <c r="F72" i="5" s="1"/>
  <c r="C58" i="5"/>
  <c r="C73" i="5" s="1"/>
  <c r="C55" i="5"/>
  <c r="C72" i="5" s="1"/>
  <c r="E58" i="5"/>
  <c r="E59" i="5" s="1"/>
  <c r="E74" i="5" s="1"/>
  <c r="E55" i="5"/>
  <c r="E72" i="5" s="1"/>
  <c r="C59" i="5"/>
  <c r="C74" i="5" s="1"/>
  <c r="F73" i="5" l="1"/>
  <c r="D59" i="5"/>
  <c r="D74" i="5" s="1"/>
  <c r="E73" i="5"/>
</calcChain>
</file>

<file path=xl/sharedStrings.xml><?xml version="1.0" encoding="utf-8"?>
<sst xmlns="http://schemas.openxmlformats.org/spreadsheetml/2006/main" count="498" uniqueCount="118">
  <si>
    <t>Urban</t>
  </si>
  <si>
    <t>Rural</t>
  </si>
  <si>
    <t>Level</t>
  </si>
  <si>
    <t>Rolling</t>
  </si>
  <si>
    <t>% Trucks</t>
  </si>
  <si>
    <t>% Bus</t>
  </si>
  <si>
    <t>Length (mi)</t>
  </si>
  <si>
    <t>From</t>
  </si>
  <si>
    <t>To</t>
  </si>
  <si>
    <t>N. Santiam Exit 234</t>
  </si>
  <si>
    <t>Albany UGB MP 235</t>
  </si>
  <si>
    <t>Terrain Change MP 246</t>
  </si>
  <si>
    <t>Salem UGB MP 249</t>
  </si>
  <si>
    <t>Kuebler Exit 252</t>
  </si>
  <si>
    <t># Thru Lanes</t>
  </si>
  <si>
    <t>Area Type</t>
  </si>
  <si>
    <t>Terrain Type</t>
  </si>
  <si>
    <t>K-factor</t>
  </si>
  <si>
    <t>D-factor</t>
  </si>
  <si>
    <t>Facility Type</t>
  </si>
  <si>
    <t>Freeway</t>
  </si>
  <si>
    <t>FFS</t>
  </si>
  <si>
    <t>Posted Speed Autos</t>
  </si>
  <si>
    <t>Posted Speed Trucks</t>
  </si>
  <si>
    <t>TransGIS</t>
  </si>
  <si>
    <t>Classification Report</t>
  </si>
  <si>
    <t>APM Appx 11A</t>
  </si>
  <si>
    <t>Posted + 5mph</t>
  </si>
  <si>
    <t>HCM Eqtn 12-10</t>
  </si>
  <si>
    <r>
      <t>E</t>
    </r>
    <r>
      <rPr>
        <vertAlign val="subscript"/>
        <sz val="11"/>
        <color theme="1"/>
        <rFont val="Calibri"/>
        <family val="2"/>
        <scheme val="minor"/>
      </rPr>
      <t>T</t>
    </r>
  </si>
  <si>
    <t>HCM Ex 12-25</t>
  </si>
  <si>
    <t>Downtown</t>
  </si>
  <si>
    <t>Suburban</t>
  </si>
  <si>
    <t>HCM Base Speed at Capacity</t>
  </si>
  <si>
    <t>BPR A</t>
  </si>
  <si>
    <t>BPR B</t>
  </si>
  <si>
    <t>% Trucks and Buses</t>
  </si>
  <si>
    <t>Data Source/Comments</t>
  </si>
  <si>
    <t>ATR</t>
  </si>
  <si>
    <t>PHF Local</t>
  </si>
  <si>
    <t>fhv Local</t>
  </si>
  <si>
    <t>Source: PPEAG Exhibit 129</t>
  </si>
  <si>
    <t>Speed-Flow Equation Parameters</t>
  </si>
  <si>
    <t>A</t>
  </si>
  <si>
    <t>B</t>
  </si>
  <si>
    <t>Vehicle-hours of delay in peak hour = Average peak hour delay (sec) x volume / 3600</t>
  </si>
  <si>
    <t>FFS auto minus the difference in the posted auto and truck speed limits</t>
  </si>
  <si>
    <t>Supersection Method - see PPEAG Section T Example 1</t>
  </si>
  <si>
    <t>Peak Hour VHD</t>
  </si>
  <si>
    <t>C</t>
  </si>
  <si>
    <t>Exhibit 129 PPEAG</t>
  </si>
  <si>
    <t>TT at Posted Speed, sec</t>
  </si>
  <si>
    <t>Peak Hour Avg Delay per veh, sec</t>
  </si>
  <si>
    <t>No. Years</t>
  </si>
  <si>
    <t>2012 AADT = 58400</t>
  </si>
  <si>
    <t>2013 AADT = 59700</t>
  </si>
  <si>
    <t>2014 AADT = 59000</t>
  </si>
  <si>
    <t>2015 AADT = 62900</t>
  </si>
  <si>
    <t>2016 AADT = 64800</t>
  </si>
  <si>
    <r>
      <t>S = FFS/(1+Ax</t>
    </r>
    <r>
      <rPr>
        <vertAlign val="superscript"/>
        <sz val="14"/>
        <color theme="1"/>
        <rFont val="Calibri"/>
        <family val="2"/>
        <scheme val="minor"/>
      </rPr>
      <t>B</t>
    </r>
    <r>
      <rPr>
        <sz val="11"/>
        <color theme="1"/>
        <rFont val="Calibri"/>
        <family val="2"/>
        <scheme val="minor"/>
      </rPr>
      <t>)</t>
    </r>
  </si>
  <si>
    <t>BFFS Auto</t>
  </si>
  <si>
    <t>BFFS Truck</t>
  </si>
  <si>
    <t>BFFS Weighted</t>
  </si>
  <si>
    <r>
      <t>f</t>
    </r>
    <r>
      <rPr>
        <vertAlign val="subscript"/>
        <sz val="11"/>
        <color theme="1"/>
        <rFont val="Calibri"/>
        <family val="2"/>
        <scheme val="minor"/>
      </rPr>
      <t>LW</t>
    </r>
  </si>
  <si>
    <r>
      <t>f</t>
    </r>
    <r>
      <rPr>
        <vertAlign val="subscript"/>
        <sz val="11"/>
        <color theme="1"/>
        <rFont val="Calibri"/>
        <family val="2"/>
        <scheme val="minor"/>
      </rPr>
      <t>RLC</t>
    </r>
  </si>
  <si>
    <t>TRD</t>
  </si>
  <si>
    <t>HCM Equation 12-2</t>
  </si>
  <si>
    <t>FFS Adjusted</t>
  </si>
  <si>
    <t>Capacity</t>
  </si>
  <si>
    <t xml:space="preserve">HCM Equation 12-6 </t>
  </si>
  <si>
    <t>HCM Exhibit 12-20</t>
  </si>
  <si>
    <t>HCM Exhibit 12-21</t>
  </si>
  <si>
    <t>c, base capacity</t>
  </si>
  <si>
    <t>Cadj</t>
  </si>
  <si>
    <t>CAFpop</t>
  </si>
  <si>
    <t>HCM Equation 12-8</t>
  </si>
  <si>
    <t>Default values, Appendix C of APM Ch 11</t>
  </si>
  <si>
    <t>Demand</t>
  </si>
  <si>
    <t>AADT</t>
  </si>
  <si>
    <t>DDHV mixed flow</t>
  </si>
  <si>
    <t>Equation 12-9 of HCM</t>
  </si>
  <si>
    <t>vp, pcphpl</t>
  </si>
  <si>
    <t>Average Speed</t>
  </si>
  <si>
    <t>Travel Time</t>
  </si>
  <si>
    <t>Length/avg speed</t>
  </si>
  <si>
    <t>Delay</t>
  </si>
  <si>
    <t>Length/posted speed</t>
  </si>
  <si>
    <t>Basic Input Data</t>
  </si>
  <si>
    <t>D</t>
  </si>
  <si>
    <t xml:space="preserve">d/c ratio </t>
  </si>
  <si>
    <t>Section</t>
  </si>
  <si>
    <t>Scenario:</t>
  </si>
  <si>
    <t>SUMMARY</t>
  </si>
  <si>
    <t xml:space="preserve">A </t>
  </si>
  <si>
    <t>TransGIS 20-year forecast</t>
  </si>
  <si>
    <t>Existing year</t>
  </si>
  <si>
    <t>Annual Growth Rate</t>
  </si>
  <si>
    <t>GF</t>
  </si>
  <si>
    <t>Vehicle Classification Report</t>
  </si>
  <si>
    <t>AADT Existing</t>
  </si>
  <si>
    <t>AADT Future</t>
  </si>
  <si>
    <t>Future Year</t>
  </si>
  <si>
    <t>Year 2042 AADT</t>
  </si>
  <si>
    <t>Daily VMT (1000s)</t>
  </si>
  <si>
    <t>I5 Northbound</t>
  </si>
  <si>
    <t>Roadway/Direction of Travel</t>
  </si>
  <si>
    <t>Scenario</t>
  </si>
  <si>
    <t>Avg travel time x veh/hour</t>
  </si>
  <si>
    <t>Peak Hour VHT (hr)</t>
  </si>
  <si>
    <t>Peak Hour Avg Travel Time per vehicle (sec)</t>
  </si>
  <si>
    <t>Peak Hour Avg Speed</t>
  </si>
  <si>
    <t>No Build Year 2017 Peak Hour</t>
  </si>
  <si>
    <t>No Build Yr 2042 Peak Hour</t>
  </si>
  <si>
    <t>Build Yr 2017 Peak Hour</t>
  </si>
  <si>
    <t>Build Yr 2042 Peak Hour</t>
  </si>
  <si>
    <t>Study Title: Operational and Safety Trade-offs: Reducing Freeway Lane and Shoulder Width to Permit an Additional Lane; Note: applied to K A B and C only</t>
  </si>
  <si>
    <t>CRF:</t>
  </si>
  <si>
    <t>Note: applied to K A B and C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</si>
</sst>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0"/>
    <numFmt numFmtId="166" formatCode="0.0000"/>
  </numFmts>
  <fonts count="5" x14ac:knownFonts="1">
    <font>
      <sz val="11"/>
      <color theme="1"/>
      <name val="Calibri"/>
      <family val="2"/>
      <scheme val="minor"/>
    </font>
    <font>
      <vertAlign val="subscript"/>
      <sz val="11"/>
      <color theme="1"/>
      <name val="Calibri"/>
      <family val="2"/>
      <scheme val="minor"/>
    </font>
    <font>
      <sz val="12"/>
      <color theme="1"/>
      <name val="Times New Roman"/>
      <family val="1"/>
    </font>
    <font>
      <b/>
      <sz val="11"/>
      <color theme="1"/>
      <name val="Calibri"/>
      <family val="2"/>
      <scheme val="minor"/>
    </font>
    <font>
      <vertAlign val="superscript"/>
      <sz val="14"/>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48">
    <xf numFmtId="0" fontId="0" fillId="0" borderId="0" xfId="0"/>
    <xf numFmtId="0" fontId="0" fillId="0" borderId="0" xfId="0" applyAlignment="1">
      <alignment wrapText="1"/>
    </xf>
    <xf numFmtId="0" fontId="0" fillId="0" borderId="0" xfId="0" applyAlignment="1"/>
    <xf numFmtId="164" fontId="0" fillId="0" borderId="0" xfId="0" applyNumberFormat="1" applyAlignment="1">
      <alignment horizontal="center" wrapText="1"/>
    </xf>
    <xf numFmtId="165" fontId="0" fillId="0" borderId="0" xfId="0" applyNumberFormat="1" applyAlignment="1">
      <alignment horizontal="center" wrapText="1"/>
    </xf>
    <xf numFmtId="2" fontId="0" fillId="0" borderId="0" xfId="0" applyNumberFormat="1" applyAlignment="1">
      <alignment horizontal="center" wrapText="1"/>
    </xf>
    <xf numFmtId="1" fontId="0" fillId="0" borderId="0" xfId="0" applyNumberFormat="1" applyAlignment="1">
      <alignment horizontal="center" wrapText="1"/>
    </xf>
    <xf numFmtId="0" fontId="0" fillId="0" borderId="0" xfId="0" applyAlignment="1">
      <alignment horizontal="center" wrapText="1"/>
    </xf>
    <xf numFmtId="0" fontId="2" fillId="0" borderId="0" xfId="0" applyFont="1" applyAlignment="1">
      <alignment vertical="center"/>
    </xf>
    <xf numFmtId="0" fontId="3" fillId="2" borderId="0" xfId="0" applyFont="1" applyFill="1" applyAlignment="1">
      <alignment wrapText="1"/>
    </xf>
    <xf numFmtId="0" fontId="3" fillId="2" borderId="0" xfId="0" applyFont="1" applyFill="1" applyAlignment="1">
      <alignment horizontal="center" wrapText="1"/>
    </xf>
    <xf numFmtId="0" fontId="0" fillId="0" borderId="0" xfId="0" applyAlignment="1">
      <alignment horizontal="center"/>
    </xf>
    <xf numFmtId="0" fontId="0" fillId="0" borderId="0" xfId="0" applyAlignment="1">
      <alignment horizontal="center"/>
    </xf>
    <xf numFmtId="0" fontId="2" fillId="0" borderId="0" xfId="0" applyFont="1"/>
    <xf numFmtId="0" fontId="0" fillId="0" borderId="0" xfId="0" applyAlignment="1">
      <alignment horizontal="center"/>
    </xf>
    <xf numFmtId="0" fontId="0" fillId="0" borderId="1" xfId="0" applyBorder="1" applyAlignment="1">
      <alignment wrapText="1"/>
    </xf>
    <xf numFmtId="0" fontId="0" fillId="0" borderId="4" xfId="0" applyBorder="1" applyAlignment="1">
      <alignment wrapText="1"/>
    </xf>
    <xf numFmtId="0" fontId="0" fillId="0" borderId="0" xfId="0" applyBorder="1" applyAlignment="1">
      <alignment wrapText="1"/>
    </xf>
    <xf numFmtId="0" fontId="0" fillId="0" borderId="5" xfId="0" applyBorder="1" applyAlignment="1">
      <alignment wrapText="1"/>
    </xf>
    <xf numFmtId="1" fontId="0" fillId="0" borderId="0" xfId="0" applyNumberFormat="1" applyBorder="1" applyAlignment="1">
      <alignment wrapText="1"/>
    </xf>
    <xf numFmtId="1" fontId="0" fillId="0" borderId="5" xfId="0" applyNumberFormat="1" applyBorder="1" applyAlignment="1">
      <alignment wrapText="1"/>
    </xf>
    <xf numFmtId="1" fontId="0" fillId="0" borderId="0" xfId="0" applyNumberFormat="1" applyBorder="1" applyAlignment="1">
      <alignment horizontal="center" wrapText="1"/>
    </xf>
    <xf numFmtId="1" fontId="0" fillId="0" borderId="2" xfId="0" applyNumberFormat="1" applyBorder="1" applyAlignment="1">
      <alignment horizontal="center" wrapText="1"/>
    </xf>
    <xf numFmtId="1" fontId="0" fillId="0" borderId="3" xfId="0" applyNumberFormat="1" applyBorder="1" applyAlignment="1">
      <alignment horizontal="center" wrapText="1"/>
    </xf>
    <xf numFmtId="165" fontId="0" fillId="0" borderId="0" xfId="0" applyNumberFormat="1" applyBorder="1" applyAlignment="1">
      <alignment wrapText="1"/>
    </xf>
    <xf numFmtId="165" fontId="0" fillId="0" borderId="5" xfId="0" applyNumberFormat="1" applyBorder="1" applyAlignment="1">
      <alignment wrapText="1"/>
    </xf>
    <xf numFmtId="1" fontId="0" fillId="0" borderId="0" xfId="0" applyNumberFormat="1" applyAlignment="1">
      <alignment horizontal="center"/>
    </xf>
    <xf numFmtId="0" fontId="0" fillId="0" borderId="4" xfId="0" applyBorder="1" applyAlignment="1"/>
    <xf numFmtId="0" fontId="0" fillId="0" borderId="0" xfId="0" applyBorder="1" applyAlignment="1"/>
    <xf numFmtId="1" fontId="0" fillId="0" borderId="0" xfId="0" applyNumberFormat="1" applyBorder="1" applyAlignment="1"/>
    <xf numFmtId="1" fontId="0" fillId="0" borderId="5" xfId="0" applyNumberFormat="1" applyBorder="1" applyAlignment="1"/>
    <xf numFmtId="0" fontId="0" fillId="0" borderId="5" xfId="0" applyBorder="1" applyAlignment="1"/>
    <xf numFmtId="0" fontId="2" fillId="0" borderId="0" xfId="0" applyFont="1" applyAlignment="1"/>
    <xf numFmtId="2" fontId="0" fillId="0" borderId="0" xfId="0" applyNumberFormat="1" applyAlignment="1">
      <alignment horizontal="center"/>
    </xf>
    <xf numFmtId="165" fontId="0" fillId="0" borderId="0" xfId="0" applyNumberFormat="1" applyAlignment="1">
      <alignment horizontal="center"/>
    </xf>
    <xf numFmtId="0" fontId="0" fillId="0" borderId="0" xfId="0" applyFill="1" applyAlignment="1">
      <alignment wrapText="1"/>
    </xf>
    <xf numFmtId="164" fontId="0" fillId="0" borderId="0" xfId="0" applyNumberFormat="1" applyFill="1" applyAlignment="1">
      <alignment horizontal="center" wrapText="1"/>
    </xf>
    <xf numFmtId="2" fontId="0" fillId="0" borderId="0" xfId="0" applyNumberFormat="1" applyFill="1" applyAlignment="1">
      <alignment horizontal="center" wrapText="1"/>
    </xf>
    <xf numFmtId="166" fontId="0" fillId="0" borderId="0" xfId="0" applyNumberFormat="1" applyAlignment="1">
      <alignment horizontal="center"/>
    </xf>
    <xf numFmtId="0" fontId="0" fillId="0" borderId="0" xfId="0" applyAlignment="1">
      <alignment horizontal="center"/>
    </xf>
    <xf numFmtId="2" fontId="0" fillId="0" borderId="0" xfId="0" applyNumberFormat="1" applyFill="1" applyBorder="1" applyAlignment="1">
      <alignment wrapText="1"/>
    </xf>
    <xf numFmtId="2" fontId="0" fillId="0" borderId="5" xfId="0" applyNumberFormat="1" applyFill="1" applyBorder="1" applyAlignment="1">
      <alignment wrapText="1"/>
    </xf>
    <xf numFmtId="0" fontId="0" fillId="0" borderId="0" xfId="0" applyBorder="1" applyAlignment="1">
      <alignment horizontal="center"/>
    </xf>
    <xf numFmtId="0" fontId="0" fillId="0" borderId="4" xfId="0" applyFill="1" applyBorder="1" applyAlignment="1">
      <alignment wrapText="1"/>
    </xf>
    <xf numFmtId="0" fontId="0" fillId="0" borderId="9" xfId="0" applyBorder="1" applyAlignment="1">
      <alignment wrapText="1"/>
    </xf>
    <xf numFmtId="0" fontId="0" fillId="0" borderId="6" xfId="0" applyFill="1" applyBorder="1" applyAlignment="1">
      <alignment wrapText="1"/>
    </xf>
    <xf numFmtId="164" fontId="0" fillId="0" borderId="7" xfId="0" applyNumberFormat="1" applyFill="1" applyBorder="1" applyAlignment="1">
      <alignment wrapText="1"/>
    </xf>
    <xf numFmtId="164" fontId="0" fillId="0" borderId="8" xfId="0" applyNumberFormat="1"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2"/>
  <sheetViews>
    <sheetView tabSelected="1" zoomScale="70" zoomScaleNormal="70" workbookViewId="0"/>
  </sheetViews>
  <sheetFormatPr defaultColWidth="8.85546875" defaultRowHeight="15" x14ac:dyDescent="0.25"/>
  <cols>
    <col min="1" max="1" width="27" style="1" customWidth="1"/>
    <col min="2" max="2" width="39.42578125" style="1" bestFit="1" customWidth="1"/>
    <col min="3" max="3" width="29.28515625" style="7" customWidth="1"/>
    <col min="4" max="6" width="27.5703125" style="7" bestFit="1" customWidth="1"/>
    <col min="7" max="7" width="64.28515625" style="1" customWidth="1"/>
    <col min="8" max="16384" width="8.85546875" style="1"/>
  </cols>
  <sheetData>
    <row r="1" spans="1:14" ht="30" x14ac:dyDescent="0.25">
      <c r="A1" s="1" t="s">
        <v>47</v>
      </c>
    </row>
    <row r="2" spans="1:14" x14ac:dyDescent="0.25">
      <c r="A2" s="9"/>
      <c r="B2" s="9"/>
      <c r="C2" s="10" t="s">
        <v>93</v>
      </c>
      <c r="D2" s="10" t="s">
        <v>44</v>
      </c>
      <c r="E2" s="10" t="s">
        <v>49</v>
      </c>
      <c r="F2" s="10" t="s">
        <v>88</v>
      </c>
      <c r="G2" s="9" t="s">
        <v>37</v>
      </c>
    </row>
    <row r="3" spans="1:14" x14ac:dyDescent="0.25">
      <c r="A3" s="1" t="s">
        <v>90</v>
      </c>
      <c r="B3" s="1" t="s">
        <v>105</v>
      </c>
      <c r="C3" s="7" t="s">
        <v>104</v>
      </c>
      <c r="D3" s="7" t="s">
        <v>104</v>
      </c>
      <c r="E3" s="7" t="s">
        <v>104</v>
      </c>
      <c r="F3" s="7" t="s">
        <v>104</v>
      </c>
    </row>
    <row r="4" spans="1:14" x14ac:dyDescent="0.25">
      <c r="B4" s="1" t="s">
        <v>7</v>
      </c>
      <c r="C4" s="7" t="s">
        <v>9</v>
      </c>
      <c r="D4" s="7" t="s">
        <v>10</v>
      </c>
      <c r="E4" s="7" t="s">
        <v>11</v>
      </c>
      <c r="F4" s="7" t="s">
        <v>12</v>
      </c>
    </row>
    <row r="5" spans="1:14" x14ac:dyDescent="0.25">
      <c r="B5" s="1" t="s">
        <v>8</v>
      </c>
      <c r="C5" s="7" t="s">
        <v>10</v>
      </c>
      <c r="D5" s="7" t="s">
        <v>11</v>
      </c>
      <c r="E5" s="7" t="s">
        <v>12</v>
      </c>
      <c r="F5" s="7" t="s">
        <v>13</v>
      </c>
    </row>
    <row r="6" spans="1:14" x14ac:dyDescent="0.25">
      <c r="B6" s="1" t="s">
        <v>106</v>
      </c>
      <c r="C6" s="42" t="s">
        <v>111</v>
      </c>
      <c r="D6" s="42" t="s">
        <v>111</v>
      </c>
      <c r="E6" s="42" t="s">
        <v>111</v>
      </c>
      <c r="F6" s="42" t="s">
        <v>111</v>
      </c>
    </row>
    <row r="8" spans="1:14" ht="15.75" x14ac:dyDescent="0.25">
      <c r="A8" s="1" t="s">
        <v>87</v>
      </c>
      <c r="B8" s="1" t="s">
        <v>14</v>
      </c>
      <c r="C8" s="7">
        <v>2</v>
      </c>
      <c r="D8" s="7">
        <v>2</v>
      </c>
      <c r="E8" s="7">
        <v>3</v>
      </c>
      <c r="F8" s="7">
        <v>2</v>
      </c>
      <c r="G8" s="1" t="s">
        <v>24</v>
      </c>
      <c r="J8" s="8" t="s">
        <v>54</v>
      </c>
      <c r="M8" s="1">
        <v>58400</v>
      </c>
    </row>
    <row r="9" spans="1:14" ht="15.75" x14ac:dyDescent="0.25">
      <c r="B9" s="1" t="s">
        <v>19</v>
      </c>
      <c r="C9" s="7" t="s">
        <v>20</v>
      </c>
      <c r="D9" s="7" t="s">
        <v>20</v>
      </c>
      <c r="E9" s="7" t="s">
        <v>20</v>
      </c>
      <c r="F9" s="7" t="s">
        <v>20</v>
      </c>
      <c r="J9" s="8" t="s">
        <v>55</v>
      </c>
      <c r="M9" s="1">
        <v>59700</v>
      </c>
    </row>
    <row r="10" spans="1:14" ht="15.75" x14ac:dyDescent="0.25">
      <c r="B10" s="1" t="s">
        <v>15</v>
      </c>
      <c r="C10" s="7" t="s">
        <v>0</v>
      </c>
      <c r="D10" s="7" t="s">
        <v>1</v>
      </c>
      <c r="E10" s="7" t="s">
        <v>1</v>
      </c>
      <c r="F10" s="7" t="s">
        <v>0</v>
      </c>
      <c r="G10" s="1" t="s">
        <v>24</v>
      </c>
      <c r="J10" s="8" t="s">
        <v>56</v>
      </c>
      <c r="M10" s="1">
        <v>59000</v>
      </c>
    </row>
    <row r="11" spans="1:14" ht="15.75" x14ac:dyDescent="0.25">
      <c r="B11" s="1" t="s">
        <v>16</v>
      </c>
      <c r="C11" s="7" t="s">
        <v>2</v>
      </c>
      <c r="D11" s="7" t="s">
        <v>2</v>
      </c>
      <c r="E11" s="7" t="s">
        <v>3</v>
      </c>
      <c r="F11" s="7" t="s">
        <v>3</v>
      </c>
      <c r="J11" s="8" t="s">
        <v>57</v>
      </c>
      <c r="M11" s="1">
        <v>62900</v>
      </c>
    </row>
    <row r="12" spans="1:14" ht="15.75" x14ac:dyDescent="0.25">
      <c r="B12" s="1" t="s">
        <v>6</v>
      </c>
      <c r="C12" s="7">
        <v>1</v>
      </c>
      <c r="D12" s="7">
        <v>11</v>
      </c>
      <c r="E12" s="7">
        <v>3</v>
      </c>
      <c r="F12" s="7">
        <v>3</v>
      </c>
      <c r="J12" s="8" t="s">
        <v>58</v>
      </c>
      <c r="M12" s="1">
        <v>64800</v>
      </c>
    </row>
    <row r="13" spans="1:14" x14ac:dyDescent="0.25">
      <c r="B13" s="1" t="s">
        <v>22</v>
      </c>
      <c r="C13" s="7">
        <v>65</v>
      </c>
      <c r="D13" s="7">
        <v>65</v>
      </c>
      <c r="E13" s="7">
        <v>65</v>
      </c>
      <c r="F13" s="7">
        <v>65</v>
      </c>
      <c r="M13" s="1">
        <f>SUM(M8:M12)</f>
        <v>304800</v>
      </c>
      <c r="N13" s="1">
        <f>AVERAGE(M8:M12)</f>
        <v>60960</v>
      </c>
    </row>
    <row r="14" spans="1:14" x14ac:dyDescent="0.25">
      <c r="B14" s="1" t="s">
        <v>23</v>
      </c>
      <c r="C14" s="7">
        <v>60</v>
      </c>
      <c r="D14" s="7">
        <v>60</v>
      </c>
      <c r="E14" s="7">
        <v>60</v>
      </c>
      <c r="F14" s="7">
        <v>60</v>
      </c>
    </row>
    <row r="16" spans="1:14" x14ac:dyDescent="0.25">
      <c r="A16" s="1" t="s">
        <v>21</v>
      </c>
    </row>
    <row r="17" spans="1:7" x14ac:dyDescent="0.25">
      <c r="B17" s="1" t="s">
        <v>60</v>
      </c>
      <c r="C17" s="7">
        <f>+C13+5</f>
        <v>70</v>
      </c>
      <c r="D17" s="7">
        <f>+D13+5</f>
        <v>70</v>
      </c>
      <c r="E17" s="7">
        <f>+E13+5</f>
        <v>70</v>
      </c>
      <c r="F17" s="7">
        <f>+F13+5</f>
        <v>70</v>
      </c>
      <c r="G17" s="1" t="s">
        <v>27</v>
      </c>
    </row>
    <row r="18" spans="1:7" x14ac:dyDescent="0.25">
      <c r="B18" s="1" t="s">
        <v>61</v>
      </c>
      <c r="C18" s="7">
        <f>+C17-(C13-C14)</f>
        <v>65</v>
      </c>
      <c r="D18" s="11">
        <f>+D17-(D13-D14)</f>
        <v>65</v>
      </c>
      <c r="E18" s="11">
        <f>+E17-(E13-E14)</f>
        <v>65</v>
      </c>
      <c r="F18" s="11">
        <f>+F17-(F13-F14)</f>
        <v>65</v>
      </c>
      <c r="G18" s="2" t="s">
        <v>46</v>
      </c>
    </row>
    <row r="19" spans="1:7" x14ac:dyDescent="0.25">
      <c r="B19" s="1" t="s">
        <v>62</v>
      </c>
      <c r="C19" s="3">
        <f>+C17*(1-C39)+C18*(C39)</f>
        <v>69.07650000000001</v>
      </c>
      <c r="D19" s="3">
        <f>+D17*(1-D39)+D18*(D39)</f>
        <v>69.08</v>
      </c>
      <c r="E19" s="3">
        <f>+E17*(1-E39)+E18*(E39)</f>
        <v>69.081500000000005</v>
      </c>
      <c r="F19" s="3">
        <f>+F17*(1-F39)+F18*(F39)</f>
        <v>69.121000000000009</v>
      </c>
      <c r="G19" s="1" t="s">
        <v>26</v>
      </c>
    </row>
    <row r="20" spans="1:7" x14ac:dyDescent="0.25">
      <c r="C20" s="6"/>
      <c r="D20" s="6"/>
      <c r="E20" s="6"/>
      <c r="F20" s="6"/>
    </row>
    <row r="21" spans="1:7" ht="18" x14ac:dyDescent="0.35">
      <c r="B21" s="1" t="s">
        <v>63</v>
      </c>
      <c r="C21" s="6">
        <v>0</v>
      </c>
      <c r="D21" s="6">
        <v>0</v>
      </c>
      <c r="E21" s="6">
        <v>0</v>
      </c>
      <c r="F21" s="6">
        <v>0</v>
      </c>
      <c r="G21" s="13" t="s">
        <v>70</v>
      </c>
    </row>
    <row r="22" spans="1:7" ht="18" x14ac:dyDescent="0.35">
      <c r="B22" s="1" t="s">
        <v>64</v>
      </c>
      <c r="C22" s="6">
        <v>0</v>
      </c>
      <c r="D22" s="6">
        <v>0</v>
      </c>
      <c r="E22" s="6">
        <v>0</v>
      </c>
      <c r="F22" s="6">
        <v>0</v>
      </c>
      <c r="G22" s="13" t="s">
        <v>71</v>
      </c>
    </row>
    <row r="23" spans="1:7" x14ac:dyDescent="0.25">
      <c r="B23" s="1" t="s">
        <v>65</v>
      </c>
      <c r="C23" s="3">
        <v>1.1000000000000001</v>
      </c>
      <c r="D23" s="3">
        <v>1.4</v>
      </c>
      <c r="E23" s="3">
        <v>1</v>
      </c>
      <c r="F23" s="3">
        <v>1.8</v>
      </c>
    </row>
    <row r="24" spans="1:7" ht="15.75" x14ac:dyDescent="0.25">
      <c r="B24" s="1" t="s">
        <v>67</v>
      </c>
      <c r="C24" s="3">
        <f>C19-C21-C22-3.22*POWER(C23,0.84)</f>
        <v>65.588104422516579</v>
      </c>
      <c r="D24" s="3">
        <f>D19-D21-D22-3.22*POWER(D23,0.84)</f>
        <v>64.808273669821247</v>
      </c>
      <c r="E24" s="3">
        <f t="shared" ref="E24:F24" si="0">E19-E21-E22-3.22*POWER(E23,0.84)</f>
        <v>65.861500000000007</v>
      </c>
      <c r="F24" s="3">
        <f t="shared" si="0"/>
        <v>63.845243095495839</v>
      </c>
      <c r="G24" s="13" t="s">
        <v>66</v>
      </c>
    </row>
    <row r="26" spans="1:7" x14ac:dyDescent="0.25">
      <c r="A26" s="1" t="s">
        <v>68</v>
      </c>
    </row>
    <row r="27" spans="1:7" ht="15.75" x14ac:dyDescent="0.25">
      <c r="B27" s="1" t="s">
        <v>72</v>
      </c>
      <c r="C27" s="6">
        <f>2200+10*(C24-50)</f>
        <v>2355.8810442251656</v>
      </c>
      <c r="D27" s="6">
        <f>2200+10*(D24-50)</f>
        <v>2348.0827366982126</v>
      </c>
      <c r="E27" s="6">
        <f t="shared" ref="E27:F27" si="1">2200+10*(E24-50)</f>
        <v>2358.6150000000002</v>
      </c>
      <c r="F27" s="6">
        <f t="shared" si="1"/>
        <v>2338.4524309549583</v>
      </c>
      <c r="G27" s="13" t="s">
        <v>69</v>
      </c>
    </row>
    <row r="28" spans="1:7" ht="15.75" x14ac:dyDescent="0.25">
      <c r="B28" s="1" t="s">
        <v>74</v>
      </c>
      <c r="C28" s="7">
        <v>0.96799999999999997</v>
      </c>
      <c r="D28" s="7">
        <v>0.93899999999999995</v>
      </c>
      <c r="E28" s="7">
        <v>0.93899999999999995</v>
      </c>
      <c r="F28" s="7">
        <v>0.96799999999999997</v>
      </c>
      <c r="G28" s="13" t="s">
        <v>76</v>
      </c>
    </row>
    <row r="29" spans="1:7" ht="15.75" x14ac:dyDescent="0.25">
      <c r="B29" s="1" t="s">
        <v>73</v>
      </c>
      <c r="C29" s="6">
        <f>+C27*C28</f>
        <v>2280.4928508099601</v>
      </c>
      <c r="D29" s="6">
        <f t="shared" ref="D29:F29" si="2">+D27*D28</f>
        <v>2204.8496897596215</v>
      </c>
      <c r="E29" s="6">
        <f t="shared" si="2"/>
        <v>2214.7394850000001</v>
      </c>
      <c r="F29" s="6">
        <f t="shared" si="2"/>
        <v>2263.6219531643997</v>
      </c>
      <c r="G29" s="13" t="s">
        <v>75</v>
      </c>
    </row>
    <row r="30" spans="1:7" ht="15.75" x14ac:dyDescent="0.25">
      <c r="A30" s="1" t="s">
        <v>77</v>
      </c>
      <c r="G30" s="13"/>
    </row>
    <row r="31" spans="1:7" x14ac:dyDescent="0.25">
      <c r="B31" s="1" t="s">
        <v>78</v>
      </c>
      <c r="C31" s="39">
        <v>67700</v>
      </c>
      <c r="D31" s="39">
        <v>68100</v>
      </c>
      <c r="E31" s="39">
        <v>68100</v>
      </c>
      <c r="F31" s="39">
        <v>66100</v>
      </c>
      <c r="G31" s="1" t="s">
        <v>25</v>
      </c>
    </row>
    <row r="32" spans="1:7" x14ac:dyDescent="0.25">
      <c r="B32" s="1" t="s">
        <v>103</v>
      </c>
      <c r="C32" s="6">
        <f>+C31*C34*C12/1000</f>
        <v>3520.4</v>
      </c>
      <c r="D32" s="6">
        <f t="shared" ref="D32:F32" si="3">+D31*D34*D12/1000</f>
        <v>38953.199999999997</v>
      </c>
      <c r="E32" s="6">
        <f t="shared" si="3"/>
        <v>10623.6</v>
      </c>
      <c r="F32" s="6">
        <f t="shared" si="3"/>
        <v>10311.6</v>
      </c>
    </row>
    <row r="33" spans="1:8" x14ac:dyDescent="0.25">
      <c r="B33" s="1" t="s">
        <v>17</v>
      </c>
      <c r="C33" s="3">
        <v>8.8000000000000007</v>
      </c>
      <c r="D33" s="3">
        <v>9</v>
      </c>
      <c r="E33" s="3">
        <v>9</v>
      </c>
      <c r="F33" s="3">
        <v>9</v>
      </c>
    </row>
    <row r="34" spans="1:8" x14ac:dyDescent="0.25">
      <c r="B34" s="1" t="s">
        <v>18</v>
      </c>
      <c r="C34" s="7">
        <v>52</v>
      </c>
      <c r="D34" s="7">
        <v>52</v>
      </c>
      <c r="E34" s="7">
        <v>52</v>
      </c>
      <c r="F34" s="7">
        <v>52</v>
      </c>
      <c r="G34" s="1" t="s">
        <v>38</v>
      </c>
    </row>
    <row r="35" spans="1:8" x14ac:dyDescent="0.25">
      <c r="B35" s="1" t="s">
        <v>79</v>
      </c>
      <c r="C35" s="6">
        <f>+C31*(C33/100)*(C34/100)</f>
        <v>3097.9520000000002</v>
      </c>
      <c r="D35" s="6">
        <f>+D31*(D33/100)*(D34/100)</f>
        <v>3187.08</v>
      </c>
      <c r="E35" s="6">
        <f t="shared" ref="E35:F35" si="4">+E31*(E33/100)*(E34/100)</f>
        <v>3187.08</v>
      </c>
      <c r="F35" s="6">
        <f t="shared" si="4"/>
        <v>3093.48</v>
      </c>
    </row>
    <row r="37" spans="1:8" x14ac:dyDescent="0.25">
      <c r="B37" s="1" t="s">
        <v>4</v>
      </c>
      <c r="C37" s="7">
        <v>0.183</v>
      </c>
      <c r="D37" s="7">
        <v>0.182</v>
      </c>
      <c r="E37" s="7">
        <v>0.182</v>
      </c>
      <c r="F37" s="7">
        <v>0.17</v>
      </c>
      <c r="G37" s="1" t="s">
        <v>25</v>
      </c>
    </row>
    <row r="38" spans="1:8" x14ac:dyDescent="0.25">
      <c r="B38" s="1" t="s">
        <v>5</v>
      </c>
      <c r="C38" s="7">
        <v>1.6999999999999999E-3</v>
      </c>
      <c r="D38" s="7">
        <v>1.6999999999999999E-3</v>
      </c>
      <c r="E38" s="7">
        <v>1.6999999999999999E-3</v>
      </c>
      <c r="F38" s="7">
        <v>5.7999999999999996E-3</v>
      </c>
      <c r="G38" s="1" t="s">
        <v>25</v>
      </c>
      <c r="H38" s="1">
        <f>+C38*100</f>
        <v>0.16999999999999998</v>
      </c>
    </row>
    <row r="39" spans="1:8" x14ac:dyDescent="0.25">
      <c r="B39" s="1" t="s">
        <v>36</v>
      </c>
      <c r="C39" s="7">
        <f>SUM(C37:C38)</f>
        <v>0.1847</v>
      </c>
      <c r="D39" s="7">
        <v>0.184</v>
      </c>
      <c r="E39" s="7">
        <f t="shared" ref="E39:F39" si="5">SUM(E37:E38)</f>
        <v>0.1837</v>
      </c>
      <c r="F39" s="7">
        <f t="shared" si="5"/>
        <v>0.17580000000000001</v>
      </c>
    </row>
    <row r="41" spans="1:8" ht="18" x14ac:dyDescent="0.35">
      <c r="B41" s="1" t="s">
        <v>29</v>
      </c>
      <c r="C41" s="7">
        <v>2</v>
      </c>
      <c r="D41" s="7">
        <v>2</v>
      </c>
      <c r="E41" s="7">
        <v>3</v>
      </c>
      <c r="F41" s="7">
        <v>3</v>
      </c>
      <c r="G41" s="1" t="s">
        <v>30</v>
      </c>
    </row>
    <row r="42" spans="1:8" x14ac:dyDescent="0.25">
      <c r="B42" s="1" t="s">
        <v>40</v>
      </c>
      <c r="C42" s="4">
        <f>1/(1+C39*(C41-1))</f>
        <v>0.8440955516164429</v>
      </c>
      <c r="D42" s="4">
        <f>1/(1+D39*(D41-1))</f>
        <v>0.84459459459459463</v>
      </c>
      <c r="E42" s="4">
        <f>1/(1+E39*(E41-1))</f>
        <v>0.73131490419774758</v>
      </c>
      <c r="F42" s="4">
        <f>1/(1+F39*(F41-1))</f>
        <v>0.73986386504883106</v>
      </c>
      <c r="G42" s="1" t="s">
        <v>28</v>
      </c>
    </row>
    <row r="43" spans="1:8" x14ac:dyDescent="0.25">
      <c r="C43" s="6"/>
      <c r="D43" s="6"/>
      <c r="E43" s="6"/>
      <c r="F43" s="6"/>
    </row>
    <row r="44" spans="1:8" x14ac:dyDescent="0.25">
      <c r="B44" s="1" t="s">
        <v>39</v>
      </c>
      <c r="C44" s="7">
        <v>0.94</v>
      </c>
      <c r="D44" s="7">
        <v>0.88</v>
      </c>
      <c r="E44" s="7">
        <v>0.88</v>
      </c>
      <c r="F44" s="7">
        <v>0.94</v>
      </c>
    </row>
    <row r="45" spans="1:8" x14ac:dyDescent="0.25">
      <c r="C45" s="6"/>
      <c r="D45" s="4"/>
      <c r="E45" s="6"/>
      <c r="F45" s="6"/>
    </row>
    <row r="46" spans="1:8" ht="15.75" x14ac:dyDescent="0.25">
      <c r="B46" s="1" t="s">
        <v>81</v>
      </c>
      <c r="C46" s="6">
        <f>C35/(C44*C8*C42)</f>
        <v>1952.2041140425536</v>
      </c>
      <c r="D46" s="6">
        <f>D35/(D44*D8*D42)</f>
        <v>2144.0356363636361</v>
      </c>
      <c r="E46" s="6">
        <f>E35/(E44*E8*E42)</f>
        <v>1650.7625727272725</v>
      </c>
      <c r="F46" s="6">
        <f>F35/(F44*F8*F42)</f>
        <v>2224.0146638297874</v>
      </c>
      <c r="G46" s="13" t="s">
        <v>80</v>
      </c>
    </row>
    <row r="47" spans="1:8" ht="15.75" x14ac:dyDescent="0.25">
      <c r="C47" s="6"/>
      <c r="D47" s="6"/>
      <c r="E47" s="6"/>
      <c r="F47" s="6"/>
      <c r="G47" s="13"/>
    </row>
    <row r="48" spans="1:8" ht="15.75" x14ac:dyDescent="0.25">
      <c r="A48" s="1" t="s">
        <v>89</v>
      </c>
      <c r="C48" s="5">
        <f>+C46/C29</f>
        <v>0.85604482967319606</v>
      </c>
      <c r="D48" s="5">
        <f>+D46/D29</f>
        <v>0.97241805022880468</v>
      </c>
      <c r="E48" s="5">
        <f>+E46/E29</f>
        <v>0.74535293379088896</v>
      </c>
      <c r="F48" s="5">
        <f>+F46/F29</f>
        <v>0.98250269251928579</v>
      </c>
      <c r="G48" s="13"/>
    </row>
    <row r="49" spans="1:7" x14ac:dyDescent="0.25">
      <c r="C49" s="6"/>
      <c r="D49" s="6"/>
      <c r="E49" s="6"/>
      <c r="F49" s="6"/>
    </row>
    <row r="50" spans="1:7" x14ac:dyDescent="0.25">
      <c r="A50" s="1" t="s">
        <v>82</v>
      </c>
      <c r="B50" s="1" t="s">
        <v>43</v>
      </c>
      <c r="C50" s="5">
        <v>0.24</v>
      </c>
      <c r="D50" s="5">
        <v>0.31</v>
      </c>
      <c r="E50" s="5">
        <v>0.31</v>
      </c>
      <c r="F50" s="5">
        <v>0.24</v>
      </c>
      <c r="G50" s="1" t="s">
        <v>50</v>
      </c>
    </row>
    <row r="51" spans="1:7" x14ac:dyDescent="0.25">
      <c r="B51" s="1" t="s">
        <v>44</v>
      </c>
      <c r="C51" s="6">
        <v>7</v>
      </c>
      <c r="D51" s="6">
        <v>7</v>
      </c>
      <c r="E51" s="6">
        <v>7</v>
      </c>
      <c r="F51" s="6">
        <v>7</v>
      </c>
      <c r="G51" s="1" t="s">
        <v>50</v>
      </c>
    </row>
    <row r="52" spans="1:7" ht="21" x14ac:dyDescent="0.3">
      <c r="B52" s="1" t="s">
        <v>110</v>
      </c>
      <c r="C52" s="3">
        <f>C24/(1+C50*POWER(C48,C51))</f>
        <v>60.68189652462457</v>
      </c>
      <c r="D52" s="3">
        <f>D24/(1+D50*POWER(D48,D51))</f>
        <v>51.645068908706328</v>
      </c>
      <c r="E52" s="3">
        <f>E24/(1+E50*POWER(E48,E51))</f>
        <v>63.351618790756085</v>
      </c>
      <c r="F52" s="3">
        <f>F24/(1+F50*POWER(F48,F51))</f>
        <v>52.673102641652385</v>
      </c>
      <c r="G52" t="s">
        <v>59</v>
      </c>
    </row>
    <row r="53" spans="1:7" x14ac:dyDescent="0.25">
      <c r="C53" s="6"/>
      <c r="D53" s="6"/>
      <c r="E53" s="6"/>
      <c r="F53" s="6"/>
    </row>
    <row r="54" spans="1:7" ht="30" x14ac:dyDescent="0.25">
      <c r="A54" s="1" t="s">
        <v>83</v>
      </c>
      <c r="B54" s="1" t="s">
        <v>109</v>
      </c>
      <c r="C54" s="6">
        <f>+(C12/C52)*3600</f>
        <v>59.325766104543689</v>
      </c>
      <c r="D54" s="6">
        <f>+(D12/D52)*3600</f>
        <v>766.77213985330229</v>
      </c>
      <c r="E54" s="6">
        <f>+(E12/E52)*3600</f>
        <v>170.47709602609044</v>
      </c>
      <c r="F54" s="6">
        <f>+(F12/F52)*3600</f>
        <v>205.0382350452177</v>
      </c>
      <c r="G54" s="1" t="s">
        <v>84</v>
      </c>
    </row>
    <row r="55" spans="1:7" x14ac:dyDescent="0.25">
      <c r="B55" s="1" t="s">
        <v>108</v>
      </c>
      <c r="C55" s="6">
        <f>+C54*C35/3600</f>
        <v>51.052326598639816</v>
      </c>
      <c r="D55" s="6">
        <f>+D54*D35/3600</f>
        <v>678.82337541212848</v>
      </c>
      <c r="E55" s="6">
        <f>+E54*E35/3600</f>
        <v>150.92337311189786</v>
      </c>
      <c r="F55" s="6">
        <f>+F54*F35/3600</f>
        <v>176.18935537435559</v>
      </c>
      <c r="G55" s="1" t="s">
        <v>107</v>
      </c>
    </row>
    <row r="56" spans="1:7" x14ac:dyDescent="0.25">
      <c r="C56" s="6"/>
      <c r="D56" s="6"/>
      <c r="E56" s="6"/>
      <c r="F56" s="6"/>
    </row>
    <row r="57" spans="1:7" x14ac:dyDescent="0.25">
      <c r="A57" s="1" t="s">
        <v>85</v>
      </c>
      <c r="B57" s="1" t="s">
        <v>51</v>
      </c>
      <c r="C57" s="6">
        <f>(C12/C19)*3600</f>
        <v>52.116132114394901</v>
      </c>
      <c r="D57" s="6">
        <f>(D12/D19)*3600</f>
        <v>573.24840764331202</v>
      </c>
      <c r="E57" s="6">
        <f>(E12/E19)*3600</f>
        <v>156.3370801155157</v>
      </c>
      <c r="F57" s="6">
        <f>(F12/F19)*3600</f>
        <v>156.2477394713618</v>
      </c>
      <c r="G57" s="1" t="s">
        <v>86</v>
      </c>
    </row>
    <row r="58" spans="1:7" x14ac:dyDescent="0.25">
      <c r="B58" s="1" t="s">
        <v>52</v>
      </c>
      <c r="C58" s="3">
        <f>+C54-C57</f>
        <v>7.209633990148788</v>
      </c>
      <c r="D58" s="3">
        <f>+D54-D57</f>
        <v>193.52373220999027</v>
      </c>
      <c r="E58" s="3">
        <f>+E54-E57</f>
        <v>14.140015910574732</v>
      </c>
      <c r="F58" s="3">
        <f>+F54-F57</f>
        <v>48.790495573855907</v>
      </c>
    </row>
    <row r="59" spans="1:7" ht="15.75" x14ac:dyDescent="0.25">
      <c r="B59" s="1" t="s">
        <v>48</v>
      </c>
      <c r="C59" s="3">
        <f>+C58*C35/3600</f>
        <v>6.2041944552915052</v>
      </c>
      <c r="D59" s="3">
        <f>+D58*D35/3600</f>
        <v>171.32656012550439</v>
      </c>
      <c r="E59" s="3">
        <f>+E58*E35/3600</f>
        <v>12.518156085631809</v>
      </c>
      <c r="F59" s="3">
        <f>+F58*F35/3600</f>
        <v>41.925672846614383</v>
      </c>
      <c r="G59" s="8" t="s">
        <v>45</v>
      </c>
    </row>
    <row r="60" spans="1:7" ht="15.75" x14ac:dyDescent="0.25">
      <c r="C60" s="3"/>
      <c r="D60" s="3"/>
      <c r="E60" s="3"/>
      <c r="F60" s="3"/>
      <c r="G60" s="8"/>
    </row>
    <row r="61" spans="1:7" x14ac:dyDescent="0.25">
      <c r="B61" s="1" t="s">
        <v>92</v>
      </c>
      <c r="C61" s="6"/>
      <c r="D61" s="6"/>
      <c r="E61" s="6"/>
      <c r="F61" s="6"/>
    </row>
    <row r="62" spans="1:7" x14ac:dyDescent="0.25">
      <c r="B62" s="15" t="s">
        <v>90</v>
      </c>
      <c r="C62" s="22" t="str">
        <f t="shared" ref="C62:F65" si="6">+C2</f>
        <v xml:space="preserve">A </v>
      </c>
      <c r="D62" s="22" t="str">
        <f t="shared" si="6"/>
        <v>B</v>
      </c>
      <c r="E62" s="22" t="str">
        <f t="shared" si="6"/>
        <v>C</v>
      </c>
      <c r="F62" s="23" t="str">
        <f t="shared" si="6"/>
        <v>D</v>
      </c>
    </row>
    <row r="63" spans="1:7" x14ac:dyDescent="0.25">
      <c r="A63" s="17"/>
      <c r="B63" s="16" t="str">
        <f>+B3</f>
        <v>Roadway/Direction of Travel</v>
      </c>
      <c r="C63" s="17" t="str">
        <f t="shared" si="6"/>
        <v>I5 Northbound</v>
      </c>
      <c r="D63" s="17" t="str">
        <f t="shared" si="6"/>
        <v>I5 Northbound</v>
      </c>
      <c r="E63" s="17" t="str">
        <f t="shared" si="6"/>
        <v>I5 Northbound</v>
      </c>
      <c r="F63" s="18" t="str">
        <f t="shared" si="6"/>
        <v>I5 Northbound</v>
      </c>
    </row>
    <row r="64" spans="1:7" s="2" customFormat="1" x14ac:dyDescent="0.25">
      <c r="B64" s="27" t="str">
        <f>+B4</f>
        <v>From</v>
      </c>
      <c r="C64" s="28" t="str">
        <f t="shared" si="6"/>
        <v>N. Santiam Exit 234</v>
      </c>
      <c r="D64" s="28" t="str">
        <f t="shared" si="6"/>
        <v>Albany UGB MP 235</v>
      </c>
      <c r="E64" s="28" t="str">
        <f t="shared" si="6"/>
        <v>Terrain Change MP 246</v>
      </c>
      <c r="F64" s="31" t="str">
        <f t="shared" si="6"/>
        <v>Salem UGB MP 249</v>
      </c>
    </row>
    <row r="65" spans="1:7" x14ac:dyDescent="0.25">
      <c r="A65" s="16"/>
      <c r="B65" s="16" t="str">
        <f>+B5</f>
        <v>To</v>
      </c>
      <c r="C65" s="17" t="str">
        <f t="shared" si="6"/>
        <v>Albany UGB MP 235</v>
      </c>
      <c r="D65" s="17" t="str">
        <f t="shared" si="6"/>
        <v>Terrain Change MP 246</v>
      </c>
      <c r="E65" s="17" t="str">
        <f t="shared" si="6"/>
        <v>Salem UGB MP 249</v>
      </c>
      <c r="F65" s="18" t="str">
        <f t="shared" si="6"/>
        <v>Kuebler Exit 252</v>
      </c>
    </row>
    <row r="66" spans="1:7" x14ac:dyDescent="0.25">
      <c r="A66" s="16"/>
      <c r="B66" s="16" t="s">
        <v>106</v>
      </c>
      <c r="C66" s="28" t="str">
        <f>+C6</f>
        <v>No Build Year 2017 Peak Hour</v>
      </c>
      <c r="D66" s="28" t="str">
        <f t="shared" ref="D66:F66" si="7">+D6</f>
        <v>No Build Year 2017 Peak Hour</v>
      </c>
      <c r="E66" s="28" t="str">
        <f t="shared" si="7"/>
        <v>No Build Year 2017 Peak Hour</v>
      </c>
      <c r="F66" s="31" t="str">
        <f t="shared" si="7"/>
        <v>No Build Year 2017 Peak Hour</v>
      </c>
    </row>
    <row r="67" spans="1:7" x14ac:dyDescent="0.25">
      <c r="A67" s="16"/>
      <c r="B67" s="16" t="str">
        <f>+B12</f>
        <v>Length (mi)</v>
      </c>
      <c r="C67" s="17">
        <f>+C12</f>
        <v>1</v>
      </c>
      <c r="D67" s="17">
        <f>+D12</f>
        <v>11</v>
      </c>
      <c r="E67" s="17">
        <f>+E12</f>
        <v>3</v>
      </c>
      <c r="F67" s="18">
        <f>+F12</f>
        <v>3</v>
      </c>
    </row>
    <row r="68" spans="1:7" x14ac:dyDescent="0.25">
      <c r="A68" s="16"/>
      <c r="B68" s="16" t="str">
        <f>+B31</f>
        <v>AADT</v>
      </c>
      <c r="C68" s="17">
        <f t="shared" ref="C68:F68" si="8">+C31</f>
        <v>67700</v>
      </c>
      <c r="D68" s="17">
        <f t="shared" si="8"/>
        <v>68100</v>
      </c>
      <c r="E68" s="16">
        <f t="shared" si="8"/>
        <v>68100</v>
      </c>
      <c r="F68" s="44">
        <f t="shared" si="8"/>
        <v>66100</v>
      </c>
    </row>
    <row r="69" spans="1:7" x14ac:dyDescent="0.25">
      <c r="A69" s="16"/>
      <c r="B69" s="16" t="str">
        <f>+B39</f>
        <v>% Trucks and Buses</v>
      </c>
      <c r="C69" s="24">
        <f>+C39</f>
        <v>0.1847</v>
      </c>
      <c r="D69" s="24">
        <f>+D39</f>
        <v>0.184</v>
      </c>
      <c r="E69" s="24">
        <f>+E39</f>
        <v>0.1837</v>
      </c>
      <c r="F69" s="25">
        <f>+F39</f>
        <v>0.17580000000000001</v>
      </c>
    </row>
    <row r="70" spans="1:7" x14ac:dyDescent="0.25">
      <c r="A70" s="16"/>
      <c r="B70" s="43" t="str">
        <f>+A48</f>
        <v xml:space="preserve">d/c ratio </v>
      </c>
      <c r="C70" s="40">
        <f>+C48</f>
        <v>0.85604482967319606</v>
      </c>
      <c r="D70" s="40">
        <f>+D48</f>
        <v>0.97241805022880468</v>
      </c>
      <c r="E70" s="40">
        <f>+E48</f>
        <v>0.74535293379088896</v>
      </c>
      <c r="F70" s="41">
        <f>+F48</f>
        <v>0.98250269251928579</v>
      </c>
    </row>
    <row r="71" spans="1:7" x14ac:dyDescent="0.25">
      <c r="A71" s="16"/>
      <c r="B71" s="16" t="str">
        <f t="shared" ref="B71:F71" si="9">+B57</f>
        <v>TT at Posted Speed, sec</v>
      </c>
      <c r="C71" s="19">
        <f t="shared" si="9"/>
        <v>52.116132114394901</v>
      </c>
      <c r="D71" s="19">
        <f t="shared" si="9"/>
        <v>573.24840764331202</v>
      </c>
      <c r="E71" s="19">
        <f t="shared" si="9"/>
        <v>156.3370801155157</v>
      </c>
      <c r="F71" s="20">
        <f t="shared" si="9"/>
        <v>156.2477394713618</v>
      </c>
    </row>
    <row r="72" spans="1:7" x14ac:dyDescent="0.25">
      <c r="A72" s="16"/>
      <c r="B72" s="16" t="str">
        <f>+B55</f>
        <v>Peak Hour VHT (hr)</v>
      </c>
      <c r="C72" s="19">
        <f t="shared" ref="C72:F72" si="10">+C55</f>
        <v>51.052326598639816</v>
      </c>
      <c r="D72" s="19">
        <f>+D55</f>
        <v>678.82337541212848</v>
      </c>
      <c r="E72" s="19">
        <f t="shared" si="10"/>
        <v>150.92337311189786</v>
      </c>
      <c r="F72" s="20">
        <f t="shared" si="10"/>
        <v>176.18935537435559</v>
      </c>
    </row>
    <row r="73" spans="1:7" x14ac:dyDescent="0.25">
      <c r="A73" s="16"/>
      <c r="B73" s="16" t="str">
        <f t="shared" ref="B73:F74" si="11">+B58</f>
        <v>Peak Hour Avg Delay per veh, sec</v>
      </c>
      <c r="C73" s="19">
        <f t="shared" si="11"/>
        <v>7.209633990148788</v>
      </c>
      <c r="D73" s="19">
        <f t="shared" si="11"/>
        <v>193.52373220999027</v>
      </c>
      <c r="E73" s="19">
        <f t="shared" si="11"/>
        <v>14.140015910574732</v>
      </c>
      <c r="F73" s="20">
        <f t="shared" si="11"/>
        <v>48.790495573855907</v>
      </c>
      <c r="G73" s="2"/>
    </row>
    <row r="74" spans="1:7" x14ac:dyDescent="0.25">
      <c r="A74" s="16"/>
      <c r="B74" s="45" t="str">
        <f t="shared" si="11"/>
        <v>Peak Hour VHD</v>
      </c>
      <c r="C74" s="46">
        <f t="shared" si="11"/>
        <v>6.2041944552915052</v>
      </c>
      <c r="D74" s="46">
        <f t="shared" si="11"/>
        <v>171.32656012550439</v>
      </c>
      <c r="E74" s="46">
        <f t="shared" si="11"/>
        <v>12.518156085631809</v>
      </c>
      <c r="F74" s="47">
        <f t="shared" si="11"/>
        <v>41.925672846614383</v>
      </c>
    </row>
    <row r="75" spans="1:7" x14ac:dyDescent="0.25">
      <c r="A75" s="16"/>
      <c r="B75" s="17"/>
      <c r="C75" s="21"/>
      <c r="D75" s="21"/>
      <c r="E75" s="21"/>
      <c r="F75" s="21"/>
    </row>
    <row r="76" spans="1:7" x14ac:dyDescent="0.25">
      <c r="C76" s="6"/>
      <c r="D76" s="6"/>
      <c r="E76" s="6"/>
      <c r="F76" s="6"/>
    </row>
    <row r="77" spans="1:7" x14ac:dyDescent="0.25">
      <c r="C77" s="6"/>
      <c r="D77" s="6"/>
      <c r="E77" s="6"/>
      <c r="F77" s="6"/>
    </row>
    <row r="78" spans="1:7" x14ac:dyDescent="0.25">
      <c r="C78" s="6"/>
      <c r="D78" s="6"/>
      <c r="E78" s="6"/>
      <c r="F78" s="6"/>
    </row>
    <row r="79" spans="1:7" x14ac:dyDescent="0.25">
      <c r="C79" s="6"/>
      <c r="D79" s="6"/>
      <c r="E79" s="6"/>
      <c r="F79" s="6"/>
    </row>
    <row r="80" spans="1:7" x14ac:dyDescent="0.25">
      <c r="C80" s="6"/>
      <c r="D80" s="6"/>
      <c r="E80" s="6"/>
      <c r="F80" s="6"/>
    </row>
    <row r="81" spans="3:7" x14ac:dyDescent="0.25">
      <c r="C81" s="5"/>
      <c r="D81" s="5"/>
      <c r="E81" s="5"/>
      <c r="F81" s="5"/>
    </row>
    <row r="82" spans="3:7" x14ac:dyDescent="0.25">
      <c r="G82"/>
    </row>
  </sheetData>
  <printOptions gridLines="1"/>
  <pageMargins left="0.7" right="0.7" top="0.75" bottom="0.75" header="0.3" footer="0.3"/>
  <pageSetup scale="64" fitToHeight="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4"/>
  <sheetViews>
    <sheetView zoomScale="76" zoomScaleNormal="76" workbookViewId="0"/>
  </sheetViews>
  <sheetFormatPr defaultColWidth="8.85546875" defaultRowHeight="15" x14ac:dyDescent="0.25"/>
  <cols>
    <col min="1" max="1" width="24.42578125" style="1" customWidth="1"/>
    <col min="2" max="2" width="37.5703125" style="1" bestFit="1" customWidth="1"/>
    <col min="3" max="6" width="32.140625" style="7" bestFit="1" customWidth="1"/>
    <col min="7" max="7" width="64.28515625" style="1" customWidth="1"/>
    <col min="8" max="16384" width="8.85546875" style="1"/>
  </cols>
  <sheetData>
    <row r="1" spans="1:14" ht="45" x14ac:dyDescent="0.25">
      <c r="A1" s="1" t="s">
        <v>47</v>
      </c>
    </row>
    <row r="2" spans="1:14" x14ac:dyDescent="0.25">
      <c r="A2" s="9"/>
      <c r="B2" s="9"/>
      <c r="C2" s="10" t="s">
        <v>93</v>
      </c>
      <c r="D2" s="10" t="s">
        <v>44</v>
      </c>
      <c r="E2" s="10" t="s">
        <v>49</v>
      </c>
      <c r="F2" s="10" t="s">
        <v>88</v>
      </c>
      <c r="G2" s="9" t="s">
        <v>37</v>
      </c>
    </row>
    <row r="3" spans="1:14" x14ac:dyDescent="0.25">
      <c r="A3" s="1" t="s">
        <v>90</v>
      </c>
      <c r="B3" s="1" t="s">
        <v>105</v>
      </c>
      <c r="C3" s="7" t="s">
        <v>104</v>
      </c>
      <c r="D3" s="7" t="s">
        <v>104</v>
      </c>
      <c r="E3" s="7" t="s">
        <v>104</v>
      </c>
      <c r="F3" s="7" t="s">
        <v>104</v>
      </c>
    </row>
    <row r="4" spans="1:14" x14ac:dyDescent="0.25">
      <c r="B4" s="1" t="s">
        <v>7</v>
      </c>
      <c r="C4" s="7" t="s">
        <v>9</v>
      </c>
      <c r="D4" s="7" t="s">
        <v>10</v>
      </c>
      <c r="E4" s="7" t="s">
        <v>11</v>
      </c>
      <c r="F4" s="7" t="s">
        <v>12</v>
      </c>
    </row>
    <row r="5" spans="1:14" x14ac:dyDescent="0.25">
      <c r="B5" s="1" t="s">
        <v>8</v>
      </c>
      <c r="C5" s="7" t="s">
        <v>10</v>
      </c>
      <c r="D5" s="7" t="s">
        <v>11</v>
      </c>
      <c r="E5" s="7" t="s">
        <v>12</v>
      </c>
      <c r="F5" s="7" t="s">
        <v>13</v>
      </c>
    </row>
    <row r="6" spans="1:14" x14ac:dyDescent="0.25">
      <c r="B6" s="1" t="s">
        <v>106</v>
      </c>
      <c r="C6" s="28" t="s">
        <v>112</v>
      </c>
      <c r="D6" s="28" t="s">
        <v>112</v>
      </c>
      <c r="E6" s="28" t="s">
        <v>112</v>
      </c>
      <c r="F6" s="28" t="s">
        <v>112</v>
      </c>
    </row>
    <row r="8" spans="1:14" ht="15.75" x14ac:dyDescent="0.25">
      <c r="A8" s="1" t="s">
        <v>87</v>
      </c>
      <c r="B8" s="1" t="s">
        <v>14</v>
      </c>
      <c r="C8" s="7">
        <v>2</v>
      </c>
      <c r="D8" s="7">
        <v>2</v>
      </c>
      <c r="E8" s="7">
        <v>3</v>
      </c>
      <c r="F8" s="7">
        <v>2</v>
      </c>
      <c r="G8" s="1" t="s">
        <v>24</v>
      </c>
      <c r="J8" s="8" t="s">
        <v>54</v>
      </c>
      <c r="M8" s="1">
        <v>58400</v>
      </c>
    </row>
    <row r="9" spans="1:14" ht="15.75" x14ac:dyDescent="0.25">
      <c r="B9" s="1" t="s">
        <v>19</v>
      </c>
      <c r="C9" s="7" t="s">
        <v>20</v>
      </c>
      <c r="D9" s="7" t="s">
        <v>20</v>
      </c>
      <c r="E9" s="7" t="s">
        <v>20</v>
      </c>
      <c r="F9" s="7" t="s">
        <v>20</v>
      </c>
      <c r="J9" s="8" t="s">
        <v>55</v>
      </c>
      <c r="M9" s="1">
        <v>59700</v>
      </c>
    </row>
    <row r="10" spans="1:14" ht="15.75" x14ac:dyDescent="0.25">
      <c r="B10" s="1" t="s">
        <v>15</v>
      </c>
      <c r="C10" s="7" t="s">
        <v>0</v>
      </c>
      <c r="D10" s="7" t="s">
        <v>1</v>
      </c>
      <c r="E10" s="7" t="s">
        <v>1</v>
      </c>
      <c r="F10" s="7" t="s">
        <v>0</v>
      </c>
      <c r="G10" s="1" t="s">
        <v>24</v>
      </c>
      <c r="J10" s="8" t="s">
        <v>56</v>
      </c>
      <c r="M10" s="1">
        <v>59000</v>
      </c>
    </row>
    <row r="11" spans="1:14" ht="15.75" x14ac:dyDescent="0.25">
      <c r="B11" s="1" t="s">
        <v>16</v>
      </c>
      <c r="C11" s="7" t="s">
        <v>2</v>
      </c>
      <c r="D11" s="7" t="s">
        <v>2</v>
      </c>
      <c r="E11" s="7" t="s">
        <v>3</v>
      </c>
      <c r="F11" s="7" t="s">
        <v>3</v>
      </c>
      <c r="J11" s="8" t="s">
        <v>57</v>
      </c>
      <c r="M11" s="1">
        <v>62900</v>
      </c>
    </row>
    <row r="12" spans="1:14" ht="15.75" x14ac:dyDescent="0.25">
      <c r="B12" s="1" t="s">
        <v>6</v>
      </c>
      <c r="C12" s="7">
        <v>1</v>
      </c>
      <c r="D12" s="7">
        <v>11</v>
      </c>
      <c r="E12" s="7">
        <v>3</v>
      </c>
      <c r="F12" s="7">
        <v>3</v>
      </c>
      <c r="J12" s="8" t="s">
        <v>58</v>
      </c>
      <c r="M12" s="1">
        <v>64800</v>
      </c>
    </row>
    <row r="13" spans="1:14" x14ac:dyDescent="0.25">
      <c r="B13" s="1" t="s">
        <v>22</v>
      </c>
      <c r="C13" s="7">
        <v>65</v>
      </c>
      <c r="D13" s="7">
        <v>65</v>
      </c>
      <c r="E13" s="7">
        <v>65</v>
      </c>
      <c r="F13" s="7">
        <v>65</v>
      </c>
      <c r="M13" s="1">
        <f>SUM(M8:M12)</f>
        <v>304800</v>
      </c>
      <c r="N13" s="1">
        <f>AVERAGE(M8:M12)</f>
        <v>60960</v>
      </c>
    </row>
    <row r="14" spans="1:14" x14ac:dyDescent="0.25">
      <c r="B14" s="1" t="s">
        <v>23</v>
      </c>
      <c r="C14" s="7">
        <v>60</v>
      </c>
      <c r="D14" s="7">
        <v>60</v>
      </c>
      <c r="E14" s="7">
        <v>60</v>
      </c>
      <c r="F14" s="7">
        <v>60</v>
      </c>
    </row>
    <row r="16" spans="1:14" x14ac:dyDescent="0.25">
      <c r="A16" s="1" t="s">
        <v>21</v>
      </c>
    </row>
    <row r="17" spans="1:7" x14ac:dyDescent="0.25">
      <c r="B17" s="1" t="s">
        <v>60</v>
      </c>
      <c r="C17" s="7">
        <f>+C13+5</f>
        <v>70</v>
      </c>
      <c r="D17" s="7">
        <f>+D13+5</f>
        <v>70</v>
      </c>
      <c r="E17" s="7">
        <f>+E13+5</f>
        <v>70</v>
      </c>
      <c r="F17" s="7">
        <f>+F13+5</f>
        <v>70</v>
      </c>
      <c r="G17" s="1" t="s">
        <v>27</v>
      </c>
    </row>
    <row r="18" spans="1:7" x14ac:dyDescent="0.25">
      <c r="B18" s="1" t="s">
        <v>61</v>
      </c>
      <c r="C18" s="7">
        <f>+C17-(C13-C14)</f>
        <v>65</v>
      </c>
      <c r="D18" s="12">
        <f>+D17-(D13-D14)</f>
        <v>65</v>
      </c>
      <c r="E18" s="12">
        <f>+E17-(E13-E14)</f>
        <v>65</v>
      </c>
      <c r="F18" s="12">
        <f>+F17-(F13-F14)</f>
        <v>65</v>
      </c>
      <c r="G18" s="2" t="s">
        <v>46</v>
      </c>
    </row>
    <row r="19" spans="1:7" x14ac:dyDescent="0.25">
      <c r="B19" s="1" t="s">
        <v>62</v>
      </c>
      <c r="C19" s="3">
        <f>+C17*(1-C39)+C18*(C39)</f>
        <v>69.07650000000001</v>
      </c>
      <c r="D19" s="3">
        <f>+D17*(1-D39)+D18*(D39)</f>
        <v>69.08</v>
      </c>
      <c r="E19" s="3">
        <f>+E17*(1-E39)+E18*(E39)</f>
        <v>69.081500000000005</v>
      </c>
      <c r="F19" s="3">
        <f>+F17*(1-F39)+F18*(F39)</f>
        <v>69.121000000000009</v>
      </c>
      <c r="G19" s="1" t="s">
        <v>26</v>
      </c>
    </row>
    <row r="20" spans="1:7" x14ac:dyDescent="0.25">
      <c r="C20" s="6"/>
      <c r="D20" s="6"/>
      <c r="E20" s="6"/>
      <c r="F20" s="6"/>
    </row>
    <row r="21" spans="1:7" ht="18" x14ac:dyDescent="0.35">
      <c r="B21" s="1" t="s">
        <v>63</v>
      </c>
      <c r="C21" s="6">
        <v>0</v>
      </c>
      <c r="D21" s="6">
        <v>0</v>
      </c>
      <c r="E21" s="6">
        <v>0</v>
      </c>
      <c r="F21" s="6">
        <v>0</v>
      </c>
      <c r="G21" s="13" t="s">
        <v>70</v>
      </c>
    </row>
    <row r="22" spans="1:7" ht="18" x14ac:dyDescent="0.35">
      <c r="B22" s="1" t="s">
        <v>64</v>
      </c>
      <c r="C22" s="6">
        <v>0</v>
      </c>
      <c r="D22" s="6">
        <v>0</v>
      </c>
      <c r="E22" s="6">
        <v>0</v>
      </c>
      <c r="F22" s="6">
        <v>0</v>
      </c>
      <c r="G22" s="13" t="s">
        <v>71</v>
      </c>
    </row>
    <row r="23" spans="1:7" x14ac:dyDescent="0.25">
      <c r="B23" s="1" t="s">
        <v>65</v>
      </c>
      <c r="C23" s="3">
        <v>1.1000000000000001</v>
      </c>
      <c r="D23" s="3">
        <v>1.4</v>
      </c>
      <c r="E23" s="3">
        <v>1</v>
      </c>
      <c r="F23" s="3">
        <v>1.8</v>
      </c>
    </row>
    <row r="24" spans="1:7" ht="15.75" x14ac:dyDescent="0.25">
      <c r="B24" s="1" t="s">
        <v>67</v>
      </c>
      <c r="C24" s="3">
        <f>C19-C21-C22-3.22*POWER(C23,0.84)</f>
        <v>65.588104422516579</v>
      </c>
      <c r="D24" s="3">
        <f>D19-D21-D22-3.22*POWER(D23,0.84)</f>
        <v>64.808273669821247</v>
      </c>
      <c r="E24" s="3">
        <f t="shared" ref="E24:F24" si="0">E19-E21-E22-3.22*POWER(E23,0.84)</f>
        <v>65.861500000000007</v>
      </c>
      <c r="F24" s="3">
        <f t="shared" si="0"/>
        <v>63.845243095495839</v>
      </c>
      <c r="G24" s="13" t="s">
        <v>66</v>
      </c>
    </row>
    <row r="26" spans="1:7" x14ac:dyDescent="0.25">
      <c r="A26" s="1" t="s">
        <v>68</v>
      </c>
    </row>
    <row r="27" spans="1:7" ht="15.75" x14ac:dyDescent="0.25">
      <c r="B27" s="1" t="s">
        <v>72</v>
      </c>
      <c r="C27" s="6">
        <f>2200+10*(C24-50)</f>
        <v>2355.8810442251656</v>
      </c>
      <c r="D27" s="6">
        <f>2200+10*(D24-50)</f>
        <v>2348.0827366982126</v>
      </c>
      <c r="E27" s="6">
        <f t="shared" ref="E27:F27" si="1">2200+10*(E24-50)</f>
        <v>2358.6150000000002</v>
      </c>
      <c r="F27" s="6">
        <f t="shared" si="1"/>
        <v>2338.4524309549583</v>
      </c>
      <c r="G27" s="13" t="s">
        <v>69</v>
      </c>
    </row>
    <row r="28" spans="1:7" ht="15.75" x14ac:dyDescent="0.25">
      <c r="B28" s="1" t="s">
        <v>74</v>
      </c>
      <c r="C28" s="7">
        <v>0.96799999999999997</v>
      </c>
      <c r="D28" s="7">
        <v>0.93899999999999995</v>
      </c>
      <c r="E28" s="7">
        <v>0.93899999999999995</v>
      </c>
      <c r="F28" s="7">
        <v>0.96799999999999997</v>
      </c>
      <c r="G28" s="13" t="s">
        <v>76</v>
      </c>
    </row>
    <row r="29" spans="1:7" ht="15.75" x14ac:dyDescent="0.25">
      <c r="B29" s="1" t="s">
        <v>73</v>
      </c>
      <c r="C29" s="6">
        <f>+C27*C28</f>
        <v>2280.4928508099601</v>
      </c>
      <c r="D29" s="6">
        <f t="shared" ref="D29:F29" si="2">+D27*D28</f>
        <v>2204.8496897596215</v>
      </c>
      <c r="E29" s="6">
        <f t="shared" si="2"/>
        <v>2214.7394850000001</v>
      </c>
      <c r="F29" s="6">
        <f t="shared" si="2"/>
        <v>2263.6219531643997</v>
      </c>
      <c r="G29" s="13" t="s">
        <v>75</v>
      </c>
    </row>
    <row r="30" spans="1:7" ht="15.75" x14ac:dyDescent="0.25">
      <c r="G30" s="13"/>
    </row>
    <row r="31" spans="1:7" ht="15.75" x14ac:dyDescent="0.25">
      <c r="A31" s="1" t="s">
        <v>77</v>
      </c>
      <c r="G31" s="13"/>
    </row>
    <row r="32" spans="1:7" x14ac:dyDescent="0.25">
      <c r="B32" s="1" t="s">
        <v>78</v>
      </c>
      <c r="C32" s="6">
        <f>+Demand!C12</f>
        <v>88919.128508124079</v>
      </c>
      <c r="D32" s="6">
        <f>+Demand!D12</f>
        <v>96671.953010278987</v>
      </c>
      <c r="E32" s="6">
        <f>+Demand!E12</f>
        <v>96671.953010278987</v>
      </c>
      <c r="F32" s="6">
        <f>+Demand!F12</f>
        <v>95855.824508320715</v>
      </c>
      <c r="G32" s="1" t="s">
        <v>94</v>
      </c>
    </row>
    <row r="33" spans="1:7" x14ac:dyDescent="0.25">
      <c r="B33" s="1" t="s">
        <v>17</v>
      </c>
      <c r="C33" s="3">
        <v>8.8000000000000007</v>
      </c>
      <c r="D33" s="3">
        <v>9</v>
      </c>
      <c r="E33" s="3">
        <v>9</v>
      </c>
      <c r="F33" s="3">
        <v>9</v>
      </c>
    </row>
    <row r="34" spans="1:7" x14ac:dyDescent="0.25">
      <c r="B34" s="1" t="s">
        <v>18</v>
      </c>
      <c r="C34" s="7">
        <v>52</v>
      </c>
      <c r="D34" s="7">
        <v>52</v>
      </c>
      <c r="E34" s="7">
        <v>52</v>
      </c>
      <c r="F34" s="7">
        <v>52</v>
      </c>
      <c r="G34" s="1" t="s">
        <v>38</v>
      </c>
    </row>
    <row r="35" spans="1:7" x14ac:dyDescent="0.25">
      <c r="B35" s="1" t="s">
        <v>79</v>
      </c>
      <c r="C35" s="6">
        <f>+C32*(C33/100)*(C34/100)</f>
        <v>4068.9393205317583</v>
      </c>
      <c r="D35" s="6">
        <f t="shared" ref="D35:F35" si="3">+D32*(D33/100)*(D34/100)</f>
        <v>4524.2474008810559</v>
      </c>
      <c r="E35" s="6">
        <f t="shared" si="3"/>
        <v>4524.2474008810559</v>
      </c>
      <c r="F35" s="6">
        <f t="shared" si="3"/>
        <v>4486.05258698941</v>
      </c>
    </row>
    <row r="37" spans="1:7" x14ac:dyDescent="0.25">
      <c r="B37" s="1" t="s">
        <v>4</v>
      </c>
      <c r="C37" s="7">
        <v>0.183</v>
      </c>
      <c r="D37" s="7">
        <v>0.182</v>
      </c>
      <c r="E37" s="7">
        <v>0.182</v>
      </c>
      <c r="F37" s="7">
        <v>0.17</v>
      </c>
      <c r="G37" s="1" t="s">
        <v>25</v>
      </c>
    </row>
    <row r="38" spans="1:7" x14ac:dyDescent="0.25">
      <c r="B38" s="1" t="s">
        <v>5</v>
      </c>
      <c r="C38" s="7">
        <v>1.6999999999999999E-3</v>
      </c>
      <c r="D38" s="7">
        <v>1.6999999999999999E-3</v>
      </c>
      <c r="E38" s="7">
        <v>1.6999999999999999E-3</v>
      </c>
      <c r="F38" s="7">
        <v>5.7999999999999996E-3</v>
      </c>
      <c r="G38" s="1" t="s">
        <v>25</v>
      </c>
    </row>
    <row r="39" spans="1:7" x14ac:dyDescent="0.25">
      <c r="B39" s="1" t="s">
        <v>36</v>
      </c>
      <c r="C39" s="7">
        <f>SUM(C37:C38)</f>
        <v>0.1847</v>
      </c>
      <c r="D39" s="7">
        <v>0.184</v>
      </c>
      <c r="E39" s="7">
        <f t="shared" ref="E39:F39" si="4">SUM(E37:E38)</f>
        <v>0.1837</v>
      </c>
      <c r="F39" s="7">
        <f t="shared" si="4"/>
        <v>0.17580000000000001</v>
      </c>
    </row>
    <row r="41" spans="1:7" ht="18" x14ac:dyDescent="0.35">
      <c r="B41" s="1" t="s">
        <v>29</v>
      </c>
      <c r="C41" s="7">
        <v>2</v>
      </c>
      <c r="D41" s="7">
        <v>2</v>
      </c>
      <c r="E41" s="7">
        <v>3</v>
      </c>
      <c r="F41" s="7">
        <v>3</v>
      </c>
      <c r="G41" s="1" t="s">
        <v>30</v>
      </c>
    </row>
    <row r="42" spans="1:7" x14ac:dyDescent="0.25">
      <c r="B42" s="1" t="s">
        <v>40</v>
      </c>
      <c r="C42" s="4">
        <f>1/(1+C39*(C41-1))</f>
        <v>0.8440955516164429</v>
      </c>
      <c r="D42" s="4">
        <f>1/(1+D39*(D41-1))</f>
        <v>0.84459459459459463</v>
      </c>
      <c r="E42" s="4">
        <f>1/(1+E39*(E41-1))</f>
        <v>0.73131490419774758</v>
      </c>
      <c r="F42" s="4">
        <f>1/(1+F39*(F41-1))</f>
        <v>0.73986386504883106</v>
      </c>
      <c r="G42" s="1" t="s">
        <v>28</v>
      </c>
    </row>
    <row r="43" spans="1:7" x14ac:dyDescent="0.25">
      <c r="C43" s="6"/>
      <c r="D43" s="6"/>
      <c r="E43" s="6"/>
      <c r="F43" s="6"/>
    </row>
    <row r="44" spans="1:7" x14ac:dyDescent="0.25">
      <c r="B44" s="1" t="s">
        <v>39</v>
      </c>
      <c r="C44" s="7">
        <v>0.94</v>
      </c>
      <c r="D44" s="7">
        <v>0.88</v>
      </c>
      <c r="E44" s="7">
        <v>0.88</v>
      </c>
      <c r="F44" s="7">
        <v>0.94</v>
      </c>
    </row>
    <row r="45" spans="1:7" x14ac:dyDescent="0.25">
      <c r="C45" s="6"/>
      <c r="D45" s="4"/>
      <c r="E45" s="6"/>
      <c r="F45" s="6"/>
    </row>
    <row r="46" spans="1:7" ht="15.75" x14ac:dyDescent="0.25">
      <c r="B46" s="1" t="s">
        <v>81</v>
      </c>
      <c r="C46" s="6">
        <f>C35/(C44*C8*C42)</f>
        <v>2564.0810707627525</v>
      </c>
      <c r="D46" s="6">
        <f>D35/(D44*D8*D42)</f>
        <v>3043.5846151381647</v>
      </c>
      <c r="E46" s="6">
        <f>E35/(E44*E8*E42)</f>
        <v>2343.3545060472557</v>
      </c>
      <c r="F46" s="6">
        <f>F35/(F44*F8*F42)</f>
        <v>3225.1854662632377</v>
      </c>
      <c r="G46" s="13" t="s">
        <v>80</v>
      </c>
    </row>
    <row r="47" spans="1:7" ht="15.75" x14ac:dyDescent="0.25">
      <c r="C47" s="6"/>
      <c r="D47" s="6"/>
      <c r="E47" s="6"/>
      <c r="F47" s="6"/>
      <c r="G47" s="13"/>
    </row>
    <row r="48" spans="1:7" ht="15.75" x14ac:dyDescent="0.25">
      <c r="A48" s="35" t="s">
        <v>89</v>
      </c>
      <c r="B48" s="35"/>
      <c r="C48" s="37">
        <f>+C46/C29</f>
        <v>1.1243539175543</v>
      </c>
      <c r="D48" s="37">
        <f>+D46/D29</f>
        <v>1.3804045823504569</v>
      </c>
      <c r="E48" s="37">
        <f>+E46/E29</f>
        <v>1.0580723023716063</v>
      </c>
      <c r="F48" s="37">
        <f>+F46/F29</f>
        <v>1.42478979838247</v>
      </c>
      <c r="G48" s="13"/>
    </row>
    <row r="49" spans="1:7" x14ac:dyDescent="0.25">
      <c r="C49" s="6"/>
      <c r="D49" s="6"/>
      <c r="E49" s="6"/>
      <c r="F49" s="6"/>
    </row>
    <row r="50" spans="1:7" x14ac:dyDescent="0.25">
      <c r="A50" s="1" t="s">
        <v>82</v>
      </c>
      <c r="B50" s="1" t="s">
        <v>43</v>
      </c>
      <c r="C50" s="5">
        <v>0.24</v>
      </c>
      <c r="D50" s="5">
        <v>0.31</v>
      </c>
      <c r="E50" s="5">
        <v>0.31</v>
      </c>
      <c r="F50" s="5">
        <v>0.24</v>
      </c>
      <c r="G50" s="1" t="s">
        <v>50</v>
      </c>
    </row>
    <row r="51" spans="1:7" x14ac:dyDescent="0.25">
      <c r="B51" s="1" t="s">
        <v>44</v>
      </c>
      <c r="C51" s="6">
        <v>7</v>
      </c>
      <c r="D51" s="6">
        <v>7</v>
      </c>
      <c r="E51" s="6">
        <v>7</v>
      </c>
      <c r="F51" s="6">
        <v>7</v>
      </c>
      <c r="G51" s="1" t="s">
        <v>50</v>
      </c>
    </row>
    <row r="52" spans="1:7" ht="21" x14ac:dyDescent="0.3">
      <c r="B52" s="1" t="s">
        <v>110</v>
      </c>
      <c r="C52" s="3">
        <f>C24/(1+C50*POWER(C48,C51))</f>
        <v>42.447157835364536</v>
      </c>
      <c r="D52" s="3">
        <f>D24/(1+D50*POWER(D48,D51))</f>
        <v>16.362494267367232</v>
      </c>
      <c r="E52" s="3">
        <f>E24/(1+E50*POWER(E48,E51))</f>
        <v>45.103701269708502</v>
      </c>
      <c r="F52" s="3">
        <f>F24/(1+F50*POWER(F48,F51))</f>
        <v>16.537374515410782</v>
      </c>
      <c r="G52" t="s">
        <v>59</v>
      </c>
    </row>
    <row r="53" spans="1:7" x14ac:dyDescent="0.25">
      <c r="C53" s="6"/>
      <c r="D53" s="6"/>
      <c r="E53" s="6"/>
      <c r="F53" s="6"/>
    </row>
    <row r="54" spans="1:7" ht="30" x14ac:dyDescent="0.25">
      <c r="A54" s="1" t="s">
        <v>83</v>
      </c>
      <c r="B54" s="1" t="s">
        <v>109</v>
      </c>
      <c r="C54" s="6">
        <f>+(C12/C52)*3600</f>
        <v>84.811332102916126</v>
      </c>
      <c r="D54" s="6">
        <f>+(D12/D52)*3600</f>
        <v>2420.1689151376395</v>
      </c>
      <c r="E54" s="6">
        <f>+(E12/E52)*3600</f>
        <v>239.44819817377703</v>
      </c>
      <c r="F54" s="6">
        <f>+(F12/F52)*3600</f>
        <v>653.06617987853758</v>
      </c>
      <c r="G54" s="1" t="s">
        <v>84</v>
      </c>
    </row>
    <row r="55" spans="1:7" x14ac:dyDescent="0.25">
      <c r="B55" s="1" t="s">
        <v>108</v>
      </c>
      <c r="C55" s="6">
        <f>+C54*C35/3600</f>
        <v>95.85893445006468</v>
      </c>
      <c r="D55" s="6">
        <f>+D54*D35/3600</f>
        <v>3041.5119233346086</v>
      </c>
      <c r="E55" s="6">
        <f>+E54*E35/3600</f>
        <v>300.92302450926741</v>
      </c>
      <c r="F55" s="6">
        <f>+F54*F35/3600</f>
        <v>813.80256269983465</v>
      </c>
      <c r="G55" s="1" t="s">
        <v>107</v>
      </c>
    </row>
    <row r="56" spans="1:7" x14ac:dyDescent="0.25">
      <c r="C56" s="6"/>
      <c r="D56" s="6"/>
      <c r="E56" s="6"/>
      <c r="F56" s="6"/>
    </row>
    <row r="57" spans="1:7" x14ac:dyDescent="0.25">
      <c r="A57" s="1" t="s">
        <v>85</v>
      </c>
      <c r="B57" s="1" t="s">
        <v>51</v>
      </c>
      <c r="C57" s="6">
        <f>(C12/C19)*3600</f>
        <v>52.116132114394901</v>
      </c>
      <c r="D57" s="6">
        <f>(D12/D19)*3600</f>
        <v>573.24840764331202</v>
      </c>
      <c r="E57" s="6">
        <f>(E12/E19)*3600</f>
        <v>156.3370801155157</v>
      </c>
      <c r="F57" s="6">
        <f>(F12/F19)*3600</f>
        <v>156.2477394713618</v>
      </c>
      <c r="G57" s="1" t="s">
        <v>86</v>
      </c>
    </row>
    <row r="58" spans="1:7" x14ac:dyDescent="0.25">
      <c r="B58" s="1" t="s">
        <v>52</v>
      </c>
      <c r="C58" s="3">
        <f>+C54-C57</f>
        <v>32.695199988521225</v>
      </c>
      <c r="D58" s="3">
        <f>+D54-D57</f>
        <v>1846.9205074943275</v>
      </c>
      <c r="E58" s="3">
        <f>+E54-E57</f>
        <v>83.111118058261326</v>
      </c>
      <c r="F58" s="3">
        <f>+F54-F57</f>
        <v>496.81844040717579</v>
      </c>
    </row>
    <row r="59" spans="1:7" ht="15.75" x14ac:dyDescent="0.25">
      <c r="B59" s="35" t="s">
        <v>48</v>
      </c>
      <c r="C59" s="36">
        <f>+C58*C35/3600</f>
        <v>36.954106896095418</v>
      </c>
      <c r="D59" s="36">
        <f>+D58*D35/3600</f>
        <v>2321.0903626847589</v>
      </c>
      <c r="E59" s="36">
        <f>+E58*E35/3600</f>
        <v>104.44868329427983</v>
      </c>
      <c r="F59" s="36">
        <f>+F58*F35/3600</f>
        <v>619.09823607018188</v>
      </c>
      <c r="G59" s="8" t="s">
        <v>45</v>
      </c>
    </row>
    <row r="60" spans="1:7" x14ac:dyDescent="0.25">
      <c r="C60" s="6"/>
      <c r="D60" s="6"/>
      <c r="E60" s="6"/>
      <c r="F60" s="6"/>
    </row>
    <row r="61" spans="1:7" x14ac:dyDescent="0.25">
      <c r="A61" s="1" t="s">
        <v>92</v>
      </c>
      <c r="C61" s="6"/>
      <c r="D61" s="6"/>
      <c r="E61" s="6"/>
      <c r="F61" s="6"/>
    </row>
    <row r="62" spans="1:7" x14ac:dyDescent="0.25">
      <c r="A62" s="17" t="s">
        <v>91</v>
      </c>
      <c r="B62" s="15" t="s">
        <v>90</v>
      </c>
      <c r="C62" s="22" t="str">
        <f t="shared" ref="C62:F65" si="5">+C2</f>
        <v xml:space="preserve">A </v>
      </c>
      <c r="D62" s="22" t="str">
        <f t="shared" si="5"/>
        <v>B</v>
      </c>
      <c r="E62" s="22" t="str">
        <f t="shared" si="5"/>
        <v>C</v>
      </c>
      <c r="F62" s="23" t="str">
        <f t="shared" si="5"/>
        <v>D</v>
      </c>
    </row>
    <row r="63" spans="1:7" x14ac:dyDescent="0.25">
      <c r="A63" s="17"/>
      <c r="B63" s="16" t="str">
        <f>+B3</f>
        <v>Roadway/Direction of Travel</v>
      </c>
      <c r="C63" s="17" t="str">
        <f t="shared" si="5"/>
        <v>I5 Northbound</v>
      </c>
      <c r="D63" s="17" t="str">
        <f t="shared" si="5"/>
        <v>I5 Northbound</v>
      </c>
      <c r="E63" s="17" t="str">
        <f t="shared" si="5"/>
        <v>I5 Northbound</v>
      </c>
      <c r="F63" s="18" t="str">
        <f t="shared" si="5"/>
        <v>I5 Northbound</v>
      </c>
    </row>
    <row r="64" spans="1:7" s="2" customFormat="1" x14ac:dyDescent="0.25">
      <c r="A64" s="28"/>
      <c r="B64" s="27" t="str">
        <f>+B4</f>
        <v>From</v>
      </c>
      <c r="C64" s="28" t="str">
        <f t="shared" si="5"/>
        <v>N. Santiam Exit 234</v>
      </c>
      <c r="D64" s="28" t="str">
        <f t="shared" si="5"/>
        <v>Albany UGB MP 235</v>
      </c>
      <c r="E64" s="28" t="str">
        <f t="shared" si="5"/>
        <v>Terrain Change MP 246</v>
      </c>
      <c r="F64" s="31" t="str">
        <f t="shared" si="5"/>
        <v>Salem UGB MP 249</v>
      </c>
    </row>
    <row r="65" spans="1:6" x14ac:dyDescent="0.25">
      <c r="A65" s="16"/>
      <c r="B65" s="16" t="str">
        <f>+B5</f>
        <v>To</v>
      </c>
      <c r="C65" s="17" t="str">
        <f t="shared" si="5"/>
        <v>Albany UGB MP 235</v>
      </c>
      <c r="D65" s="17" t="str">
        <f t="shared" si="5"/>
        <v>Terrain Change MP 246</v>
      </c>
      <c r="E65" s="17" t="str">
        <f t="shared" si="5"/>
        <v>Salem UGB MP 249</v>
      </c>
      <c r="F65" s="18" t="str">
        <f t="shared" si="5"/>
        <v>Kuebler Exit 252</v>
      </c>
    </row>
    <row r="66" spans="1:6" x14ac:dyDescent="0.25">
      <c r="A66" s="16"/>
      <c r="B66" s="16" t="s">
        <v>106</v>
      </c>
      <c r="C66" s="17" t="str">
        <f>+C6</f>
        <v>No Build Yr 2042 Peak Hour</v>
      </c>
      <c r="D66" s="17" t="str">
        <f t="shared" ref="D66:F66" si="6">+D6</f>
        <v>No Build Yr 2042 Peak Hour</v>
      </c>
      <c r="E66" s="17" t="str">
        <f t="shared" si="6"/>
        <v>No Build Yr 2042 Peak Hour</v>
      </c>
      <c r="F66" s="18" t="str">
        <f t="shared" si="6"/>
        <v>No Build Yr 2042 Peak Hour</v>
      </c>
    </row>
    <row r="67" spans="1:6" x14ac:dyDescent="0.25">
      <c r="A67" s="16"/>
      <c r="B67" s="16" t="str">
        <f>+B12</f>
        <v>Length (mi)</v>
      </c>
      <c r="C67" s="17">
        <f>+C12</f>
        <v>1</v>
      </c>
      <c r="D67" s="17">
        <f>+D12</f>
        <v>11</v>
      </c>
      <c r="E67" s="17">
        <f>+E12</f>
        <v>3</v>
      </c>
      <c r="F67" s="18">
        <f>+F12</f>
        <v>3</v>
      </c>
    </row>
    <row r="68" spans="1:6" x14ac:dyDescent="0.25">
      <c r="A68" s="16"/>
      <c r="B68" s="16" t="str">
        <f>+B32</f>
        <v>AADT</v>
      </c>
      <c r="C68" s="19">
        <f>+C32</f>
        <v>88919.128508124079</v>
      </c>
      <c r="D68" s="19">
        <f>+D32</f>
        <v>96671.953010278987</v>
      </c>
      <c r="E68" s="19">
        <f>+E32</f>
        <v>96671.953010278987</v>
      </c>
      <c r="F68" s="20">
        <f>+F32</f>
        <v>95855.824508320715</v>
      </c>
    </row>
    <row r="69" spans="1:6" x14ac:dyDescent="0.25">
      <c r="A69" s="16"/>
      <c r="B69" s="16" t="str">
        <f>+B39</f>
        <v>% Trucks and Buses</v>
      </c>
      <c r="C69" s="24">
        <f>+C39</f>
        <v>0.1847</v>
      </c>
      <c r="D69" s="24">
        <f>+D39</f>
        <v>0.184</v>
      </c>
      <c r="E69" s="24">
        <f>+E39</f>
        <v>0.1837</v>
      </c>
      <c r="F69" s="25">
        <f>+F39</f>
        <v>0.17580000000000001</v>
      </c>
    </row>
    <row r="70" spans="1:6" x14ac:dyDescent="0.25">
      <c r="A70" s="16"/>
      <c r="B70" s="43" t="str">
        <f>+A48</f>
        <v xml:space="preserve">d/c ratio </v>
      </c>
      <c r="C70" s="40">
        <f>+C48</f>
        <v>1.1243539175543</v>
      </c>
      <c r="D70" s="40">
        <f t="shared" ref="D70:F70" si="7">+D48</f>
        <v>1.3804045823504569</v>
      </c>
      <c r="E70" s="40">
        <f t="shared" si="7"/>
        <v>1.0580723023716063</v>
      </c>
      <c r="F70" s="41">
        <f t="shared" si="7"/>
        <v>1.42478979838247</v>
      </c>
    </row>
    <row r="71" spans="1:6" x14ac:dyDescent="0.25">
      <c r="A71" s="16"/>
      <c r="B71" s="16" t="str">
        <f>+B57</f>
        <v>TT at Posted Speed, sec</v>
      </c>
      <c r="C71" s="19">
        <f t="shared" ref="C71:F71" si="8">+C57</f>
        <v>52.116132114394901</v>
      </c>
      <c r="D71" s="19">
        <f t="shared" si="8"/>
        <v>573.24840764331202</v>
      </c>
      <c r="E71" s="19">
        <f t="shared" si="8"/>
        <v>156.3370801155157</v>
      </c>
      <c r="F71" s="20">
        <f t="shared" si="8"/>
        <v>156.2477394713618</v>
      </c>
    </row>
    <row r="72" spans="1:6" x14ac:dyDescent="0.25">
      <c r="A72" s="16"/>
      <c r="B72" s="16" t="str">
        <f>+B55</f>
        <v>Peak Hour VHT (hr)</v>
      </c>
      <c r="C72" s="19">
        <f t="shared" ref="C72:F72" si="9">+C55</f>
        <v>95.85893445006468</v>
      </c>
      <c r="D72" s="19">
        <f t="shared" si="9"/>
        <v>3041.5119233346086</v>
      </c>
      <c r="E72" s="19">
        <f t="shared" si="9"/>
        <v>300.92302450926741</v>
      </c>
      <c r="F72" s="20">
        <f t="shared" si="9"/>
        <v>813.80256269983465</v>
      </c>
    </row>
    <row r="73" spans="1:6" s="2" customFormat="1" x14ac:dyDescent="0.25">
      <c r="A73" s="27"/>
      <c r="B73" s="27" t="str">
        <f t="shared" ref="B73:F74" si="10">+B58</f>
        <v>Peak Hour Avg Delay per veh, sec</v>
      </c>
      <c r="C73" s="29">
        <f t="shared" si="10"/>
        <v>32.695199988521225</v>
      </c>
      <c r="D73" s="29">
        <f t="shared" si="10"/>
        <v>1846.9205074943275</v>
      </c>
      <c r="E73" s="29">
        <f t="shared" si="10"/>
        <v>83.111118058261326</v>
      </c>
      <c r="F73" s="30">
        <f t="shared" si="10"/>
        <v>496.81844040717579</v>
      </c>
    </row>
    <row r="74" spans="1:6" x14ac:dyDescent="0.25">
      <c r="A74" s="16"/>
      <c r="B74" s="45" t="str">
        <f t="shared" si="10"/>
        <v>Peak Hour VHD</v>
      </c>
      <c r="C74" s="46">
        <f t="shared" si="10"/>
        <v>36.954106896095418</v>
      </c>
      <c r="D74" s="46">
        <f t="shared" si="10"/>
        <v>2321.0903626847589</v>
      </c>
      <c r="E74" s="46">
        <f t="shared" si="10"/>
        <v>104.44868329427983</v>
      </c>
      <c r="F74" s="47">
        <f t="shared" si="10"/>
        <v>619.09823607018188</v>
      </c>
    </row>
  </sheetData>
  <printOptions gridLine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7"/>
  <sheetViews>
    <sheetView zoomScale="70" zoomScaleNormal="70" workbookViewId="0"/>
  </sheetViews>
  <sheetFormatPr defaultColWidth="8.85546875" defaultRowHeight="15" x14ac:dyDescent="0.25"/>
  <cols>
    <col min="1" max="1" width="26.85546875" style="1" customWidth="1"/>
    <col min="2" max="2" width="39.42578125" style="1" bestFit="1" customWidth="1"/>
    <col min="3" max="6" width="32.28515625" style="7" bestFit="1" customWidth="1"/>
    <col min="7" max="7" width="64.28515625" style="1" customWidth="1"/>
    <col min="8" max="16384" width="8.85546875" style="1"/>
  </cols>
  <sheetData>
    <row r="1" spans="1:14" ht="30" x14ac:dyDescent="0.25">
      <c r="A1" s="1" t="s">
        <v>47</v>
      </c>
    </row>
    <row r="2" spans="1:14" x14ac:dyDescent="0.25">
      <c r="A2" s="9"/>
      <c r="B2" s="9"/>
      <c r="C2" s="10" t="s">
        <v>93</v>
      </c>
      <c r="D2" s="10" t="s">
        <v>44</v>
      </c>
      <c r="E2" s="10" t="s">
        <v>49</v>
      </c>
      <c r="F2" s="10" t="s">
        <v>88</v>
      </c>
      <c r="G2" s="9" t="s">
        <v>37</v>
      </c>
    </row>
    <row r="3" spans="1:14" x14ac:dyDescent="0.25">
      <c r="A3" s="1" t="s">
        <v>90</v>
      </c>
      <c r="B3" s="1" t="s">
        <v>105</v>
      </c>
      <c r="C3" s="7" t="s">
        <v>104</v>
      </c>
      <c r="D3" s="7" t="s">
        <v>104</v>
      </c>
      <c r="E3" s="7" t="s">
        <v>104</v>
      </c>
      <c r="F3" s="7" t="s">
        <v>104</v>
      </c>
    </row>
    <row r="4" spans="1:14" x14ac:dyDescent="0.25">
      <c r="B4" s="1" t="s">
        <v>7</v>
      </c>
      <c r="C4" s="7" t="s">
        <v>9</v>
      </c>
      <c r="D4" s="7" t="s">
        <v>10</v>
      </c>
      <c r="E4" s="7" t="s">
        <v>11</v>
      </c>
      <c r="F4" s="7" t="s">
        <v>12</v>
      </c>
    </row>
    <row r="5" spans="1:14" x14ac:dyDescent="0.25">
      <c r="B5" s="1" t="s">
        <v>8</v>
      </c>
      <c r="C5" s="7" t="s">
        <v>10</v>
      </c>
      <c r="D5" s="7" t="s">
        <v>11</v>
      </c>
      <c r="E5" s="7" t="s">
        <v>12</v>
      </c>
      <c r="F5" s="7" t="s">
        <v>13</v>
      </c>
    </row>
    <row r="6" spans="1:14" x14ac:dyDescent="0.25">
      <c r="B6" s="1" t="s">
        <v>106</v>
      </c>
      <c r="C6" s="7" t="s">
        <v>113</v>
      </c>
      <c r="D6" s="7" t="s">
        <v>113</v>
      </c>
      <c r="E6" s="7" t="s">
        <v>113</v>
      </c>
      <c r="F6" s="7" t="s">
        <v>113</v>
      </c>
    </row>
    <row r="8" spans="1:14" ht="15.75" x14ac:dyDescent="0.25">
      <c r="A8" s="1" t="s">
        <v>87</v>
      </c>
      <c r="B8" s="1" t="s">
        <v>14</v>
      </c>
      <c r="C8" s="7">
        <v>3</v>
      </c>
      <c r="D8" s="7">
        <v>3</v>
      </c>
      <c r="E8" s="7">
        <v>4</v>
      </c>
      <c r="F8" s="7">
        <v>3</v>
      </c>
      <c r="G8" s="1" t="s">
        <v>24</v>
      </c>
      <c r="J8" s="8" t="s">
        <v>54</v>
      </c>
      <c r="M8" s="1">
        <v>58400</v>
      </c>
    </row>
    <row r="9" spans="1:14" ht="15.75" x14ac:dyDescent="0.25">
      <c r="B9" s="1" t="s">
        <v>19</v>
      </c>
      <c r="C9" s="7" t="s">
        <v>20</v>
      </c>
      <c r="D9" s="7" t="s">
        <v>20</v>
      </c>
      <c r="E9" s="7" t="s">
        <v>20</v>
      </c>
      <c r="F9" s="7" t="s">
        <v>20</v>
      </c>
      <c r="J9" s="8" t="s">
        <v>55</v>
      </c>
      <c r="M9" s="1">
        <v>59700</v>
      </c>
    </row>
    <row r="10" spans="1:14" ht="15.75" x14ac:dyDescent="0.25">
      <c r="B10" s="1" t="s">
        <v>15</v>
      </c>
      <c r="C10" s="7" t="s">
        <v>0</v>
      </c>
      <c r="D10" s="7" t="s">
        <v>1</v>
      </c>
      <c r="E10" s="7" t="s">
        <v>1</v>
      </c>
      <c r="F10" s="7" t="s">
        <v>0</v>
      </c>
      <c r="G10" s="1" t="s">
        <v>24</v>
      </c>
      <c r="J10" s="8" t="s">
        <v>56</v>
      </c>
      <c r="M10" s="1">
        <v>59000</v>
      </c>
    </row>
    <row r="11" spans="1:14" ht="15.75" x14ac:dyDescent="0.25">
      <c r="B11" s="1" t="s">
        <v>16</v>
      </c>
      <c r="C11" s="7" t="s">
        <v>2</v>
      </c>
      <c r="D11" s="7" t="s">
        <v>2</v>
      </c>
      <c r="E11" s="7" t="s">
        <v>3</v>
      </c>
      <c r="F11" s="7" t="s">
        <v>3</v>
      </c>
      <c r="J11" s="8" t="s">
        <v>57</v>
      </c>
      <c r="M11" s="1">
        <v>62900</v>
      </c>
    </row>
    <row r="12" spans="1:14" ht="15.75" x14ac:dyDescent="0.25">
      <c r="B12" s="1" t="s">
        <v>6</v>
      </c>
      <c r="C12" s="7">
        <v>1</v>
      </c>
      <c r="D12" s="7">
        <v>11</v>
      </c>
      <c r="E12" s="7">
        <v>3</v>
      </c>
      <c r="F12" s="7">
        <v>3</v>
      </c>
      <c r="J12" s="8" t="s">
        <v>58</v>
      </c>
      <c r="M12" s="1">
        <v>64800</v>
      </c>
    </row>
    <row r="13" spans="1:14" x14ac:dyDescent="0.25">
      <c r="B13" s="1" t="s">
        <v>22</v>
      </c>
      <c r="C13" s="7">
        <v>65</v>
      </c>
      <c r="D13" s="7">
        <v>65</v>
      </c>
      <c r="E13" s="7">
        <v>65</v>
      </c>
      <c r="F13" s="7">
        <v>65</v>
      </c>
      <c r="M13" s="1">
        <f>SUM(M8:M12)</f>
        <v>304800</v>
      </c>
      <c r="N13" s="1">
        <f>AVERAGE(M8:M12)</f>
        <v>60960</v>
      </c>
    </row>
    <row r="14" spans="1:14" x14ac:dyDescent="0.25">
      <c r="B14" s="1" t="s">
        <v>23</v>
      </c>
      <c r="C14" s="7">
        <v>60</v>
      </c>
      <c r="D14" s="7">
        <v>60</v>
      </c>
      <c r="E14" s="7">
        <v>60</v>
      </c>
      <c r="F14" s="7">
        <v>60</v>
      </c>
    </row>
    <row r="16" spans="1:14" x14ac:dyDescent="0.25">
      <c r="A16" s="1" t="s">
        <v>21</v>
      </c>
    </row>
    <row r="17" spans="1:7" x14ac:dyDescent="0.25">
      <c r="B17" s="1" t="s">
        <v>60</v>
      </c>
      <c r="C17" s="7">
        <f>+C13+5</f>
        <v>70</v>
      </c>
      <c r="D17" s="7">
        <f>+D13+5</f>
        <v>70</v>
      </c>
      <c r="E17" s="7">
        <f>+E13+5</f>
        <v>70</v>
      </c>
      <c r="F17" s="7">
        <f>+F13+5</f>
        <v>70</v>
      </c>
      <c r="G17" s="1" t="s">
        <v>27</v>
      </c>
    </row>
    <row r="18" spans="1:7" x14ac:dyDescent="0.25">
      <c r="B18" s="1" t="s">
        <v>61</v>
      </c>
      <c r="C18" s="7">
        <f>+C17-(C13-C14)</f>
        <v>65</v>
      </c>
      <c r="D18" s="12">
        <f>+D17-(D13-D14)</f>
        <v>65</v>
      </c>
      <c r="E18" s="12">
        <f>+E17-(E13-E14)</f>
        <v>65</v>
      </c>
      <c r="F18" s="12">
        <f>+F17-(F13-F14)</f>
        <v>65</v>
      </c>
      <c r="G18" s="2" t="s">
        <v>46</v>
      </c>
    </row>
    <row r="19" spans="1:7" x14ac:dyDescent="0.25">
      <c r="B19" s="1" t="s">
        <v>62</v>
      </c>
      <c r="C19" s="3">
        <f>+C17*(1-C39)+C18*(C39)</f>
        <v>69.07650000000001</v>
      </c>
      <c r="D19" s="3">
        <f>+D17*(1-D39)+D18*(D39)</f>
        <v>69.08</v>
      </c>
      <c r="E19" s="3">
        <f>+E17*(1-E39)+E18*(E39)</f>
        <v>69.081500000000005</v>
      </c>
      <c r="F19" s="3">
        <f>+F17*(1-F39)+F18*(F39)</f>
        <v>69.121000000000009</v>
      </c>
      <c r="G19" s="1" t="s">
        <v>26</v>
      </c>
    </row>
    <row r="20" spans="1:7" x14ac:dyDescent="0.25">
      <c r="C20" s="6"/>
      <c r="D20" s="6"/>
      <c r="E20" s="6"/>
      <c r="F20" s="6"/>
    </row>
    <row r="21" spans="1:7" ht="18" x14ac:dyDescent="0.35">
      <c r="B21" s="1" t="s">
        <v>63</v>
      </c>
      <c r="C21" s="6">
        <v>0</v>
      </c>
      <c r="D21" s="6">
        <v>0</v>
      </c>
      <c r="E21" s="6">
        <v>0</v>
      </c>
      <c r="F21" s="6">
        <v>0</v>
      </c>
      <c r="G21" s="13" t="s">
        <v>70</v>
      </c>
    </row>
    <row r="22" spans="1:7" ht="18" x14ac:dyDescent="0.35">
      <c r="B22" s="1" t="s">
        <v>64</v>
      </c>
      <c r="C22" s="6">
        <v>0</v>
      </c>
      <c r="D22" s="6">
        <v>0</v>
      </c>
      <c r="E22" s="6">
        <v>0</v>
      </c>
      <c r="F22" s="6">
        <v>0</v>
      </c>
      <c r="G22" s="13" t="s">
        <v>71</v>
      </c>
    </row>
    <row r="23" spans="1:7" x14ac:dyDescent="0.25">
      <c r="B23" s="1" t="s">
        <v>65</v>
      </c>
      <c r="C23" s="3">
        <v>1.1000000000000001</v>
      </c>
      <c r="D23" s="3">
        <v>1.4</v>
      </c>
      <c r="E23" s="3">
        <v>1</v>
      </c>
      <c r="F23" s="3">
        <v>1.8</v>
      </c>
    </row>
    <row r="24" spans="1:7" ht="15.75" x14ac:dyDescent="0.25">
      <c r="B24" s="1" t="s">
        <v>67</v>
      </c>
      <c r="C24" s="3">
        <f>C19-C21-C22-3.22*POWER(C23,0.84)</f>
        <v>65.588104422516579</v>
      </c>
      <c r="D24" s="3">
        <f>D19-D21-D22-3.22*POWER(D23,0.84)</f>
        <v>64.808273669821247</v>
      </c>
      <c r="E24" s="3">
        <f t="shared" ref="E24:F24" si="0">E19-E21-E22-3.22*POWER(E23,0.84)</f>
        <v>65.861500000000007</v>
      </c>
      <c r="F24" s="3">
        <f t="shared" si="0"/>
        <v>63.845243095495839</v>
      </c>
      <c r="G24" s="13" t="s">
        <v>66</v>
      </c>
    </row>
    <row r="26" spans="1:7" x14ac:dyDescent="0.25">
      <c r="A26" s="1" t="s">
        <v>68</v>
      </c>
    </row>
    <row r="27" spans="1:7" ht="15.75" x14ac:dyDescent="0.25">
      <c r="B27" s="1" t="s">
        <v>72</v>
      </c>
      <c r="C27" s="6">
        <f>2200+10*(C24-50)</f>
        <v>2355.8810442251656</v>
      </c>
      <c r="D27" s="6">
        <f>2200+10*(D24-50)</f>
        <v>2348.0827366982126</v>
      </c>
      <c r="E27" s="6">
        <f t="shared" ref="E27:F27" si="1">2200+10*(E24-50)</f>
        <v>2358.6150000000002</v>
      </c>
      <c r="F27" s="6">
        <f t="shared" si="1"/>
        <v>2338.4524309549583</v>
      </c>
      <c r="G27" s="13" t="s">
        <v>69</v>
      </c>
    </row>
    <row r="28" spans="1:7" ht="15.75" x14ac:dyDescent="0.25">
      <c r="B28" s="1" t="s">
        <v>74</v>
      </c>
      <c r="C28" s="7">
        <v>0.96799999999999997</v>
      </c>
      <c r="D28" s="7">
        <v>0.93899999999999995</v>
      </c>
      <c r="E28" s="7">
        <v>0.93899999999999995</v>
      </c>
      <c r="F28" s="7">
        <v>0.96799999999999997</v>
      </c>
      <c r="G28" s="13" t="s">
        <v>76</v>
      </c>
    </row>
    <row r="29" spans="1:7" ht="15.75" x14ac:dyDescent="0.25">
      <c r="B29" s="1" t="s">
        <v>73</v>
      </c>
      <c r="C29" s="6">
        <f>+C27*C28</f>
        <v>2280.4928508099601</v>
      </c>
      <c r="D29" s="6">
        <f t="shared" ref="D29:F29" si="2">+D27*D28</f>
        <v>2204.8496897596215</v>
      </c>
      <c r="E29" s="6">
        <f t="shared" si="2"/>
        <v>2214.7394850000001</v>
      </c>
      <c r="F29" s="6">
        <f t="shared" si="2"/>
        <v>2263.6219531643997</v>
      </c>
      <c r="G29" s="13" t="s">
        <v>75</v>
      </c>
    </row>
    <row r="30" spans="1:7" ht="15.75" x14ac:dyDescent="0.25">
      <c r="G30" s="13"/>
    </row>
    <row r="31" spans="1:7" ht="15.75" x14ac:dyDescent="0.25">
      <c r="A31" s="1" t="s">
        <v>77</v>
      </c>
      <c r="G31" s="13"/>
    </row>
    <row r="32" spans="1:7" x14ac:dyDescent="0.25">
      <c r="B32" s="1" t="s">
        <v>78</v>
      </c>
      <c r="C32" s="39">
        <v>67700</v>
      </c>
      <c r="D32" s="39">
        <v>68100</v>
      </c>
      <c r="E32" s="39">
        <v>68100</v>
      </c>
      <c r="F32" s="39">
        <v>66100</v>
      </c>
      <c r="G32" s="1" t="s">
        <v>24</v>
      </c>
    </row>
    <row r="33" spans="1:7" x14ac:dyDescent="0.25">
      <c r="B33" s="1" t="s">
        <v>17</v>
      </c>
      <c r="C33" s="3">
        <v>8.8000000000000007</v>
      </c>
      <c r="D33" s="3">
        <v>9</v>
      </c>
      <c r="E33" s="3">
        <v>9</v>
      </c>
      <c r="F33" s="3">
        <v>9</v>
      </c>
    </row>
    <row r="34" spans="1:7" x14ac:dyDescent="0.25">
      <c r="B34" s="1" t="s">
        <v>18</v>
      </c>
      <c r="C34" s="7">
        <v>52</v>
      </c>
      <c r="D34" s="7">
        <v>52</v>
      </c>
      <c r="E34" s="7">
        <v>52</v>
      </c>
      <c r="F34" s="7">
        <v>52</v>
      </c>
      <c r="G34" s="1" t="s">
        <v>38</v>
      </c>
    </row>
    <row r="35" spans="1:7" x14ac:dyDescent="0.25">
      <c r="B35" s="1" t="s">
        <v>79</v>
      </c>
      <c r="C35" s="6">
        <f>+C32*(C33/100)*(C34/100)</f>
        <v>3097.9520000000002</v>
      </c>
      <c r="D35" s="6">
        <f t="shared" ref="D35:F35" si="3">+D32*(D33/100)*(D34/100)</f>
        <v>3187.08</v>
      </c>
      <c r="E35" s="6">
        <f t="shared" si="3"/>
        <v>3187.08</v>
      </c>
      <c r="F35" s="6">
        <f t="shared" si="3"/>
        <v>3093.48</v>
      </c>
    </row>
    <row r="37" spans="1:7" x14ac:dyDescent="0.25">
      <c r="B37" s="1" t="s">
        <v>4</v>
      </c>
      <c r="C37" s="7">
        <v>0.183</v>
      </c>
      <c r="D37" s="7">
        <v>0.182</v>
      </c>
      <c r="E37" s="7">
        <v>0.182</v>
      </c>
      <c r="F37" s="7">
        <v>0.17</v>
      </c>
      <c r="G37" s="1" t="s">
        <v>25</v>
      </c>
    </row>
    <row r="38" spans="1:7" x14ac:dyDescent="0.25">
      <c r="B38" s="1" t="s">
        <v>5</v>
      </c>
      <c r="C38" s="7">
        <v>1.6999999999999999E-3</v>
      </c>
      <c r="D38" s="7">
        <v>1.6999999999999999E-3</v>
      </c>
      <c r="E38" s="7">
        <v>1.6999999999999999E-3</v>
      </c>
      <c r="F38" s="7">
        <v>5.7999999999999996E-3</v>
      </c>
      <c r="G38" s="1" t="s">
        <v>25</v>
      </c>
    </row>
    <row r="39" spans="1:7" x14ac:dyDescent="0.25">
      <c r="B39" s="1" t="s">
        <v>36</v>
      </c>
      <c r="C39" s="7">
        <f>SUM(C37:C38)</f>
        <v>0.1847</v>
      </c>
      <c r="D39" s="7">
        <v>0.184</v>
      </c>
      <c r="E39" s="7">
        <f t="shared" ref="E39:F39" si="4">SUM(E37:E38)</f>
        <v>0.1837</v>
      </c>
      <c r="F39" s="7">
        <f t="shared" si="4"/>
        <v>0.17580000000000001</v>
      </c>
    </row>
    <row r="41" spans="1:7" ht="18" x14ac:dyDescent="0.35">
      <c r="B41" s="1" t="s">
        <v>29</v>
      </c>
      <c r="C41" s="7">
        <v>2</v>
      </c>
      <c r="D41" s="7">
        <v>2</v>
      </c>
      <c r="E41" s="7">
        <v>3</v>
      </c>
      <c r="F41" s="7">
        <v>3</v>
      </c>
      <c r="G41" s="1" t="s">
        <v>30</v>
      </c>
    </row>
    <row r="42" spans="1:7" x14ac:dyDescent="0.25">
      <c r="B42" s="1" t="s">
        <v>40</v>
      </c>
      <c r="C42" s="4">
        <f>1/(1+C39*(C41-1))</f>
        <v>0.8440955516164429</v>
      </c>
      <c r="D42" s="4">
        <f>1/(1+D39*(D41-1))</f>
        <v>0.84459459459459463</v>
      </c>
      <c r="E42" s="4">
        <f>1/(1+E39*(E41-1))</f>
        <v>0.73131490419774758</v>
      </c>
      <c r="F42" s="4">
        <f>1/(1+F39*(F41-1))</f>
        <v>0.73986386504883106</v>
      </c>
      <c r="G42" s="1" t="s">
        <v>28</v>
      </c>
    </row>
    <row r="43" spans="1:7" x14ac:dyDescent="0.25">
      <c r="C43" s="6"/>
      <c r="D43" s="6"/>
      <c r="E43" s="6"/>
      <c r="F43" s="6"/>
    </row>
    <row r="44" spans="1:7" x14ac:dyDescent="0.25">
      <c r="B44" s="1" t="s">
        <v>39</v>
      </c>
      <c r="C44" s="7">
        <v>0.94</v>
      </c>
      <c r="D44" s="7">
        <v>0.88</v>
      </c>
      <c r="E44" s="7">
        <v>0.88</v>
      </c>
      <c r="F44" s="7">
        <v>0.94</v>
      </c>
    </row>
    <row r="45" spans="1:7" x14ac:dyDescent="0.25">
      <c r="C45" s="6"/>
      <c r="D45" s="4"/>
      <c r="E45" s="6"/>
      <c r="F45" s="6"/>
    </row>
    <row r="46" spans="1:7" ht="15.75" x14ac:dyDescent="0.25">
      <c r="B46" s="1" t="s">
        <v>81</v>
      </c>
      <c r="C46" s="6">
        <f>C35/(C44*C8*C42)</f>
        <v>1301.4694093617024</v>
      </c>
      <c r="D46" s="6">
        <f>D35/(D44*D8*D42)</f>
        <v>1429.3570909090909</v>
      </c>
      <c r="E46" s="6">
        <f>E35/(E44*E8*E42)</f>
        <v>1238.0719295454544</v>
      </c>
      <c r="F46" s="6">
        <f>F35/(F44*F8*F42)</f>
        <v>1482.6764425531912</v>
      </c>
      <c r="G46" s="13" t="s">
        <v>80</v>
      </c>
    </row>
    <row r="47" spans="1:7" ht="15.75" x14ac:dyDescent="0.25">
      <c r="C47" s="6"/>
      <c r="D47" s="6"/>
      <c r="E47" s="6"/>
      <c r="F47" s="6"/>
      <c r="G47" s="13"/>
    </row>
    <row r="48" spans="1:7" ht="15.75" x14ac:dyDescent="0.25">
      <c r="A48" s="1" t="s">
        <v>89</v>
      </c>
      <c r="C48" s="5">
        <f>+C46/C29</f>
        <v>0.57069655311546408</v>
      </c>
      <c r="D48" s="5">
        <f>+D46/D29</f>
        <v>0.64827870015253652</v>
      </c>
      <c r="E48" s="5">
        <f t="shared" ref="E48:F48" si="5">+E46/E29</f>
        <v>0.55901470034316669</v>
      </c>
      <c r="F48" s="5">
        <f t="shared" si="5"/>
        <v>0.65500179501285705</v>
      </c>
      <c r="G48" s="13"/>
    </row>
    <row r="49" spans="1:7" x14ac:dyDescent="0.25">
      <c r="C49" s="6"/>
      <c r="D49" s="6"/>
      <c r="E49" s="6"/>
      <c r="F49" s="6"/>
    </row>
    <row r="50" spans="1:7" x14ac:dyDescent="0.25">
      <c r="A50" s="1" t="s">
        <v>82</v>
      </c>
      <c r="B50" s="1" t="s">
        <v>43</v>
      </c>
      <c r="C50" s="5">
        <v>0.24</v>
      </c>
      <c r="D50" s="5">
        <v>0.31</v>
      </c>
      <c r="E50" s="5">
        <v>0.31</v>
      </c>
      <c r="F50" s="5">
        <v>0.24</v>
      </c>
      <c r="G50" s="1" t="s">
        <v>50</v>
      </c>
    </row>
    <row r="51" spans="1:7" x14ac:dyDescent="0.25">
      <c r="B51" s="1" t="s">
        <v>44</v>
      </c>
      <c r="C51" s="6">
        <v>7</v>
      </c>
      <c r="D51" s="6">
        <v>7</v>
      </c>
      <c r="E51" s="6">
        <v>7</v>
      </c>
      <c r="F51" s="6">
        <v>7</v>
      </c>
      <c r="G51" s="1" t="s">
        <v>50</v>
      </c>
    </row>
    <row r="52" spans="1:7" ht="21" x14ac:dyDescent="0.3">
      <c r="B52" s="1" t="s">
        <v>110</v>
      </c>
      <c r="C52" s="3">
        <f>C24/(1+C50*POWER(C48,C51))</f>
        <v>65.279200930411776</v>
      </c>
      <c r="D52" s="3">
        <f>D24/(1+D50*POWER(D48,D51))</f>
        <v>63.855710676960229</v>
      </c>
      <c r="E52" s="3">
        <f t="shared" ref="E52:F52" si="6">E24/(1+E50*POWER(E48,E51))</f>
        <v>65.515030315541594</v>
      </c>
      <c r="F52" s="3">
        <f t="shared" si="6"/>
        <v>63.062392090755544</v>
      </c>
      <c r="G52" t="s">
        <v>59</v>
      </c>
    </row>
    <row r="53" spans="1:7" x14ac:dyDescent="0.25">
      <c r="C53" s="6"/>
      <c r="D53" s="6"/>
      <c r="E53" s="6"/>
      <c r="F53" s="6"/>
    </row>
    <row r="54" spans="1:7" ht="30" x14ac:dyDescent="0.25">
      <c r="A54" s="1" t="s">
        <v>83</v>
      </c>
      <c r="B54" s="1" t="s">
        <v>109</v>
      </c>
      <c r="C54" s="6">
        <f>+(C12/C52)*3600</f>
        <v>55.147733867600998</v>
      </c>
      <c r="D54" s="6">
        <f>+(D12/D52)*3600</f>
        <v>620.14813679441318</v>
      </c>
      <c r="E54" s="6">
        <f>+(E12/E52)*3600</f>
        <v>164.84766851184688</v>
      </c>
      <c r="F54" s="6">
        <f>+(F12/F52)*3600</f>
        <v>171.25896500179221</v>
      </c>
      <c r="G54" s="1" t="s">
        <v>84</v>
      </c>
    </row>
    <row r="55" spans="1:7" x14ac:dyDescent="0.25">
      <c r="B55" s="1" t="s">
        <v>108</v>
      </c>
      <c r="C55" s="6">
        <f>+C54*C35/3600</f>
        <v>47.456953452945072</v>
      </c>
      <c r="D55" s="6">
        <f>+D54*D35/3600</f>
        <v>549.01714550409395</v>
      </c>
      <c r="E55" s="6">
        <f>+E54*E35/3600</f>
        <v>145.93964093353804</v>
      </c>
      <c r="F55" s="6">
        <f>+F54*F35/3600</f>
        <v>147.16282862604004</v>
      </c>
      <c r="G55" s="1" t="s">
        <v>107</v>
      </c>
    </row>
    <row r="56" spans="1:7" x14ac:dyDescent="0.25">
      <c r="C56" s="6"/>
      <c r="D56" s="6"/>
      <c r="E56" s="6"/>
      <c r="F56" s="6"/>
    </row>
    <row r="57" spans="1:7" x14ac:dyDescent="0.25">
      <c r="A57" s="1" t="s">
        <v>85</v>
      </c>
      <c r="B57" s="1" t="s">
        <v>51</v>
      </c>
      <c r="C57" s="6">
        <f>(C12/C19)*3600</f>
        <v>52.116132114394901</v>
      </c>
      <c r="D57" s="6">
        <f>(D12/D19)*3600</f>
        <v>573.24840764331202</v>
      </c>
      <c r="E57" s="6">
        <f>(E12/E19)*3600</f>
        <v>156.3370801155157</v>
      </c>
      <c r="F57" s="6">
        <f>(F12/F19)*3600</f>
        <v>156.2477394713618</v>
      </c>
      <c r="G57" s="1" t="s">
        <v>86</v>
      </c>
    </row>
    <row r="58" spans="1:7" x14ac:dyDescent="0.25">
      <c r="B58" s="1" t="s">
        <v>52</v>
      </c>
      <c r="C58" s="3">
        <f>+C54-C57</f>
        <v>3.0316017532060968</v>
      </c>
      <c r="D58" s="3">
        <f>+D54-D57</f>
        <v>46.899729151101155</v>
      </c>
      <c r="E58" s="3">
        <f>+E54-E57</f>
        <v>8.5105883963311726</v>
      </c>
      <c r="F58" s="3">
        <f>+F54-F57</f>
        <v>15.011225530430409</v>
      </c>
    </row>
    <row r="59" spans="1:7" ht="15.75" x14ac:dyDescent="0.25">
      <c r="B59" s="1" t="s">
        <v>48</v>
      </c>
      <c r="C59" s="3">
        <f>+C58*C35/3600</f>
        <v>2.6088213095967596</v>
      </c>
      <c r="D59" s="3">
        <f>+D58*D35/3600</f>
        <v>41.520330217469848</v>
      </c>
      <c r="E59" s="3">
        <f>+E58*E35/3600</f>
        <v>7.5344239072719867</v>
      </c>
      <c r="F59" s="3">
        <f>+F58*F35/3600</f>
        <v>12.899146098298852</v>
      </c>
      <c r="G59" s="8" t="s">
        <v>45</v>
      </c>
    </row>
    <row r="60" spans="1:7" x14ac:dyDescent="0.25">
      <c r="C60" s="6"/>
      <c r="D60" s="6"/>
      <c r="E60" s="6"/>
      <c r="F60" s="6"/>
    </row>
    <row r="61" spans="1:7" x14ac:dyDescent="0.25">
      <c r="B61" s="1" t="s">
        <v>92</v>
      </c>
      <c r="C61" s="6"/>
      <c r="D61" s="6"/>
      <c r="E61" s="6"/>
      <c r="F61" s="6"/>
    </row>
    <row r="62" spans="1:7" x14ac:dyDescent="0.25">
      <c r="A62" s="17"/>
      <c r="B62" s="15" t="s">
        <v>90</v>
      </c>
      <c r="C62" s="22" t="str">
        <f t="shared" ref="C62:F65" si="7">+C2</f>
        <v xml:space="preserve">A </v>
      </c>
      <c r="D62" s="22" t="str">
        <f t="shared" si="7"/>
        <v>B</v>
      </c>
      <c r="E62" s="22" t="str">
        <f t="shared" si="7"/>
        <v>C</v>
      </c>
      <c r="F62" s="23" t="str">
        <f t="shared" si="7"/>
        <v>D</v>
      </c>
    </row>
    <row r="63" spans="1:7" x14ac:dyDescent="0.25">
      <c r="A63" s="17"/>
      <c r="B63" s="16" t="str">
        <f>+B3</f>
        <v>Roadway/Direction of Travel</v>
      </c>
      <c r="C63" s="17" t="str">
        <f t="shared" si="7"/>
        <v>I5 Northbound</v>
      </c>
      <c r="D63" s="17" t="str">
        <f t="shared" si="7"/>
        <v>I5 Northbound</v>
      </c>
      <c r="E63" s="17" t="str">
        <f t="shared" si="7"/>
        <v>I5 Northbound</v>
      </c>
      <c r="F63" s="18" t="str">
        <f t="shared" si="7"/>
        <v>I5 Northbound</v>
      </c>
    </row>
    <row r="64" spans="1:7" x14ac:dyDescent="0.25">
      <c r="A64" s="28"/>
      <c r="B64" s="16" t="str">
        <f>+B4</f>
        <v>From</v>
      </c>
      <c r="C64" s="17" t="str">
        <f t="shared" si="7"/>
        <v>N. Santiam Exit 234</v>
      </c>
      <c r="D64" s="17" t="str">
        <f t="shared" si="7"/>
        <v>Albany UGB MP 235</v>
      </c>
      <c r="E64" s="17" t="str">
        <f t="shared" si="7"/>
        <v>Terrain Change MP 246</v>
      </c>
      <c r="F64" s="18" t="str">
        <f t="shared" si="7"/>
        <v>Salem UGB MP 249</v>
      </c>
    </row>
    <row r="65" spans="1:7" x14ac:dyDescent="0.25">
      <c r="A65" s="27"/>
      <c r="B65" s="16" t="str">
        <f>+B5</f>
        <v>To</v>
      </c>
      <c r="C65" s="17" t="str">
        <f t="shared" si="7"/>
        <v>Albany UGB MP 235</v>
      </c>
      <c r="D65" s="17" t="str">
        <f t="shared" si="7"/>
        <v>Terrain Change MP 246</v>
      </c>
      <c r="E65" s="17" t="str">
        <f t="shared" si="7"/>
        <v>Salem UGB MP 249</v>
      </c>
      <c r="F65" s="18" t="str">
        <f t="shared" si="7"/>
        <v>Kuebler Exit 252</v>
      </c>
    </row>
    <row r="66" spans="1:7" x14ac:dyDescent="0.25">
      <c r="A66" s="27"/>
      <c r="B66" s="16" t="s">
        <v>106</v>
      </c>
      <c r="C66" s="17" t="str">
        <f>+C6</f>
        <v>Build Yr 2017 Peak Hour</v>
      </c>
      <c r="D66" s="17" t="str">
        <f t="shared" ref="D66:F66" si="8">+D6</f>
        <v>Build Yr 2017 Peak Hour</v>
      </c>
      <c r="E66" s="17" t="str">
        <f t="shared" si="8"/>
        <v>Build Yr 2017 Peak Hour</v>
      </c>
      <c r="F66" s="18" t="str">
        <f t="shared" si="8"/>
        <v>Build Yr 2017 Peak Hour</v>
      </c>
    </row>
    <row r="67" spans="1:7" x14ac:dyDescent="0.25">
      <c r="A67" s="16"/>
      <c r="B67" s="16" t="str">
        <f>+B12</f>
        <v>Length (mi)</v>
      </c>
      <c r="C67" s="17">
        <f t="shared" ref="C67:F67" si="9">+C12</f>
        <v>1</v>
      </c>
      <c r="D67" s="17">
        <f t="shared" si="9"/>
        <v>11</v>
      </c>
      <c r="E67" s="17">
        <f t="shared" si="9"/>
        <v>3</v>
      </c>
      <c r="F67" s="18">
        <f t="shared" si="9"/>
        <v>3</v>
      </c>
    </row>
    <row r="68" spans="1:7" x14ac:dyDescent="0.25">
      <c r="A68" s="16"/>
      <c r="B68" s="16" t="str">
        <f>+B32</f>
        <v>AADT</v>
      </c>
      <c r="C68" s="17">
        <f t="shared" ref="C68:F68" si="10">+C32</f>
        <v>67700</v>
      </c>
      <c r="D68" s="17">
        <f t="shared" si="10"/>
        <v>68100</v>
      </c>
      <c r="E68" s="17">
        <f t="shared" si="10"/>
        <v>68100</v>
      </c>
      <c r="F68" s="18">
        <f t="shared" si="10"/>
        <v>66100</v>
      </c>
    </row>
    <row r="69" spans="1:7" x14ac:dyDescent="0.25">
      <c r="A69" s="16"/>
      <c r="B69" s="16" t="str">
        <f>+B39</f>
        <v>% Trucks and Buses</v>
      </c>
      <c r="C69" s="24">
        <f t="shared" ref="C69:F69" si="11">+C39</f>
        <v>0.1847</v>
      </c>
      <c r="D69" s="24">
        <f t="shared" si="11"/>
        <v>0.184</v>
      </c>
      <c r="E69" s="24">
        <f t="shared" si="11"/>
        <v>0.1837</v>
      </c>
      <c r="F69" s="25">
        <f t="shared" si="11"/>
        <v>0.17580000000000001</v>
      </c>
    </row>
    <row r="70" spans="1:7" x14ac:dyDescent="0.25">
      <c r="A70" s="16"/>
      <c r="B70" s="43" t="str">
        <f>+A48</f>
        <v xml:space="preserve">d/c ratio </v>
      </c>
      <c r="C70" s="40">
        <f>+C48</f>
        <v>0.57069655311546408</v>
      </c>
      <c r="D70" s="40">
        <f t="shared" ref="D70:F70" si="12">+D48</f>
        <v>0.64827870015253652</v>
      </c>
      <c r="E70" s="40">
        <f t="shared" si="12"/>
        <v>0.55901470034316669</v>
      </c>
      <c r="F70" s="41">
        <f t="shared" si="12"/>
        <v>0.65500179501285705</v>
      </c>
    </row>
    <row r="71" spans="1:7" x14ac:dyDescent="0.25">
      <c r="A71" s="16"/>
      <c r="B71" s="16" t="str">
        <f>+B57</f>
        <v>TT at Posted Speed, sec</v>
      </c>
      <c r="C71" s="19">
        <f t="shared" ref="C71:F71" si="13">+C57</f>
        <v>52.116132114394901</v>
      </c>
      <c r="D71" s="19">
        <f t="shared" si="13"/>
        <v>573.24840764331202</v>
      </c>
      <c r="E71" s="19">
        <f t="shared" si="13"/>
        <v>156.3370801155157</v>
      </c>
      <c r="F71" s="20">
        <f t="shared" si="13"/>
        <v>156.2477394713618</v>
      </c>
    </row>
    <row r="72" spans="1:7" x14ac:dyDescent="0.25">
      <c r="A72" s="16"/>
      <c r="B72" s="16" t="str">
        <f>+B55</f>
        <v>Peak Hour VHT (hr)</v>
      </c>
      <c r="C72" s="19">
        <f t="shared" ref="C72:F72" si="14">+C55</f>
        <v>47.456953452945072</v>
      </c>
      <c r="D72" s="19">
        <f t="shared" si="14"/>
        <v>549.01714550409395</v>
      </c>
      <c r="E72" s="19">
        <f t="shared" si="14"/>
        <v>145.93964093353804</v>
      </c>
      <c r="F72" s="20">
        <f t="shared" si="14"/>
        <v>147.16282862604004</v>
      </c>
    </row>
    <row r="73" spans="1:7" s="2" customFormat="1" x14ac:dyDescent="0.25">
      <c r="A73" s="27"/>
      <c r="B73" s="27" t="str">
        <f t="shared" ref="B73:F74" si="15">+B58</f>
        <v>Peak Hour Avg Delay per veh, sec</v>
      </c>
      <c r="C73" s="29">
        <f t="shared" si="15"/>
        <v>3.0316017532060968</v>
      </c>
      <c r="D73" s="29">
        <f t="shared" si="15"/>
        <v>46.899729151101155</v>
      </c>
      <c r="E73" s="29">
        <f t="shared" si="15"/>
        <v>8.5105883963311726</v>
      </c>
      <c r="F73" s="30">
        <f t="shared" si="15"/>
        <v>15.011225530430409</v>
      </c>
    </row>
    <row r="74" spans="1:7" x14ac:dyDescent="0.25">
      <c r="A74" s="16"/>
      <c r="B74" s="45" t="str">
        <f t="shared" si="15"/>
        <v>Peak Hour VHD</v>
      </c>
      <c r="C74" s="46">
        <f t="shared" si="15"/>
        <v>2.6088213095967596</v>
      </c>
      <c r="D74" s="46">
        <f t="shared" si="15"/>
        <v>41.520330217469848</v>
      </c>
      <c r="E74" s="46">
        <f t="shared" si="15"/>
        <v>7.5344239072719867</v>
      </c>
      <c r="F74" s="47">
        <f t="shared" si="15"/>
        <v>12.899146098298852</v>
      </c>
    </row>
    <row r="76" spans="1:7" customFormat="1" x14ac:dyDescent="0.25">
      <c r="A76" t="s">
        <v>116</v>
      </c>
      <c r="B76" s="1">
        <v>0.25</v>
      </c>
      <c r="C76" s="1" t="s">
        <v>117</v>
      </c>
      <c r="D76" s="6"/>
      <c r="E76" s="6"/>
      <c r="F76" s="6"/>
      <c r="G76" s="6"/>
    </row>
    <row r="77" spans="1:7" customFormat="1" x14ac:dyDescent="0.25">
      <c r="A77" t="s">
        <v>115</v>
      </c>
      <c r="B77" s="1"/>
      <c r="C77" s="1"/>
      <c r="D77" s="6"/>
      <c r="E77" s="6"/>
      <c r="F77" s="6"/>
      <c r="G77" s="6"/>
    </row>
  </sheetData>
  <printOptions gridLine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7"/>
  <sheetViews>
    <sheetView zoomScale="85" zoomScaleNormal="85" workbookViewId="0"/>
  </sheetViews>
  <sheetFormatPr defaultColWidth="8.85546875" defaultRowHeight="15" x14ac:dyDescent="0.25"/>
  <cols>
    <col min="1" max="1" width="25.7109375" style="1" customWidth="1"/>
    <col min="2" max="2" width="34.140625" style="1" bestFit="1" customWidth="1"/>
    <col min="3" max="3" width="34.28515625" style="7" customWidth="1"/>
    <col min="4" max="6" width="29.7109375" style="7" bestFit="1" customWidth="1"/>
    <col min="7" max="7" width="64.28515625" style="1" customWidth="1"/>
    <col min="8" max="16384" width="8.85546875" style="1"/>
  </cols>
  <sheetData>
    <row r="1" spans="1:14" ht="30" x14ac:dyDescent="0.25">
      <c r="A1" s="1" t="s">
        <v>47</v>
      </c>
    </row>
    <row r="2" spans="1:14" x14ac:dyDescent="0.25">
      <c r="A2" s="9"/>
      <c r="B2" s="9"/>
      <c r="C2" s="10" t="s">
        <v>93</v>
      </c>
      <c r="D2" s="10" t="s">
        <v>44</v>
      </c>
      <c r="E2" s="10" t="s">
        <v>49</v>
      </c>
      <c r="F2" s="10" t="s">
        <v>88</v>
      </c>
      <c r="G2" s="9" t="s">
        <v>37</v>
      </c>
    </row>
    <row r="3" spans="1:14" x14ac:dyDescent="0.25">
      <c r="A3" s="1" t="s">
        <v>90</v>
      </c>
      <c r="B3" s="1" t="s">
        <v>105</v>
      </c>
      <c r="C3" s="7" t="s">
        <v>104</v>
      </c>
      <c r="D3" s="7" t="s">
        <v>104</v>
      </c>
      <c r="E3" s="7" t="s">
        <v>104</v>
      </c>
      <c r="F3" s="7" t="s">
        <v>104</v>
      </c>
    </row>
    <row r="4" spans="1:14" x14ac:dyDescent="0.25">
      <c r="B4" s="1" t="s">
        <v>7</v>
      </c>
      <c r="C4" s="7" t="s">
        <v>9</v>
      </c>
      <c r="D4" s="7" t="s">
        <v>10</v>
      </c>
      <c r="E4" s="7" t="s">
        <v>11</v>
      </c>
      <c r="F4" s="7" t="s">
        <v>12</v>
      </c>
    </row>
    <row r="5" spans="1:14" x14ac:dyDescent="0.25">
      <c r="B5" s="1" t="s">
        <v>8</v>
      </c>
      <c r="C5" s="7" t="s">
        <v>10</v>
      </c>
      <c r="D5" s="7" t="s">
        <v>11</v>
      </c>
      <c r="E5" s="7" t="s">
        <v>12</v>
      </c>
      <c r="F5" s="7" t="s">
        <v>13</v>
      </c>
    </row>
    <row r="6" spans="1:14" x14ac:dyDescent="0.25">
      <c r="B6" s="1" t="s">
        <v>106</v>
      </c>
      <c r="C6" s="7" t="s">
        <v>114</v>
      </c>
      <c r="D6" s="7" t="s">
        <v>114</v>
      </c>
      <c r="E6" s="7" t="s">
        <v>114</v>
      </c>
      <c r="F6" s="7" t="s">
        <v>114</v>
      </c>
    </row>
    <row r="8" spans="1:14" ht="15.75" x14ac:dyDescent="0.25">
      <c r="A8" s="1" t="s">
        <v>87</v>
      </c>
      <c r="B8" s="1" t="s">
        <v>14</v>
      </c>
      <c r="C8" s="7">
        <v>3</v>
      </c>
      <c r="D8" s="7">
        <v>3</v>
      </c>
      <c r="E8" s="7">
        <v>4</v>
      </c>
      <c r="F8" s="7">
        <v>3</v>
      </c>
      <c r="G8" s="1" t="s">
        <v>24</v>
      </c>
      <c r="J8" s="8" t="s">
        <v>54</v>
      </c>
      <c r="M8" s="1">
        <v>58400</v>
      </c>
    </row>
    <row r="9" spans="1:14" ht="15.75" x14ac:dyDescent="0.25">
      <c r="B9" s="1" t="s">
        <v>19</v>
      </c>
      <c r="C9" s="7" t="s">
        <v>20</v>
      </c>
      <c r="D9" s="7" t="s">
        <v>20</v>
      </c>
      <c r="E9" s="7" t="s">
        <v>20</v>
      </c>
      <c r="F9" s="7" t="s">
        <v>20</v>
      </c>
      <c r="J9" s="8" t="s">
        <v>55</v>
      </c>
      <c r="M9" s="1">
        <v>59700</v>
      </c>
    </row>
    <row r="10" spans="1:14" ht="15.75" x14ac:dyDescent="0.25">
      <c r="B10" s="1" t="s">
        <v>15</v>
      </c>
      <c r="C10" s="7" t="s">
        <v>0</v>
      </c>
      <c r="D10" s="7" t="s">
        <v>1</v>
      </c>
      <c r="E10" s="7" t="s">
        <v>1</v>
      </c>
      <c r="F10" s="7" t="s">
        <v>0</v>
      </c>
      <c r="G10" s="1" t="s">
        <v>24</v>
      </c>
      <c r="J10" s="8" t="s">
        <v>56</v>
      </c>
      <c r="M10" s="1">
        <v>59000</v>
      </c>
    </row>
    <row r="11" spans="1:14" ht="15.75" x14ac:dyDescent="0.25">
      <c r="B11" s="1" t="s">
        <v>16</v>
      </c>
      <c r="C11" s="7" t="s">
        <v>2</v>
      </c>
      <c r="D11" s="7" t="s">
        <v>2</v>
      </c>
      <c r="E11" s="7" t="s">
        <v>3</v>
      </c>
      <c r="F11" s="7" t="s">
        <v>3</v>
      </c>
      <c r="J11" s="8" t="s">
        <v>57</v>
      </c>
      <c r="M11" s="1">
        <v>62900</v>
      </c>
    </row>
    <row r="12" spans="1:14" ht="15.75" x14ac:dyDescent="0.25">
      <c r="B12" s="1" t="s">
        <v>6</v>
      </c>
      <c r="C12" s="7">
        <v>1</v>
      </c>
      <c r="D12" s="7">
        <v>11</v>
      </c>
      <c r="E12" s="7">
        <v>3</v>
      </c>
      <c r="F12" s="7">
        <v>3</v>
      </c>
      <c r="J12" s="8" t="s">
        <v>58</v>
      </c>
      <c r="M12" s="1">
        <v>64800</v>
      </c>
    </row>
    <row r="13" spans="1:14" x14ac:dyDescent="0.25">
      <c r="B13" s="1" t="s">
        <v>22</v>
      </c>
      <c r="C13" s="7">
        <v>65</v>
      </c>
      <c r="D13" s="7">
        <v>65</v>
      </c>
      <c r="E13" s="7">
        <v>65</v>
      </c>
      <c r="F13" s="7">
        <v>65</v>
      </c>
      <c r="M13" s="1">
        <f>SUM(M8:M12)</f>
        <v>304800</v>
      </c>
      <c r="N13" s="1">
        <f>AVERAGE(M8:M12)</f>
        <v>60960</v>
      </c>
    </row>
    <row r="14" spans="1:14" x14ac:dyDescent="0.25">
      <c r="B14" s="1" t="s">
        <v>23</v>
      </c>
      <c r="C14" s="7">
        <v>60</v>
      </c>
      <c r="D14" s="7">
        <v>60</v>
      </c>
      <c r="E14" s="7">
        <v>60</v>
      </c>
      <c r="F14" s="7">
        <v>60</v>
      </c>
    </row>
    <row r="16" spans="1:14" x14ac:dyDescent="0.25">
      <c r="A16" s="1" t="s">
        <v>21</v>
      </c>
    </row>
    <row r="17" spans="1:7" x14ac:dyDescent="0.25">
      <c r="B17" s="1" t="s">
        <v>60</v>
      </c>
      <c r="C17" s="7">
        <f>+C13+5</f>
        <v>70</v>
      </c>
      <c r="D17" s="7">
        <f>+D13+5</f>
        <v>70</v>
      </c>
      <c r="E17" s="7">
        <f>+E13+5</f>
        <v>70</v>
      </c>
      <c r="F17" s="7">
        <f>+F13+5</f>
        <v>70</v>
      </c>
      <c r="G17" s="1" t="s">
        <v>27</v>
      </c>
    </row>
    <row r="18" spans="1:7" x14ac:dyDescent="0.25">
      <c r="B18" s="1" t="s">
        <v>61</v>
      </c>
      <c r="C18" s="7">
        <f>+C17-(C13-C14)</f>
        <v>65</v>
      </c>
      <c r="D18" s="12">
        <f>+D17-(D13-D14)</f>
        <v>65</v>
      </c>
      <c r="E18" s="12">
        <f>+E17-(E13-E14)</f>
        <v>65</v>
      </c>
      <c r="F18" s="12">
        <f>+F17-(F13-F14)</f>
        <v>65</v>
      </c>
      <c r="G18" s="2" t="s">
        <v>46</v>
      </c>
    </row>
    <row r="19" spans="1:7" x14ac:dyDescent="0.25">
      <c r="B19" s="1" t="s">
        <v>62</v>
      </c>
      <c r="C19" s="3">
        <f>+C17*(1-C39)+C18*(C39)</f>
        <v>69.07650000000001</v>
      </c>
      <c r="D19" s="3">
        <f>+D17*(1-D39)+D18*(D39)</f>
        <v>69.08</v>
      </c>
      <c r="E19" s="3">
        <f>+E17*(1-E39)+E18*(E39)</f>
        <v>69.081500000000005</v>
      </c>
      <c r="F19" s="3">
        <f>+F17*(1-F39)+F18*(F39)</f>
        <v>69.121000000000009</v>
      </c>
      <c r="G19" s="1" t="s">
        <v>26</v>
      </c>
    </row>
    <row r="20" spans="1:7" x14ac:dyDescent="0.25">
      <c r="C20" s="6"/>
      <c r="D20" s="6"/>
      <c r="E20" s="6"/>
      <c r="F20" s="6"/>
    </row>
    <row r="21" spans="1:7" ht="18" x14ac:dyDescent="0.35">
      <c r="B21" s="1" t="s">
        <v>63</v>
      </c>
      <c r="C21" s="6">
        <v>0</v>
      </c>
      <c r="D21" s="6">
        <v>0</v>
      </c>
      <c r="E21" s="6">
        <v>0</v>
      </c>
      <c r="F21" s="6">
        <v>0</v>
      </c>
      <c r="G21" s="13" t="s">
        <v>70</v>
      </c>
    </row>
    <row r="22" spans="1:7" ht="18" x14ac:dyDescent="0.35">
      <c r="B22" s="1" t="s">
        <v>64</v>
      </c>
      <c r="C22" s="6">
        <v>0</v>
      </c>
      <c r="D22" s="6">
        <v>0</v>
      </c>
      <c r="E22" s="6">
        <v>0</v>
      </c>
      <c r="F22" s="6">
        <v>0</v>
      </c>
      <c r="G22" s="13" t="s">
        <v>71</v>
      </c>
    </row>
    <row r="23" spans="1:7" x14ac:dyDescent="0.25">
      <c r="B23" s="1" t="s">
        <v>65</v>
      </c>
      <c r="C23" s="3">
        <v>1.1000000000000001</v>
      </c>
      <c r="D23" s="3">
        <v>1.4</v>
      </c>
      <c r="E23" s="3">
        <v>1</v>
      </c>
      <c r="F23" s="3">
        <v>1.8</v>
      </c>
    </row>
    <row r="24" spans="1:7" ht="15.75" x14ac:dyDescent="0.25">
      <c r="B24" s="1" t="s">
        <v>67</v>
      </c>
      <c r="C24" s="3">
        <f>C19-C21-C22-3.22*POWER(C23,0.84)</f>
        <v>65.588104422516579</v>
      </c>
      <c r="D24" s="3">
        <f>D19-D21-D22-3.22*POWER(D23,0.84)</f>
        <v>64.808273669821247</v>
      </c>
      <c r="E24" s="3">
        <f t="shared" ref="E24:F24" si="0">E19-E21-E22-3.22*POWER(E23,0.84)</f>
        <v>65.861500000000007</v>
      </c>
      <c r="F24" s="3">
        <f t="shared" si="0"/>
        <v>63.845243095495839</v>
      </c>
      <c r="G24" s="13" t="s">
        <v>66</v>
      </c>
    </row>
    <row r="26" spans="1:7" x14ac:dyDescent="0.25">
      <c r="A26" s="1" t="s">
        <v>68</v>
      </c>
    </row>
    <row r="27" spans="1:7" ht="15.75" x14ac:dyDescent="0.25">
      <c r="B27" s="1" t="s">
        <v>72</v>
      </c>
      <c r="C27" s="6">
        <f>2200+10*(C24-50)</f>
        <v>2355.8810442251656</v>
      </c>
      <c r="D27" s="6">
        <f>2200+10*(D24-50)</f>
        <v>2348.0827366982126</v>
      </c>
      <c r="E27" s="6">
        <f t="shared" ref="E27:F27" si="1">2200+10*(E24-50)</f>
        <v>2358.6150000000002</v>
      </c>
      <c r="F27" s="6">
        <f t="shared" si="1"/>
        <v>2338.4524309549583</v>
      </c>
      <c r="G27" s="13" t="s">
        <v>69</v>
      </c>
    </row>
    <row r="28" spans="1:7" ht="15.75" x14ac:dyDescent="0.25">
      <c r="B28" s="1" t="s">
        <v>74</v>
      </c>
      <c r="C28" s="7">
        <v>0.96799999999999997</v>
      </c>
      <c r="D28" s="7">
        <v>0.93899999999999995</v>
      </c>
      <c r="E28" s="7">
        <v>0.93899999999999995</v>
      </c>
      <c r="F28" s="7">
        <v>0.96799999999999997</v>
      </c>
      <c r="G28" s="13" t="s">
        <v>76</v>
      </c>
    </row>
    <row r="29" spans="1:7" ht="15.75" x14ac:dyDescent="0.25">
      <c r="B29" s="1" t="s">
        <v>73</v>
      </c>
      <c r="C29" s="6">
        <f>+C27*C28</f>
        <v>2280.4928508099601</v>
      </c>
      <c r="D29" s="6">
        <f t="shared" ref="D29:F29" si="2">+D27*D28</f>
        <v>2204.8496897596215</v>
      </c>
      <c r="E29" s="6">
        <f t="shared" si="2"/>
        <v>2214.7394850000001</v>
      </c>
      <c r="F29" s="6">
        <f t="shared" si="2"/>
        <v>2263.6219531643997</v>
      </c>
      <c r="G29" s="13" t="s">
        <v>75</v>
      </c>
    </row>
    <row r="30" spans="1:7" ht="15.75" x14ac:dyDescent="0.25">
      <c r="G30" s="13"/>
    </row>
    <row r="31" spans="1:7" ht="15.75" x14ac:dyDescent="0.25">
      <c r="A31" s="1" t="s">
        <v>77</v>
      </c>
      <c r="G31" s="13"/>
    </row>
    <row r="32" spans="1:7" x14ac:dyDescent="0.25">
      <c r="B32" s="1" t="s">
        <v>78</v>
      </c>
      <c r="C32" s="6">
        <f>+Demand!C12</f>
        <v>88919.128508124079</v>
      </c>
      <c r="D32" s="6">
        <f>+Demand!D12</f>
        <v>96671.953010278987</v>
      </c>
      <c r="E32" s="6">
        <f>+Demand!E12</f>
        <v>96671.953010278987</v>
      </c>
      <c r="F32" s="6">
        <f>+Demand!F12</f>
        <v>95855.824508320715</v>
      </c>
      <c r="G32" s="1" t="s">
        <v>24</v>
      </c>
    </row>
    <row r="33" spans="1:7" x14ac:dyDescent="0.25">
      <c r="B33" s="1" t="s">
        <v>17</v>
      </c>
      <c r="C33" s="3">
        <v>8.8000000000000007</v>
      </c>
      <c r="D33" s="3">
        <v>9</v>
      </c>
      <c r="E33" s="3">
        <v>9</v>
      </c>
      <c r="F33" s="3">
        <v>9</v>
      </c>
    </row>
    <row r="34" spans="1:7" x14ac:dyDescent="0.25">
      <c r="B34" s="1" t="s">
        <v>18</v>
      </c>
      <c r="C34" s="7">
        <v>52</v>
      </c>
      <c r="D34" s="7">
        <v>52</v>
      </c>
      <c r="E34" s="7">
        <v>52</v>
      </c>
      <c r="F34" s="7">
        <v>52</v>
      </c>
      <c r="G34" s="1" t="s">
        <v>38</v>
      </c>
    </row>
    <row r="35" spans="1:7" x14ac:dyDescent="0.25">
      <c r="B35" s="1" t="s">
        <v>79</v>
      </c>
      <c r="C35" s="6">
        <f>+C32*(C33/100)*(C34/100)</f>
        <v>4068.9393205317583</v>
      </c>
      <c r="D35" s="6">
        <f t="shared" ref="D35:F35" si="3">+D32*(D33/100)*(D34/100)</f>
        <v>4524.2474008810559</v>
      </c>
      <c r="E35" s="6">
        <f t="shared" si="3"/>
        <v>4524.2474008810559</v>
      </c>
      <c r="F35" s="6">
        <f t="shared" si="3"/>
        <v>4486.05258698941</v>
      </c>
    </row>
    <row r="37" spans="1:7" x14ac:dyDescent="0.25">
      <c r="B37" s="1" t="s">
        <v>4</v>
      </c>
      <c r="C37" s="7">
        <v>0.183</v>
      </c>
      <c r="D37" s="7">
        <v>0.182</v>
      </c>
      <c r="E37" s="7">
        <v>0.182</v>
      </c>
      <c r="F37" s="7">
        <v>0.17</v>
      </c>
      <c r="G37" s="1" t="s">
        <v>25</v>
      </c>
    </row>
    <row r="38" spans="1:7" x14ac:dyDescent="0.25">
      <c r="B38" s="1" t="s">
        <v>5</v>
      </c>
      <c r="C38" s="7">
        <v>1.6999999999999999E-3</v>
      </c>
      <c r="D38" s="7">
        <v>1.6999999999999999E-3</v>
      </c>
      <c r="E38" s="7">
        <v>1.6999999999999999E-3</v>
      </c>
      <c r="F38" s="7">
        <v>5.7999999999999996E-3</v>
      </c>
      <c r="G38" s="1" t="s">
        <v>25</v>
      </c>
    </row>
    <row r="39" spans="1:7" x14ac:dyDescent="0.25">
      <c r="B39" s="1" t="s">
        <v>36</v>
      </c>
      <c r="C39" s="7">
        <f>SUM(C37:C38)</f>
        <v>0.1847</v>
      </c>
      <c r="D39" s="7">
        <v>0.184</v>
      </c>
      <c r="E39" s="7">
        <f t="shared" ref="E39:F39" si="4">SUM(E37:E38)</f>
        <v>0.1837</v>
      </c>
      <c r="F39" s="7">
        <f t="shared" si="4"/>
        <v>0.17580000000000001</v>
      </c>
    </row>
    <row r="41" spans="1:7" ht="18" x14ac:dyDescent="0.35">
      <c r="B41" s="1" t="s">
        <v>29</v>
      </c>
      <c r="C41" s="7">
        <v>2</v>
      </c>
      <c r="D41" s="7">
        <v>2</v>
      </c>
      <c r="E41" s="7">
        <v>3</v>
      </c>
      <c r="F41" s="7">
        <v>3</v>
      </c>
      <c r="G41" s="1" t="s">
        <v>30</v>
      </c>
    </row>
    <row r="42" spans="1:7" x14ac:dyDescent="0.25">
      <c r="B42" s="1" t="s">
        <v>40</v>
      </c>
      <c r="C42" s="4">
        <f>1/(1+C39*(C41-1))</f>
        <v>0.8440955516164429</v>
      </c>
      <c r="D42" s="4">
        <f>1/(1+D39*(D41-1))</f>
        <v>0.84459459459459463</v>
      </c>
      <c r="E42" s="4">
        <f>1/(1+E39*(E41-1))</f>
        <v>0.73131490419774758</v>
      </c>
      <c r="F42" s="4">
        <f>1/(1+F39*(F41-1))</f>
        <v>0.73986386504883106</v>
      </c>
      <c r="G42" s="1" t="s">
        <v>28</v>
      </c>
    </row>
    <row r="43" spans="1:7" x14ac:dyDescent="0.25">
      <c r="C43" s="6"/>
      <c r="D43" s="6"/>
      <c r="E43" s="6"/>
      <c r="F43" s="6"/>
    </row>
    <row r="44" spans="1:7" x14ac:dyDescent="0.25">
      <c r="B44" s="1" t="s">
        <v>39</v>
      </c>
      <c r="C44" s="7">
        <v>0.94</v>
      </c>
      <c r="D44" s="7">
        <v>0.88</v>
      </c>
      <c r="E44" s="7">
        <v>0.88</v>
      </c>
      <c r="F44" s="7">
        <v>0.94</v>
      </c>
    </row>
    <row r="45" spans="1:7" x14ac:dyDescent="0.25">
      <c r="C45" s="6"/>
      <c r="D45" s="4"/>
      <c r="E45" s="6"/>
      <c r="F45" s="6"/>
    </row>
    <row r="46" spans="1:7" ht="15.75" x14ac:dyDescent="0.25">
      <c r="B46" s="1" t="s">
        <v>81</v>
      </c>
      <c r="C46" s="6">
        <f>C35/(C44*C8*C42)</f>
        <v>1709.3873805085018</v>
      </c>
      <c r="D46" s="6">
        <f>D35/(D44*D8*D42)</f>
        <v>2029.0564100921099</v>
      </c>
      <c r="E46" s="6">
        <f>E35/(E44*E8*E42)</f>
        <v>1757.5158795354421</v>
      </c>
      <c r="F46" s="6">
        <f>F35/(F44*F8*F42)</f>
        <v>2150.1236441754913</v>
      </c>
      <c r="G46" s="13" t="s">
        <v>80</v>
      </c>
    </row>
    <row r="47" spans="1:7" ht="15.75" x14ac:dyDescent="0.25">
      <c r="C47" s="6"/>
      <c r="D47" s="6"/>
      <c r="E47" s="6"/>
      <c r="F47" s="6"/>
      <c r="G47" s="13"/>
    </row>
    <row r="48" spans="1:7" ht="15.75" x14ac:dyDescent="0.25">
      <c r="A48" s="1" t="s">
        <v>89</v>
      </c>
      <c r="C48" s="5">
        <f>+C46/C29</f>
        <v>0.74956927836953335</v>
      </c>
      <c r="D48" s="5">
        <f>+D46/D29</f>
        <v>0.92026972156697129</v>
      </c>
      <c r="E48" s="5">
        <f t="shared" ref="E48:F48" si="5">+E46/E29</f>
        <v>0.79355422677870491</v>
      </c>
      <c r="F48" s="5">
        <f t="shared" si="5"/>
        <v>0.94985986558831303</v>
      </c>
      <c r="G48" s="13"/>
    </row>
    <row r="49" spans="1:7" x14ac:dyDescent="0.25">
      <c r="C49" s="6"/>
      <c r="D49" s="6"/>
      <c r="E49" s="6"/>
      <c r="F49" s="6"/>
    </row>
    <row r="50" spans="1:7" x14ac:dyDescent="0.25">
      <c r="A50" s="1" t="s">
        <v>82</v>
      </c>
      <c r="B50" s="1" t="s">
        <v>43</v>
      </c>
      <c r="C50" s="5">
        <v>0.24</v>
      </c>
      <c r="D50" s="5">
        <v>0.31</v>
      </c>
      <c r="E50" s="5">
        <v>0.31</v>
      </c>
      <c r="F50" s="5">
        <v>0.24</v>
      </c>
      <c r="G50" s="1" t="s">
        <v>50</v>
      </c>
    </row>
    <row r="51" spans="1:7" x14ac:dyDescent="0.25">
      <c r="B51" s="1" t="s">
        <v>44</v>
      </c>
      <c r="C51" s="6">
        <v>7</v>
      </c>
      <c r="D51" s="6">
        <v>7</v>
      </c>
      <c r="E51" s="6">
        <v>7</v>
      </c>
      <c r="F51" s="6">
        <v>7</v>
      </c>
      <c r="G51" s="1" t="s">
        <v>50</v>
      </c>
    </row>
    <row r="52" spans="1:7" ht="21" x14ac:dyDescent="0.3">
      <c r="B52" s="1" t="s">
        <v>110</v>
      </c>
      <c r="C52" s="3">
        <f>C24/(1+C50*POWER(C48,C51))</f>
        <v>63.560057623071764</v>
      </c>
      <c r="D52" s="3">
        <f>D24/(1+D50*POWER(D48,D51))</f>
        <v>55.236474494764806</v>
      </c>
      <c r="E52" s="3">
        <f t="shared" ref="E52:F52" si="6">E24/(1+E50*POWER(E48,E51))</f>
        <v>62.049637662127665</v>
      </c>
      <c r="F52" s="3">
        <f t="shared" si="6"/>
        <v>54.688807227765039</v>
      </c>
      <c r="G52" t="s">
        <v>59</v>
      </c>
    </row>
    <row r="53" spans="1:7" x14ac:dyDescent="0.25">
      <c r="C53" s="6"/>
      <c r="D53" s="6"/>
      <c r="E53" s="6"/>
      <c r="F53" s="6"/>
    </row>
    <row r="54" spans="1:7" ht="13.9" customHeight="1" x14ac:dyDescent="0.25">
      <c r="A54" s="1" t="s">
        <v>83</v>
      </c>
      <c r="B54" s="1" t="s">
        <v>109</v>
      </c>
      <c r="C54" s="6">
        <f>+(C12/C52)*3600</f>
        <v>56.639344497592631</v>
      </c>
      <c r="D54" s="6">
        <f>+(D12/D52)*3600</f>
        <v>716.9175868339172</v>
      </c>
      <c r="E54" s="6">
        <f>+(E12/E52)*3600</f>
        <v>174.05419929779603</v>
      </c>
      <c r="F54" s="6">
        <f>+(F12/F52)*3600</f>
        <v>197.4809937803312</v>
      </c>
      <c r="G54" s="1" t="s">
        <v>84</v>
      </c>
    </row>
    <row r="55" spans="1:7" x14ac:dyDescent="0.25">
      <c r="B55" s="1" t="s">
        <v>108</v>
      </c>
      <c r="C55" s="6">
        <f>+C54*C35/3600</f>
        <v>64.017237754277431</v>
      </c>
      <c r="D55" s="6">
        <f>+D54*D35/3600</f>
        <v>900.97570246646353</v>
      </c>
      <c r="E55" s="6">
        <f>+E54*E35/3600</f>
        <v>218.74007188485751</v>
      </c>
      <c r="F55" s="6">
        <f>+F54*F35/3600</f>
        <v>246.08614528597067</v>
      </c>
      <c r="G55" s="1" t="s">
        <v>107</v>
      </c>
    </row>
    <row r="56" spans="1:7" x14ac:dyDescent="0.25">
      <c r="C56" s="6"/>
      <c r="D56" s="6"/>
      <c r="E56" s="6"/>
      <c r="F56" s="6"/>
    </row>
    <row r="57" spans="1:7" x14ac:dyDescent="0.25">
      <c r="A57" s="1" t="s">
        <v>85</v>
      </c>
      <c r="B57" s="1" t="s">
        <v>51</v>
      </c>
      <c r="C57" s="6">
        <f>(C12/C19)*3600</f>
        <v>52.116132114394901</v>
      </c>
      <c r="D57" s="6">
        <f>(D12/D19)*3600</f>
        <v>573.24840764331202</v>
      </c>
      <c r="E57" s="6">
        <f>(E12/E19)*3600</f>
        <v>156.3370801155157</v>
      </c>
      <c r="F57" s="6">
        <f>(F12/F19)*3600</f>
        <v>156.2477394713618</v>
      </c>
      <c r="G57" s="1" t="s">
        <v>86</v>
      </c>
    </row>
    <row r="58" spans="1:7" x14ac:dyDescent="0.25">
      <c r="B58" s="1" t="s">
        <v>52</v>
      </c>
      <c r="C58" s="3">
        <f>+C54-C57</f>
        <v>4.5232123831977304</v>
      </c>
      <c r="D58" s="3">
        <f>+D54-D57</f>
        <v>143.66917919060518</v>
      </c>
      <c r="E58" s="3">
        <f>+E54-E57</f>
        <v>17.717119182280328</v>
      </c>
      <c r="F58" s="3">
        <f>+F54-F57</f>
        <v>41.233254308969407</v>
      </c>
    </row>
    <row r="59" spans="1:7" ht="15.75" x14ac:dyDescent="0.25">
      <c r="B59" s="1" t="s">
        <v>48</v>
      </c>
      <c r="C59" s="3">
        <f>+C58*C35/3600</f>
        <v>5.1124102003081688</v>
      </c>
      <c r="D59" s="3">
        <f>+D58*D35/3600</f>
        <v>180.55414181661394</v>
      </c>
      <c r="E59" s="3">
        <f>+E58*E35/3600</f>
        <v>22.26573066986991</v>
      </c>
      <c r="F59" s="3">
        <f>+F58*F35/3600</f>
        <v>51.381818656317904</v>
      </c>
      <c r="G59" s="8" t="s">
        <v>45</v>
      </c>
    </row>
    <row r="60" spans="1:7" x14ac:dyDescent="0.25">
      <c r="C60" s="6"/>
      <c r="D60" s="6"/>
      <c r="E60" s="6"/>
      <c r="F60" s="6"/>
    </row>
    <row r="61" spans="1:7" x14ac:dyDescent="0.25">
      <c r="B61" s="1" t="s">
        <v>92</v>
      </c>
      <c r="C61" s="6"/>
      <c r="D61" s="6"/>
      <c r="E61" s="6"/>
      <c r="F61" s="6"/>
    </row>
    <row r="62" spans="1:7" x14ac:dyDescent="0.25">
      <c r="A62" s="17"/>
      <c r="B62" s="15" t="s">
        <v>90</v>
      </c>
      <c r="C62" s="22" t="str">
        <f t="shared" ref="C62:F65" si="7">+C2</f>
        <v xml:space="preserve">A </v>
      </c>
      <c r="D62" s="22" t="str">
        <f t="shared" si="7"/>
        <v>B</v>
      </c>
      <c r="E62" s="22" t="str">
        <f t="shared" si="7"/>
        <v>C</v>
      </c>
      <c r="F62" s="23" t="str">
        <f t="shared" si="7"/>
        <v>D</v>
      </c>
    </row>
    <row r="63" spans="1:7" x14ac:dyDescent="0.25">
      <c r="A63" s="17"/>
      <c r="B63" s="16" t="str">
        <f>+B3</f>
        <v>Roadway/Direction of Travel</v>
      </c>
      <c r="C63" s="17" t="str">
        <f t="shared" si="7"/>
        <v>I5 Northbound</v>
      </c>
      <c r="D63" s="17" t="str">
        <f t="shared" si="7"/>
        <v>I5 Northbound</v>
      </c>
      <c r="E63" s="17" t="str">
        <f t="shared" si="7"/>
        <v>I5 Northbound</v>
      </c>
      <c r="F63" s="18" t="str">
        <f t="shared" si="7"/>
        <v>I5 Northbound</v>
      </c>
    </row>
    <row r="64" spans="1:7" x14ac:dyDescent="0.25">
      <c r="A64" s="17"/>
      <c r="B64" s="16" t="str">
        <f>+B4</f>
        <v>From</v>
      </c>
      <c r="C64" s="17" t="str">
        <f t="shared" si="7"/>
        <v>N. Santiam Exit 234</v>
      </c>
      <c r="D64" s="17" t="str">
        <f t="shared" si="7"/>
        <v>Albany UGB MP 235</v>
      </c>
      <c r="E64" s="17" t="str">
        <f t="shared" si="7"/>
        <v>Terrain Change MP 246</v>
      </c>
      <c r="F64" s="18" t="str">
        <f t="shared" si="7"/>
        <v>Salem UGB MP 249</v>
      </c>
    </row>
    <row r="65" spans="1:7" x14ac:dyDescent="0.25">
      <c r="A65" s="16"/>
      <c r="B65" s="16" t="str">
        <f>+B5</f>
        <v>To</v>
      </c>
      <c r="C65" s="17" t="str">
        <f t="shared" si="7"/>
        <v>Albany UGB MP 235</v>
      </c>
      <c r="D65" s="17" t="str">
        <f t="shared" si="7"/>
        <v>Terrain Change MP 246</v>
      </c>
      <c r="E65" s="17" t="str">
        <f t="shared" si="7"/>
        <v>Salem UGB MP 249</v>
      </c>
      <c r="F65" s="18" t="str">
        <f t="shared" si="7"/>
        <v>Kuebler Exit 252</v>
      </c>
    </row>
    <row r="66" spans="1:7" x14ac:dyDescent="0.25">
      <c r="A66" s="16"/>
      <c r="B66" s="16" t="s">
        <v>106</v>
      </c>
      <c r="C66" s="17" t="str">
        <f>+C6</f>
        <v>Build Yr 2042 Peak Hour</v>
      </c>
      <c r="D66" s="17" t="str">
        <f t="shared" ref="D66:F66" si="8">+D6</f>
        <v>Build Yr 2042 Peak Hour</v>
      </c>
      <c r="E66" s="17" t="str">
        <f t="shared" si="8"/>
        <v>Build Yr 2042 Peak Hour</v>
      </c>
      <c r="F66" s="18" t="str">
        <f t="shared" si="8"/>
        <v>Build Yr 2042 Peak Hour</v>
      </c>
    </row>
    <row r="67" spans="1:7" x14ac:dyDescent="0.25">
      <c r="A67" s="16"/>
      <c r="B67" s="16" t="str">
        <f>+B12</f>
        <v>Length (mi)</v>
      </c>
      <c r="C67" s="17">
        <f t="shared" ref="C67:F67" si="9">+C12</f>
        <v>1</v>
      </c>
      <c r="D67" s="17">
        <f t="shared" si="9"/>
        <v>11</v>
      </c>
      <c r="E67" s="17">
        <f t="shared" si="9"/>
        <v>3</v>
      </c>
      <c r="F67" s="18">
        <f t="shared" si="9"/>
        <v>3</v>
      </c>
    </row>
    <row r="68" spans="1:7" x14ac:dyDescent="0.25">
      <c r="A68" s="16"/>
      <c r="B68" s="16" t="str">
        <f>+B32</f>
        <v>AADT</v>
      </c>
      <c r="C68" s="19">
        <f t="shared" ref="C68:F68" si="10">+C32</f>
        <v>88919.128508124079</v>
      </c>
      <c r="D68" s="19">
        <f t="shared" si="10"/>
        <v>96671.953010278987</v>
      </c>
      <c r="E68" s="19">
        <f t="shared" si="10"/>
        <v>96671.953010278987</v>
      </c>
      <c r="F68" s="20">
        <f t="shared" si="10"/>
        <v>95855.824508320715</v>
      </c>
    </row>
    <row r="69" spans="1:7" x14ac:dyDescent="0.25">
      <c r="A69" s="16"/>
      <c r="B69" s="16" t="str">
        <f>+B39</f>
        <v>% Trucks and Buses</v>
      </c>
      <c r="C69" s="24">
        <f t="shared" ref="C69:F69" si="11">+C39</f>
        <v>0.1847</v>
      </c>
      <c r="D69" s="24">
        <f t="shared" si="11"/>
        <v>0.184</v>
      </c>
      <c r="E69" s="24">
        <f t="shared" si="11"/>
        <v>0.1837</v>
      </c>
      <c r="F69" s="25">
        <f t="shared" si="11"/>
        <v>0.17580000000000001</v>
      </c>
    </row>
    <row r="70" spans="1:7" x14ac:dyDescent="0.25">
      <c r="A70" s="16"/>
      <c r="B70" s="43" t="str">
        <f>+A48</f>
        <v xml:space="preserve">d/c ratio </v>
      </c>
      <c r="C70" s="40">
        <f>+C48</f>
        <v>0.74956927836953335</v>
      </c>
      <c r="D70" s="40">
        <f t="shared" ref="D70:F70" si="12">+D48</f>
        <v>0.92026972156697129</v>
      </c>
      <c r="E70" s="40">
        <f t="shared" si="12"/>
        <v>0.79355422677870491</v>
      </c>
      <c r="F70" s="41">
        <f t="shared" si="12"/>
        <v>0.94985986558831303</v>
      </c>
    </row>
    <row r="71" spans="1:7" x14ac:dyDescent="0.25">
      <c r="A71" s="16"/>
      <c r="B71" s="16" t="str">
        <f>+B57</f>
        <v>TT at Posted Speed, sec</v>
      </c>
      <c r="C71" s="19">
        <f t="shared" ref="C71:F71" si="13">+C57</f>
        <v>52.116132114394901</v>
      </c>
      <c r="D71" s="19">
        <f t="shared" si="13"/>
        <v>573.24840764331202</v>
      </c>
      <c r="E71" s="19">
        <f t="shared" si="13"/>
        <v>156.3370801155157</v>
      </c>
      <c r="F71" s="20">
        <f t="shared" si="13"/>
        <v>156.2477394713618</v>
      </c>
    </row>
    <row r="72" spans="1:7" x14ac:dyDescent="0.25">
      <c r="A72" s="16"/>
      <c r="B72" s="16" t="str">
        <f>+B55</f>
        <v>Peak Hour VHT (hr)</v>
      </c>
      <c r="C72" s="19">
        <f t="shared" ref="C72:F72" si="14">+C55</f>
        <v>64.017237754277431</v>
      </c>
      <c r="D72" s="19">
        <f t="shared" si="14"/>
        <v>900.97570246646353</v>
      </c>
      <c r="E72" s="19">
        <f t="shared" si="14"/>
        <v>218.74007188485751</v>
      </c>
      <c r="F72" s="20">
        <f t="shared" si="14"/>
        <v>246.08614528597067</v>
      </c>
    </row>
    <row r="73" spans="1:7" s="2" customFormat="1" x14ac:dyDescent="0.25">
      <c r="A73" s="27"/>
      <c r="B73" s="27" t="str">
        <f t="shared" ref="B73:F74" si="15">+B58</f>
        <v>Peak Hour Avg Delay per veh, sec</v>
      </c>
      <c r="C73" s="29">
        <f t="shared" si="15"/>
        <v>4.5232123831977304</v>
      </c>
      <c r="D73" s="29">
        <f t="shared" si="15"/>
        <v>143.66917919060518</v>
      </c>
      <c r="E73" s="29">
        <f t="shared" si="15"/>
        <v>17.717119182280328</v>
      </c>
      <c r="F73" s="30">
        <f t="shared" si="15"/>
        <v>41.233254308969407</v>
      </c>
    </row>
    <row r="74" spans="1:7" x14ac:dyDescent="0.25">
      <c r="A74" s="16"/>
      <c r="B74" s="45" t="str">
        <f t="shared" si="15"/>
        <v>Peak Hour VHD</v>
      </c>
      <c r="C74" s="46">
        <f t="shared" si="15"/>
        <v>5.1124102003081688</v>
      </c>
      <c r="D74" s="46">
        <f t="shared" si="15"/>
        <v>180.55414181661394</v>
      </c>
      <c r="E74" s="46">
        <f t="shared" si="15"/>
        <v>22.26573066986991</v>
      </c>
      <c r="F74" s="47">
        <f t="shared" si="15"/>
        <v>51.381818656317904</v>
      </c>
    </row>
    <row r="76" spans="1:7" customFormat="1" x14ac:dyDescent="0.25">
      <c r="A76" t="s">
        <v>116</v>
      </c>
      <c r="B76" s="1">
        <v>0.25</v>
      </c>
      <c r="C76" s="1" t="s">
        <v>117</v>
      </c>
      <c r="D76" s="6"/>
      <c r="E76" s="6"/>
      <c r="F76" s="6"/>
      <c r="G76" s="6"/>
    </row>
    <row r="77" spans="1:7" customFormat="1" x14ac:dyDescent="0.25">
      <c r="A77" t="s">
        <v>115</v>
      </c>
      <c r="B77" s="1"/>
      <c r="C77" s="1"/>
      <c r="D77" s="6"/>
      <c r="E77" s="6"/>
      <c r="F77" s="6"/>
      <c r="G77" s="6"/>
    </row>
  </sheetData>
  <printOptions gridLines="1"/>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2"/>
  <sheetViews>
    <sheetView workbookViewId="0"/>
  </sheetViews>
  <sheetFormatPr defaultRowHeight="15" x14ac:dyDescent="0.25"/>
  <cols>
    <col min="1" max="1" width="15.7109375" customWidth="1"/>
    <col min="2" max="2" width="17.7109375" customWidth="1"/>
    <col min="7" max="7" width="24.85546875" customWidth="1"/>
    <col min="8" max="8" width="13.5703125" customWidth="1"/>
  </cols>
  <sheetData>
    <row r="2" spans="1:9" s="2" customFormat="1" ht="15.75" x14ac:dyDescent="0.25">
      <c r="A2" s="2" t="s">
        <v>77</v>
      </c>
      <c r="C2" s="14"/>
      <c r="D2" s="14"/>
      <c r="E2" s="14"/>
      <c r="F2" s="14"/>
      <c r="G2" s="32"/>
    </row>
    <row r="3" spans="1:9" s="2" customFormat="1" x14ac:dyDescent="0.25">
      <c r="A3" s="2" t="s">
        <v>99</v>
      </c>
      <c r="B3" s="2">
        <v>2017</v>
      </c>
      <c r="C3" s="14">
        <v>67700</v>
      </c>
      <c r="D3" s="14">
        <v>68100</v>
      </c>
      <c r="E3" s="14">
        <v>68100</v>
      </c>
      <c r="F3" s="14">
        <v>66100</v>
      </c>
      <c r="G3" s="2" t="s">
        <v>98</v>
      </c>
      <c r="H3" s="2" t="s">
        <v>95</v>
      </c>
      <c r="I3" s="2">
        <v>2017</v>
      </c>
    </row>
    <row r="4" spans="1:9" s="2" customFormat="1" x14ac:dyDescent="0.25">
      <c r="A4" s="2" t="s">
        <v>100</v>
      </c>
      <c r="B4" s="2">
        <v>2037</v>
      </c>
      <c r="C4" s="14">
        <v>83900</v>
      </c>
      <c r="D4" s="14">
        <v>89600</v>
      </c>
      <c r="E4" s="14">
        <v>89600</v>
      </c>
      <c r="F4" s="14">
        <v>88400</v>
      </c>
      <c r="G4" s="2" t="s">
        <v>98</v>
      </c>
    </row>
    <row r="5" spans="1:9" s="2" customFormat="1" x14ac:dyDescent="0.25">
      <c r="B5" s="2" t="s">
        <v>97</v>
      </c>
      <c r="C5" s="33">
        <f>+C4/C3</f>
        <v>1.239290989660266</v>
      </c>
      <c r="D5" s="33">
        <f t="shared" ref="D5:F5" si="0">+D4/D3</f>
        <v>1.315712187958884</v>
      </c>
      <c r="E5" s="33">
        <f t="shared" si="0"/>
        <v>1.315712187958884</v>
      </c>
      <c r="F5" s="33">
        <f t="shared" si="0"/>
        <v>1.3373676248108926</v>
      </c>
    </row>
    <row r="6" spans="1:9" s="2" customFormat="1" x14ac:dyDescent="0.25">
      <c r="A6" s="2" t="s">
        <v>53</v>
      </c>
      <c r="B6" s="2">
        <v>20</v>
      </c>
      <c r="C6" s="33"/>
      <c r="D6" s="33"/>
      <c r="E6" s="33"/>
      <c r="F6" s="33"/>
    </row>
    <row r="7" spans="1:9" s="2" customFormat="1" x14ac:dyDescent="0.25">
      <c r="B7" s="2" t="s">
        <v>96</v>
      </c>
      <c r="C7" s="34">
        <f>+(C$5-1)/$B$6</f>
        <v>1.1964549483013297E-2</v>
      </c>
      <c r="D7" s="34">
        <f t="shared" ref="D7:F7" si="1">+(D$5-1)/$B$6</f>
        <v>1.5785609397944201E-2</v>
      </c>
      <c r="E7" s="34">
        <f t="shared" si="1"/>
        <v>1.5785609397944201E-2</v>
      </c>
      <c r="F7" s="34">
        <f t="shared" si="1"/>
        <v>1.6868381240544628E-2</v>
      </c>
    </row>
    <row r="8" spans="1:9" s="2" customFormat="1" x14ac:dyDescent="0.25">
      <c r="C8" s="26"/>
      <c r="D8" s="26"/>
      <c r="E8" s="26"/>
      <c r="F8" s="26"/>
    </row>
    <row r="9" spans="1:9" s="2" customFormat="1" x14ac:dyDescent="0.25">
      <c r="A9" s="2" t="s">
        <v>101</v>
      </c>
      <c r="B9" s="2">
        <v>2042</v>
      </c>
      <c r="C9" s="26"/>
      <c r="D9" s="26"/>
      <c r="E9" s="26"/>
      <c r="F9" s="26"/>
    </row>
    <row r="10" spans="1:9" s="2" customFormat="1" x14ac:dyDescent="0.25">
      <c r="A10" s="2" t="s">
        <v>53</v>
      </c>
      <c r="B10" s="2">
        <f>+B9-B4</f>
        <v>5</v>
      </c>
      <c r="C10" s="33">
        <f>+$B10*C7</f>
        <v>5.9822747415066491E-2</v>
      </c>
      <c r="D10" s="33">
        <f>+$B10*D7</f>
        <v>7.8928046989721001E-2</v>
      </c>
      <c r="E10" s="33">
        <f>+$B10*E7</f>
        <v>7.8928046989721001E-2</v>
      </c>
      <c r="F10" s="33">
        <f>+$B10*F7</f>
        <v>8.4341906202723138E-2</v>
      </c>
    </row>
    <row r="11" spans="1:9" s="2" customFormat="1" x14ac:dyDescent="0.25">
      <c r="B11" s="2" t="s">
        <v>97</v>
      </c>
      <c r="C11" s="33">
        <f>+C10+1</f>
        <v>1.0598227474150665</v>
      </c>
      <c r="D11" s="38">
        <f t="shared" ref="D11:F11" si="2">+D10+1</f>
        <v>1.0789280469897209</v>
      </c>
      <c r="E11" s="33">
        <f t="shared" si="2"/>
        <v>1.0789280469897209</v>
      </c>
      <c r="F11" s="33">
        <f t="shared" si="2"/>
        <v>1.0843419062027231</v>
      </c>
    </row>
    <row r="12" spans="1:9" s="2" customFormat="1" x14ac:dyDescent="0.25">
      <c r="B12" s="2" t="s">
        <v>102</v>
      </c>
      <c r="C12" s="26">
        <f>+C4*C11</f>
        <v>88919.128508124079</v>
      </c>
      <c r="D12" s="26">
        <f>+D4*D11</f>
        <v>96671.953010278987</v>
      </c>
      <c r="E12" s="26">
        <f>+E4*E11</f>
        <v>96671.953010278987</v>
      </c>
      <c r="F12" s="26">
        <f>+F4*F11</f>
        <v>95855.824508320715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34"/>
  <sheetViews>
    <sheetView workbookViewId="0"/>
  </sheetViews>
  <sheetFormatPr defaultRowHeight="15" x14ac:dyDescent="0.25"/>
  <cols>
    <col min="1" max="1" width="15" customWidth="1"/>
    <col min="2" max="2" width="10" bestFit="1" customWidth="1"/>
  </cols>
  <sheetData>
    <row r="3" spans="1:6" x14ac:dyDescent="0.25">
      <c r="A3" t="s">
        <v>42</v>
      </c>
    </row>
    <row r="4" spans="1:6" x14ac:dyDescent="0.25">
      <c r="A4" t="s">
        <v>19</v>
      </c>
      <c r="B4" t="s">
        <v>15</v>
      </c>
      <c r="C4" t="s">
        <v>21</v>
      </c>
      <c r="D4" t="s">
        <v>33</v>
      </c>
      <c r="E4" t="s">
        <v>34</v>
      </c>
      <c r="F4" t="s">
        <v>35</v>
      </c>
    </row>
    <row r="5" spans="1:6" x14ac:dyDescent="0.25">
      <c r="A5" t="s">
        <v>20</v>
      </c>
      <c r="B5" t="s">
        <v>31</v>
      </c>
      <c r="C5">
        <v>55</v>
      </c>
      <c r="D5">
        <v>50</v>
      </c>
      <c r="E5">
        <v>0.1</v>
      </c>
      <c r="F5">
        <v>7</v>
      </c>
    </row>
    <row r="6" spans="1:6" x14ac:dyDescent="0.25">
      <c r="B6" t="s">
        <v>0</v>
      </c>
      <c r="C6">
        <v>60</v>
      </c>
      <c r="D6">
        <v>51.1</v>
      </c>
      <c r="E6">
        <v>0.17</v>
      </c>
      <c r="F6">
        <v>7</v>
      </c>
    </row>
    <row r="7" spans="1:6" x14ac:dyDescent="0.25">
      <c r="B7" t="s">
        <v>32</v>
      </c>
      <c r="C7">
        <v>65</v>
      </c>
      <c r="D7">
        <v>52.2</v>
      </c>
      <c r="E7">
        <v>0.24</v>
      </c>
      <c r="F7">
        <v>7</v>
      </c>
    </row>
    <row r="8" spans="1:6" x14ac:dyDescent="0.25">
      <c r="B8" t="s">
        <v>1</v>
      </c>
      <c r="C8">
        <v>70</v>
      </c>
      <c r="D8">
        <v>53.3</v>
      </c>
      <c r="E8">
        <v>0.31</v>
      </c>
      <c r="F8">
        <v>7</v>
      </c>
    </row>
    <row r="9" spans="1:6" x14ac:dyDescent="0.25">
      <c r="A9" t="s">
        <v>41</v>
      </c>
    </row>
    <row r="34" spans="3:3" x14ac:dyDescent="0.25">
      <c r="C34">
        <f>+C31*(C32/100)*(C33/100)</f>
        <v>0</v>
      </c>
    </row>
  </sheetData>
  <printOptions gridLine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0A92307567CCF4FBD156DA109C9B099" ma:contentTypeVersion="21" ma:contentTypeDescription="Create a new document." ma:contentTypeScope="" ma:versionID="3763d3aa3e83144e4af1ac2f9e98e6f6">
  <xsd:schema xmlns:xsd="http://www.w3.org/2001/XMLSchema" xmlns:xs="http://www.w3.org/2001/XMLSchema" xmlns:p="http://schemas.microsoft.com/office/2006/metadata/properties" xmlns:ns1="http://schemas.microsoft.com/sharepoint/v3" xmlns:ns2="17ab12db-09d3-44a5-b815-ed4f85c533e0" xmlns:ns3="6ec60af1-6d1e-4575-bf73-1b6e791fcd10" targetNamespace="http://schemas.microsoft.com/office/2006/metadata/properties" ma:root="true" ma:fieldsID="858846af4959d37e8cddbb985da44917" ns1:_="" ns2:_="" ns3:_="">
    <xsd:import namespace="http://schemas.microsoft.com/sharepoint/v3"/>
    <xsd:import namespace="17ab12db-09d3-44a5-b815-ed4f85c533e0"/>
    <xsd:import namespace="6ec60af1-6d1e-4575-bf73-1b6e791fcd10"/>
    <xsd:element name="properties">
      <xsd:complexType>
        <xsd:sequence>
          <xsd:element name="documentManagement">
            <xsd:complexType>
              <xsd:all>
                <xsd:element ref="ns1:PublishingStartDate" minOccurs="0"/>
                <xsd:element ref="ns1:PublishingExpirationDate" minOccurs="0"/>
                <xsd:element ref="ns2:Category" minOccurs="0"/>
                <xsd:element ref="ns2:Sub_x002d_Category" minOccurs="0"/>
                <xsd:element ref="ns2:Meeting_x0020_Date" minOccurs="0"/>
                <xsd:element ref="ns2:Order0" minOccurs="0"/>
                <xsd:element ref="ns2:Reviewed_x0020_for_x0020_URLs" minOccurs="0"/>
                <xsd:element ref="ns3:SharedWithUsers" minOccurs="0"/>
                <xsd:element ref="ns2:Retention_x0020_Review_x0020_Date" minOccurs="0"/>
                <xsd:element ref="ns2:Retention_x0020_Notes" minOccurs="0"/>
                <xsd:element ref="ns2:Retention_x0020_Contact" minOccurs="0"/>
                <xsd:element ref="ns2:Justifi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ma:readOnly="fals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7ab12db-09d3-44a5-b815-ed4f85c533e0" elementFormDefault="qualified">
    <xsd:import namespace="http://schemas.microsoft.com/office/2006/documentManagement/types"/>
    <xsd:import namespace="http://schemas.microsoft.com/office/infopath/2007/PartnerControls"/>
    <xsd:element name="Category" ma:index="10" nillable="true" ma:displayName="Category" ma:internalName="Category" ma:readOnly="false">
      <xsd:simpleType>
        <xsd:restriction base="dms:Text">
          <xsd:maxLength value="255"/>
        </xsd:restriction>
      </xsd:simpleType>
    </xsd:element>
    <xsd:element name="Sub_x002d_Category" ma:index="11" nillable="true" ma:displayName="Sub-Category" ma:description="Document sub-category (e.g. type of guidance)" ma:internalName="Sub_x002d_Category" ma:readOnly="false">
      <xsd:simpleType>
        <xsd:restriction base="dms:Text">
          <xsd:maxLength value="255"/>
        </xsd:restriction>
      </xsd:simpleType>
    </xsd:element>
    <xsd:element name="Meeting_x0020_Date" ma:index="13" nillable="true" ma:displayName="Meeting Date" ma:description="For Plan PAC meeting materials" ma:format="DateOnly" ma:internalName="Meeting_x0020_Date" ma:readOnly="false">
      <xsd:simpleType>
        <xsd:restriction base="dms:DateTime"/>
      </xsd:simpleType>
    </xsd:element>
    <xsd:element name="Order0" ma:index="15" nillable="true" ma:displayName="Order" ma:internalName="Order0" ma:readOnly="false">
      <xsd:simpleType>
        <xsd:restriction base="dms:Text">
          <xsd:maxLength value="255"/>
        </xsd:restriction>
      </xsd:simpleType>
    </xsd:element>
    <xsd:element name="Reviewed_x0020_for_x0020_URLs" ma:index="16" nillable="true" ma:displayName="Reviewed for URLs" ma:default="0" ma:internalName="Reviewed_x0020_for_x0020_URLs" ma:readOnly="false">
      <xsd:simpleType>
        <xsd:restriction base="dms:Boolean"/>
      </xsd:simpleType>
    </xsd:element>
    <xsd:element name="Retention_x0020_Review_x0020_Date" ma:index="18" nillable="true" ma:displayName="Retention Review Date" ma:description="Enter the date for retention review. Date should be 12 months from date of upload, and every 12 months after. This is not required for Plans, Guidance or items required by federal or state rules, but ARE required for documents that are supplementary to these document types (for example, meeting documents related to plan updates)." ma:format="DateOnly" ma:internalName="Retention_x0020_Review_x0020_Date">
      <xsd:simpleType>
        <xsd:restriction base="dms:DateTime"/>
      </xsd:simpleType>
    </xsd:element>
    <xsd:element name="Retention_x0020_Notes" ma:index="19" nillable="true" ma:displayName="Retention Notes" ma:description="Retention  details" ma:internalName="Retention_x0020_Notes">
      <xsd:simpleType>
        <xsd:restriction base="dms:Note">
          <xsd:maxLength value="255"/>
        </xsd:restriction>
      </xsd:simpleType>
    </xsd:element>
    <xsd:element name="Retention_x0020_Contact" ma:index="20" nillable="true" ma:displayName="Retention Contact" ma:internalName="Retention_x0020_Contact">
      <xsd:simpleType>
        <xsd:restriction base="dms:Text">
          <xsd:maxLength value="255"/>
        </xsd:restriction>
      </xsd:simpleType>
    </xsd:element>
    <xsd:element name="Justification" ma:index="21" nillable="true" ma:displayName="Justification" ma:default="Guidance" ma:internalName="Justification">
      <xsd:complexType>
        <xsd:complexContent>
          <xsd:extension base="dms:MultiChoice">
            <xsd:sequence>
              <xsd:element name="Value" maxOccurs="unbounded" minOccurs="0" nillable="true">
                <xsd:simpleType>
                  <xsd:restriction base="dms:Choice">
                    <xsd:enumeration value="Guidance"/>
                    <xsd:enumeration value="Plan"/>
                    <xsd:enumeration value="Tool"/>
                    <xsd:enumeration value="Required by federal rule"/>
                    <xsd:enumeration value="Required by state rule"/>
                    <xsd:enumeration value="Supports current or recent project"/>
                    <xsd:enumeration value="Data"/>
                    <xsd:enumeration value="Technical Report"/>
                    <xsd:enumeration value="Technical Tools and Documentation"/>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ec60af1-6d1e-4575-bf73-1b6e791fcd10"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ma:index="12"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Order0 xmlns="17ab12db-09d3-44a5-b815-ed4f85c533e0" xsi:nil="true"/>
    <Category xmlns="17ab12db-09d3-44a5-b815-ed4f85c533e0">Analysis Tool</Category>
    <Meeting_x0020_Date xmlns="17ab12db-09d3-44a5-b815-ed4f85c533e0" xsi:nil="true"/>
    <Reviewed_x0020_for_x0020_URLs xmlns="17ab12db-09d3-44a5-b815-ed4f85c533e0">true</Reviewed_x0020_for_x0020_URLs>
    <Sub_x002d_Category xmlns="17ab12db-09d3-44a5-b815-ed4f85c533e0">Analysis Procedures Manual</Sub_x002d_Category>
    <PublishingExpirationDate xmlns="http://schemas.microsoft.com/sharepoint/v3" xsi:nil="true"/>
    <PublishingStartDate xmlns="http://schemas.microsoft.com/sharepoint/v3" xsi:nil="true"/>
    <Retention_x0020_Review_x0020_Date xmlns="17ab12db-09d3-44a5-b815-ed4f85c533e0" xsi:nil="true"/>
    <Justification xmlns="17ab12db-09d3-44a5-b815-ed4f85c533e0"/>
    <Retention_x0020_Notes xmlns="17ab12db-09d3-44a5-b815-ed4f85c533e0" xsi:nil="true"/>
    <Retention_x0020_Contact xmlns="17ab12db-09d3-44a5-b815-ed4f85c533e0" xsi:nil="true"/>
  </documentManagement>
</p:properties>
</file>

<file path=customXml/itemProps1.xml><?xml version="1.0" encoding="utf-8"?>
<ds:datastoreItem xmlns:ds="http://schemas.openxmlformats.org/officeDocument/2006/customXml" ds:itemID="{D56F9ED1-1447-4441-BD59-2472D3AE1D14}"/>
</file>

<file path=customXml/itemProps2.xml><?xml version="1.0" encoding="utf-8"?>
<ds:datastoreItem xmlns:ds="http://schemas.openxmlformats.org/officeDocument/2006/customXml" ds:itemID="{BFE4DF68-A9AA-4734-B163-23C7BAFEAF8A}"/>
</file>

<file path=customXml/itemProps3.xml><?xml version="1.0" encoding="utf-8"?>
<ds:datastoreItem xmlns:ds="http://schemas.openxmlformats.org/officeDocument/2006/customXml" ds:itemID="{82E2E392-A59C-4D79-9E67-EA2D047F7B1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No Build Yr 2017</vt:lpstr>
      <vt:lpstr>NoBuild Yr 2042</vt:lpstr>
      <vt:lpstr>Build Yr 2017</vt:lpstr>
      <vt:lpstr>Build Yr 2042</vt:lpstr>
      <vt:lpstr>Demand</vt:lpstr>
      <vt:lpstr>BPR</vt:lpstr>
      <vt:lpstr>'No Build Yr 2017'!Print_Area</vt:lpstr>
      <vt:lpstr>'No Build Yr 2017'!Print_Titles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BCA Traffic Data Example</dc:title>
  <dc:creator/>
  <cp:keywords>bca, traffic, data, apm, analysis, procedures, manual, calculation, odot, department, of, transportation</cp:keywords>
  <cp:lastModifiedBy/>
  <dcterms:created xsi:type="dcterms:W3CDTF">2015-06-05T18:17:20Z</dcterms:created>
  <dcterms:modified xsi:type="dcterms:W3CDTF">2019-10-17T20:24:39Z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0x01010090A92307567CCF4FBD156DA109C9B099</vt:lpwstr>
  </property>
  <property fmtid="{D5CDD505-2E9C-101B-9397-08002B2CF9AE}" pid="3" name="URL">
    <vt:lpwstr/>
  </property>
</Properties>
</file>