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bsshare\MLAC\MeetingAgendasMinutesSupporting Docs - Retain 20 years\2025\Subcommittees\AWW\10-17-25\"/>
    </mc:Choice>
  </mc:AlternateContent>
  <xr:revisionPtr revIDLastSave="0" documentId="8_{19CEBEFD-1DEA-486E-9DB3-B8E55106ED80}" xr6:coauthVersionLast="47" xr6:coauthVersionMax="47" xr10:uidLastSave="{00000000-0000-0000-0000-000000000000}"/>
  <bookViews>
    <workbookView xWindow="-120" yWindow="-120" windowWidth="25440" windowHeight="15270" xr2:uid="{EC5B8D68-6351-4911-981A-629E1F1E22F9}"/>
  </bookViews>
  <sheets>
    <sheet name="Interactive Flat TTD Rate" sheetId="3" r:id="rId1"/>
    <sheet name="Interactive Tiered TTD Rate" sheetId="4" r:id="rId2"/>
    <sheet name="2024 Interactive Tax Rates" sheetId="8" r:id="rId3"/>
    <sheet name="2024 Tax Info" sheetId="1" r:id="rId4"/>
    <sheet name="Maximum Benefit Wage Calc" sheetId="6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J26" i="3"/>
  <c r="J24" i="3"/>
  <c r="J28" i="3"/>
  <c r="G29" i="4"/>
  <c r="G28" i="3"/>
  <c r="H12" i="6"/>
  <c r="H13" i="6"/>
  <c r="H11" i="6"/>
  <c r="G13" i="6"/>
  <c r="I13" i="6"/>
  <c r="G12" i="6"/>
  <c r="I12" i="6"/>
  <c r="G11" i="6"/>
  <c r="I11" i="6"/>
  <c r="D28" i="3"/>
  <c r="E29" i="4"/>
  <c r="E28" i="3"/>
  <c r="I28" i="8"/>
  <c r="K28" i="8"/>
  <c r="L28" i="8"/>
  <c r="O28" i="8"/>
  <c r="Q28" i="8"/>
  <c r="R28" i="8"/>
  <c r="S28" i="8"/>
  <c r="T28" i="8"/>
  <c r="E28" i="8"/>
  <c r="M28" i="8"/>
  <c r="D28" i="8"/>
  <c r="G28" i="8"/>
  <c r="H27" i="4"/>
  <c r="H29" i="4"/>
  <c r="D29" i="4"/>
  <c r="J25" i="4"/>
  <c r="J21" i="4"/>
  <c r="J29" i="4"/>
  <c r="J13" i="4"/>
  <c r="J15" i="4"/>
  <c r="J17" i="4"/>
  <c r="J19" i="4"/>
  <c r="J23" i="4"/>
  <c r="J27" i="4"/>
  <c r="J11" i="4"/>
  <c r="G28" i="4"/>
  <c r="K28" i="4"/>
  <c r="L28" i="4"/>
  <c r="G27" i="4"/>
  <c r="K27" i="4"/>
  <c r="L27" i="4"/>
  <c r="G26" i="4"/>
  <c r="K26" i="4"/>
  <c r="L26" i="4"/>
  <c r="G25" i="4"/>
  <c r="K25" i="4"/>
  <c r="L25" i="4"/>
  <c r="G18" i="4"/>
  <c r="K18" i="4"/>
  <c r="L18" i="4"/>
  <c r="G17" i="4"/>
  <c r="K17" i="4"/>
  <c r="L17" i="4"/>
  <c r="G16" i="4"/>
  <c r="K16" i="4"/>
  <c r="L16" i="4"/>
  <c r="G15" i="4"/>
  <c r="K15" i="4"/>
  <c r="L15" i="4"/>
  <c r="H15" i="4"/>
  <c r="I16" i="4"/>
  <c r="I15" i="4"/>
  <c r="H14" i="3"/>
  <c r="G15" i="3"/>
  <c r="I15" i="3"/>
  <c r="G14" i="3"/>
  <c r="I14" i="3"/>
  <c r="I28" i="4"/>
  <c r="H28" i="4"/>
  <c r="I27" i="4"/>
  <c r="C27" i="4"/>
  <c r="D27" i="4"/>
  <c r="H25" i="4"/>
  <c r="I26" i="4"/>
  <c r="H26" i="4"/>
  <c r="I25" i="4"/>
  <c r="C25" i="4"/>
  <c r="D25" i="4"/>
  <c r="H23" i="4"/>
  <c r="G24" i="4"/>
  <c r="I24" i="4"/>
  <c r="G23" i="4"/>
  <c r="I23" i="4"/>
  <c r="C23" i="4"/>
  <c r="H21" i="4"/>
  <c r="G22" i="4"/>
  <c r="I22" i="4"/>
  <c r="G21" i="4"/>
  <c r="I21" i="4"/>
  <c r="C21" i="4"/>
  <c r="H19" i="4"/>
  <c r="G20" i="4"/>
  <c r="I20" i="4"/>
  <c r="G19" i="4"/>
  <c r="I19" i="4"/>
  <c r="C19" i="4"/>
  <c r="H17" i="4"/>
  <c r="I18" i="4"/>
  <c r="I17" i="4"/>
  <c r="C17" i="4"/>
  <c r="C15" i="4"/>
  <c r="H13" i="4"/>
  <c r="G14" i="4"/>
  <c r="I14" i="4"/>
  <c r="G13" i="4"/>
  <c r="I13" i="4"/>
  <c r="C13" i="4"/>
  <c r="H11" i="4"/>
  <c r="G12" i="4"/>
  <c r="I12" i="4"/>
  <c r="G11" i="4"/>
  <c r="I11" i="4"/>
  <c r="C11" i="4"/>
  <c r="K26" i="8"/>
  <c r="L26" i="8"/>
  <c r="K27" i="8"/>
  <c r="L27" i="8"/>
  <c r="H24" i="3"/>
  <c r="H26" i="3"/>
  <c r="C26" i="3"/>
  <c r="C24" i="3"/>
  <c r="C20" i="3"/>
  <c r="C14" i="3"/>
  <c r="G27" i="3"/>
  <c r="K27" i="3"/>
  <c r="L27" i="3"/>
  <c r="G26" i="3"/>
  <c r="K26" i="3"/>
  <c r="L26" i="3"/>
  <c r="G25" i="3"/>
  <c r="K25" i="3"/>
  <c r="L25" i="3"/>
  <c r="G24" i="3"/>
  <c r="K24" i="3"/>
  <c r="L24" i="3"/>
  <c r="J22" i="3"/>
  <c r="G23" i="3"/>
  <c r="K23" i="3"/>
  <c r="L23" i="3"/>
  <c r="G22" i="3"/>
  <c r="K22" i="3"/>
  <c r="L22" i="3"/>
  <c r="J20" i="3"/>
  <c r="G21" i="3"/>
  <c r="K21" i="3"/>
  <c r="L21" i="3"/>
  <c r="G20" i="3"/>
  <c r="K20" i="3"/>
  <c r="L20" i="3"/>
  <c r="J18" i="3"/>
  <c r="G19" i="3"/>
  <c r="K19" i="3"/>
  <c r="L19" i="3"/>
  <c r="G18" i="3"/>
  <c r="K18" i="3"/>
  <c r="L18" i="3"/>
  <c r="J16" i="3"/>
  <c r="G17" i="3"/>
  <c r="K17" i="3"/>
  <c r="L17" i="3"/>
  <c r="G16" i="3"/>
  <c r="K16" i="3"/>
  <c r="L16" i="3"/>
  <c r="J14" i="3"/>
  <c r="K15" i="3"/>
  <c r="L15" i="3"/>
  <c r="K14" i="3"/>
  <c r="L14" i="3"/>
  <c r="M27" i="8"/>
  <c r="D27" i="8"/>
  <c r="O27" i="8"/>
  <c r="Q27" i="8"/>
  <c r="R27" i="8"/>
  <c r="S27" i="8"/>
  <c r="T27" i="8"/>
  <c r="E27" i="8"/>
  <c r="G27" i="8"/>
  <c r="M26" i="8"/>
  <c r="D26" i="8"/>
  <c r="O26" i="8"/>
  <c r="Q26" i="8"/>
  <c r="R26" i="8"/>
  <c r="S26" i="8"/>
  <c r="T26" i="8"/>
  <c r="E26" i="8"/>
  <c r="G26" i="8"/>
  <c r="K25" i="8"/>
  <c r="L25" i="8"/>
  <c r="M25" i="8"/>
  <c r="D25" i="8"/>
  <c r="O25" i="8"/>
  <c r="Q25" i="8"/>
  <c r="R25" i="8"/>
  <c r="S25" i="8"/>
  <c r="T25" i="8"/>
  <c r="E25" i="8"/>
  <c r="G25" i="8"/>
  <c r="K24" i="8"/>
  <c r="L24" i="8"/>
  <c r="M24" i="8"/>
  <c r="D24" i="8"/>
  <c r="O24" i="8"/>
  <c r="Q24" i="8"/>
  <c r="R24" i="8"/>
  <c r="S24" i="8"/>
  <c r="T24" i="8"/>
  <c r="E24" i="8"/>
  <c r="G24" i="8"/>
  <c r="K10" i="8"/>
  <c r="L10" i="8"/>
  <c r="M10" i="8"/>
  <c r="D10" i="8"/>
  <c r="S10" i="8"/>
  <c r="T10" i="8"/>
  <c r="E10" i="8"/>
  <c r="G10" i="8"/>
  <c r="M11" i="8"/>
  <c r="D11" i="8"/>
  <c r="S11" i="8"/>
  <c r="T11" i="8"/>
  <c r="E11" i="8"/>
  <c r="G11" i="8"/>
  <c r="K12" i="8"/>
  <c r="L12" i="8"/>
  <c r="M12" i="8"/>
  <c r="D12" i="8"/>
  <c r="S12" i="8"/>
  <c r="T12" i="8"/>
  <c r="E12" i="8"/>
  <c r="G12" i="8"/>
  <c r="M13" i="8"/>
  <c r="D13" i="8"/>
  <c r="S13" i="8"/>
  <c r="T13" i="8"/>
  <c r="E13" i="8"/>
  <c r="G13" i="8"/>
  <c r="K14" i="8"/>
  <c r="L14" i="8"/>
  <c r="M14" i="8"/>
  <c r="D14" i="8"/>
  <c r="S14" i="8"/>
  <c r="T14" i="8"/>
  <c r="E14" i="8"/>
  <c r="G14" i="8"/>
  <c r="K15" i="8"/>
  <c r="L15" i="8"/>
  <c r="M15" i="8"/>
  <c r="D15" i="8"/>
  <c r="S15" i="8"/>
  <c r="T15" i="8"/>
  <c r="E15" i="8"/>
  <c r="G15" i="8"/>
  <c r="K16" i="8"/>
  <c r="L16" i="8"/>
  <c r="M16" i="8"/>
  <c r="D16" i="8"/>
  <c r="S16" i="8"/>
  <c r="T16" i="8"/>
  <c r="E16" i="8"/>
  <c r="G16" i="8"/>
  <c r="K17" i="8"/>
  <c r="L17" i="8"/>
  <c r="M17" i="8"/>
  <c r="D17" i="8"/>
  <c r="S17" i="8"/>
  <c r="T17" i="8"/>
  <c r="E17" i="8"/>
  <c r="G17" i="8"/>
  <c r="K18" i="8"/>
  <c r="L18" i="8"/>
  <c r="M18" i="8"/>
  <c r="D18" i="8"/>
  <c r="O18" i="8"/>
  <c r="Q18" i="8"/>
  <c r="R18" i="8"/>
  <c r="S18" i="8"/>
  <c r="T18" i="8"/>
  <c r="E18" i="8"/>
  <c r="G18" i="8"/>
  <c r="K19" i="8"/>
  <c r="L19" i="8"/>
  <c r="M19" i="8"/>
  <c r="D19" i="8"/>
  <c r="S19" i="8"/>
  <c r="T19" i="8"/>
  <c r="E19" i="8"/>
  <c r="G19" i="8"/>
  <c r="K20" i="8"/>
  <c r="L20" i="8"/>
  <c r="M20" i="8"/>
  <c r="D20" i="8"/>
  <c r="O20" i="8"/>
  <c r="Q20" i="8"/>
  <c r="R20" i="8"/>
  <c r="S20" i="8"/>
  <c r="T20" i="8"/>
  <c r="E20" i="8"/>
  <c r="G20" i="8"/>
  <c r="K21" i="8"/>
  <c r="L21" i="8"/>
  <c r="M21" i="8"/>
  <c r="D21" i="8"/>
  <c r="O21" i="8"/>
  <c r="Q21" i="8"/>
  <c r="R21" i="8"/>
  <c r="S21" i="8"/>
  <c r="T21" i="8"/>
  <c r="E21" i="8"/>
  <c r="G21" i="8"/>
  <c r="K22" i="8"/>
  <c r="L22" i="8"/>
  <c r="M22" i="8"/>
  <c r="D22" i="8"/>
  <c r="O22" i="8"/>
  <c r="Q22" i="8"/>
  <c r="R22" i="8"/>
  <c r="S22" i="8"/>
  <c r="T22" i="8"/>
  <c r="E22" i="8"/>
  <c r="G22" i="8"/>
  <c r="K23" i="8"/>
  <c r="L23" i="8"/>
  <c r="M23" i="8"/>
  <c r="D23" i="8"/>
  <c r="O23" i="8"/>
  <c r="Q23" i="8"/>
  <c r="R23" i="8"/>
  <c r="S23" i="8"/>
  <c r="T23" i="8"/>
  <c r="E23" i="8"/>
  <c r="G23" i="8"/>
  <c r="O19" i="8"/>
  <c r="Q19" i="8"/>
  <c r="O17" i="8"/>
  <c r="Q17" i="8"/>
  <c r="O16" i="8"/>
  <c r="Q16" i="8"/>
  <c r="O15" i="8"/>
  <c r="Q15" i="8"/>
  <c r="O14" i="8"/>
  <c r="Q14" i="8"/>
  <c r="O13" i="8"/>
  <c r="Q13" i="8"/>
  <c r="O12" i="8"/>
  <c r="Q12" i="8"/>
  <c r="O11" i="8"/>
  <c r="Q11" i="8"/>
  <c r="O10" i="8"/>
  <c r="Q10" i="8"/>
  <c r="J15" i="3"/>
  <c r="J25" i="3"/>
  <c r="J27" i="3"/>
  <c r="I24" i="3"/>
  <c r="I27" i="3"/>
  <c r="I26" i="3"/>
  <c r="I25" i="3"/>
  <c r="H25" i="3"/>
  <c r="H27" i="3"/>
  <c r="G13" i="3"/>
  <c r="G12" i="3"/>
  <c r="G11" i="3"/>
  <c r="G10" i="3"/>
  <c r="D26" i="3"/>
  <c r="D24" i="3"/>
  <c r="H12" i="3"/>
  <c r="H16" i="3"/>
  <c r="H18" i="3"/>
  <c r="H20" i="3"/>
  <c r="H22" i="3"/>
  <c r="H10" i="3"/>
  <c r="K29" i="4"/>
  <c r="L29" i="4"/>
  <c r="K21" i="4"/>
  <c r="L21" i="4"/>
  <c r="J10" i="3"/>
  <c r="K11" i="3"/>
  <c r="L11" i="3"/>
  <c r="J12" i="3"/>
  <c r="K12" i="3"/>
  <c r="L12" i="3"/>
  <c r="K13" i="3"/>
  <c r="L13" i="3"/>
  <c r="K10" i="3"/>
  <c r="L10" i="3"/>
  <c r="K12" i="4"/>
  <c r="L12" i="4"/>
  <c r="K13" i="4"/>
  <c r="L13" i="4"/>
  <c r="K14" i="4"/>
  <c r="L14" i="4"/>
  <c r="K19" i="4"/>
  <c r="L19" i="4"/>
  <c r="K20" i="4"/>
  <c r="L20" i="4"/>
  <c r="K22" i="4"/>
  <c r="L22" i="4"/>
  <c r="K23" i="4"/>
  <c r="L23" i="4"/>
  <c r="K24" i="4"/>
  <c r="L24" i="4"/>
  <c r="K11" i="4"/>
  <c r="L11" i="4"/>
  <c r="I29" i="4"/>
  <c r="K10" i="4"/>
  <c r="J10" i="4"/>
  <c r="I23" i="3"/>
  <c r="I22" i="3"/>
  <c r="C22" i="3"/>
  <c r="I21" i="3"/>
  <c r="I20" i="3"/>
  <c r="I19" i="3"/>
  <c r="I18" i="3"/>
  <c r="C18" i="3"/>
  <c r="I17" i="3"/>
  <c r="I16" i="3"/>
  <c r="C16" i="3"/>
  <c r="I13" i="3"/>
  <c r="I12" i="3"/>
  <c r="C12" i="3"/>
  <c r="I11" i="3"/>
  <c r="I10" i="3"/>
  <c r="C10" i="3"/>
  <c r="K9" i="3"/>
  <c r="J9" i="3"/>
  <c r="K28" i="3"/>
  <c r="L28" i="3"/>
  <c r="H28" i="3"/>
  <c r="I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Robles Rafael</author>
  </authors>
  <commentList>
    <comment ref="K7" authorId="0" shapeId="0" xr:uid="{764C0D39-5BAA-4A49-981C-4CB31A7A0C23}">
      <text>
        <r>
          <rPr>
            <b/>
            <sz val="9"/>
            <color indexed="81"/>
            <rFont val="Tahoma"/>
            <family val="2"/>
          </rPr>
          <t xml:space="preserve">Enter benefit rate percentage (0-1)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6" authorId="0" shapeId="0" xr:uid="{248926A4-49C2-4FAB-9310-64034F33FB00}">
      <text>
        <r>
          <rPr>
            <sz val="9"/>
            <color indexed="81"/>
            <rFont val="Tahoma"/>
            <family val="2"/>
          </rPr>
          <t>NOTE: Any benefit calculation greater than 66.67% would reach the maximum benefit (133% SAWW) at a lower wage than this worker example. This will result is a negative difference.
See 'Maximum Benefit Wage Calc' sheet for examples.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Robles Rafael</author>
  </authors>
  <commentList>
    <comment ref="K7" authorId="0" shapeId="0" xr:uid="{B80BA811-5A74-4980-9924-9280CD85EFD6}">
      <text>
        <r>
          <rPr>
            <b/>
            <sz val="9"/>
            <color indexed="81"/>
            <rFont val="Tahoma"/>
            <family val="2"/>
          </rPr>
          <t>Enter Tier Benefit Percentages:
(0-1)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1A22BD34-8769-4D8E-B3A1-3BC484E65E02}">
      <text>
        <r>
          <rPr>
            <b/>
            <sz val="9"/>
            <color indexed="81"/>
            <rFont val="Tahoma"/>
            <family val="2"/>
          </rPr>
          <t xml:space="preserve">Enter Tier Split Point (Weekly Wage). 
State Average Weekly wage = 1417.06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7" authorId="0" shapeId="0" xr:uid="{D207B1CE-8EBB-4A85-840A-76892A37F919}">
      <text>
        <r>
          <rPr>
            <sz val="9"/>
            <color indexed="81"/>
            <rFont val="Tahoma"/>
            <family val="2"/>
          </rPr>
          <t>NOTE: Any benefit calculation greater than 66.67% would reach the maximum benefit (133% SAWW) at a lower wage than this worker example. This will result is a negative difference.
See 'Maximum Benefit Wage Calc' sheet for examples.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Robles Rafael</author>
  </authors>
  <commentList>
    <comment ref="C28" authorId="0" shapeId="0" xr:uid="{FFD6B6D7-599B-4DFC-9B47-F10A300CD0EE}">
      <text>
        <r>
          <rPr>
            <sz val="9"/>
            <color indexed="81"/>
            <rFont val="Tahoma"/>
            <family val="2"/>
          </rPr>
          <t>Enter annual salary to calculate Effective Tax Rate. Must be between 
$100,526-$168,600</t>
        </r>
      </text>
    </comment>
  </commentList>
</comments>
</file>

<file path=xl/sharedStrings.xml><?xml version="1.0" encoding="utf-8"?>
<sst xmlns="http://schemas.openxmlformats.org/spreadsheetml/2006/main" count="147" uniqueCount="97">
  <si>
    <t>Federal</t>
  </si>
  <si>
    <t>Federal Standard Deduction: $14,600 Single; $29,200 Married</t>
  </si>
  <si>
    <t>No personal exemptions in from 2018-2025 (Tax Cuts and Job Act)</t>
  </si>
  <si>
    <t>2024 tax brackets</t>
  </si>
  <si>
    <t>Tax rate</t>
  </si>
  <si>
    <t>Single filers</t>
  </si>
  <si>
    <t>Married couples filing jointly</t>
  </si>
  <si>
    <t>$11,600 or less</t>
  </si>
  <si>
    <t>$23,200 or less</t>
  </si>
  <si>
    <t>$11,601 to $47,150</t>
  </si>
  <si>
    <t>$23,201 to $94,300</t>
  </si>
  <si>
    <t>$47,151 to $100,525</t>
  </si>
  <si>
    <t>$94,301 to $201,050</t>
  </si>
  <si>
    <t>$100,526 to $191,950</t>
  </si>
  <si>
    <t>$201,051 to $383,900</t>
  </si>
  <si>
    <t>$191,951 to $243,725</t>
  </si>
  <si>
    <t>$383,901 to $487,450</t>
  </si>
  <si>
    <t>$243,726 to $609,350</t>
  </si>
  <si>
    <t>$487,451 to $731,200</t>
  </si>
  <si>
    <t>$609,351 or more</t>
  </si>
  <si>
    <t>$731,201 or more</t>
  </si>
  <si>
    <t>Oregon</t>
  </si>
  <si>
    <t>Oregon Standard Deduction: $2,745 Single; $5,495 Married</t>
  </si>
  <si>
    <t>Oregon Taxable income (line 19): Gross - Federal Taxes* - Oregon Standard Deduction</t>
  </si>
  <si>
    <t>*Fed Subtraction Limits: $8,250 Single up to $125k; $8,250 Married Jointly up to $250k</t>
  </si>
  <si>
    <t>**Personal Exceptions applied as non-refundable credits. $249/person</t>
  </si>
  <si>
    <t>Oregon Taxes from OR-40 Tax Tables</t>
  </si>
  <si>
    <t>FICA</t>
  </si>
  <si>
    <t>FICA - 7.65%; Social Security - 6.2%; Medicare - 1.45%</t>
  </si>
  <si>
    <t xml:space="preserve">Max Taxable Income: $168,600 </t>
  </si>
  <si>
    <t>Worker's Annual Salary (Gross)*</t>
  </si>
  <si>
    <t>Federal Tax
(Effective Rate)</t>
  </si>
  <si>
    <t>Oregon Tax (Effective Rate)</t>
  </si>
  <si>
    <t>Total Effective Tax Rate</t>
  </si>
  <si>
    <t>Gross Income</t>
  </si>
  <si>
    <t>Standard Deduction (Fed)</t>
  </si>
  <si>
    <t>Taxable Income</t>
  </si>
  <si>
    <t>Fed Effective Rate (Tax/Gross Income)</t>
  </si>
  <si>
    <t>OR Income 
(Gross-Fed Tax**)</t>
  </si>
  <si>
    <t>Standard Deduction (OR)</t>
  </si>
  <si>
    <t>OR Tax
 (OR-40 Tax Tables)</t>
  </si>
  <si>
    <t>OR Effective Rate (Tax/Gross Income)</t>
  </si>
  <si>
    <t>Worker 1 (Single)</t>
  </si>
  <si>
    <t>Worker 2 (Married; 2 kids)**</t>
  </si>
  <si>
    <t>Worker 2 (Single)</t>
  </si>
  <si>
    <t>Worker 3 (Single)</t>
  </si>
  <si>
    <t>Worker 3 (Married; 2 kids)**</t>
  </si>
  <si>
    <t>Worker 4 (Single)</t>
  </si>
  <si>
    <t>Worker 4 (Married; 2 kids)**</t>
  </si>
  <si>
    <t>Worker 5 (Single)</t>
  </si>
  <si>
    <t>Worker 5 (Married; 2 kids)**</t>
  </si>
  <si>
    <t>Social Security Tax</t>
  </si>
  <si>
    <t>Medicare Tax</t>
  </si>
  <si>
    <t>Total FICA Tax</t>
  </si>
  <si>
    <t>Fill light orange boxes to test specific worker scenarios</t>
  </si>
  <si>
    <t>Worker's Hourly Rate</t>
  </si>
  <si>
    <t>Weekly Gross @ 40 Hours per Week</t>
  </si>
  <si>
    <t>Weekly Rate for Full Temporary Disability
(66.67%)</t>
  </si>
  <si>
    <t>TD/Take-home Difference at
66.67%</t>
  </si>
  <si>
    <t>Test Worker</t>
  </si>
  <si>
    <t>*Illustrative workers' Gross Annual Salaries calculated as Weekly Gross (40 hours) multiplied by 52 weeks. 
In practice, a worker’s weekly and annual wages can vary greatly due to fluctuations in hours actually worked, 
inclusion of overtime, shift differentials, or other types of pay.
**calculated as sole provider; additional credits not included</t>
  </si>
  <si>
    <t>Tier Cutoff</t>
  </si>
  <si>
    <t>% Difference</t>
  </si>
  <si>
    <t>66.67% x AWW</t>
  </si>
  <si>
    <t>Option 2</t>
  </si>
  <si>
    <t>( 75% x $1062.80) +
66.67% x (AWW - $1062.80)</t>
  </si>
  <si>
    <t>Option 2a</t>
  </si>
  <si>
    <t>( 80% x $1062.80) +
66.67% x (AWW - $1062.80)</t>
  </si>
  <si>
    <t>Fed Tax 
(see Tax Info)</t>
  </si>
  <si>
    <t>Weekly Post-Tax Estimate
(see Tax Rates)</t>
  </si>
  <si>
    <t>Estimated Effective Tax Rate</t>
  </si>
  <si>
    <t>2025 SAWW (Single)</t>
  </si>
  <si>
    <t>2025 SAWW (Married; 2 kids)**</t>
  </si>
  <si>
    <t>2025 State Average (Single)</t>
  </si>
  <si>
    <t>2025 State Average (Married; 2 kids)**</t>
  </si>
  <si>
    <t>Portland Metro Min Wage (Single)</t>
  </si>
  <si>
    <t>Portland Metro Min Wage 
(Married; 2 kids)**</t>
  </si>
  <si>
    <t>OR Tax - Personal Exemptions</t>
  </si>
  <si>
    <t>Portland Metro Min Wage (Married; 2 kids)**</t>
  </si>
  <si>
    <t xml:space="preserve">*calculated as sole provider; additional credits not included
**up to maximum subtraction limit (see Tax Info)
</t>
  </si>
  <si>
    <t>2025 Maximum TTD Wage (Single)</t>
  </si>
  <si>
    <t>2025 Maximum TTD Wage (Married; 2 kids)**</t>
  </si>
  <si>
    <t>Current Rate/Option 1/1a</t>
  </si>
  <si>
    <t>Proposal Option TTD
Calculation</t>
  </si>
  <si>
    <t>Maximum Average Weekly Wage to Reach Maximum Benefit</t>
  </si>
  <si>
    <t>Calculation Check</t>
  </si>
  <si>
    <t>As benefit rates increase, a worker's average weekly wage (AWW) required to meet the maximum benefit (133% State AWW) decreases.</t>
  </si>
  <si>
    <t>Maximum Average Weekly Wage to Reach Maximum Benefit 
(Annual Rate)</t>
  </si>
  <si>
    <t>TTD Benefit Calculation (%)</t>
  </si>
  <si>
    <t>TTD Benefit Calc: Tier 1  (%)</t>
  </si>
  <si>
    <t>TTD Benefit Calc: Tier 2  (%)</t>
  </si>
  <si>
    <t>Maximum TTD Benefit 
(133% SAWW)
2025</t>
  </si>
  <si>
    <t>Worker 6 (Single)</t>
  </si>
  <si>
    <t>Worker 6 (Married; 2 kids)**</t>
  </si>
  <si>
    <r>
      <rPr>
        <b/>
        <sz val="10"/>
        <color theme="1"/>
        <rFont val="Arial"/>
        <family val="2"/>
      </rPr>
      <t>Disclaimer</t>
    </r>
    <r>
      <rPr>
        <sz val="10"/>
        <color theme="1"/>
        <rFont val="Arial"/>
        <family val="2"/>
      </rPr>
      <t xml:space="preserve">: This tool is intended for illustrative and estimation purposes only. 
While it provides a useful starting point for exploring TTD benefit calculation scenarios, it may contain inaccuracies or simplifications and should be verified before use. </t>
    </r>
  </si>
  <si>
    <t xml:space="preserve">Higher Wage Test Worker </t>
  </si>
  <si>
    <t>This table shows the maximum wage required to hit the 2025 benefit maximum for proposal options presented at 9/26/2025 MLAC Average Weekly Wage Subcommittee Meeting.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</si>
</sst>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  <numFmt numFmtId="166" formatCode="0.0%"/>
    <numFmt numFmtId="167" formatCode="&quot;$&quot;#,##0.00"/>
    <numFmt numFmtId="168" formatCode="_([$$-409]* #,##0.00_);_([$$-409]* \(#,##0.00\);_([$$-409]* &quot;-&quot;??_);_(@_)"/>
    <numFmt numFmtId="169" formatCode="&quot;$&quot;#,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4458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/>
    <xf numFmtId="0" fontId="0" fillId="3" borderId="0" xfId="0" applyFill="1"/>
    <xf numFmtId="0" fontId="0" fillId="3" borderId="2" xfId="0" applyFill="1" applyBorder="1"/>
    <xf numFmtId="0" fontId="0" fillId="2" borderId="1" xfId="0" applyFill="1" applyBorder="1"/>
    <xf numFmtId="0" fontId="0" fillId="2" borderId="2" xfId="0" applyFill="1" applyBorder="1"/>
    <xf numFmtId="0" fontId="3" fillId="2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4" borderId="2" xfId="0" applyFill="1" applyBorder="1"/>
    <xf numFmtId="9" fontId="0" fillId="5" borderId="1" xfId="0" applyNumberFormat="1" applyFill="1" applyBorder="1"/>
    <xf numFmtId="0" fontId="0" fillId="5" borderId="0" xfId="0" applyFill="1"/>
    <xf numFmtId="0" fontId="0" fillId="5" borderId="2" xfId="0" applyFill="1" applyBorder="1"/>
    <xf numFmtId="9" fontId="0" fillId="0" borderId="1" xfId="0" applyNumberFormat="1" applyBorder="1"/>
    <xf numFmtId="0" fontId="0" fillId="0" borderId="2" xfId="0" applyBorder="1"/>
    <xf numFmtId="9" fontId="0" fillId="2" borderId="1" xfId="0" applyNumberFormat="1" applyFill="1" applyBorder="1"/>
    <xf numFmtId="0" fontId="5" fillId="6" borderId="3" xfId="0" applyFont="1" applyFill="1" applyBorder="1"/>
    <xf numFmtId="0" fontId="0" fillId="6" borderId="4" xfId="0" applyFill="1" applyBorder="1"/>
    <xf numFmtId="0" fontId="0" fillId="6" borderId="5" xfId="0" applyFill="1" applyBorder="1"/>
    <xf numFmtId="44" fontId="0" fillId="2" borderId="0" xfId="1" applyFont="1" applyFill="1" applyBorder="1"/>
    <xf numFmtId="44" fontId="0" fillId="2" borderId="2" xfId="1" applyFont="1" applyFill="1" applyBorder="1"/>
    <xf numFmtId="0" fontId="5" fillId="7" borderId="1" xfId="0" applyFont="1" applyFill="1" applyBorder="1"/>
    <xf numFmtId="0" fontId="0" fillId="7" borderId="0" xfId="0" applyFill="1"/>
    <xf numFmtId="0" fontId="0" fillId="7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8" fontId="0" fillId="2" borderId="0" xfId="0" applyNumberFormat="1" applyFill="1"/>
    <xf numFmtId="0" fontId="9" fillId="0" borderId="20" xfId="0" applyFont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64" fontId="0" fillId="5" borderId="26" xfId="1" applyNumberFormat="1" applyFont="1" applyFill="1" applyBorder="1"/>
    <xf numFmtId="164" fontId="0" fillId="5" borderId="27" xfId="1" applyNumberFormat="1" applyFont="1" applyFill="1" applyBorder="1"/>
    <xf numFmtId="10" fontId="0" fillId="3" borderId="28" xfId="2" applyNumberFormat="1" applyFont="1" applyFill="1" applyBorder="1" applyAlignment="1">
      <alignment horizontal="left" indent="2"/>
    </xf>
    <xf numFmtId="10" fontId="0" fillId="6" borderId="28" xfId="2" applyNumberFormat="1" applyFont="1" applyFill="1" applyBorder="1"/>
    <xf numFmtId="0" fontId="8" fillId="9" borderId="1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0" fontId="0" fillId="0" borderId="26" xfId="2" applyNumberFormat="1" applyFont="1" applyBorder="1"/>
    <xf numFmtId="10" fontId="0" fillId="0" borderId="27" xfId="2" applyNumberFormat="1" applyFont="1" applyBorder="1"/>
    <xf numFmtId="10" fontId="0" fillId="0" borderId="28" xfId="2" applyNumberFormat="1" applyFont="1" applyBorder="1"/>
    <xf numFmtId="9" fontId="0" fillId="2" borderId="0" xfId="0" applyNumberFormat="1" applyFill="1"/>
    <xf numFmtId="10" fontId="0" fillId="2" borderId="0" xfId="0" applyNumberFormat="1" applyFill="1"/>
    <xf numFmtId="0" fontId="2" fillId="11" borderId="29" xfId="0" applyFont="1" applyFill="1" applyBorder="1" applyAlignment="1">
      <alignment horizontal="center" vertical="center" wrapText="1"/>
    </xf>
    <xf numFmtId="166" fontId="3" fillId="12" borderId="29" xfId="2" applyNumberFormat="1" applyFont="1" applyFill="1" applyBorder="1" applyAlignment="1" applyProtection="1">
      <alignment horizontal="center" vertical="center" wrapText="1"/>
      <protection locked="0"/>
    </xf>
    <xf numFmtId="166" fontId="0" fillId="2" borderId="0" xfId="0" applyNumberFormat="1" applyFill="1"/>
    <xf numFmtId="0" fontId="7" fillId="2" borderId="0" xfId="0" applyFont="1" applyFill="1"/>
    <xf numFmtId="0" fontId="8" fillId="5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44" fontId="8" fillId="0" borderId="30" xfId="1" applyFont="1" applyBorder="1" applyAlignment="1" applyProtection="1">
      <alignment horizontal="center" vertical="center"/>
    </xf>
    <xf numFmtId="167" fontId="6" fillId="0" borderId="30" xfId="1" applyNumberFormat="1" applyFont="1" applyBorder="1" applyAlignment="1" applyProtection="1">
      <alignment horizontal="center" vertical="center"/>
    </xf>
    <xf numFmtId="167" fontId="6" fillId="13" borderId="30" xfId="1" applyNumberFormat="1" applyFont="1" applyFill="1" applyBorder="1" applyAlignment="1" applyProtection="1">
      <alignment horizontal="center" vertical="center"/>
    </xf>
    <xf numFmtId="167" fontId="4" fillId="11" borderId="30" xfId="1" applyNumberFormat="1" applyFont="1" applyFill="1" applyBorder="1" applyAlignment="1" applyProtection="1">
      <alignment horizontal="center" vertical="center"/>
    </xf>
    <xf numFmtId="8" fontId="0" fillId="6" borderId="32" xfId="0" applyNumberFormat="1" applyFill="1" applyBorder="1" applyAlignment="1">
      <alignment horizontal="left" vertical="center"/>
    </xf>
    <xf numFmtId="10" fontId="3" fillId="12" borderId="29" xfId="2" applyNumberFormat="1" applyFont="1" applyFill="1" applyBorder="1" applyAlignment="1" applyProtection="1">
      <alignment horizontal="center" vertical="center" wrapText="1"/>
      <protection locked="0"/>
    </xf>
    <xf numFmtId="44" fontId="3" fillId="12" borderId="29" xfId="1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>
      <alignment horizontal="left" readingOrder="1"/>
    </xf>
    <xf numFmtId="166" fontId="6" fillId="0" borderId="30" xfId="2" applyNumberFormat="1" applyFont="1" applyBorder="1" applyAlignment="1" applyProtection="1">
      <alignment horizontal="center" vertical="center"/>
    </xf>
    <xf numFmtId="166" fontId="4" fillId="11" borderId="30" xfId="2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4" fillId="0" borderId="19" xfId="0" applyFont="1" applyBorder="1" applyAlignment="1">
      <alignment horizontal="right"/>
    </xf>
    <xf numFmtId="0" fontId="13" fillId="0" borderId="19" xfId="0" applyFont="1" applyBorder="1" applyAlignment="1">
      <alignment horizontal="center"/>
    </xf>
    <xf numFmtId="168" fontId="13" fillId="0" borderId="19" xfId="1" applyNumberFormat="1" applyFont="1" applyBorder="1"/>
    <xf numFmtId="0" fontId="13" fillId="0" borderId="19" xfId="0" applyFont="1" applyBorder="1" applyAlignment="1">
      <alignment horizontal="center" wrapText="1"/>
    </xf>
    <xf numFmtId="168" fontId="13" fillId="0" borderId="19" xfId="0" applyNumberFormat="1" applyFont="1" applyBorder="1"/>
    <xf numFmtId="0" fontId="13" fillId="2" borderId="0" xfId="0" applyFont="1" applyFill="1"/>
    <xf numFmtId="10" fontId="17" fillId="0" borderId="17" xfId="2" applyNumberFormat="1" applyFont="1" applyBorder="1" applyAlignment="1">
      <alignment horizontal="center" vertical="center"/>
    </xf>
    <xf numFmtId="0" fontId="14" fillId="5" borderId="19" xfId="0" applyFont="1" applyFill="1" applyBorder="1" applyAlignment="1">
      <alignment horizontal="center" wrapText="1"/>
    </xf>
    <xf numFmtId="10" fontId="6" fillId="0" borderId="5" xfId="2" applyNumberFormat="1" applyFont="1" applyBorder="1" applyAlignment="1">
      <alignment horizontal="center" vertical="center"/>
    </xf>
    <xf numFmtId="10" fontId="6" fillId="0" borderId="46" xfId="2" applyNumberFormat="1" applyFont="1" applyBorder="1" applyAlignment="1">
      <alignment horizontal="center" vertical="center"/>
    </xf>
    <xf numFmtId="10" fontId="6" fillId="5" borderId="2" xfId="2" applyNumberFormat="1" applyFont="1" applyFill="1" applyBorder="1" applyAlignment="1">
      <alignment horizontal="center" vertical="center"/>
    </xf>
    <xf numFmtId="10" fontId="6" fillId="5" borderId="46" xfId="2" applyNumberFormat="1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 wrapText="1"/>
    </xf>
    <xf numFmtId="44" fontId="8" fillId="14" borderId="31" xfId="1" applyFont="1" applyFill="1" applyBorder="1" applyAlignment="1" applyProtection="1">
      <alignment horizontal="center" vertical="center"/>
    </xf>
    <xf numFmtId="44" fontId="8" fillId="14" borderId="24" xfId="1" applyFont="1" applyFill="1" applyBorder="1" applyAlignment="1" applyProtection="1">
      <alignment horizontal="center" vertical="center"/>
    </xf>
    <xf numFmtId="10" fontId="0" fillId="10" borderId="3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5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/>
    </xf>
    <xf numFmtId="10" fontId="17" fillId="0" borderId="2" xfId="2" applyNumberFormat="1" applyFont="1" applyBorder="1" applyAlignment="1">
      <alignment horizontal="center" vertical="center"/>
    </xf>
    <xf numFmtId="164" fontId="0" fillId="0" borderId="36" xfId="1" applyNumberFormat="1" applyFont="1" applyBorder="1"/>
    <xf numFmtId="164" fontId="0" fillId="0" borderId="37" xfId="1" applyNumberFormat="1" applyFont="1" applyBorder="1"/>
    <xf numFmtId="10" fontId="0" fillId="0" borderId="38" xfId="2" applyNumberFormat="1" applyFont="1" applyBorder="1" applyAlignment="1">
      <alignment horizontal="left" indent="2"/>
    </xf>
    <xf numFmtId="165" fontId="0" fillId="2" borderId="17" xfId="0" applyNumberFormat="1" applyFill="1" applyBorder="1"/>
    <xf numFmtId="164" fontId="0" fillId="0" borderId="48" xfId="1" applyNumberFormat="1" applyFont="1" applyBorder="1"/>
    <xf numFmtId="10" fontId="0" fillId="0" borderId="38" xfId="2" applyNumberFormat="1" applyFont="1" applyBorder="1"/>
    <xf numFmtId="0" fontId="18" fillId="0" borderId="20" xfId="0" applyFont="1" applyBorder="1" applyAlignment="1">
      <alignment horizontal="left" vertical="center"/>
    </xf>
    <xf numFmtId="10" fontId="17" fillId="0" borderId="49" xfId="2" applyNumberFormat="1" applyFont="1" applyBorder="1" applyAlignment="1">
      <alignment horizontal="center" vertical="center"/>
    </xf>
    <xf numFmtId="164" fontId="0" fillId="0" borderId="42" xfId="1" applyNumberFormat="1" applyFont="1" applyBorder="1"/>
    <xf numFmtId="164" fontId="0" fillId="0" borderId="43" xfId="1" applyNumberFormat="1" applyFont="1" applyBorder="1"/>
    <xf numFmtId="10" fontId="0" fillId="0" borderId="44" xfId="2" applyNumberFormat="1" applyFont="1" applyBorder="1" applyAlignment="1">
      <alignment horizontal="left" indent="2"/>
    </xf>
    <xf numFmtId="0" fontId="0" fillId="2" borderId="17" xfId="0" applyFill="1" applyBorder="1"/>
    <xf numFmtId="164" fontId="0" fillId="0" borderId="50" xfId="1" applyNumberFormat="1" applyFont="1" applyBorder="1"/>
    <xf numFmtId="10" fontId="0" fillId="0" borderId="44" xfId="2" applyNumberFormat="1" applyFont="1" applyBorder="1"/>
    <xf numFmtId="0" fontId="18" fillId="5" borderId="21" xfId="0" applyFont="1" applyFill="1" applyBorder="1" applyAlignment="1">
      <alignment horizontal="left" vertical="center"/>
    </xf>
    <xf numFmtId="10" fontId="17" fillId="3" borderId="47" xfId="2" applyNumberFormat="1" applyFont="1" applyFill="1" applyBorder="1" applyAlignment="1">
      <alignment horizontal="center" vertical="center"/>
    </xf>
    <xf numFmtId="164" fontId="0" fillId="5" borderId="51" xfId="1" applyNumberFormat="1" applyFont="1" applyFill="1" applyBorder="1"/>
    <xf numFmtId="164" fontId="0" fillId="5" borderId="52" xfId="1" applyNumberFormat="1" applyFont="1" applyFill="1" applyBorder="1"/>
    <xf numFmtId="10" fontId="0" fillId="3" borderId="53" xfId="2" applyNumberFormat="1" applyFont="1" applyFill="1" applyBorder="1" applyAlignment="1">
      <alignment horizontal="left" indent="2"/>
    </xf>
    <xf numFmtId="164" fontId="0" fillId="5" borderId="54" xfId="1" applyNumberFormat="1" applyFont="1" applyFill="1" applyBorder="1"/>
    <xf numFmtId="10" fontId="0" fillId="6" borderId="53" xfId="2" applyNumberFormat="1" applyFont="1" applyFill="1" applyBorder="1"/>
    <xf numFmtId="0" fontId="18" fillId="5" borderId="1" xfId="0" applyFont="1" applyFill="1" applyBorder="1" applyAlignment="1">
      <alignment horizontal="left" vertical="center"/>
    </xf>
    <xf numFmtId="10" fontId="17" fillId="3" borderId="49" xfId="2" applyNumberFormat="1" applyFont="1" applyFill="1" applyBorder="1" applyAlignment="1">
      <alignment horizontal="center" vertical="center"/>
    </xf>
    <xf numFmtId="164" fontId="0" fillId="5" borderId="55" xfId="1" applyNumberFormat="1" applyFont="1" applyFill="1" applyBorder="1"/>
    <xf numFmtId="164" fontId="0" fillId="5" borderId="40" xfId="1" applyNumberFormat="1" applyFont="1" applyFill="1" applyBorder="1"/>
    <xf numFmtId="10" fontId="0" fillId="3" borderId="56" xfId="2" applyNumberFormat="1" applyFont="1" applyFill="1" applyBorder="1" applyAlignment="1">
      <alignment horizontal="left" indent="2"/>
    </xf>
    <xf numFmtId="164" fontId="0" fillId="5" borderId="39" xfId="1" applyNumberFormat="1" applyFont="1" applyFill="1" applyBorder="1"/>
    <xf numFmtId="10" fontId="0" fillId="6" borderId="41" xfId="2" applyNumberFormat="1" applyFont="1" applyFill="1" applyBorder="1"/>
    <xf numFmtId="0" fontId="18" fillId="0" borderId="21" xfId="0" applyFont="1" applyBorder="1" applyAlignment="1">
      <alignment horizontal="left" vertical="center" wrapText="1"/>
    </xf>
    <xf numFmtId="10" fontId="17" fillId="0" borderId="47" xfId="2" applyNumberFormat="1" applyFont="1" applyBorder="1" applyAlignment="1">
      <alignment horizontal="center" vertical="center"/>
    </xf>
    <xf numFmtId="164" fontId="0" fillId="2" borderId="55" xfId="1" applyNumberFormat="1" applyFont="1" applyFill="1" applyBorder="1"/>
    <xf numFmtId="164" fontId="0" fillId="2" borderId="40" xfId="1" applyNumberFormat="1" applyFont="1" applyFill="1" applyBorder="1"/>
    <xf numFmtId="10" fontId="0" fillId="2" borderId="41" xfId="2" applyNumberFormat="1" applyFont="1" applyFill="1" applyBorder="1" applyAlignment="1">
      <alignment horizontal="left" indent="2"/>
    </xf>
    <xf numFmtId="164" fontId="0" fillId="2" borderId="39" xfId="1" applyNumberFormat="1" applyFont="1" applyFill="1" applyBorder="1"/>
    <xf numFmtId="10" fontId="0" fillId="2" borderId="41" xfId="2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10" fontId="17" fillId="2" borderId="2" xfId="2" applyNumberFormat="1" applyFont="1" applyFill="1" applyBorder="1" applyAlignment="1">
      <alignment horizontal="center" vertical="center"/>
    </xf>
    <xf numFmtId="164" fontId="0" fillId="2" borderId="42" xfId="1" applyNumberFormat="1" applyFont="1" applyFill="1" applyBorder="1"/>
    <xf numFmtId="164" fontId="0" fillId="2" borderId="43" xfId="1" applyNumberFormat="1" applyFont="1" applyFill="1" applyBorder="1"/>
    <xf numFmtId="10" fontId="0" fillId="2" borderId="44" xfId="2" applyNumberFormat="1" applyFont="1" applyFill="1" applyBorder="1" applyAlignment="1">
      <alignment horizontal="left" indent="2"/>
    </xf>
    <xf numFmtId="164" fontId="0" fillId="2" borderId="50" xfId="1" applyNumberFormat="1" applyFont="1" applyFill="1" applyBorder="1"/>
    <xf numFmtId="10" fontId="0" fillId="2" borderId="44" xfId="2" applyNumberFormat="1" applyFont="1" applyFill="1" applyBorder="1"/>
    <xf numFmtId="164" fontId="0" fillId="5" borderId="36" xfId="1" applyNumberFormat="1" applyFont="1" applyFill="1" applyBorder="1"/>
    <xf numFmtId="164" fontId="0" fillId="5" borderId="37" xfId="1" applyNumberFormat="1" applyFont="1" applyFill="1" applyBorder="1"/>
    <xf numFmtId="10" fontId="0" fillId="3" borderId="38" xfId="2" applyNumberFormat="1" applyFont="1" applyFill="1" applyBorder="1" applyAlignment="1">
      <alignment horizontal="left" indent="2"/>
    </xf>
    <xf numFmtId="164" fontId="0" fillId="5" borderId="42" xfId="1" applyNumberFormat="1" applyFont="1" applyFill="1" applyBorder="1"/>
    <xf numFmtId="164" fontId="0" fillId="5" borderId="43" xfId="1" applyNumberFormat="1" applyFont="1" applyFill="1" applyBorder="1"/>
    <xf numFmtId="10" fontId="0" fillId="3" borderId="44" xfId="2" applyNumberFormat="1" applyFont="1" applyFill="1" applyBorder="1" applyAlignment="1">
      <alignment horizontal="left" indent="2"/>
    </xf>
    <xf numFmtId="0" fontId="18" fillId="0" borderId="21" xfId="0" applyFont="1" applyBorder="1" applyAlignment="1">
      <alignment horizontal="left" vertical="center"/>
    </xf>
    <xf numFmtId="164" fontId="0" fillId="2" borderId="36" xfId="1" applyNumberFormat="1" applyFont="1" applyFill="1" applyBorder="1"/>
    <xf numFmtId="164" fontId="0" fillId="2" borderId="37" xfId="1" applyNumberFormat="1" applyFont="1" applyFill="1" applyBorder="1"/>
    <xf numFmtId="10" fontId="0" fillId="2" borderId="38" xfId="2" applyNumberFormat="1" applyFont="1" applyFill="1" applyBorder="1" applyAlignment="1">
      <alignment horizontal="left" indent="2"/>
    </xf>
    <xf numFmtId="164" fontId="0" fillId="2" borderId="57" xfId="1" applyNumberFormat="1" applyFont="1" applyFill="1" applyBorder="1"/>
    <xf numFmtId="164" fontId="0" fillId="2" borderId="58" xfId="1" applyNumberFormat="1" applyFont="1" applyFill="1" applyBorder="1"/>
    <xf numFmtId="10" fontId="0" fillId="2" borderId="59" xfId="2" applyNumberFormat="1" applyFont="1" applyFill="1" applyBorder="1"/>
    <xf numFmtId="0" fontId="18" fillId="0" borderId="1" xfId="0" applyFont="1" applyBorder="1" applyAlignment="1">
      <alignment horizontal="left" vertical="center"/>
    </xf>
    <xf numFmtId="10" fontId="17" fillId="8" borderId="2" xfId="2" applyNumberFormat="1" applyFont="1" applyFill="1" applyBorder="1" applyAlignment="1">
      <alignment horizontal="center" vertical="center"/>
    </xf>
    <xf numFmtId="164" fontId="0" fillId="5" borderId="57" xfId="1" applyNumberFormat="1" applyFont="1" applyFill="1" applyBorder="1"/>
    <xf numFmtId="164" fontId="0" fillId="5" borderId="58" xfId="1" applyNumberFormat="1" applyFont="1" applyFill="1" applyBorder="1"/>
    <xf numFmtId="10" fontId="0" fillId="6" borderId="59" xfId="2" applyNumberFormat="1" applyFont="1" applyFill="1" applyBorder="1"/>
    <xf numFmtId="0" fontId="18" fillId="2" borderId="21" xfId="0" applyFont="1" applyFill="1" applyBorder="1" applyAlignment="1">
      <alignment horizontal="left" vertical="center"/>
    </xf>
    <xf numFmtId="10" fontId="17" fillId="2" borderId="17" xfId="2" applyNumberFormat="1" applyFont="1" applyFill="1" applyBorder="1" applyAlignment="1">
      <alignment horizontal="center" vertical="center"/>
    </xf>
    <xf numFmtId="10" fontId="17" fillId="2" borderId="20" xfId="2" applyNumberFormat="1" applyFont="1" applyFill="1" applyBorder="1" applyAlignment="1">
      <alignment horizontal="center" vertical="center"/>
    </xf>
    <xf numFmtId="0" fontId="0" fillId="2" borderId="4" xfId="0" applyFill="1" applyBorder="1"/>
    <xf numFmtId="10" fontId="17" fillId="0" borderId="15" xfId="2" applyNumberFormat="1" applyFont="1" applyBorder="1" applyAlignment="1">
      <alignment horizontal="center" vertical="center"/>
    </xf>
    <xf numFmtId="10" fontId="17" fillId="6" borderId="47" xfId="2" applyNumberFormat="1" applyFont="1" applyFill="1" applyBorder="1" applyAlignment="1">
      <alignment horizontal="center" vertical="center"/>
    </xf>
    <xf numFmtId="10" fontId="17" fillId="6" borderId="49" xfId="2" applyNumberFormat="1" applyFont="1" applyFill="1" applyBorder="1" applyAlignment="1">
      <alignment horizontal="center" vertical="center"/>
    </xf>
    <xf numFmtId="10" fontId="17" fillId="0" borderId="61" xfId="2" applyNumberFormat="1" applyFont="1" applyBorder="1" applyAlignment="1">
      <alignment horizontal="center" vertical="center"/>
    </xf>
    <xf numFmtId="10" fontId="17" fillId="8" borderId="62" xfId="2" applyNumberFormat="1" applyFont="1" applyFill="1" applyBorder="1" applyAlignment="1">
      <alignment horizontal="center" vertical="center"/>
    </xf>
    <xf numFmtId="10" fontId="17" fillId="8" borderId="61" xfId="2" applyNumberFormat="1" applyFont="1" applyFill="1" applyBorder="1" applyAlignment="1">
      <alignment horizontal="center" vertical="center"/>
    </xf>
    <xf numFmtId="10" fontId="17" fillId="2" borderId="62" xfId="2" applyNumberFormat="1" applyFont="1" applyFill="1" applyBorder="1" applyAlignment="1">
      <alignment horizontal="center" vertical="center"/>
    </xf>
    <xf numFmtId="10" fontId="17" fillId="8" borderId="24" xfId="2" applyNumberFormat="1" applyFont="1" applyFill="1" applyBorder="1" applyAlignment="1">
      <alignment horizontal="center" vertical="center"/>
    </xf>
    <xf numFmtId="10" fontId="17" fillId="2" borderId="31" xfId="2" applyNumberFormat="1" applyFont="1" applyFill="1" applyBorder="1" applyAlignment="1">
      <alignment horizontal="center" vertical="center"/>
    </xf>
    <xf numFmtId="10" fontId="17" fillId="2" borderId="24" xfId="2" applyNumberFormat="1" applyFont="1" applyFill="1" applyBorder="1" applyAlignment="1">
      <alignment horizontal="center" vertical="center"/>
    </xf>
    <xf numFmtId="164" fontId="0" fillId="5" borderId="63" xfId="1" applyNumberFormat="1" applyFont="1" applyFill="1" applyBorder="1"/>
    <xf numFmtId="0" fontId="18" fillId="2" borderId="20" xfId="0" applyFont="1" applyFill="1" applyBorder="1" applyAlignment="1">
      <alignment horizontal="left" vertical="center"/>
    </xf>
    <xf numFmtId="0" fontId="18" fillId="5" borderId="64" xfId="0" applyFont="1" applyFill="1" applyBorder="1" applyAlignment="1">
      <alignment horizontal="left" vertical="center"/>
    </xf>
    <xf numFmtId="0" fontId="18" fillId="5" borderId="45" xfId="0" applyFont="1" applyFill="1" applyBorder="1" applyAlignment="1">
      <alignment horizontal="left" vertical="center"/>
    </xf>
    <xf numFmtId="164" fontId="0" fillId="2" borderId="18" xfId="1" applyNumberFormat="1" applyFont="1" applyFill="1" applyBorder="1"/>
    <xf numFmtId="164" fontId="0" fillId="2" borderId="65" xfId="1" applyNumberFormat="1" applyFont="1" applyFill="1" applyBorder="1"/>
    <xf numFmtId="164" fontId="0" fillId="2" borderId="66" xfId="1" applyNumberFormat="1" applyFont="1" applyFill="1" applyBorder="1"/>
    <xf numFmtId="10" fontId="0" fillId="2" borderId="67" xfId="2" applyNumberFormat="1" applyFont="1" applyFill="1" applyBorder="1"/>
    <xf numFmtId="8" fontId="0" fillId="5" borderId="32" xfId="0" applyNumberFormat="1" applyFill="1" applyBorder="1" applyAlignment="1">
      <alignment horizontal="center" vertical="center"/>
    </xf>
    <xf numFmtId="44" fontId="3" fillId="14" borderId="32" xfId="1" applyFont="1" applyFill="1" applyBorder="1" applyAlignment="1" applyProtection="1">
      <alignment horizontal="center" vertical="center"/>
    </xf>
    <xf numFmtId="8" fontId="0" fillId="6" borderId="68" xfId="0" applyNumberFormat="1" applyFill="1" applyBorder="1" applyAlignment="1">
      <alignment horizontal="left" vertical="center"/>
    </xf>
    <xf numFmtId="8" fontId="0" fillId="5" borderId="68" xfId="0" applyNumberFormat="1" applyFill="1" applyBorder="1" applyAlignment="1">
      <alignment horizontal="center" vertical="center"/>
    </xf>
    <xf numFmtId="44" fontId="3" fillId="14" borderId="68" xfId="1" applyFont="1" applyFill="1" applyBorder="1" applyAlignment="1" applyProtection="1">
      <alignment horizontal="center" vertical="center"/>
    </xf>
    <xf numFmtId="167" fontId="6" fillId="13" borderId="10" xfId="1" applyNumberFormat="1" applyFont="1" applyFill="1" applyBorder="1" applyAlignment="1" applyProtection="1">
      <alignment horizontal="center" vertical="center"/>
    </xf>
    <xf numFmtId="167" fontId="4" fillId="11" borderId="10" xfId="1" applyNumberFormat="1" applyFont="1" applyFill="1" applyBorder="1" applyAlignment="1" applyProtection="1">
      <alignment horizontal="center" vertical="center"/>
    </xf>
    <xf numFmtId="166" fontId="4" fillId="11" borderId="10" xfId="2" applyNumberFormat="1" applyFont="1" applyFill="1" applyBorder="1" applyAlignment="1" applyProtection="1">
      <alignment horizontal="center" vertical="center"/>
    </xf>
    <xf numFmtId="10" fontId="17" fillId="3" borderId="25" xfId="2" applyNumberFormat="1" applyFont="1" applyFill="1" applyBorder="1" applyAlignment="1">
      <alignment horizontal="center" vertical="center"/>
    </xf>
    <xf numFmtId="10" fontId="17" fillId="6" borderId="25" xfId="2" applyNumberFormat="1" applyFont="1" applyFill="1" applyBorder="1" applyAlignment="1">
      <alignment horizontal="center" vertical="center"/>
    </xf>
    <xf numFmtId="10" fontId="17" fillId="8" borderId="34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top" wrapText="1"/>
    </xf>
    <xf numFmtId="0" fontId="18" fillId="6" borderId="25" xfId="0" applyFont="1" applyFill="1" applyBorder="1" applyAlignment="1">
      <alignment horizontal="left" vertical="center" wrapText="1"/>
    </xf>
    <xf numFmtId="8" fontId="4" fillId="11" borderId="0" xfId="0" applyNumberFormat="1" applyFont="1" applyFill="1" applyAlignment="1">
      <alignment horizontal="center" vertical="center"/>
    </xf>
    <xf numFmtId="8" fontId="4" fillId="11" borderId="22" xfId="0" applyNumberFormat="1" applyFont="1" applyFill="1" applyBorder="1" applyAlignment="1">
      <alignment horizontal="center" vertical="center"/>
    </xf>
    <xf numFmtId="169" fontId="13" fillId="10" borderId="7" xfId="0" applyNumberFormat="1" applyFont="1" applyFill="1" applyBorder="1" applyAlignment="1" applyProtection="1">
      <alignment horizontal="center" vertical="center"/>
      <protection locked="0"/>
    </xf>
    <xf numFmtId="10" fontId="0" fillId="10" borderId="68" xfId="2" applyNumberFormat="1" applyFont="1" applyFill="1" applyBorder="1" applyAlignment="1" applyProtection="1">
      <alignment horizontal="center" vertical="center"/>
      <protection locked="0"/>
    </xf>
    <xf numFmtId="6" fontId="0" fillId="10" borderId="0" xfId="0" applyNumberFormat="1" applyFill="1" applyAlignment="1" applyProtection="1">
      <alignment horizontal="center" vertical="center"/>
      <protection locked="0"/>
    </xf>
    <xf numFmtId="6" fontId="0" fillId="10" borderId="7" xfId="0" applyNumberFormat="1" applyFill="1" applyBorder="1" applyAlignment="1" applyProtection="1">
      <alignment horizontal="center" vertical="center"/>
      <protection locked="0"/>
    </xf>
    <xf numFmtId="8" fontId="6" fillId="0" borderId="16" xfId="0" applyNumberFormat="1" applyFont="1" applyBorder="1" applyAlignment="1">
      <alignment horizontal="center" vertical="center"/>
    </xf>
    <xf numFmtId="8" fontId="6" fillId="0" borderId="23" xfId="0" applyNumberFormat="1" applyFont="1" applyBorder="1" applyAlignment="1">
      <alignment horizontal="center" vertical="center"/>
    </xf>
    <xf numFmtId="6" fontId="6" fillId="0" borderId="16" xfId="0" applyNumberFormat="1" applyFont="1" applyBorder="1" applyAlignment="1">
      <alignment horizontal="center" vertical="center"/>
    </xf>
    <xf numFmtId="6" fontId="6" fillId="0" borderId="23" xfId="0" applyNumberFormat="1" applyFont="1" applyBorder="1" applyAlignment="1">
      <alignment horizontal="center" vertical="center"/>
    </xf>
    <xf numFmtId="8" fontId="4" fillId="11" borderId="16" xfId="0" applyNumberFormat="1" applyFont="1" applyFill="1" applyBorder="1" applyAlignment="1">
      <alignment horizontal="center" vertical="center"/>
    </xf>
    <xf numFmtId="8" fontId="4" fillId="11" borderId="23" xfId="0" applyNumberFormat="1" applyFont="1" applyFill="1" applyBorder="1" applyAlignment="1">
      <alignment horizontal="center" vertical="center"/>
    </xf>
    <xf numFmtId="6" fontId="6" fillId="5" borderId="22" xfId="0" applyNumberFormat="1" applyFont="1" applyFill="1" applyBorder="1" applyAlignment="1">
      <alignment horizontal="center" vertical="center"/>
    </xf>
    <xf numFmtId="6" fontId="6" fillId="5" borderId="23" xfId="0" applyNumberFormat="1" applyFont="1" applyFill="1" applyBorder="1" applyAlignment="1">
      <alignment horizontal="center" vertical="center"/>
    </xf>
    <xf numFmtId="8" fontId="6" fillId="5" borderId="22" xfId="0" applyNumberFormat="1" applyFont="1" applyFill="1" applyBorder="1" applyAlignment="1">
      <alignment horizontal="center" vertical="center"/>
    </xf>
    <xf numFmtId="8" fontId="6" fillId="5" borderId="23" xfId="0" applyNumberFormat="1" applyFont="1" applyFill="1" applyBorder="1" applyAlignment="1">
      <alignment horizontal="center" vertical="center"/>
    </xf>
    <xf numFmtId="8" fontId="6" fillId="13" borderId="22" xfId="0" applyNumberFormat="1" applyFont="1" applyFill="1" applyBorder="1" applyAlignment="1">
      <alignment horizontal="center" vertical="center"/>
    </xf>
    <xf numFmtId="8" fontId="6" fillId="13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33" xfId="0" applyFont="1" applyBorder="1" applyAlignment="1">
      <alignment horizontal="right" vertical="top" wrapText="1"/>
    </xf>
    <xf numFmtId="6" fontId="6" fillId="5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0" borderId="29" xfId="0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center" wrapText="1"/>
    </xf>
    <xf numFmtId="0" fontId="10" fillId="0" borderId="0" xfId="0" applyFont="1" applyAlignment="1">
      <alignment horizontal="righ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vertical="top" wrapText="1"/>
    </xf>
    <xf numFmtId="6" fontId="17" fillId="5" borderId="51" xfId="0" applyNumberFormat="1" applyFont="1" applyFill="1" applyBorder="1" applyAlignment="1">
      <alignment horizontal="center" vertical="center"/>
    </xf>
    <xf numFmtId="6" fontId="17" fillId="5" borderId="42" xfId="0" applyNumberFormat="1" applyFont="1" applyFill="1" applyBorder="1" applyAlignment="1">
      <alignment horizontal="center" vertical="center"/>
    </xf>
    <xf numFmtId="6" fontId="17" fillId="0" borderId="22" xfId="0" applyNumberFormat="1" applyFont="1" applyBorder="1" applyAlignment="1">
      <alignment horizontal="center" vertical="center"/>
    </xf>
    <xf numFmtId="6" fontId="17" fillId="0" borderId="60" xfId="0" applyNumberFormat="1" applyFont="1" applyBorder="1" applyAlignment="1">
      <alignment horizontal="center" vertical="center"/>
    </xf>
    <xf numFmtId="10" fontId="17" fillId="0" borderId="16" xfId="2" applyNumberFormat="1" applyFont="1" applyBorder="1" applyAlignment="1">
      <alignment horizontal="center" vertical="center"/>
    </xf>
    <xf numFmtId="10" fontId="17" fillId="0" borderId="17" xfId="2" applyNumberFormat="1" applyFont="1" applyBorder="1" applyAlignment="1">
      <alignment horizontal="center" vertical="center"/>
    </xf>
    <xf numFmtId="10" fontId="17" fillId="0" borderId="25" xfId="2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6" fontId="17" fillId="0" borderId="16" xfId="0" applyNumberFormat="1" applyFont="1" applyBorder="1" applyAlignment="1">
      <alignment horizontal="center" vertical="center"/>
    </xf>
    <xf numFmtId="6" fontId="17" fillId="0" borderId="17" xfId="0" applyNumberFormat="1" applyFont="1" applyBorder="1" applyAlignment="1">
      <alignment horizontal="center" vertical="center"/>
    </xf>
    <xf numFmtId="6" fontId="17" fillId="5" borderId="22" xfId="0" applyNumberFormat="1" applyFont="1" applyFill="1" applyBorder="1" applyAlignment="1">
      <alignment horizontal="center" vertical="center"/>
    </xf>
    <xf numFmtId="6" fontId="17" fillId="5" borderId="23" xfId="0" applyNumberFormat="1" applyFont="1" applyFill="1" applyBorder="1" applyAlignment="1">
      <alignment horizontal="center" vertical="center"/>
    </xf>
    <xf numFmtId="6" fontId="17" fillId="0" borderId="23" xfId="0" applyNumberFormat="1" applyFont="1" applyBorder="1" applyAlignment="1">
      <alignment horizontal="center" vertical="center"/>
    </xf>
    <xf numFmtId="0" fontId="0" fillId="2" borderId="0" xfId="0" applyFill="1"/>
    <xf numFmtId="168" fontId="13" fillId="0" borderId="19" xfId="0" applyNumberFormat="1" applyFont="1" applyBorder="1" applyAlignment="1">
      <alignment horizontal="center" vertical="center"/>
    </xf>
    <xf numFmtId="0" fontId="13" fillId="2" borderId="0" xfId="0" applyFont="1" applyFill="1"/>
    <xf numFmtId="0" fontId="19" fillId="2" borderId="0" xfId="0" applyFont="1" applyFill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numFmt numFmtId="13" formatCode="0%"/>
    </dxf>
    <dxf>
      <fill>
        <patternFill patternType="solid">
          <fgColor indexed="64"/>
          <bgColor theme="2" tint="-0.499984740745262"/>
        </patternFill>
      </fill>
    </dxf>
  </dxfs>
  <tableStyles count="0" defaultTableStyle="TableStyleMedium2" defaultPivotStyle="PivotStyleLight16"/>
  <colors>
    <mruColors>
      <color rgb="FF54458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2267428</xdr:colOff>
      <xdr:row>6</xdr:row>
      <xdr:rowOff>439277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895FD-232A-4253-90D0-729E2929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2591278" cy="1302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2263618</xdr:colOff>
      <xdr:row>6</xdr:row>
      <xdr:rowOff>435467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BAE3D-ECC9-45B9-9CEF-BE99084C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2591278" cy="1302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1965803</xdr:colOff>
      <xdr:row>5</xdr:row>
      <xdr:rowOff>436737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A3CDD-53BB-4E46-9EFC-CF8CCA3C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2073" cy="1322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1365728</xdr:colOff>
      <xdr:row>9</xdr:row>
      <xdr:rowOff>152892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9F16C-F55B-4B01-ADA7-C35F488D2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2584928" cy="1286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783433</xdr:colOff>
      <xdr:row>6</xdr:row>
      <xdr:rowOff>140192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C8C96C-A219-404B-8470-B4B842ED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2673193" cy="1311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BCA4A-13DC-4082-83D9-8AA5746F8F70}" name="Table1" displayName="Table1" ref="C16:E23" totalsRowShown="0" headerRowDxfId="1">
  <autoFilter ref="C16:E23" xr:uid="{444B3B04-71E9-4D7C-9B64-5EE9857252D6}">
    <filterColumn colId="0" hiddenButton="1"/>
    <filterColumn colId="1" hiddenButton="1"/>
    <filterColumn colId="2" hiddenButton="1"/>
  </autoFilter>
  <tableColumns count="3">
    <tableColumn id="1" xr3:uid="{9D4D6ABC-C82C-43BB-95C7-5434C35E652B}" name="Tax rate" dataDxfId="0"/>
    <tableColumn id="2" xr3:uid="{3D568634-781C-42FD-BCFC-B636CFA77192}" name="Single filers"/>
    <tableColumn id="3" xr3:uid="{01FD9F21-E977-41D1-99A3-54EFC8ADF049}" name="Married couples filing jointl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3CD6-CF07-4324-83D1-C8900EFBED66}">
  <sheetPr>
    <pageSetUpPr fitToPage="1"/>
  </sheetPr>
  <dimension ref="A1:M30"/>
  <sheetViews>
    <sheetView tabSelected="1" zoomScaleNormal="100" workbookViewId="0">
      <selection activeCell="C28" sqref="C28"/>
    </sheetView>
  </sheetViews>
  <sheetFormatPr defaultColWidth="9.140625" defaultRowHeight="12.75" x14ac:dyDescent="0.2"/>
  <cols>
    <col min="1" max="1" width="6" style="2" customWidth="1"/>
    <col min="2" max="2" width="40.85546875" style="2" bestFit="1" customWidth="1"/>
    <col min="3" max="3" width="13.7109375" style="2" customWidth="1"/>
    <col min="4" max="4" width="9.7109375" style="2" customWidth="1"/>
    <col min="5" max="6" width="16.28515625" style="2" customWidth="1"/>
    <col min="7" max="7" width="15" style="2" bestFit="1" customWidth="1"/>
    <col min="8" max="8" width="20" style="2" bestFit="1" customWidth="1"/>
    <col min="9" max="9" width="14.28515625" style="2" bestFit="1" customWidth="1"/>
    <col min="10" max="10" width="20" style="2" bestFit="1" customWidth="1"/>
    <col min="11" max="11" width="14.28515625" style="2" bestFit="1" customWidth="1"/>
    <col min="12" max="12" width="13.28515625" style="2" customWidth="1"/>
    <col min="13" max="13" width="9.7109375" style="2" bestFit="1" customWidth="1"/>
    <col min="14" max="16384" width="9.140625" style="2"/>
  </cols>
  <sheetData>
    <row r="1" spans="1:13" x14ac:dyDescent="0.2">
      <c r="A1" s="1"/>
      <c r="B1" s="1"/>
    </row>
    <row r="2" spans="1:13" x14ac:dyDescent="0.2">
      <c r="A2" s="211"/>
      <c r="B2" s="211"/>
    </row>
    <row r="3" spans="1:13" x14ac:dyDescent="0.2">
      <c r="A3" s="211"/>
      <c r="B3" s="211"/>
    </row>
    <row r="4" spans="1:13" ht="13.5" thickBot="1" x14ac:dyDescent="0.25">
      <c r="A4" s="211"/>
      <c r="B4" s="211"/>
    </row>
    <row r="5" spans="1:13" ht="14.25" thickTop="1" thickBot="1" x14ac:dyDescent="0.25">
      <c r="A5" s="211"/>
      <c r="B5" s="211"/>
      <c r="I5" s="212" t="s">
        <v>54</v>
      </c>
      <c r="J5" s="212"/>
      <c r="K5" s="212"/>
    </row>
    <row r="6" spans="1:13" ht="14.25" thickTop="1" thickBot="1" x14ac:dyDescent="0.25">
      <c r="A6" s="211"/>
      <c r="B6" s="211"/>
      <c r="C6" s="1"/>
      <c r="D6" s="1"/>
      <c r="E6" s="1"/>
      <c r="F6" s="1"/>
      <c r="G6" s="1"/>
    </row>
    <row r="7" spans="1:13" ht="39.75" customHeight="1" thickTop="1" thickBot="1" x14ac:dyDescent="0.25">
      <c r="A7" s="211"/>
      <c r="B7" s="211"/>
      <c r="C7" s="213" t="s">
        <v>94</v>
      </c>
      <c r="D7" s="213"/>
      <c r="E7" s="213"/>
      <c r="F7" s="213"/>
      <c r="G7" s="213"/>
      <c r="H7" s="213"/>
      <c r="J7" s="52" t="s">
        <v>88</v>
      </c>
      <c r="K7" s="53">
        <v>0.75</v>
      </c>
      <c r="M7" s="54"/>
    </row>
    <row r="8" spans="1:13" ht="17.25" customHeight="1" thickTop="1" thickBot="1" x14ac:dyDescent="0.25">
      <c r="A8" s="211"/>
      <c r="B8" s="211"/>
      <c r="K8" s="27"/>
    </row>
    <row r="9" spans="1:13" ht="49.5" customHeight="1" thickBot="1" x14ac:dyDescent="0.25">
      <c r="B9" s="55"/>
      <c r="C9" s="29" t="s">
        <v>30</v>
      </c>
      <c r="D9" s="29" t="s">
        <v>55</v>
      </c>
      <c r="E9" s="56" t="s">
        <v>56</v>
      </c>
      <c r="F9" s="56" t="s">
        <v>70</v>
      </c>
      <c r="G9" s="82" t="s">
        <v>69</v>
      </c>
      <c r="H9" s="57" t="s">
        <v>57</v>
      </c>
      <c r="I9" s="57" t="s">
        <v>58</v>
      </c>
      <c r="J9" s="58" t="str">
        <f>_xlfn.CONCAT("Weekly rate for Full Temporary Disability",
" (",K7*100,"%)")</f>
        <v>Weekly rate for Full Temporary Disability (75%)</v>
      </c>
      <c r="K9" s="58" t="str">
        <f>_xlfn.CONCAT("TD/Take-home Difference at ",
K7*100, "%")</f>
        <v>TD/Take-home Difference at 75%</v>
      </c>
      <c r="L9" s="58" t="s">
        <v>62</v>
      </c>
    </row>
    <row r="10" spans="1:13" ht="15" customHeight="1" thickBot="1" x14ac:dyDescent="0.25">
      <c r="B10" s="35" t="s">
        <v>42</v>
      </c>
      <c r="C10" s="198">
        <f>E10*52</f>
        <v>28496</v>
      </c>
      <c r="D10" s="196">
        <v>13.7</v>
      </c>
      <c r="E10" s="196">
        <v>548</v>
      </c>
      <c r="F10" s="78">
        <v>0.18232257158899495</v>
      </c>
      <c r="G10" s="59">
        <f>E10*(1-F10)</f>
        <v>448.08723076923081</v>
      </c>
      <c r="H10" s="196">
        <f>E10*0.6667</f>
        <v>365.35159999999996</v>
      </c>
      <c r="I10" s="60">
        <f>H10-$G10</f>
        <v>-82.735630769230852</v>
      </c>
      <c r="J10" s="196">
        <f>E10*$K$7</f>
        <v>411</v>
      </c>
      <c r="K10" s="60">
        <f>J10-$G10</f>
        <v>-37.087230769230814</v>
      </c>
      <c r="L10" s="67">
        <f>K10/G10</f>
        <v>-8.2767881391226455E-2</v>
      </c>
      <c r="M10" s="36"/>
    </row>
    <row r="11" spans="1:13" ht="15" customHeight="1" thickBot="1" x14ac:dyDescent="0.25">
      <c r="B11" s="37" t="s">
        <v>43</v>
      </c>
      <c r="C11" s="199"/>
      <c r="D11" s="197"/>
      <c r="E11" s="197"/>
      <c r="F11" s="79">
        <v>9.1238910724312186E-2</v>
      </c>
      <c r="G11" s="59">
        <f>E10*(1-F11)</f>
        <v>498.00107692307688</v>
      </c>
      <c r="H11" s="197"/>
      <c r="I11" s="60">
        <f>H10-$G11</f>
        <v>-132.64947692307692</v>
      </c>
      <c r="J11" s="197"/>
      <c r="K11" s="60">
        <f>J10-$G11</f>
        <v>-87.00107692307688</v>
      </c>
      <c r="L11" s="67">
        <f t="shared" ref="L11:L28" si="0">K11/G11</f>
        <v>-0.17470057988753185</v>
      </c>
      <c r="M11" s="36"/>
    </row>
    <row r="12" spans="1:13" ht="15" customHeight="1" thickBot="1" x14ac:dyDescent="0.25">
      <c r="B12" s="38" t="s">
        <v>44</v>
      </c>
      <c r="C12" s="202">
        <f t="shared" ref="C12:C22" si="1">E12*52</f>
        <v>29120</v>
      </c>
      <c r="D12" s="204">
        <v>14</v>
      </c>
      <c r="E12" s="204">
        <v>560</v>
      </c>
      <c r="F12" s="80">
        <v>0.18413736263736263</v>
      </c>
      <c r="G12" s="83">
        <f t="shared" ref="G12:G14" si="2">E12*(1-F12)</f>
        <v>456.88307692307694</v>
      </c>
      <c r="H12" s="206">
        <f t="shared" ref="H12" si="3">E12*0.6667</f>
        <v>373.35199999999998</v>
      </c>
      <c r="I12" s="61">
        <f>H12-$G12</f>
        <v>-83.531076923076967</v>
      </c>
      <c r="J12" s="200">
        <f t="shared" ref="J12" si="4">E12*$K$7</f>
        <v>420</v>
      </c>
      <c r="K12" s="62">
        <f>J12-$G12</f>
        <v>-36.883076923076942</v>
      </c>
      <c r="L12" s="68">
        <f t="shared" si="0"/>
        <v>-8.072760578367133E-2</v>
      </c>
      <c r="M12" s="36"/>
    </row>
    <row r="13" spans="1:13" ht="15" customHeight="1" thickBot="1" x14ac:dyDescent="0.25">
      <c r="B13" s="39" t="s">
        <v>43</v>
      </c>
      <c r="C13" s="203"/>
      <c r="D13" s="205"/>
      <c r="E13" s="205"/>
      <c r="F13" s="81">
        <v>9.2708791208791205E-2</v>
      </c>
      <c r="G13" s="84">
        <f t="shared" ref="G13:G15" si="5">E12*(1-F13)</f>
        <v>508.08307692307693</v>
      </c>
      <c r="H13" s="207"/>
      <c r="I13" s="61">
        <f>H12-$G13</f>
        <v>-134.73107692307696</v>
      </c>
      <c r="J13" s="201"/>
      <c r="K13" s="62">
        <f>J12-$G13</f>
        <v>-88.083076923076931</v>
      </c>
      <c r="L13" s="68">
        <f t="shared" si="0"/>
        <v>-0.1733635323114936</v>
      </c>
      <c r="M13" s="36"/>
    </row>
    <row r="14" spans="1:13" ht="15" customHeight="1" thickBot="1" x14ac:dyDescent="0.25">
      <c r="B14" s="35" t="s">
        <v>75</v>
      </c>
      <c r="C14" s="198">
        <f t="shared" si="1"/>
        <v>33904</v>
      </c>
      <c r="D14" s="196">
        <v>16.3</v>
      </c>
      <c r="E14" s="196">
        <v>652</v>
      </c>
      <c r="F14" s="78">
        <v>0.19670000000000001</v>
      </c>
      <c r="G14" s="59">
        <f t="shared" si="2"/>
        <v>523.75160000000005</v>
      </c>
      <c r="H14" s="196">
        <f>E14*0.6667</f>
        <v>434.6884</v>
      </c>
      <c r="I14" s="60">
        <f>H14-$G14</f>
        <v>-89.063200000000052</v>
      </c>
      <c r="J14" s="196">
        <f t="shared" ref="J14:J15" si="6">MIN(E14*$K$7, 1884.69)</f>
        <v>489</v>
      </c>
      <c r="K14" s="60">
        <f>J14-$G14</f>
        <v>-34.751600000000053</v>
      </c>
      <c r="L14" s="67">
        <f>K14/G14</f>
        <v>-6.63513008838542E-2</v>
      </c>
      <c r="M14" s="36"/>
    </row>
    <row r="15" spans="1:13" ht="15" customHeight="1" thickBot="1" x14ac:dyDescent="0.25">
      <c r="B15" s="37" t="s">
        <v>76</v>
      </c>
      <c r="C15" s="199"/>
      <c r="D15" s="197"/>
      <c r="E15" s="197"/>
      <c r="F15" s="79">
        <v>0.1154</v>
      </c>
      <c r="G15" s="59">
        <f t="shared" si="5"/>
        <v>576.75920000000008</v>
      </c>
      <c r="H15" s="197"/>
      <c r="I15" s="60">
        <f>H14-$G15</f>
        <v>-142.07080000000008</v>
      </c>
      <c r="J15" s="197">
        <f t="shared" si="6"/>
        <v>0</v>
      </c>
      <c r="K15" s="60">
        <f>J14-$G15</f>
        <v>-87.759200000000078</v>
      </c>
      <c r="L15" s="67">
        <f t="shared" ref="L15:L17" si="7">K15/G15</f>
        <v>-0.15215916798553031</v>
      </c>
      <c r="M15" s="36"/>
    </row>
    <row r="16" spans="1:13" ht="15" customHeight="1" thickBot="1" x14ac:dyDescent="0.25">
      <c r="B16" s="38" t="s">
        <v>45</v>
      </c>
      <c r="C16" s="202">
        <f t="shared" si="1"/>
        <v>37440</v>
      </c>
      <c r="D16" s="204">
        <v>18</v>
      </c>
      <c r="E16" s="204">
        <v>720</v>
      </c>
      <c r="F16" s="80">
        <v>0.20395192307692306</v>
      </c>
      <c r="G16" s="83">
        <f t="shared" ref="G16" si="8">E16*(1-F16)</f>
        <v>573.15461538461534</v>
      </c>
      <c r="H16" s="206">
        <f t="shared" ref="H16" si="9">E16*0.6667</f>
        <v>480.02399999999994</v>
      </c>
      <c r="I16" s="61">
        <f>H16-$G16</f>
        <v>-93.130615384615396</v>
      </c>
      <c r="J16" s="200">
        <f t="shared" ref="J16" si="10">E16*$K$7</f>
        <v>540</v>
      </c>
      <c r="K16" s="62">
        <f>J16-$G16</f>
        <v>-33.15461538461534</v>
      </c>
      <c r="L16" s="68">
        <f t="shared" si="7"/>
        <v>-5.7845849086231187E-2</v>
      </c>
      <c r="M16" s="36"/>
    </row>
    <row r="17" spans="2:13" ht="15" customHeight="1" thickBot="1" x14ac:dyDescent="0.25">
      <c r="B17" s="39" t="s">
        <v>46</v>
      </c>
      <c r="C17" s="203"/>
      <c r="D17" s="205"/>
      <c r="E17" s="205"/>
      <c r="F17" s="81">
        <v>0.12863675213675213</v>
      </c>
      <c r="G17" s="84">
        <f t="shared" ref="G17" si="11">E16*(1-F17)</f>
        <v>627.38153846153841</v>
      </c>
      <c r="H17" s="207"/>
      <c r="I17" s="61">
        <f>H16-$G17</f>
        <v>-147.35753846153847</v>
      </c>
      <c r="J17" s="201"/>
      <c r="K17" s="62">
        <f>J16-$G17</f>
        <v>-87.381538461538412</v>
      </c>
      <c r="L17" s="68">
        <f t="shared" si="7"/>
        <v>-0.13927974144061514</v>
      </c>
      <c r="M17" s="36"/>
    </row>
    <row r="18" spans="2:13" ht="15" customHeight="1" thickBot="1" x14ac:dyDescent="0.25">
      <c r="B18" s="35" t="s">
        <v>47</v>
      </c>
      <c r="C18" s="198">
        <f t="shared" si="1"/>
        <v>58240</v>
      </c>
      <c r="D18" s="196">
        <v>28</v>
      </c>
      <c r="E18" s="196">
        <v>1120</v>
      </c>
      <c r="F18" s="78">
        <v>0.2288298849587912</v>
      </c>
      <c r="G18" s="59">
        <f t="shared" ref="G18" si="12">E18*(1-F18)</f>
        <v>863.71052884615381</v>
      </c>
      <c r="H18" s="196">
        <f t="shared" ref="H18" si="13">E18*0.6667</f>
        <v>746.70399999999995</v>
      </c>
      <c r="I18" s="60">
        <f>H18-$G18</f>
        <v>-117.00652884615386</v>
      </c>
      <c r="J18" s="196">
        <f t="shared" ref="J18" si="14">E18*$K$7</f>
        <v>840</v>
      </c>
      <c r="K18" s="60">
        <f>J18-$G18</f>
        <v>-23.710528846153807</v>
      </c>
      <c r="L18" s="67">
        <f>K18/G18</f>
        <v>-2.7451939109540694E-2</v>
      </c>
    </row>
    <row r="19" spans="2:13" ht="15" customHeight="1" thickBot="1" x14ac:dyDescent="0.25">
      <c r="B19" s="37" t="s">
        <v>48</v>
      </c>
      <c r="C19" s="199"/>
      <c r="D19" s="197"/>
      <c r="E19" s="197"/>
      <c r="F19" s="79">
        <v>0.17493406593406594</v>
      </c>
      <c r="G19" s="59">
        <f t="shared" ref="G19" si="15">E18*(1-F19)</f>
        <v>924.07384615384615</v>
      </c>
      <c r="H19" s="197"/>
      <c r="I19" s="60">
        <f>H18-$G19</f>
        <v>-177.3698461538462</v>
      </c>
      <c r="J19" s="197"/>
      <c r="K19" s="60">
        <f>J18-$G19</f>
        <v>-84.073846153846148</v>
      </c>
      <c r="L19" s="67">
        <f t="shared" ref="L19:L21" si="16">K19/G19</f>
        <v>-9.0981739721101199E-2</v>
      </c>
    </row>
    <row r="20" spans="2:13" ht="15" customHeight="1" thickBot="1" x14ac:dyDescent="0.25">
      <c r="B20" s="38" t="s">
        <v>73</v>
      </c>
      <c r="C20" s="202">
        <f t="shared" si="1"/>
        <v>73687.12</v>
      </c>
      <c r="D20" s="204">
        <v>35.426499999999997</v>
      </c>
      <c r="E20" s="204">
        <v>1417.06</v>
      </c>
      <c r="F20" s="80">
        <v>0.25297621357905736</v>
      </c>
      <c r="G20" s="83">
        <f t="shared" ref="G20" si="17">E20*(1-F20)</f>
        <v>1058.5775267856609</v>
      </c>
      <c r="H20" s="206">
        <f t="shared" ref="H20" si="18">E20*0.6667</f>
        <v>944.75390199999993</v>
      </c>
      <c r="I20" s="61">
        <f>H20-$G20</f>
        <v>-113.82362478566097</v>
      </c>
      <c r="J20" s="200">
        <f t="shared" ref="J20" si="19">E20*$K$7</f>
        <v>1062.7950000000001</v>
      </c>
      <c r="K20" s="62">
        <f>J20-$G20</f>
        <v>4.2174732143391793</v>
      </c>
      <c r="L20" s="68">
        <f t="shared" si="16"/>
        <v>3.9840947947812674E-3</v>
      </c>
    </row>
    <row r="21" spans="2:13" ht="15" customHeight="1" thickBot="1" x14ac:dyDescent="0.25">
      <c r="B21" s="39" t="s">
        <v>74</v>
      </c>
      <c r="C21" s="210"/>
      <c r="D21" s="205"/>
      <c r="E21" s="205"/>
      <c r="F21" s="81">
        <v>0.19616461519671041</v>
      </c>
      <c r="G21" s="84">
        <f t="shared" ref="G21" si="20">E20*(1-F21)</f>
        <v>1139.0829703893494</v>
      </c>
      <c r="H21" s="207"/>
      <c r="I21" s="61">
        <f>H20-$G21</f>
        <v>-194.32906838934946</v>
      </c>
      <c r="J21" s="201"/>
      <c r="K21" s="62">
        <f>J20-$G21</f>
        <v>-76.287970389349312</v>
      </c>
      <c r="L21" s="68">
        <f t="shared" si="16"/>
        <v>-6.6973146269822079E-2</v>
      </c>
    </row>
    <row r="22" spans="2:13" ht="15" customHeight="1" thickBot="1" x14ac:dyDescent="0.25">
      <c r="B22" s="35" t="s">
        <v>49</v>
      </c>
      <c r="C22" s="198">
        <f t="shared" si="1"/>
        <v>83200</v>
      </c>
      <c r="D22" s="196">
        <v>40</v>
      </c>
      <c r="E22" s="196">
        <v>1600</v>
      </c>
      <c r="F22" s="78">
        <v>0.26774924879807693</v>
      </c>
      <c r="G22" s="59">
        <f t="shared" ref="G22" si="21">E22*(1-F22)</f>
        <v>1171.6012019230768</v>
      </c>
      <c r="H22" s="196">
        <f t="shared" ref="H22" si="22">E22*0.6667</f>
        <v>1066.72</v>
      </c>
      <c r="I22" s="60">
        <f>H22-$G22</f>
        <v>-104.88120192307679</v>
      </c>
      <c r="J22" s="196">
        <f t="shared" ref="J22" si="23">E22*$K$7</f>
        <v>1200</v>
      </c>
      <c r="K22" s="60">
        <f>J22-$G22</f>
        <v>28.398798076923185</v>
      </c>
      <c r="L22" s="67">
        <f>K22/G22</f>
        <v>2.4239304321563637E-2</v>
      </c>
    </row>
    <row r="23" spans="2:13" ht="15" customHeight="1" thickBot="1" x14ac:dyDescent="0.25">
      <c r="B23" s="37" t="s">
        <v>50</v>
      </c>
      <c r="C23" s="199"/>
      <c r="D23" s="197"/>
      <c r="E23" s="197"/>
      <c r="F23" s="79">
        <v>0.20500706129807694</v>
      </c>
      <c r="G23" s="59">
        <f t="shared" ref="G23" si="24">E22*(1-F23)</f>
        <v>1271.9887019230769</v>
      </c>
      <c r="H23" s="197"/>
      <c r="I23" s="60">
        <f>H22-$G23</f>
        <v>-205.26870192307683</v>
      </c>
      <c r="J23" s="197"/>
      <c r="K23" s="60">
        <f>J22-$G23</f>
        <v>-71.98870192307686</v>
      </c>
      <c r="L23" s="67">
        <f t="shared" ref="L23:L25" si="25">K23/G23</f>
        <v>-5.6595394136944428E-2</v>
      </c>
    </row>
    <row r="24" spans="2:13" ht="15" customHeight="1" thickBot="1" x14ac:dyDescent="0.25">
      <c r="B24" s="38" t="s">
        <v>92</v>
      </c>
      <c r="C24" s="202">
        <f>E24*52</f>
        <v>100000</v>
      </c>
      <c r="D24" s="204">
        <f>C24/2080</f>
        <v>48.07692307692308</v>
      </c>
      <c r="E24" s="204">
        <v>1923.0769230769231</v>
      </c>
      <c r="F24" s="80">
        <v>0.287279375</v>
      </c>
      <c r="G24" s="83">
        <f t="shared" ref="G24" si="26">E24*(1-F24)</f>
        <v>1370.6165865384614</v>
      </c>
      <c r="H24" s="206">
        <f>MIN(MAX(50,E24*0.6667), 1884.82)</f>
        <v>1282.1153846153845</v>
      </c>
      <c r="I24" s="61">
        <f>H24-$G24</f>
        <v>-88.501201923076906</v>
      </c>
      <c r="J24" s="200">
        <f>MIN(E24*$K$7, 1884.82)</f>
        <v>1442.3076923076924</v>
      </c>
      <c r="K24" s="62">
        <f>J24-$G24</f>
        <v>71.691105769230944</v>
      </c>
      <c r="L24" s="68">
        <f t="shared" si="25"/>
        <v>5.2305733400096414E-2</v>
      </c>
    </row>
    <row r="25" spans="2:13" ht="15" customHeight="1" thickBot="1" x14ac:dyDescent="0.25">
      <c r="B25" s="39" t="s">
        <v>93</v>
      </c>
      <c r="C25" s="203"/>
      <c r="D25" s="205"/>
      <c r="E25" s="205"/>
      <c r="F25" s="81">
        <v>0.21651387500000002</v>
      </c>
      <c r="G25" s="84">
        <f t="shared" ref="G25" si="27">E24*(1-F25)</f>
        <v>1506.7040865384615</v>
      </c>
      <c r="H25" s="207">
        <f t="shared" ref="H25:H27" si="28">MIN(MAX(50,E25*0.6667), 1884.69)</f>
        <v>50</v>
      </c>
      <c r="I25" s="61">
        <f>H24-$G25</f>
        <v>-224.588701923077</v>
      </c>
      <c r="J25" s="201">
        <f t="shared" ref="J25" si="29">MIN(E25*$K$7, 1884.69)</f>
        <v>0</v>
      </c>
      <c r="K25" s="62">
        <f>J24-$G25</f>
        <v>-64.396394230769147</v>
      </c>
      <c r="L25" s="68">
        <f t="shared" si="25"/>
        <v>-4.2739908125367196E-2</v>
      </c>
    </row>
    <row r="26" spans="2:13" ht="15" customHeight="1" thickBot="1" x14ac:dyDescent="0.25">
      <c r="B26" s="35" t="s">
        <v>80</v>
      </c>
      <c r="C26" s="198">
        <f>E26*52</f>
        <v>147008.68</v>
      </c>
      <c r="D26" s="196">
        <f>C26/2080</f>
        <v>70.677250000000001</v>
      </c>
      <c r="E26" s="196">
        <v>2827.09</v>
      </c>
      <c r="F26" s="78">
        <v>0.32254537817412537</v>
      </c>
      <c r="G26" s="59">
        <f t="shared" ref="G26" si="30">E26*(1-F26)</f>
        <v>1915.2251868177118</v>
      </c>
      <c r="H26" s="196">
        <f>MIN(MAX(50,E26*0.6667), 1884.82)</f>
        <v>1884.82</v>
      </c>
      <c r="I26" s="60">
        <f>H26-$G26</f>
        <v>-30.405186817711865</v>
      </c>
      <c r="J26" s="196">
        <f>MIN(E26*$K$7, 1884.82)</f>
        <v>1884.82</v>
      </c>
      <c r="K26" s="60">
        <f>J26-$G26</f>
        <v>-30.405186817711865</v>
      </c>
      <c r="L26" s="67">
        <f>K26/G26</f>
        <v>-1.5875515332080783E-2</v>
      </c>
    </row>
    <row r="27" spans="2:13" ht="15" customHeight="1" thickBot="1" x14ac:dyDescent="0.25">
      <c r="B27" s="37" t="s">
        <v>81</v>
      </c>
      <c r="C27" s="199"/>
      <c r="D27" s="197"/>
      <c r="E27" s="197"/>
      <c r="F27" s="79">
        <v>0.25395566597963387</v>
      </c>
      <c r="G27" s="59">
        <f t="shared" ref="G27" si="31">E26*(1-F27)</f>
        <v>2109.1344762656372</v>
      </c>
      <c r="H27" s="197">
        <f t="shared" si="28"/>
        <v>50</v>
      </c>
      <c r="I27" s="60">
        <f>H26-$G27</f>
        <v>-224.31447626563727</v>
      </c>
      <c r="J27" s="197">
        <f t="shared" ref="J27" si="32">MIN(E27*$K$7, 1884.69)</f>
        <v>0</v>
      </c>
      <c r="K27" s="60">
        <f>J26-$G27</f>
        <v>-224.31447626563727</v>
      </c>
      <c r="L27" s="67">
        <f t="shared" ref="L27" si="33">K27/G27</f>
        <v>-0.10635380474307213</v>
      </c>
    </row>
    <row r="28" spans="2:13" ht="15" customHeight="1" thickBot="1" x14ac:dyDescent="0.25">
      <c r="B28" s="63" t="s">
        <v>59</v>
      </c>
      <c r="C28" s="194">
        <v>120000</v>
      </c>
      <c r="D28" s="176">
        <f>C28/2080</f>
        <v>57.692307692307693</v>
      </c>
      <c r="E28" s="176">
        <f>C28/52</f>
        <v>2307.6923076923076</v>
      </c>
      <c r="F28" s="85">
        <v>0.30420000000000003</v>
      </c>
      <c r="G28" s="177">
        <f>E28*(1-F28)</f>
        <v>1605.6923076923076</v>
      </c>
      <c r="H28" s="61">
        <f>MIN(MAX(50,E28*0.6667), 1884.82)</f>
        <v>1538.5384615384614</v>
      </c>
      <c r="I28" s="61">
        <f>H28-G28</f>
        <v>-67.153846153846189</v>
      </c>
      <c r="J28" s="190">
        <f>MIN(E28*$K$7, 1884.82)</f>
        <v>1730.7692307692307</v>
      </c>
      <c r="K28" s="62">
        <f>J28-G28</f>
        <v>125.07692307692309</v>
      </c>
      <c r="L28" s="68">
        <f t="shared" si="0"/>
        <v>7.7895947111238872E-2</v>
      </c>
    </row>
    <row r="29" spans="2:13" ht="64.5" customHeight="1" thickTop="1" x14ac:dyDescent="0.2">
      <c r="B29" s="209" t="s">
        <v>60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</row>
    <row r="30" spans="2:13" x14ac:dyDescent="0.2">
      <c r="B30" s="208"/>
      <c r="C30" s="208"/>
      <c r="D30" s="208"/>
      <c r="E30" s="208"/>
      <c r="F30" s="208"/>
      <c r="G30" s="208"/>
      <c r="H30" s="208"/>
      <c r="I30" s="208"/>
    </row>
  </sheetData>
  <sheetProtection algorithmName="SHA-512" hashValue="Bwfqrsh0vCAxHWBM/MRXIkDCLkmDPW30Fg8vDUSD9X1WW5umPMKD7p/X8MrFX5nWMp/yKAT5oeKn884y5dxfMw==" saltValue="VSH2GmNv5VeH94wmbOAV/A==" spinCount="100000" sheet="1" objects="1" scenarios="1" selectLockedCells="1"/>
  <mergeCells count="50">
    <mergeCell ref="A2:B8"/>
    <mergeCell ref="I5:K5"/>
    <mergeCell ref="C10:C11"/>
    <mergeCell ref="D10:D11"/>
    <mergeCell ref="E10:E11"/>
    <mergeCell ref="H10:H11"/>
    <mergeCell ref="J10:J11"/>
    <mergeCell ref="C7:H7"/>
    <mergeCell ref="C12:C13"/>
    <mergeCell ref="D12:D13"/>
    <mergeCell ref="E12:E13"/>
    <mergeCell ref="H12:H13"/>
    <mergeCell ref="J12:J13"/>
    <mergeCell ref="H26:H27"/>
    <mergeCell ref="C18:C19"/>
    <mergeCell ref="D18:D19"/>
    <mergeCell ref="E18:E19"/>
    <mergeCell ref="H18:H19"/>
    <mergeCell ref="C20:C21"/>
    <mergeCell ref="D20:D21"/>
    <mergeCell ref="E20:E21"/>
    <mergeCell ref="H20:H21"/>
    <mergeCell ref="J26:J27"/>
    <mergeCell ref="H14:H15"/>
    <mergeCell ref="B30:I30"/>
    <mergeCell ref="C22:C23"/>
    <mergeCell ref="D22:D23"/>
    <mergeCell ref="E22:E23"/>
    <mergeCell ref="H22:H23"/>
    <mergeCell ref="B29:L29"/>
    <mergeCell ref="J22:J23"/>
    <mergeCell ref="C24:C25"/>
    <mergeCell ref="D24:D25"/>
    <mergeCell ref="E24:E25"/>
    <mergeCell ref="C26:C27"/>
    <mergeCell ref="D26:D27"/>
    <mergeCell ref="E26:E27"/>
    <mergeCell ref="H24:H25"/>
    <mergeCell ref="J14:J15"/>
    <mergeCell ref="C14:C15"/>
    <mergeCell ref="D14:D15"/>
    <mergeCell ref="E14:E15"/>
    <mergeCell ref="J24:J25"/>
    <mergeCell ref="J18:J19"/>
    <mergeCell ref="J20:J21"/>
    <mergeCell ref="C16:C17"/>
    <mergeCell ref="D16:D17"/>
    <mergeCell ref="E16:E17"/>
    <mergeCell ref="H16:H17"/>
    <mergeCell ref="J16:J17"/>
  </mergeCells>
  <dataValidations count="2">
    <dataValidation type="decimal" allowBlank="1" showInputMessage="1" showErrorMessage="1" error="Tax rate must be between 18-35%" promptTitle="Tax Rate" prompt="Enter desired effective tax rate for test worker" sqref="F28" xr:uid="{FC7E4A70-9CCC-4D8D-9A34-47F616375FB9}">
      <formula1>0.18</formula1>
      <formula2>0.35</formula2>
    </dataValidation>
    <dataValidation type="decimal" allowBlank="1" showInputMessage="1" showErrorMessage="1" sqref="K7" xr:uid="{92E669D5-0F3C-47AC-B517-3B9EAA00BBCF}">
      <formula1>0</formula1>
      <formula2>1</formula2>
    </dataValidation>
  </dataValidations>
  <pageMargins left="0.25" right="0.25" top="0.75" bottom="0.75" header="0.3" footer="0.3"/>
  <pageSetup scale="5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8556-C748-45E9-84BA-B916B2BB180A}">
  <sheetPr>
    <pageSetUpPr fitToPage="1"/>
  </sheetPr>
  <dimension ref="A1:M31"/>
  <sheetViews>
    <sheetView zoomScaleNormal="100" workbookViewId="0">
      <selection activeCell="K7" sqref="K7"/>
    </sheetView>
  </sheetViews>
  <sheetFormatPr defaultColWidth="9.140625" defaultRowHeight="12.75" x14ac:dyDescent="0.2"/>
  <cols>
    <col min="1" max="1" width="6" style="2" customWidth="1"/>
    <col min="2" max="2" width="40.85546875" style="2" bestFit="1" customWidth="1"/>
    <col min="3" max="3" width="13.7109375" style="2" customWidth="1"/>
    <col min="4" max="4" width="9.7109375" style="2" customWidth="1"/>
    <col min="5" max="6" width="16.28515625" style="2" customWidth="1"/>
    <col min="7" max="7" width="15" style="2" bestFit="1" customWidth="1"/>
    <col min="8" max="8" width="20" style="2" bestFit="1" customWidth="1"/>
    <col min="9" max="9" width="14.28515625" style="2" bestFit="1" customWidth="1"/>
    <col min="10" max="10" width="24.85546875" style="2" customWidth="1"/>
    <col min="11" max="11" width="15.7109375" style="2" customWidth="1"/>
    <col min="12" max="12" width="16.28515625" style="2" bestFit="1" customWidth="1"/>
    <col min="13" max="13" width="18.28515625" style="2" customWidth="1"/>
    <col min="14" max="16384" width="9.140625" style="2"/>
  </cols>
  <sheetData>
    <row r="1" spans="1:13" x14ac:dyDescent="0.2">
      <c r="A1" s="1"/>
      <c r="B1" s="1"/>
    </row>
    <row r="2" spans="1:13" x14ac:dyDescent="0.2">
      <c r="A2" s="211"/>
      <c r="B2" s="211"/>
    </row>
    <row r="3" spans="1:13" x14ac:dyDescent="0.2">
      <c r="A3" s="211"/>
      <c r="B3" s="211"/>
    </row>
    <row r="4" spans="1:13" ht="13.5" thickBot="1" x14ac:dyDescent="0.25">
      <c r="A4" s="211"/>
      <c r="B4" s="211"/>
    </row>
    <row r="5" spans="1:13" ht="14.25" thickTop="1" thickBot="1" x14ac:dyDescent="0.25">
      <c r="A5" s="211"/>
      <c r="B5" s="211"/>
      <c r="I5" s="212" t="s">
        <v>54</v>
      </c>
      <c r="J5" s="212"/>
      <c r="K5" s="212"/>
    </row>
    <row r="6" spans="1:13" ht="14.25" thickTop="1" thickBot="1" x14ac:dyDescent="0.25">
      <c r="A6" s="211"/>
      <c r="B6" s="211"/>
    </row>
    <row r="7" spans="1:13" ht="41.25" customHeight="1" thickTop="1" thickBot="1" x14ac:dyDescent="0.25">
      <c r="A7" s="211"/>
      <c r="B7" s="211"/>
      <c r="C7" s="216" t="s">
        <v>94</v>
      </c>
      <c r="D7" s="216"/>
      <c r="E7" s="216"/>
      <c r="F7" s="216"/>
      <c r="G7" s="216"/>
      <c r="H7" s="216"/>
      <c r="J7" s="52" t="s">
        <v>89</v>
      </c>
      <c r="K7" s="53">
        <v>0.75</v>
      </c>
      <c r="L7" s="52" t="s">
        <v>90</v>
      </c>
      <c r="M7" s="64">
        <v>0.66669999999999996</v>
      </c>
    </row>
    <row r="8" spans="1:13" ht="23.25" customHeight="1" thickTop="1" thickBot="1" x14ac:dyDescent="0.25">
      <c r="A8" s="211"/>
      <c r="B8" s="211"/>
      <c r="J8" s="52" t="s">
        <v>61</v>
      </c>
      <c r="K8" s="65">
        <f>1417.06*0.75</f>
        <v>1062.7950000000001</v>
      </c>
      <c r="M8" s="54"/>
    </row>
    <row r="9" spans="1:13" ht="17.25" customHeight="1" thickTop="1" thickBot="1" x14ac:dyDescent="0.25">
      <c r="A9" s="211"/>
      <c r="B9" s="211"/>
      <c r="K9" s="27"/>
    </row>
    <row r="10" spans="1:13" ht="51.75" thickBot="1" x14ac:dyDescent="0.25">
      <c r="B10" s="55"/>
      <c r="C10" s="29" t="s">
        <v>30</v>
      </c>
      <c r="D10" s="29" t="s">
        <v>55</v>
      </c>
      <c r="E10" s="56" t="s">
        <v>56</v>
      </c>
      <c r="F10" s="56" t="s">
        <v>70</v>
      </c>
      <c r="G10" s="82" t="s">
        <v>69</v>
      </c>
      <c r="H10" s="57" t="s">
        <v>57</v>
      </c>
      <c r="I10" s="57" t="s">
        <v>58</v>
      </c>
      <c r="J10" s="58" t="str">
        <f>_xlfn.CONCAT("Tiered weekly rate for Full Temporary Disability",
 " (",  K7*100, "% to $", $K$8, " then ", $M$7*100, "%)")</f>
        <v>Tiered weekly rate for Full Temporary Disability (75% to $1062.795 then 66.67%)</v>
      </c>
      <c r="K10" s="58" t="str">
        <f>_xlfn.CONCAT("TD/Take-home Difference at ",
K7*100, "%")</f>
        <v>TD/Take-home Difference at 75%</v>
      </c>
      <c r="L10" s="58" t="s">
        <v>62</v>
      </c>
    </row>
    <row r="11" spans="1:13" ht="15" customHeight="1" thickBot="1" x14ac:dyDescent="0.25">
      <c r="B11" s="35" t="s">
        <v>42</v>
      </c>
      <c r="C11" s="198">
        <f>E11*52</f>
        <v>28496</v>
      </c>
      <c r="D11" s="196">
        <v>13.7</v>
      </c>
      <c r="E11" s="196">
        <v>548</v>
      </c>
      <c r="F11" s="78">
        <v>0.18232257158899495</v>
      </c>
      <c r="G11" s="59">
        <f>E11*(1-F11)</f>
        <v>448.08723076923081</v>
      </c>
      <c r="H11" s="196">
        <f>E11*0.6667</f>
        <v>365.35159999999996</v>
      </c>
      <c r="I11" s="60">
        <f>H11-$G11</f>
        <v>-82.735630769230852</v>
      </c>
      <c r="J11" s="196">
        <f>MIN(MIN(E11, $K$8)*$K$7 + MAX(E11-$K$8, 0) *$M$7, 1884.82)</f>
        <v>411</v>
      </c>
      <c r="K11" s="60">
        <f>J11-$G11</f>
        <v>-37.087230769230814</v>
      </c>
      <c r="L11" s="67">
        <f>K11/G11</f>
        <v>-8.2767881391226455E-2</v>
      </c>
      <c r="M11" s="36"/>
    </row>
    <row r="12" spans="1:13" ht="15" customHeight="1" thickBot="1" x14ac:dyDescent="0.25">
      <c r="B12" s="37" t="s">
        <v>43</v>
      </c>
      <c r="C12" s="199"/>
      <c r="D12" s="197"/>
      <c r="E12" s="197"/>
      <c r="F12" s="79">
        <v>9.1238910724312186E-2</v>
      </c>
      <c r="G12" s="59">
        <f>E11*(1-F12)</f>
        <v>498.00107692307688</v>
      </c>
      <c r="H12" s="197"/>
      <c r="I12" s="60">
        <f>H11-$G12</f>
        <v>-132.64947692307692</v>
      </c>
      <c r="J12" s="197"/>
      <c r="K12" s="60">
        <f>J11-$G12</f>
        <v>-87.00107692307688</v>
      </c>
      <c r="L12" s="67">
        <f t="shared" ref="L12:L29" si="0">K12/G12</f>
        <v>-0.17470057988753185</v>
      </c>
      <c r="M12" s="36"/>
    </row>
    <row r="13" spans="1:13" ht="15" customHeight="1" thickBot="1" x14ac:dyDescent="0.25">
      <c r="B13" s="38" t="s">
        <v>44</v>
      </c>
      <c r="C13" s="202">
        <f t="shared" ref="C13:C23" si="1">E13*52</f>
        <v>29120</v>
      </c>
      <c r="D13" s="204">
        <v>14</v>
      </c>
      <c r="E13" s="204">
        <v>560</v>
      </c>
      <c r="F13" s="80">
        <v>0.18413736263736263</v>
      </c>
      <c r="G13" s="83">
        <f t="shared" ref="G13:G15" si="2">E13*(1-F13)</f>
        <v>456.88307692307694</v>
      </c>
      <c r="H13" s="206">
        <f t="shared" ref="H13" si="3">E13*0.6667</f>
        <v>373.35199999999998</v>
      </c>
      <c r="I13" s="61">
        <f>H13-$G13</f>
        <v>-83.531076923076967</v>
      </c>
      <c r="J13" s="200">
        <f t="shared" ref="J13" si="4">MIN(MIN(E13, $K$8)*$K$7 + MAX(E13-$K$8, 0) *$M$7, 1884.82)</f>
        <v>420</v>
      </c>
      <c r="K13" s="62">
        <f>J13-$G13</f>
        <v>-36.883076923076942</v>
      </c>
      <c r="L13" s="68">
        <f t="shared" si="0"/>
        <v>-8.072760578367133E-2</v>
      </c>
      <c r="M13" s="36"/>
    </row>
    <row r="14" spans="1:13" ht="15" customHeight="1" thickBot="1" x14ac:dyDescent="0.25">
      <c r="B14" s="39" t="s">
        <v>43</v>
      </c>
      <c r="C14" s="203"/>
      <c r="D14" s="205"/>
      <c r="E14" s="205"/>
      <c r="F14" s="81">
        <v>9.2708791208791205E-2</v>
      </c>
      <c r="G14" s="84">
        <f t="shared" ref="G14:G16" si="5">E13*(1-F14)</f>
        <v>508.08307692307693</v>
      </c>
      <c r="H14" s="207"/>
      <c r="I14" s="61">
        <f>H13-$G14</f>
        <v>-134.73107692307696</v>
      </c>
      <c r="J14" s="201"/>
      <c r="K14" s="62">
        <f>J13-$G14</f>
        <v>-88.083076923076931</v>
      </c>
      <c r="L14" s="68">
        <f t="shared" si="0"/>
        <v>-0.1733635323114936</v>
      </c>
      <c r="M14" s="36"/>
    </row>
    <row r="15" spans="1:13" ht="15" customHeight="1" thickBot="1" x14ac:dyDescent="0.25">
      <c r="B15" s="35" t="s">
        <v>75</v>
      </c>
      <c r="C15" s="198">
        <f t="shared" si="1"/>
        <v>33904</v>
      </c>
      <c r="D15" s="196">
        <v>16.3</v>
      </c>
      <c r="E15" s="196">
        <v>652</v>
      </c>
      <c r="F15" s="78">
        <v>0.19670000000000001</v>
      </c>
      <c r="G15" s="59">
        <f t="shared" si="2"/>
        <v>523.75160000000005</v>
      </c>
      <c r="H15" s="196">
        <f>E15*0.6667</f>
        <v>434.6884</v>
      </c>
      <c r="I15" s="60">
        <f>H15-$G15</f>
        <v>-89.063200000000052</v>
      </c>
      <c r="J15" s="196">
        <f t="shared" ref="J15" si="6">MIN(MIN(E15, $K$8)*$K$7 + MAX(E15-$K$8, 0) *$M$7, 1884.82)</f>
        <v>489</v>
      </c>
      <c r="K15" s="60">
        <f>J15-$G15</f>
        <v>-34.751600000000053</v>
      </c>
      <c r="L15" s="67">
        <f>K15/G15</f>
        <v>-6.63513008838542E-2</v>
      </c>
      <c r="M15" s="36"/>
    </row>
    <row r="16" spans="1:13" ht="15" customHeight="1" thickBot="1" x14ac:dyDescent="0.25">
      <c r="B16" s="37" t="s">
        <v>76</v>
      </c>
      <c r="C16" s="199"/>
      <c r="D16" s="197"/>
      <c r="E16" s="197"/>
      <c r="F16" s="79">
        <v>0.1154</v>
      </c>
      <c r="G16" s="59">
        <f t="shared" si="5"/>
        <v>576.75920000000008</v>
      </c>
      <c r="H16" s="197"/>
      <c r="I16" s="60">
        <f>H15-$G16</f>
        <v>-142.07080000000008</v>
      </c>
      <c r="J16" s="197"/>
      <c r="K16" s="60">
        <f>J15-$G16</f>
        <v>-87.759200000000078</v>
      </c>
      <c r="L16" s="67">
        <f t="shared" ref="L16:L18" si="7">K16/G16</f>
        <v>-0.15215916798553031</v>
      </c>
      <c r="M16" s="36"/>
    </row>
    <row r="17" spans="2:13" ht="15" customHeight="1" thickBot="1" x14ac:dyDescent="0.25">
      <c r="B17" s="38" t="s">
        <v>45</v>
      </c>
      <c r="C17" s="202">
        <f t="shared" si="1"/>
        <v>37440</v>
      </c>
      <c r="D17" s="204">
        <v>18</v>
      </c>
      <c r="E17" s="204">
        <v>720</v>
      </c>
      <c r="F17" s="80">
        <v>0.20395192307692306</v>
      </c>
      <c r="G17" s="83">
        <f t="shared" ref="G17" si="8">E17*(1-F17)</f>
        <v>573.15461538461534</v>
      </c>
      <c r="H17" s="206">
        <f t="shared" ref="H17" si="9">E17*0.6667</f>
        <v>480.02399999999994</v>
      </c>
      <c r="I17" s="61">
        <f>H17-$G17</f>
        <v>-93.130615384615396</v>
      </c>
      <c r="J17" s="200">
        <f t="shared" ref="J17:J25" si="10">MIN(MIN(E17, $K$8)*$K$7 + MAX(E17-$K$8, 0) *$M$7, 1884.82)</f>
        <v>540</v>
      </c>
      <c r="K17" s="62">
        <f>J17-$G17</f>
        <v>-33.15461538461534</v>
      </c>
      <c r="L17" s="68">
        <f t="shared" si="7"/>
        <v>-5.7845849086231187E-2</v>
      </c>
      <c r="M17" s="36"/>
    </row>
    <row r="18" spans="2:13" ht="15" customHeight="1" thickBot="1" x14ac:dyDescent="0.25">
      <c r="B18" s="39" t="s">
        <v>46</v>
      </c>
      <c r="C18" s="203"/>
      <c r="D18" s="205"/>
      <c r="E18" s="205"/>
      <c r="F18" s="81">
        <v>0.12863675213675213</v>
      </c>
      <c r="G18" s="84">
        <f t="shared" ref="G18" si="11">E17*(1-F18)</f>
        <v>627.38153846153841</v>
      </c>
      <c r="H18" s="207"/>
      <c r="I18" s="61">
        <f>H17-$G18</f>
        <v>-147.35753846153847</v>
      </c>
      <c r="J18" s="201"/>
      <c r="K18" s="62">
        <f>J17-$G18</f>
        <v>-87.381538461538412</v>
      </c>
      <c r="L18" s="68">
        <f t="shared" si="7"/>
        <v>-0.13927974144061514</v>
      </c>
      <c r="M18" s="36"/>
    </row>
    <row r="19" spans="2:13" ht="15" customHeight="1" thickBot="1" x14ac:dyDescent="0.25">
      <c r="B19" s="35" t="s">
        <v>47</v>
      </c>
      <c r="C19" s="198">
        <f t="shared" si="1"/>
        <v>58240</v>
      </c>
      <c r="D19" s="196">
        <v>28</v>
      </c>
      <c r="E19" s="196">
        <v>1120</v>
      </c>
      <c r="F19" s="78">
        <v>0.2288298849587912</v>
      </c>
      <c r="G19" s="59">
        <f t="shared" ref="G19" si="12">E19*(1-F19)</f>
        <v>863.71052884615381</v>
      </c>
      <c r="H19" s="196">
        <f t="shared" ref="H19" si="13">E19*0.6667</f>
        <v>746.70399999999995</v>
      </c>
      <c r="I19" s="60">
        <f>H19-$G19</f>
        <v>-117.00652884615386</v>
      </c>
      <c r="J19" s="196">
        <f t="shared" ref="J19" si="14">MIN(MIN(E19, $K$8)*$K$7 + MAX(E19-$K$8, 0) *$M$7, 1884.82)</f>
        <v>835.23482349999995</v>
      </c>
      <c r="K19" s="60">
        <f>J19-$G19</f>
        <v>-28.475705346153859</v>
      </c>
      <c r="L19" s="67">
        <f t="shared" si="0"/>
        <v>-3.296903811534526E-2</v>
      </c>
    </row>
    <row r="20" spans="2:13" ht="15" customHeight="1" thickBot="1" x14ac:dyDescent="0.25">
      <c r="B20" s="37" t="s">
        <v>48</v>
      </c>
      <c r="C20" s="199"/>
      <c r="D20" s="197"/>
      <c r="E20" s="197"/>
      <c r="F20" s="79">
        <v>0.17493406593406594</v>
      </c>
      <c r="G20" s="59">
        <f t="shared" ref="G20" si="15">E19*(1-F20)</f>
        <v>924.07384615384615</v>
      </c>
      <c r="H20" s="197"/>
      <c r="I20" s="60">
        <f>H19-$G20</f>
        <v>-177.3698461538462</v>
      </c>
      <c r="J20" s="197"/>
      <c r="K20" s="60">
        <f>J19-$G20</f>
        <v>-88.8390226538462</v>
      </c>
      <c r="L20" s="67">
        <f t="shared" si="0"/>
        <v>-9.6138445021043989E-2</v>
      </c>
    </row>
    <row r="21" spans="2:13" ht="15" customHeight="1" thickBot="1" x14ac:dyDescent="0.25">
      <c r="B21" s="38" t="s">
        <v>73</v>
      </c>
      <c r="C21" s="202">
        <f t="shared" si="1"/>
        <v>73687.12</v>
      </c>
      <c r="D21" s="204">
        <v>35.426499999999997</v>
      </c>
      <c r="E21" s="204">
        <v>1417.06</v>
      </c>
      <c r="F21" s="80">
        <v>0.25297621357905736</v>
      </c>
      <c r="G21" s="83">
        <f t="shared" ref="G21" si="16">E21*(1-F21)</f>
        <v>1058.5775267856609</v>
      </c>
      <c r="H21" s="206">
        <f t="shared" ref="H21" si="17">E21*0.6667</f>
        <v>944.75390199999993</v>
      </c>
      <c r="I21" s="61">
        <f>H21-$G21</f>
        <v>-113.82362478566097</v>
      </c>
      <c r="J21" s="200">
        <f t="shared" si="10"/>
        <v>1033.2847254999999</v>
      </c>
      <c r="K21" s="62">
        <f>J21-$G21</f>
        <v>-25.292801285660971</v>
      </c>
      <c r="L21" s="68">
        <f>K21/G21</f>
        <v>-2.3893196904020631E-2</v>
      </c>
    </row>
    <row r="22" spans="2:13" ht="15" customHeight="1" thickBot="1" x14ac:dyDescent="0.25">
      <c r="B22" s="39" t="s">
        <v>74</v>
      </c>
      <c r="C22" s="210"/>
      <c r="D22" s="205"/>
      <c r="E22" s="205"/>
      <c r="F22" s="81">
        <v>0.19616461519671041</v>
      </c>
      <c r="G22" s="84">
        <f t="shared" ref="G22" si="18">E21*(1-F22)</f>
        <v>1139.0829703893494</v>
      </c>
      <c r="H22" s="207"/>
      <c r="I22" s="61">
        <f>H21-$G22</f>
        <v>-194.32906838934946</v>
      </c>
      <c r="J22" s="201"/>
      <c r="K22" s="62">
        <f>J21-$G22</f>
        <v>-105.79824488934946</v>
      </c>
      <c r="L22" s="68">
        <f t="shared" si="0"/>
        <v>-9.2880191908396817E-2</v>
      </c>
    </row>
    <row r="23" spans="2:13" ht="15" customHeight="1" thickBot="1" x14ac:dyDescent="0.25">
      <c r="B23" s="35" t="s">
        <v>49</v>
      </c>
      <c r="C23" s="198">
        <f t="shared" si="1"/>
        <v>83200</v>
      </c>
      <c r="D23" s="196">
        <v>40</v>
      </c>
      <c r="E23" s="196">
        <v>1600</v>
      </c>
      <c r="F23" s="78">
        <v>0.26774924879807693</v>
      </c>
      <c r="G23" s="59">
        <f t="shared" ref="G23" si="19">E23*(1-F23)</f>
        <v>1171.6012019230768</v>
      </c>
      <c r="H23" s="196">
        <f t="shared" ref="H23" si="20">E23*0.6667</f>
        <v>1066.72</v>
      </c>
      <c r="I23" s="60">
        <f>H23-$G23</f>
        <v>-104.88120192307679</v>
      </c>
      <c r="J23" s="196">
        <f t="shared" ref="J23" si="21">MIN(MIN(E23, $K$8)*$K$7 + MAX(E23-$K$8, 0) *$M$7, 1884.82)</f>
        <v>1155.2508235</v>
      </c>
      <c r="K23" s="60">
        <f>J23-$G23</f>
        <v>-16.350378423076791</v>
      </c>
      <c r="L23" s="67">
        <f t="shared" si="0"/>
        <v>-1.3955583517872064E-2</v>
      </c>
    </row>
    <row r="24" spans="2:13" ht="15" customHeight="1" thickBot="1" x14ac:dyDescent="0.25">
      <c r="B24" s="37" t="s">
        <v>50</v>
      </c>
      <c r="C24" s="199"/>
      <c r="D24" s="197"/>
      <c r="E24" s="197"/>
      <c r="F24" s="79">
        <v>0.20500706129807694</v>
      </c>
      <c r="G24" s="59">
        <f t="shared" ref="G24" si="22">E23*(1-F24)</f>
        <v>1271.9887019230769</v>
      </c>
      <c r="H24" s="197"/>
      <c r="I24" s="60">
        <f>H23-$G24</f>
        <v>-205.26870192307683</v>
      </c>
      <c r="J24" s="197"/>
      <c r="K24" s="60">
        <f>J23-$G24</f>
        <v>-116.73787842307684</v>
      </c>
      <c r="L24" s="67">
        <f t="shared" si="0"/>
        <v>-9.1775876819176747E-2</v>
      </c>
    </row>
    <row r="25" spans="2:13" ht="15" customHeight="1" thickBot="1" x14ac:dyDescent="0.25">
      <c r="B25" s="38" t="s">
        <v>92</v>
      </c>
      <c r="C25" s="202">
        <f>E25*52</f>
        <v>100000</v>
      </c>
      <c r="D25" s="204">
        <f>C25/2080</f>
        <v>48.07692307692308</v>
      </c>
      <c r="E25" s="204">
        <v>1923.0769230769231</v>
      </c>
      <c r="F25" s="80">
        <v>0.287279375</v>
      </c>
      <c r="G25" s="83">
        <f t="shared" ref="G25" si="23">E25*(1-F25)</f>
        <v>1370.6165865384614</v>
      </c>
      <c r="H25" s="206">
        <f>MIN(MAX(50,E25*0.6667), 1884.82)</f>
        <v>1282.1153846153845</v>
      </c>
      <c r="I25" s="61">
        <f>H25-$G25</f>
        <v>-88.501201923076906</v>
      </c>
      <c r="J25" s="200">
        <f t="shared" si="10"/>
        <v>1370.6462081153845</v>
      </c>
      <c r="K25" s="62">
        <f>J25-$G25</f>
        <v>2.9621576923091197E-2</v>
      </c>
      <c r="L25" s="68">
        <f>K25/G25</f>
        <v>2.1611862291774456E-5</v>
      </c>
    </row>
    <row r="26" spans="2:13" ht="15" customHeight="1" thickBot="1" x14ac:dyDescent="0.25">
      <c r="B26" s="39" t="s">
        <v>93</v>
      </c>
      <c r="C26" s="203"/>
      <c r="D26" s="205"/>
      <c r="E26" s="205"/>
      <c r="F26" s="81">
        <v>0.21651387500000002</v>
      </c>
      <c r="G26" s="84">
        <f t="shared" ref="G26" si="24">E25*(1-F26)</f>
        <v>1506.7040865384615</v>
      </c>
      <c r="H26" s="207">
        <f t="shared" ref="H26:H28" si="25">MIN(MAX(50,E26*0.6667), 1884.69)</f>
        <v>50</v>
      </c>
      <c r="I26" s="61">
        <f>H25-$G26</f>
        <v>-224.588701923077</v>
      </c>
      <c r="J26" s="201"/>
      <c r="K26" s="62">
        <f>J25-$G26</f>
        <v>-136.057878423077</v>
      </c>
      <c r="L26" s="68">
        <f t="shared" ref="L26:L28" si="26">K26/G26</f>
        <v>-9.0301658858349329E-2</v>
      </c>
    </row>
    <row r="27" spans="2:13" ht="15" customHeight="1" thickBot="1" x14ac:dyDescent="0.25">
      <c r="B27" s="35" t="s">
        <v>80</v>
      </c>
      <c r="C27" s="198">
        <f>E27*52</f>
        <v>147008.68</v>
      </c>
      <c r="D27" s="196">
        <f>C27/2080</f>
        <v>70.677250000000001</v>
      </c>
      <c r="E27" s="196">
        <v>2827.09</v>
      </c>
      <c r="F27" s="78">
        <v>0.32254537817412537</v>
      </c>
      <c r="G27" s="59">
        <f t="shared" ref="G27" si="27">E27*(1-F27)</f>
        <v>1915.2251868177118</v>
      </c>
      <c r="H27" s="196">
        <f>MIN(MAX(50,E27*0.6667), 1884.82)</f>
        <v>1884.82</v>
      </c>
      <c r="I27" s="60">
        <f>H27-$G27</f>
        <v>-30.405186817711865</v>
      </c>
      <c r="J27" s="196">
        <f t="shared" ref="J27" si="28">MIN(MIN(E27, $K$8)*$K$7 + MAX(E27-$K$8, 0) *$M$7, 1884.82)</f>
        <v>1884.82</v>
      </c>
      <c r="K27" s="60">
        <f>J27-$G27</f>
        <v>-30.405186817711865</v>
      </c>
      <c r="L27" s="67">
        <f t="shared" si="26"/>
        <v>-1.5875515332080783E-2</v>
      </c>
      <c r="M27" s="214"/>
    </row>
    <row r="28" spans="2:13" ht="15" customHeight="1" thickBot="1" x14ac:dyDescent="0.25">
      <c r="B28" s="37" t="s">
        <v>81</v>
      </c>
      <c r="C28" s="199"/>
      <c r="D28" s="197"/>
      <c r="E28" s="197"/>
      <c r="F28" s="79">
        <v>0.25395566597963387</v>
      </c>
      <c r="G28" s="59">
        <f t="shared" ref="G28" si="29">E27*(1-F28)</f>
        <v>2109.1344762656372</v>
      </c>
      <c r="H28" s="197">
        <f t="shared" si="25"/>
        <v>50</v>
      </c>
      <c r="I28" s="60">
        <f>H27-$G28</f>
        <v>-224.31447626563727</v>
      </c>
      <c r="J28" s="197"/>
      <c r="K28" s="60">
        <f>J27-$G28</f>
        <v>-224.31447626563727</v>
      </c>
      <c r="L28" s="67">
        <f t="shared" si="26"/>
        <v>-0.10635380474307213</v>
      </c>
      <c r="M28" s="214"/>
    </row>
    <row r="29" spans="2:13" ht="25.5" customHeight="1" thickBot="1" x14ac:dyDescent="0.25">
      <c r="B29" s="178" t="s">
        <v>59</v>
      </c>
      <c r="C29" s="195">
        <v>120000</v>
      </c>
      <c r="D29" s="179">
        <f>C29/2080</f>
        <v>57.692307692307693</v>
      </c>
      <c r="E29" s="179">
        <f>C29/52</f>
        <v>2307.6923076923076</v>
      </c>
      <c r="F29" s="193">
        <v>0.30420000000000003</v>
      </c>
      <c r="G29" s="180">
        <f>E29*(1-F29)</f>
        <v>1605.6923076923076</v>
      </c>
      <c r="H29" s="181">
        <f>MIN(MAX(50,E29*0.6667), 1884.82)</f>
        <v>1538.5384615384614</v>
      </c>
      <c r="I29" s="181">
        <f>H29-G29</f>
        <v>-67.153846153846189</v>
      </c>
      <c r="J29" s="191">
        <f>MIN(MIN(E29, $K$8)*$K$7 + MAX(E29-$K$8, 0) *$M$7, 1884.82)</f>
        <v>1627.0692850384614</v>
      </c>
      <c r="K29" s="182">
        <f>J29-G29</f>
        <v>21.376977346153808</v>
      </c>
      <c r="L29" s="183">
        <f t="shared" si="0"/>
        <v>1.3313246407013486E-2</v>
      </c>
    </row>
    <row r="30" spans="2:13" ht="63" customHeight="1" x14ac:dyDescent="0.2">
      <c r="B30" s="215" t="s">
        <v>60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</row>
    <row r="31" spans="2:13" x14ac:dyDescent="0.2">
      <c r="B31" s="208"/>
      <c r="C31" s="208"/>
      <c r="D31" s="208"/>
      <c r="E31" s="208"/>
      <c r="F31" s="208"/>
      <c r="G31" s="208"/>
      <c r="H31" s="208"/>
      <c r="I31" s="208"/>
    </row>
  </sheetData>
  <sheetProtection algorithmName="SHA-512" hashValue="A9u0HBbKVe6+dcoU+IqAClOdYQj5XFio4V8FKv2G6vcgQkC/Sz2DTEqhqGrTBjwSkRNpyUa4A2040ozaxUKvAw==" saltValue="2iFNUikvQ81lBsUpSYaPIw==" spinCount="100000" sheet="1" selectLockedCells="1"/>
  <mergeCells count="51">
    <mergeCell ref="A2:B9"/>
    <mergeCell ref="I5:K5"/>
    <mergeCell ref="C11:C12"/>
    <mergeCell ref="D11:D12"/>
    <mergeCell ref="E11:E12"/>
    <mergeCell ref="H11:H12"/>
    <mergeCell ref="J11:J12"/>
    <mergeCell ref="C7:H7"/>
    <mergeCell ref="C17:C18"/>
    <mergeCell ref="D17:D18"/>
    <mergeCell ref="E17:E18"/>
    <mergeCell ref="H17:H18"/>
    <mergeCell ref="J17:J18"/>
    <mergeCell ref="C13:C14"/>
    <mergeCell ref="D13:D14"/>
    <mergeCell ref="E13:E14"/>
    <mergeCell ref="H13:H14"/>
    <mergeCell ref="J13:J14"/>
    <mergeCell ref="J19:J20"/>
    <mergeCell ref="C21:C22"/>
    <mergeCell ref="D21:D22"/>
    <mergeCell ref="E21:E22"/>
    <mergeCell ref="H21:H22"/>
    <mergeCell ref="J21:J22"/>
    <mergeCell ref="B31:I31"/>
    <mergeCell ref="C23:C24"/>
    <mergeCell ref="D23:D24"/>
    <mergeCell ref="E23:E24"/>
    <mergeCell ref="H23:H24"/>
    <mergeCell ref="B30:L30"/>
    <mergeCell ref="J23:J24"/>
    <mergeCell ref="C27:C28"/>
    <mergeCell ref="D27:D28"/>
    <mergeCell ref="E27:E28"/>
    <mergeCell ref="H27:H28"/>
    <mergeCell ref="J15:J16"/>
    <mergeCell ref="J25:J26"/>
    <mergeCell ref="J27:J28"/>
    <mergeCell ref="M27:M28"/>
    <mergeCell ref="C15:C16"/>
    <mergeCell ref="D15:D16"/>
    <mergeCell ref="E15:E16"/>
    <mergeCell ref="H15:H16"/>
    <mergeCell ref="C25:C26"/>
    <mergeCell ref="D25:D26"/>
    <mergeCell ref="E25:E26"/>
    <mergeCell ref="H25:H26"/>
    <mergeCell ref="C19:C20"/>
    <mergeCell ref="D19:D20"/>
    <mergeCell ref="E19:E20"/>
    <mergeCell ref="H19:H20"/>
  </mergeCells>
  <dataValidations count="3">
    <dataValidation type="decimal" allowBlank="1" showInputMessage="1" showErrorMessage="1" error="Tax rate must be between 18-34%" promptTitle="Tax Rate" prompt="Enter desired effective tax rate for test worker" sqref="F29" xr:uid="{29449CC1-C9C9-4D21-859A-E5E5E66C1CC9}">
      <formula1>0.18</formula1>
      <formula2>0.35</formula2>
    </dataValidation>
    <dataValidation type="decimal" allowBlank="1" showInputMessage="1" showErrorMessage="1" sqref="K7 M7" xr:uid="{7009563B-0F2C-4083-8984-864ED430AAB7}">
      <formula1>0</formula1>
      <formula2>1</formula2>
    </dataValidation>
    <dataValidation type="decimal" operator="greaterThan" allowBlank="1" showInputMessage="1" showErrorMessage="1" sqref="K8" xr:uid="{1B276079-681D-4AAC-B293-00F8687AB242}">
      <formula1>0</formula1>
    </dataValidation>
  </dataValidations>
  <pageMargins left="0.25" right="0.25" top="0.75" bottom="0.75" header="0.3" footer="0.3"/>
  <pageSetup scale="57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9BDE-52EF-4E20-AE51-4311BD656657}">
  <dimension ref="A2:Y36"/>
  <sheetViews>
    <sheetView zoomScale="90" zoomScaleNormal="90" workbookViewId="0">
      <selection activeCell="B28" sqref="B28"/>
    </sheetView>
  </sheetViews>
  <sheetFormatPr defaultColWidth="9.140625" defaultRowHeight="12.75" x14ac:dyDescent="0.2"/>
  <cols>
    <col min="1" max="1" width="9.140625" style="2"/>
    <col min="2" max="2" width="53.28515625" style="2" bestFit="1" customWidth="1"/>
    <col min="3" max="3" width="17" style="2" customWidth="1"/>
    <col min="4" max="4" width="15" style="2" customWidth="1"/>
    <col min="5" max="5" width="16.42578125" style="2" customWidth="1"/>
    <col min="6" max="6" width="12.7109375" style="2" customWidth="1"/>
    <col min="7" max="7" width="17.28515625" style="2" customWidth="1"/>
    <col min="8" max="8" width="2.7109375" style="2" customWidth="1"/>
    <col min="9" max="9" width="14" style="2" bestFit="1" customWidth="1"/>
    <col min="10" max="10" width="12.7109375" style="2" customWidth="1"/>
    <col min="11" max="11" width="10.42578125" style="2" customWidth="1"/>
    <col min="12" max="12" width="14" style="2" customWidth="1"/>
    <col min="13" max="13" width="13.7109375" style="2" bestFit="1" customWidth="1"/>
    <col min="14" max="14" width="2.28515625" style="2" customWidth="1"/>
    <col min="15" max="15" width="19.28515625" style="2" customWidth="1"/>
    <col min="16" max="16" width="14.7109375" style="2" customWidth="1"/>
    <col min="17" max="17" width="14.5703125" style="2" bestFit="1" customWidth="1"/>
    <col min="18" max="18" width="11.42578125" style="2" customWidth="1"/>
    <col min="19" max="19" width="13.42578125" style="2" customWidth="1"/>
    <col min="20" max="20" width="12.5703125" style="2" customWidth="1"/>
    <col min="21" max="21" width="10.7109375" style="2" bestFit="1" customWidth="1"/>
    <col min="22" max="22" width="12.7109375" style="2" bestFit="1" customWidth="1"/>
    <col min="23" max="23" width="9.140625" style="2"/>
    <col min="24" max="24" width="10" style="2" bestFit="1" customWidth="1"/>
    <col min="25" max="16384" width="9.140625" style="2"/>
  </cols>
  <sheetData>
    <row r="2" spans="1:21" x14ac:dyDescent="0.2">
      <c r="A2" s="225"/>
      <c r="B2" s="225"/>
    </row>
    <row r="3" spans="1:21" x14ac:dyDescent="0.2">
      <c r="A3" s="225"/>
      <c r="B3" s="225"/>
    </row>
    <row r="4" spans="1:21" x14ac:dyDescent="0.2">
      <c r="A4" s="225"/>
      <c r="B4" s="225"/>
    </row>
    <row r="5" spans="1:21" ht="15" customHeight="1" x14ac:dyDescent="0.2">
      <c r="A5" s="225"/>
      <c r="B5" s="225"/>
    </row>
    <row r="6" spans="1:21" ht="39.75" customHeight="1" x14ac:dyDescent="0.2">
      <c r="A6" s="225"/>
      <c r="B6" s="225"/>
      <c r="C6" s="216" t="s">
        <v>94</v>
      </c>
      <c r="D6" s="231"/>
      <c r="E6" s="231"/>
      <c r="F6" s="231"/>
      <c r="G6" s="231"/>
    </row>
    <row r="7" spans="1:21" ht="15" customHeight="1" x14ac:dyDescent="0.2">
      <c r="A7" s="225"/>
      <c r="B7" s="225"/>
    </row>
    <row r="8" spans="1:21" ht="15" customHeight="1" thickBot="1" x14ac:dyDescent="0.25">
      <c r="A8" s="1"/>
      <c r="B8" s="1"/>
    </row>
    <row r="9" spans="1:21" ht="51.75" thickBot="1" x14ac:dyDescent="0.3">
      <c r="B9" s="86"/>
      <c r="C9" s="87" t="s">
        <v>30</v>
      </c>
      <c r="D9" s="88" t="s">
        <v>31</v>
      </c>
      <c r="E9" s="89" t="s">
        <v>32</v>
      </c>
      <c r="F9" s="90" t="s">
        <v>27</v>
      </c>
      <c r="G9" s="91" t="s">
        <v>33</v>
      </c>
      <c r="I9" s="30" t="s">
        <v>34</v>
      </c>
      <c r="J9" s="31" t="s">
        <v>35</v>
      </c>
      <c r="K9" s="31" t="s">
        <v>36</v>
      </c>
      <c r="L9" s="31" t="s">
        <v>68</v>
      </c>
      <c r="M9" s="32" t="s">
        <v>37</v>
      </c>
      <c r="O9" s="30" t="s">
        <v>38</v>
      </c>
      <c r="P9" s="31" t="s">
        <v>39</v>
      </c>
      <c r="Q9" s="31" t="s">
        <v>36</v>
      </c>
      <c r="R9" s="31" t="s">
        <v>40</v>
      </c>
      <c r="S9" s="33" t="s">
        <v>77</v>
      </c>
      <c r="T9" s="34" t="s">
        <v>41</v>
      </c>
    </row>
    <row r="10" spans="1:21" ht="15" x14ac:dyDescent="0.2">
      <c r="B10" s="92" t="s">
        <v>42</v>
      </c>
      <c r="C10" s="226">
        <v>28496</v>
      </c>
      <c r="D10" s="76">
        <f>M10</f>
        <v>5.0376193149915774E-2</v>
      </c>
      <c r="E10" s="158">
        <f>T10</f>
        <v>5.5446378439079166E-2</v>
      </c>
      <c r="F10" s="222">
        <v>7.6499999999999999E-2</v>
      </c>
      <c r="G10" s="93">
        <f t="shared" ref="G10:G28" si="0">SUM(D10+E10+0.0765)</f>
        <v>0.18232257158899495</v>
      </c>
      <c r="I10" s="94">
        <v>28496</v>
      </c>
      <c r="J10" s="95">
        <v>14600</v>
      </c>
      <c r="K10" s="95">
        <f>I10-J10</f>
        <v>13896</v>
      </c>
      <c r="L10" s="95">
        <f>(K10-11600)*0.12+1160</f>
        <v>1435.52</v>
      </c>
      <c r="M10" s="96">
        <f>L10/I10</f>
        <v>5.0376193149915774E-2</v>
      </c>
      <c r="N10" s="97"/>
      <c r="O10" s="98">
        <f>I10-MIN(L10,8250)</f>
        <v>27060.48</v>
      </c>
      <c r="P10" s="95">
        <v>2745</v>
      </c>
      <c r="Q10" s="95">
        <f>O10-P10</f>
        <v>24315.48</v>
      </c>
      <c r="R10" s="95">
        <v>1829</v>
      </c>
      <c r="S10" s="95">
        <f>IF(R10&gt;249, R10-249,R10)</f>
        <v>1580</v>
      </c>
      <c r="T10" s="99">
        <f>S10/I10</f>
        <v>5.5446378439079166E-2</v>
      </c>
      <c r="U10" s="36"/>
    </row>
    <row r="11" spans="1:21" ht="15" x14ac:dyDescent="0.2">
      <c r="B11" s="100" t="s">
        <v>43</v>
      </c>
      <c r="C11" s="227"/>
      <c r="D11" s="101">
        <f t="shared" ref="D11:D23" si="1">M11</f>
        <v>0</v>
      </c>
      <c r="E11" s="101">
        <f t="shared" ref="E11:E23" si="2">T11</f>
        <v>1.4738910724312184E-2</v>
      </c>
      <c r="F11" s="223"/>
      <c r="G11" s="161">
        <f t="shared" si="0"/>
        <v>9.1238910724312186E-2</v>
      </c>
      <c r="I11" s="102">
        <v>28496</v>
      </c>
      <c r="J11" s="103">
        <v>29200</v>
      </c>
      <c r="K11" s="103">
        <v>0</v>
      </c>
      <c r="L11" s="103">
        <v>0</v>
      </c>
      <c r="M11" s="104">
        <f t="shared" ref="M11:M23" si="3">L11/I11</f>
        <v>0</v>
      </c>
      <c r="N11" s="105"/>
      <c r="O11" s="106">
        <f t="shared" ref="O11:O23" si="4">I11-MIN(L11,8250)</f>
        <v>28496</v>
      </c>
      <c r="P11" s="103">
        <v>5495</v>
      </c>
      <c r="Q11" s="103">
        <f t="shared" ref="Q11:Q23" si="5">O11-P11</f>
        <v>23001</v>
      </c>
      <c r="R11" s="103">
        <v>1416</v>
      </c>
      <c r="S11" s="103">
        <f>IF(R11&gt;996, R11-996,R11)</f>
        <v>420</v>
      </c>
      <c r="T11" s="107">
        <f>S11/I11</f>
        <v>1.4738910724312184E-2</v>
      </c>
      <c r="U11" s="36"/>
    </row>
    <row r="12" spans="1:21" ht="15" x14ac:dyDescent="0.2">
      <c r="B12" s="108" t="s">
        <v>44</v>
      </c>
      <c r="C12" s="228">
        <v>29120</v>
      </c>
      <c r="D12" s="109">
        <f t="shared" si="1"/>
        <v>5.186813186813187E-2</v>
      </c>
      <c r="E12" s="159">
        <f t="shared" si="2"/>
        <v>5.5769230769230772E-2</v>
      </c>
      <c r="F12" s="223"/>
      <c r="G12" s="162">
        <f t="shared" si="0"/>
        <v>0.18413736263736263</v>
      </c>
      <c r="I12" s="110">
        <v>29120</v>
      </c>
      <c r="J12" s="111">
        <v>14600</v>
      </c>
      <c r="K12" s="111">
        <f t="shared" ref="K12:K23" si="6">I12-J12</f>
        <v>14520</v>
      </c>
      <c r="L12" s="111">
        <f>(K12-11600)*0.12+1160</f>
        <v>1510.4</v>
      </c>
      <c r="M12" s="112">
        <f t="shared" si="3"/>
        <v>5.186813186813187E-2</v>
      </c>
      <c r="N12" s="97"/>
      <c r="O12" s="113">
        <f t="shared" si="4"/>
        <v>27609.599999999999</v>
      </c>
      <c r="P12" s="111">
        <v>2745</v>
      </c>
      <c r="Q12" s="111">
        <f t="shared" si="5"/>
        <v>24864.6</v>
      </c>
      <c r="R12" s="111">
        <v>1873</v>
      </c>
      <c r="S12" s="111">
        <f>IF(R12&gt;249, R12-249,R12)</f>
        <v>1624</v>
      </c>
      <c r="T12" s="114">
        <f t="shared" ref="T12:T23" si="7">S12/I12</f>
        <v>5.5769230769230772E-2</v>
      </c>
      <c r="U12" s="36"/>
    </row>
    <row r="13" spans="1:21" ht="15" x14ac:dyDescent="0.2">
      <c r="B13" s="115" t="s">
        <v>43</v>
      </c>
      <c r="C13" s="229"/>
      <c r="D13" s="116">
        <f t="shared" si="1"/>
        <v>0</v>
      </c>
      <c r="E13" s="160">
        <f t="shared" si="2"/>
        <v>1.620879120879121E-2</v>
      </c>
      <c r="F13" s="223"/>
      <c r="G13" s="163">
        <f t="shared" si="0"/>
        <v>9.2708791208791205E-2</v>
      </c>
      <c r="I13" s="117">
        <v>29120</v>
      </c>
      <c r="J13" s="118">
        <v>29200</v>
      </c>
      <c r="K13" s="118">
        <v>0</v>
      </c>
      <c r="L13" s="118">
        <v>0</v>
      </c>
      <c r="M13" s="119">
        <f t="shared" si="3"/>
        <v>0</v>
      </c>
      <c r="N13" s="105"/>
      <c r="O13" s="120">
        <f t="shared" si="4"/>
        <v>29120</v>
      </c>
      <c r="P13" s="118">
        <v>5495</v>
      </c>
      <c r="Q13" s="118">
        <f t="shared" si="5"/>
        <v>23625</v>
      </c>
      <c r="R13" s="118">
        <v>1468</v>
      </c>
      <c r="S13" s="118">
        <f>IF(R13&gt;996, R13-996,R13)</f>
        <v>472</v>
      </c>
      <c r="T13" s="121">
        <f t="shared" si="7"/>
        <v>1.620879120879121E-2</v>
      </c>
      <c r="U13" s="36"/>
    </row>
    <row r="14" spans="1:21" ht="15" x14ac:dyDescent="0.2">
      <c r="B14" s="122" t="s">
        <v>75</v>
      </c>
      <c r="C14" s="220">
        <v>33904</v>
      </c>
      <c r="D14" s="123">
        <f t="shared" si="1"/>
        <v>6.1481831052383203E-2</v>
      </c>
      <c r="E14" s="123">
        <f t="shared" si="2"/>
        <v>5.8724634261444079E-2</v>
      </c>
      <c r="F14" s="223"/>
      <c r="G14" s="164">
        <f t="shared" si="0"/>
        <v>0.19670646531382729</v>
      </c>
      <c r="I14" s="124">
        <v>33904</v>
      </c>
      <c r="J14" s="125">
        <v>14600</v>
      </c>
      <c r="K14" s="125">
        <f t="shared" si="6"/>
        <v>19304</v>
      </c>
      <c r="L14" s="125">
        <f>(K14-11600)*0.12+1160</f>
        <v>2084.48</v>
      </c>
      <c r="M14" s="126">
        <f t="shared" si="3"/>
        <v>6.1481831052383203E-2</v>
      </c>
      <c r="N14" s="105"/>
      <c r="O14" s="127">
        <f>I14-MIN(L14,8250)</f>
        <v>31819.52</v>
      </c>
      <c r="P14" s="125">
        <v>2745</v>
      </c>
      <c r="Q14" s="125">
        <f>O14-P14</f>
        <v>29074.52</v>
      </c>
      <c r="R14" s="125">
        <v>2240</v>
      </c>
      <c r="S14" s="125">
        <f>IF(R14&gt;249, R14-249,R14)</f>
        <v>1991</v>
      </c>
      <c r="T14" s="128">
        <f t="shared" si="7"/>
        <v>5.8724634261444079E-2</v>
      </c>
      <c r="U14" s="36"/>
    </row>
    <row r="15" spans="1:21" ht="15" x14ac:dyDescent="0.2">
      <c r="B15" s="129" t="s">
        <v>78</v>
      </c>
      <c r="C15" s="230"/>
      <c r="D15" s="101">
        <f t="shared" si="1"/>
        <v>1.3874469089193016E-2</v>
      </c>
      <c r="E15" s="101">
        <f t="shared" si="2"/>
        <v>2.5011798017932987E-2</v>
      </c>
      <c r="F15" s="223"/>
      <c r="G15" s="130">
        <f t="shared" si="0"/>
        <v>0.115386267107126</v>
      </c>
      <c r="I15" s="131">
        <v>33904</v>
      </c>
      <c r="J15" s="132">
        <v>29200</v>
      </c>
      <c r="K15" s="132">
        <f t="shared" si="6"/>
        <v>4704</v>
      </c>
      <c r="L15" s="132">
        <f>K15*0.1</f>
        <v>470.40000000000003</v>
      </c>
      <c r="M15" s="133">
        <f t="shared" si="3"/>
        <v>1.3874469089193016E-2</v>
      </c>
      <c r="N15" s="105"/>
      <c r="O15" s="134">
        <f>I15-MIN(L15,8250)</f>
        <v>33433.599999999999</v>
      </c>
      <c r="P15" s="132">
        <v>5495</v>
      </c>
      <c r="Q15" s="132">
        <f>O15-P15</f>
        <v>27938.6</v>
      </c>
      <c r="R15" s="132">
        <v>1844</v>
      </c>
      <c r="S15" s="132">
        <f>IF(R15&gt;996, R15-996,R15)</f>
        <v>848</v>
      </c>
      <c r="T15" s="135">
        <f t="shared" si="7"/>
        <v>2.5011798017932987E-2</v>
      </c>
      <c r="U15" s="36"/>
    </row>
    <row r="16" spans="1:21" ht="15" x14ac:dyDescent="0.2">
      <c r="B16" s="108" t="s">
        <v>45</v>
      </c>
      <c r="C16" s="228">
        <v>37440</v>
      </c>
      <c r="D16" s="109">
        <f t="shared" si="1"/>
        <v>6.7008547008547012E-2</v>
      </c>
      <c r="E16" s="159">
        <f t="shared" si="2"/>
        <v>6.0443376068376069E-2</v>
      </c>
      <c r="F16" s="223"/>
      <c r="G16" s="162">
        <f t="shared" si="0"/>
        <v>0.20395192307692306</v>
      </c>
      <c r="I16" s="136">
        <v>37440</v>
      </c>
      <c r="J16" s="137">
        <v>14600</v>
      </c>
      <c r="K16" s="137">
        <f t="shared" si="6"/>
        <v>22840</v>
      </c>
      <c r="L16" s="137">
        <f>(K16-11600)*0.12+1160</f>
        <v>2508.8000000000002</v>
      </c>
      <c r="M16" s="138">
        <f t="shared" si="3"/>
        <v>6.7008547008547012E-2</v>
      </c>
      <c r="N16" s="97"/>
      <c r="O16" s="113">
        <f t="shared" si="4"/>
        <v>34931.199999999997</v>
      </c>
      <c r="P16" s="111">
        <v>2745</v>
      </c>
      <c r="Q16" s="111">
        <f t="shared" si="5"/>
        <v>32186.199999999997</v>
      </c>
      <c r="R16" s="111">
        <v>2512</v>
      </c>
      <c r="S16" s="111">
        <f>IF(R16&gt;249, R16-249,R16)</f>
        <v>2263</v>
      </c>
      <c r="T16" s="114">
        <f t="shared" si="7"/>
        <v>6.0443376068376069E-2</v>
      </c>
      <c r="U16" s="36"/>
    </row>
    <row r="17" spans="2:25" ht="15" x14ac:dyDescent="0.2">
      <c r="B17" s="115" t="s">
        <v>46</v>
      </c>
      <c r="C17" s="229"/>
      <c r="D17" s="116">
        <f t="shared" si="1"/>
        <v>2.200854700854701E-2</v>
      </c>
      <c r="E17" s="160">
        <f t="shared" si="2"/>
        <v>3.0128205128205129E-2</v>
      </c>
      <c r="F17" s="223"/>
      <c r="G17" s="165">
        <f t="shared" si="0"/>
        <v>0.12863675213675213</v>
      </c>
      <c r="I17" s="139">
        <v>37440</v>
      </c>
      <c r="J17" s="140">
        <v>29200</v>
      </c>
      <c r="K17" s="140">
        <f t="shared" si="6"/>
        <v>8240</v>
      </c>
      <c r="L17" s="140">
        <f>K17*0.1</f>
        <v>824</v>
      </c>
      <c r="M17" s="141">
        <f t="shared" si="3"/>
        <v>2.200854700854701E-2</v>
      </c>
      <c r="N17" s="105"/>
      <c r="O17" s="120">
        <f t="shared" si="4"/>
        <v>36616</v>
      </c>
      <c r="P17" s="118">
        <v>5495</v>
      </c>
      <c r="Q17" s="118">
        <f t="shared" si="5"/>
        <v>31121</v>
      </c>
      <c r="R17" s="118">
        <v>2124</v>
      </c>
      <c r="S17" s="118">
        <f>IF(R17&gt;996, R17-996,R17)</f>
        <v>1128</v>
      </c>
      <c r="T17" s="121">
        <f t="shared" si="7"/>
        <v>3.0128205128205129E-2</v>
      </c>
      <c r="U17" s="36"/>
    </row>
    <row r="18" spans="2:25" ht="15" x14ac:dyDescent="0.2">
      <c r="B18" s="142" t="s">
        <v>47</v>
      </c>
      <c r="C18" s="220">
        <v>58240</v>
      </c>
      <c r="D18" s="76">
        <f t="shared" si="1"/>
        <v>8.5934065934065926E-2</v>
      </c>
      <c r="E18" s="76">
        <f t="shared" si="2"/>
        <v>6.6395819024725272E-2</v>
      </c>
      <c r="F18" s="223"/>
      <c r="G18" s="166">
        <f t="shared" si="0"/>
        <v>0.2288298849587912</v>
      </c>
      <c r="I18" s="143">
        <v>58240</v>
      </c>
      <c r="J18" s="144">
        <v>14600</v>
      </c>
      <c r="K18" s="144">
        <f t="shared" si="6"/>
        <v>43640</v>
      </c>
      <c r="L18" s="144">
        <f>(K18-11600)*0.12+1160</f>
        <v>5004.7999999999993</v>
      </c>
      <c r="M18" s="145">
        <f t="shared" si="3"/>
        <v>8.5934065934065926E-2</v>
      </c>
      <c r="N18" s="97"/>
      <c r="O18" s="146">
        <f t="shared" si="4"/>
        <v>53235.199999999997</v>
      </c>
      <c r="P18" s="147">
        <v>2745</v>
      </c>
      <c r="Q18" s="147">
        <f t="shared" si="5"/>
        <v>50490.2</v>
      </c>
      <c r="R18" s="147">
        <f>(Q18-50000)*0.0875+4073</f>
        <v>4115.8924999999999</v>
      </c>
      <c r="S18" s="147">
        <f>IF(R18&gt;249, R18-249,R18)</f>
        <v>3866.8924999999999</v>
      </c>
      <c r="T18" s="148">
        <f t="shared" si="7"/>
        <v>6.6395819024725272E-2</v>
      </c>
      <c r="U18" s="36"/>
    </row>
    <row r="19" spans="2:25" ht="15" x14ac:dyDescent="0.2">
      <c r="B19" s="149" t="s">
        <v>48</v>
      </c>
      <c r="C19" s="221"/>
      <c r="D19" s="101">
        <f t="shared" si="1"/>
        <v>5.186813186813187E-2</v>
      </c>
      <c r="E19" s="101">
        <f t="shared" si="2"/>
        <v>4.6565934065934067E-2</v>
      </c>
      <c r="F19" s="223"/>
      <c r="G19" s="167">
        <f t="shared" si="0"/>
        <v>0.17493406593406594</v>
      </c>
      <c r="I19" s="131">
        <v>58240</v>
      </c>
      <c r="J19" s="132">
        <v>29200</v>
      </c>
      <c r="K19" s="132">
        <f t="shared" si="6"/>
        <v>29040</v>
      </c>
      <c r="L19" s="132">
        <f>(K19-23200)*0.12+2320</f>
        <v>3020.8</v>
      </c>
      <c r="M19" s="133">
        <f t="shared" si="3"/>
        <v>5.186813186813187E-2</v>
      </c>
      <c r="N19" s="105"/>
      <c r="O19" s="127">
        <f t="shared" si="4"/>
        <v>55219.199999999997</v>
      </c>
      <c r="P19" s="125">
        <v>5495</v>
      </c>
      <c r="Q19" s="125">
        <f t="shared" si="5"/>
        <v>49724.2</v>
      </c>
      <c r="R19" s="125">
        <v>3708</v>
      </c>
      <c r="S19" s="125">
        <f>IF(R19&gt;996, R19-996,R19)</f>
        <v>2712</v>
      </c>
      <c r="T19" s="128">
        <f t="shared" si="7"/>
        <v>4.6565934065934067E-2</v>
      </c>
      <c r="U19" s="36"/>
    </row>
    <row r="20" spans="2:25" ht="15" x14ac:dyDescent="0.2">
      <c r="B20" s="108" t="s">
        <v>71</v>
      </c>
      <c r="C20" s="228">
        <v>73687.12</v>
      </c>
      <c r="D20" s="109">
        <f t="shared" si="1"/>
        <v>0.1092749060214149</v>
      </c>
      <c r="E20" s="159">
        <f t="shared" si="2"/>
        <v>6.7201307557642462E-2</v>
      </c>
      <c r="F20" s="223"/>
      <c r="G20" s="150">
        <f t="shared" si="0"/>
        <v>0.25297621357905736</v>
      </c>
      <c r="I20" s="136">
        <v>73687</v>
      </c>
      <c r="J20" s="137">
        <v>14600</v>
      </c>
      <c r="K20" s="137">
        <f t="shared" si="6"/>
        <v>59087</v>
      </c>
      <c r="L20" s="137">
        <f>(K20-47150)*0.22+(47150-11600)*0.12+1160</f>
        <v>8052.1399999999994</v>
      </c>
      <c r="M20" s="138">
        <f t="shared" si="3"/>
        <v>0.1092749060214149</v>
      </c>
      <c r="N20" s="97"/>
      <c r="O20" s="151">
        <f>I20-MIN(L20,8250)</f>
        <v>65634.86</v>
      </c>
      <c r="P20" s="152">
        <v>2745</v>
      </c>
      <c r="Q20" s="152">
        <f t="shared" si="5"/>
        <v>62889.86</v>
      </c>
      <c r="R20" s="152">
        <f>(Q20-50000)*0.0875+4073</f>
        <v>5200.8627500000002</v>
      </c>
      <c r="S20" s="152">
        <f>IF(R20&gt;249, R20-249,R20)</f>
        <v>4951.8627500000002</v>
      </c>
      <c r="T20" s="153">
        <f t="shared" si="7"/>
        <v>6.7201307557642462E-2</v>
      </c>
      <c r="U20" s="36"/>
    </row>
    <row r="21" spans="2:25" ht="15" x14ac:dyDescent="0.2">
      <c r="B21" s="115" t="s">
        <v>72</v>
      </c>
      <c r="C21" s="229"/>
      <c r="D21" s="116">
        <f t="shared" si="1"/>
        <v>6.6150610012620958E-2</v>
      </c>
      <c r="E21" s="160">
        <f t="shared" si="2"/>
        <v>5.3514005184089462E-2</v>
      </c>
      <c r="F21" s="223"/>
      <c r="G21" s="165">
        <f t="shared" si="0"/>
        <v>0.19616461519671041</v>
      </c>
      <c r="I21" s="139">
        <v>73687</v>
      </c>
      <c r="J21" s="140">
        <v>29200</v>
      </c>
      <c r="K21" s="140">
        <f t="shared" si="6"/>
        <v>44487</v>
      </c>
      <c r="L21" s="140">
        <f>(K21-23200)*0.12+2320</f>
        <v>4874.4400000000005</v>
      </c>
      <c r="M21" s="141">
        <f t="shared" si="3"/>
        <v>6.6150610012620958E-2</v>
      </c>
      <c r="N21" s="105"/>
      <c r="O21" s="120">
        <f>I21-MIN(L21,8250)</f>
        <v>68812.56</v>
      </c>
      <c r="P21" s="118">
        <v>5495</v>
      </c>
      <c r="Q21" s="118">
        <f>O21-P21</f>
        <v>63317.56</v>
      </c>
      <c r="R21" s="118">
        <f>(Q21-50000)*0.0875+3774</f>
        <v>4939.2865000000002</v>
      </c>
      <c r="S21" s="118">
        <f>IF(R21&gt;996, R21-996,R21)</f>
        <v>3943.2865000000002</v>
      </c>
      <c r="T21" s="121">
        <f t="shared" si="7"/>
        <v>5.3514005184089462E-2</v>
      </c>
      <c r="U21" s="36"/>
    </row>
    <row r="22" spans="2:25" ht="15" x14ac:dyDescent="0.2">
      <c r="B22" s="154" t="s">
        <v>49</v>
      </c>
      <c r="C22" s="220">
        <v>83200</v>
      </c>
      <c r="D22" s="155">
        <f t="shared" si="1"/>
        <v>0.12193509615384615</v>
      </c>
      <c r="E22" s="155">
        <f t="shared" si="2"/>
        <v>6.931415264423077E-2</v>
      </c>
      <c r="F22" s="223"/>
      <c r="G22" s="164">
        <f t="shared" si="0"/>
        <v>0.26774924879807693</v>
      </c>
      <c r="I22" s="143">
        <v>83200</v>
      </c>
      <c r="J22" s="144">
        <v>14600</v>
      </c>
      <c r="K22" s="144">
        <f t="shared" si="6"/>
        <v>68600</v>
      </c>
      <c r="L22" s="144">
        <f>(K22-47150)*0.22+(47150-11600)*0.12+1160</f>
        <v>10145</v>
      </c>
      <c r="M22" s="145">
        <f t="shared" si="3"/>
        <v>0.12193509615384615</v>
      </c>
      <c r="N22" s="97"/>
      <c r="O22" s="127">
        <f t="shared" si="4"/>
        <v>74950</v>
      </c>
      <c r="P22" s="125">
        <v>2745</v>
      </c>
      <c r="Q22" s="125">
        <f t="shared" si="5"/>
        <v>72205</v>
      </c>
      <c r="R22" s="125">
        <f>(Q22-50000)*0.0875+4073</f>
        <v>6015.9375</v>
      </c>
      <c r="S22" s="125">
        <f>IF(R22&gt;249, R22-249,R22)</f>
        <v>5766.9375</v>
      </c>
      <c r="T22" s="128">
        <f t="shared" si="7"/>
        <v>6.931415264423077E-2</v>
      </c>
      <c r="U22" s="36"/>
    </row>
    <row r="23" spans="2:25" ht="15" x14ac:dyDescent="0.2">
      <c r="B23" s="169" t="s">
        <v>50</v>
      </c>
      <c r="C23" s="227"/>
      <c r="D23" s="156">
        <f t="shared" si="1"/>
        <v>7.2307692307692309E-2</v>
      </c>
      <c r="E23" s="156">
        <f t="shared" si="2"/>
        <v>5.6199368990384621E-2</v>
      </c>
      <c r="F23" s="223"/>
      <c r="G23" s="167">
        <f t="shared" si="0"/>
        <v>0.20500706129807694</v>
      </c>
      <c r="I23" s="172">
        <v>83200</v>
      </c>
      <c r="J23" s="132">
        <v>29200</v>
      </c>
      <c r="K23" s="132">
        <f t="shared" si="6"/>
        <v>54000</v>
      </c>
      <c r="L23" s="132">
        <f>(K23-23200)*0.12+2320</f>
        <v>6016</v>
      </c>
      <c r="M23" s="133">
        <f t="shared" si="3"/>
        <v>7.2307692307692309E-2</v>
      </c>
      <c r="N23" s="105"/>
      <c r="O23" s="173">
        <f t="shared" si="4"/>
        <v>77184</v>
      </c>
      <c r="P23" s="174">
        <v>5495</v>
      </c>
      <c r="Q23" s="174">
        <f t="shared" si="5"/>
        <v>71689</v>
      </c>
      <c r="R23" s="174">
        <f>(Q23-50000)*0.0875+3774</f>
        <v>5671.7875000000004</v>
      </c>
      <c r="S23" s="174">
        <f>IF(R23&gt;996, R23-996,R23)</f>
        <v>4675.7875000000004</v>
      </c>
      <c r="T23" s="175">
        <f t="shared" si="7"/>
        <v>5.6199368990384621E-2</v>
      </c>
      <c r="U23" s="36"/>
    </row>
    <row r="24" spans="2:25" ht="15" x14ac:dyDescent="0.2">
      <c r="B24" s="170" t="s">
        <v>92</v>
      </c>
      <c r="C24" s="218">
        <v>100000</v>
      </c>
      <c r="D24" s="109">
        <f t="shared" ref="D24:D27" si="8">M24</f>
        <v>0.13841000000000001</v>
      </c>
      <c r="E24" s="159">
        <f t="shared" ref="E24:E28" si="9">T24</f>
        <v>7.2369375E-2</v>
      </c>
      <c r="F24" s="223"/>
      <c r="G24" s="150">
        <f t="shared" si="0"/>
        <v>0.287279375</v>
      </c>
      <c r="I24" s="168">
        <v>100000</v>
      </c>
      <c r="J24" s="137">
        <v>14600</v>
      </c>
      <c r="K24" s="137">
        <f t="shared" ref="K24:K27" si="10">I24-J24</f>
        <v>85400</v>
      </c>
      <c r="L24" s="137">
        <f>(K24-47150)*0.22+(47150-11600)*0.12+1160</f>
        <v>13841</v>
      </c>
      <c r="M24" s="138">
        <f t="shared" ref="M24:M27" si="11">L24/I24</f>
        <v>0.13841000000000001</v>
      </c>
      <c r="N24" s="97"/>
      <c r="O24" s="151">
        <f>I24-MIN(L24,8250)</f>
        <v>91750</v>
      </c>
      <c r="P24" s="152">
        <v>2745</v>
      </c>
      <c r="Q24" s="152">
        <f t="shared" ref="Q24" si="12">O24-P24</f>
        <v>89005</v>
      </c>
      <c r="R24" s="152">
        <f>(Q24-50000)*0.0875+4073</f>
        <v>7485.9375</v>
      </c>
      <c r="S24" s="152">
        <f>IF(R24&gt;249, R24-249,R24)</f>
        <v>7236.9375</v>
      </c>
      <c r="T24" s="153">
        <f t="shared" ref="T24:T27" si="13">S24/I24</f>
        <v>7.2369375E-2</v>
      </c>
      <c r="U24" s="36"/>
    </row>
    <row r="25" spans="2:25" ht="15" x14ac:dyDescent="0.2">
      <c r="B25" s="171" t="s">
        <v>93</v>
      </c>
      <c r="C25" s="219"/>
      <c r="D25" s="116">
        <f t="shared" si="8"/>
        <v>8.0320000000000003E-2</v>
      </c>
      <c r="E25" s="160">
        <f t="shared" si="9"/>
        <v>5.9693875E-2</v>
      </c>
      <c r="F25" s="223"/>
      <c r="G25" s="165">
        <f t="shared" si="0"/>
        <v>0.21651387500000002</v>
      </c>
      <c r="I25" s="168">
        <v>100000</v>
      </c>
      <c r="J25" s="140">
        <v>29200</v>
      </c>
      <c r="K25" s="140">
        <f t="shared" si="10"/>
        <v>70800</v>
      </c>
      <c r="L25" s="140">
        <f>(K25-23200)*0.12+2320</f>
        <v>8032</v>
      </c>
      <c r="M25" s="141">
        <f t="shared" si="11"/>
        <v>8.0320000000000003E-2</v>
      </c>
      <c r="N25" s="105"/>
      <c r="O25" s="120">
        <f>I25-MIN(L25,8250)</f>
        <v>91968</v>
      </c>
      <c r="P25" s="118">
        <v>5495</v>
      </c>
      <c r="Q25" s="118">
        <f>O25-P25</f>
        <v>86473</v>
      </c>
      <c r="R25" s="118">
        <f>(Q25-50000)*0.0875+3774</f>
        <v>6965.3874999999998</v>
      </c>
      <c r="S25" s="118">
        <f>IF(R25&gt;996, R25-996,R25)</f>
        <v>5969.3874999999998</v>
      </c>
      <c r="T25" s="121">
        <f t="shared" si="13"/>
        <v>5.9693875E-2</v>
      </c>
      <c r="U25" s="36"/>
    </row>
    <row r="26" spans="2:25" ht="15" x14ac:dyDescent="0.2">
      <c r="B26" s="142" t="s">
        <v>80</v>
      </c>
      <c r="C26" s="220">
        <v>147009</v>
      </c>
      <c r="D26" s="76">
        <f t="shared" si="8"/>
        <v>0.16883605765633394</v>
      </c>
      <c r="E26" s="76">
        <f t="shared" si="9"/>
        <v>7.7207687964682428E-2</v>
      </c>
      <c r="F26" s="223"/>
      <c r="G26" s="164">
        <f t="shared" si="0"/>
        <v>0.3225437456210164</v>
      </c>
      <c r="I26" s="143">
        <v>147009</v>
      </c>
      <c r="J26" s="144">
        <v>14600</v>
      </c>
      <c r="K26" s="144">
        <f t="shared" si="10"/>
        <v>132409</v>
      </c>
      <c r="L26" s="144">
        <f>(K26-100526)*0.24+(100525-47150)*0.22+(47150-11600)*0.12+1160</f>
        <v>24820.42</v>
      </c>
      <c r="M26" s="145">
        <f t="shared" si="11"/>
        <v>0.16883605765633394</v>
      </c>
      <c r="N26" s="97"/>
      <c r="O26" s="127">
        <f t="shared" ref="O26:O27" si="14">I26-MIN(L26,8250)</f>
        <v>138759</v>
      </c>
      <c r="P26" s="125">
        <v>2745</v>
      </c>
      <c r="Q26" s="125">
        <f t="shared" ref="Q26:Q28" si="15">O26-P26</f>
        <v>136014</v>
      </c>
      <c r="R26" s="125">
        <f>(Q26-50000)*0.0875+4073</f>
        <v>11599.224999999999</v>
      </c>
      <c r="S26" s="125">
        <f>IF(R26&gt;249, R26-249,R26)</f>
        <v>11350.224999999999</v>
      </c>
      <c r="T26" s="128">
        <f t="shared" si="13"/>
        <v>7.7207687964682428E-2</v>
      </c>
      <c r="U26" s="36"/>
    </row>
    <row r="27" spans="2:25" ht="15" x14ac:dyDescent="0.2">
      <c r="B27" s="149" t="s">
        <v>81</v>
      </c>
      <c r="C27" s="221"/>
      <c r="D27" s="101">
        <f t="shared" si="8"/>
        <v>0.10899849669067881</v>
      </c>
      <c r="E27" s="101">
        <f t="shared" si="9"/>
        <v>6.8455672781938509E-2</v>
      </c>
      <c r="F27" s="223"/>
      <c r="G27" s="167">
        <f t="shared" si="0"/>
        <v>0.25395416947261734</v>
      </c>
      <c r="I27" s="172">
        <v>147009</v>
      </c>
      <c r="J27" s="132">
        <v>29200</v>
      </c>
      <c r="K27" s="132">
        <f t="shared" si="10"/>
        <v>117809</v>
      </c>
      <c r="L27" s="132">
        <f>(K27-94301)*0.22+(94300-23200)*0.12+2320</f>
        <v>16023.76</v>
      </c>
      <c r="M27" s="133">
        <f t="shared" si="11"/>
        <v>0.10899849669067881</v>
      </c>
      <c r="N27" s="105"/>
      <c r="O27" s="173">
        <f t="shared" si="14"/>
        <v>138759</v>
      </c>
      <c r="P27" s="174">
        <v>5495</v>
      </c>
      <c r="Q27" s="174">
        <f t="shared" si="15"/>
        <v>133264</v>
      </c>
      <c r="R27" s="174">
        <f>(Q27-50000)*0.0875+3774</f>
        <v>11059.599999999999</v>
      </c>
      <c r="S27" s="174">
        <f>IF(R27&gt;996, R27-996,R27)</f>
        <v>10063.599999999999</v>
      </c>
      <c r="T27" s="175">
        <f t="shared" si="13"/>
        <v>6.8455672781938509E-2</v>
      </c>
      <c r="U27" s="36"/>
    </row>
    <row r="28" spans="2:25" ht="36.6" customHeight="1" thickBot="1" x14ac:dyDescent="0.25">
      <c r="B28" s="189" t="s">
        <v>95</v>
      </c>
      <c r="C28" s="192">
        <v>120000</v>
      </c>
      <c r="D28" s="184">
        <f t="shared" ref="D28" si="16">M28</f>
        <v>0.15282083333333332</v>
      </c>
      <c r="E28" s="185">
        <f t="shared" si="9"/>
        <v>7.4891145833333339E-2</v>
      </c>
      <c r="F28" s="224"/>
      <c r="G28" s="186">
        <f t="shared" si="0"/>
        <v>0.30421197916666665</v>
      </c>
      <c r="I28" s="40">
        <f>C28</f>
        <v>120000</v>
      </c>
      <c r="J28" s="41">
        <v>14600</v>
      </c>
      <c r="K28" s="41">
        <f>MAX(I28-J28,0)</f>
        <v>105400</v>
      </c>
      <c r="L28" s="111">
        <f>(K28-100525)*0.24+(100525-47150)*0.22+(47150-11600)*0.12+1160</f>
        <v>18338.5</v>
      </c>
      <c r="M28" s="42">
        <f t="shared" ref="M28" si="17">L28/I28</f>
        <v>0.15282083333333332</v>
      </c>
      <c r="O28" s="40">
        <f>I28-MIN(L28,8250)</f>
        <v>111750</v>
      </c>
      <c r="P28" s="41">
        <v>2745</v>
      </c>
      <c r="Q28" s="41">
        <f t="shared" si="15"/>
        <v>109005</v>
      </c>
      <c r="R28" s="41">
        <f>(Q28-50000)*0.0875+4073</f>
        <v>9235.9375</v>
      </c>
      <c r="S28" s="41">
        <f>IF(R28&gt;249, R28-249,R28)</f>
        <v>8986.9375</v>
      </c>
      <c r="T28" s="43">
        <f t="shared" ref="T28" si="18">S28/I28</f>
        <v>7.4891145833333339E-2</v>
      </c>
    </row>
    <row r="29" spans="2:25" ht="57" customHeight="1" thickBot="1" x14ac:dyDescent="0.25">
      <c r="C29" s="187"/>
      <c r="L29" s="157"/>
      <c r="O29" s="217" t="s">
        <v>79</v>
      </c>
      <c r="P29" s="217"/>
      <c r="Q29" s="217"/>
      <c r="R29" s="217"/>
      <c r="S29" s="217"/>
      <c r="T29" s="217"/>
    </row>
    <row r="30" spans="2:25" ht="25.5" x14ac:dyDescent="0.2">
      <c r="D30" s="44" t="s">
        <v>51</v>
      </c>
      <c r="E30" s="45" t="s">
        <v>52</v>
      </c>
      <c r="F30" s="46" t="s">
        <v>53</v>
      </c>
      <c r="U30" s="188"/>
      <c r="V30" s="188"/>
      <c r="W30" s="188"/>
      <c r="X30" s="188"/>
      <c r="Y30" s="188"/>
    </row>
    <row r="31" spans="2:25" ht="13.5" thickBot="1" x14ac:dyDescent="0.25">
      <c r="D31" s="47">
        <v>6.2E-2</v>
      </c>
      <c r="E31" s="48">
        <v>1.4500000000000001E-2</v>
      </c>
      <c r="F31" s="49">
        <v>7.6499999999999999E-2</v>
      </c>
    </row>
    <row r="33" spans="10:22" x14ac:dyDescent="0.2">
      <c r="J33" s="50"/>
      <c r="R33" s="51"/>
      <c r="S33" s="51"/>
    </row>
    <row r="34" spans="10:22" x14ac:dyDescent="0.2">
      <c r="J34" s="50"/>
      <c r="R34" s="51"/>
      <c r="S34" s="51"/>
      <c r="V34" s="36"/>
    </row>
    <row r="35" spans="10:22" x14ac:dyDescent="0.2">
      <c r="J35" s="50"/>
      <c r="R35" s="51"/>
      <c r="S35" s="51"/>
      <c r="V35" s="36"/>
    </row>
    <row r="36" spans="10:22" x14ac:dyDescent="0.2">
      <c r="V36" s="36"/>
    </row>
  </sheetData>
  <sheetProtection algorithmName="SHA-512" hashValue="8bOG9lcxNvL7tDtjEAHUBFryMXiR7UEJl0/bEN7y9h2wvMHGT7+zqdjwtTUpwOePjtbeq4+oB86RToZN8fOh/Q==" saltValue="1K8r2HMWX6z/wjqQSkmo9w==" spinCount="100000" sheet="1" objects="1" scenarios="1"/>
  <mergeCells count="13">
    <mergeCell ref="O29:T29"/>
    <mergeCell ref="C24:C25"/>
    <mergeCell ref="C26:C27"/>
    <mergeCell ref="F10:F28"/>
    <mergeCell ref="A2:B7"/>
    <mergeCell ref="C10:C11"/>
    <mergeCell ref="C12:C13"/>
    <mergeCell ref="C14:C15"/>
    <mergeCell ref="C16:C17"/>
    <mergeCell ref="C18:C19"/>
    <mergeCell ref="C20:C21"/>
    <mergeCell ref="C22:C23"/>
    <mergeCell ref="C6:G6"/>
  </mergeCells>
  <dataValidations count="1">
    <dataValidation type="decimal" allowBlank="1" showInputMessage="1" showErrorMessage="1" sqref="C28" xr:uid="{78A8EC57-BC15-47DB-9F6C-3415FAEB6C8F}">
      <formula1>100526</formula1>
      <formula2>168600</formula2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6549-A698-47BB-B6F1-E03F9A593033}">
  <dimension ref="B1:E33"/>
  <sheetViews>
    <sheetView workbookViewId="0">
      <selection activeCell="F25" sqref="F25"/>
    </sheetView>
  </sheetViews>
  <sheetFormatPr defaultColWidth="9.140625" defaultRowHeight="12.75" x14ac:dyDescent="0.2"/>
  <cols>
    <col min="1" max="2" width="9.140625" style="2"/>
    <col min="3" max="3" width="25.7109375" style="2" customWidth="1"/>
    <col min="4" max="4" width="27.28515625" style="2" customWidth="1"/>
    <col min="5" max="5" width="28" style="2" bestFit="1" customWidth="1"/>
    <col min="6" max="6" width="29" style="2" customWidth="1"/>
    <col min="7" max="7" width="13.5703125" style="2" customWidth="1"/>
    <col min="8" max="12" width="9.140625" style="2"/>
    <col min="13" max="13" width="11" style="2" bestFit="1" customWidth="1"/>
    <col min="14" max="15" width="10" style="2" bestFit="1" customWidth="1"/>
    <col min="16" max="16" width="12" style="2" bestFit="1" customWidth="1"/>
    <col min="17" max="17" width="9.140625" style="2"/>
    <col min="18" max="18" width="11" style="2" bestFit="1" customWidth="1"/>
    <col min="19" max="19" width="12" style="2" bestFit="1" customWidth="1"/>
    <col min="20" max="16384" width="9.140625" style="2"/>
  </cols>
  <sheetData>
    <row r="1" spans="2:5" x14ac:dyDescent="0.2">
      <c r="B1" s="1"/>
      <c r="C1" s="1"/>
    </row>
    <row r="2" spans="2:5" x14ac:dyDescent="0.2">
      <c r="B2" s="211"/>
      <c r="C2" s="211"/>
    </row>
    <row r="3" spans="2:5" x14ac:dyDescent="0.2">
      <c r="B3" s="211"/>
      <c r="C3" s="211"/>
    </row>
    <row r="4" spans="2:5" x14ac:dyDescent="0.2">
      <c r="B4" s="211"/>
      <c r="C4" s="211"/>
    </row>
    <row r="5" spans="2:5" x14ac:dyDescent="0.2">
      <c r="B5" s="211"/>
      <c r="C5" s="211"/>
    </row>
    <row r="6" spans="2:5" x14ac:dyDescent="0.2">
      <c r="B6" s="211"/>
      <c r="C6" s="211"/>
    </row>
    <row r="12" spans="2:5" ht="18" x14ac:dyDescent="0.25">
      <c r="C12" s="3" t="s">
        <v>0</v>
      </c>
      <c r="D12" s="4"/>
      <c r="E12" s="5"/>
    </row>
    <row r="13" spans="2:5" x14ac:dyDescent="0.2">
      <c r="C13" s="6" t="s">
        <v>1</v>
      </c>
      <c r="E13" s="7"/>
    </row>
    <row r="14" spans="2:5" x14ac:dyDescent="0.2">
      <c r="C14" s="66" t="s">
        <v>2</v>
      </c>
      <c r="E14" s="7"/>
    </row>
    <row r="15" spans="2:5" x14ac:dyDescent="0.2">
      <c r="C15" s="8" t="s">
        <v>3</v>
      </c>
      <c r="E15" s="7"/>
    </row>
    <row r="16" spans="2:5" x14ac:dyDescent="0.2">
      <c r="C16" s="9" t="s">
        <v>4</v>
      </c>
      <c r="D16" s="10" t="s">
        <v>5</v>
      </c>
      <c r="E16" s="11" t="s">
        <v>6</v>
      </c>
    </row>
    <row r="17" spans="3:5" x14ac:dyDescent="0.2">
      <c r="C17" s="12">
        <v>0.1</v>
      </c>
      <c r="D17" s="13" t="s">
        <v>7</v>
      </c>
      <c r="E17" s="14" t="s">
        <v>8</v>
      </c>
    </row>
    <row r="18" spans="3:5" x14ac:dyDescent="0.2">
      <c r="C18" s="15">
        <v>0.12</v>
      </c>
      <c r="D18" t="s">
        <v>9</v>
      </c>
      <c r="E18" s="16" t="s">
        <v>10</v>
      </c>
    </row>
    <row r="19" spans="3:5" x14ac:dyDescent="0.2">
      <c r="C19" s="12">
        <v>0.22</v>
      </c>
      <c r="D19" s="13" t="s">
        <v>11</v>
      </c>
      <c r="E19" s="14" t="s">
        <v>12</v>
      </c>
    </row>
    <row r="20" spans="3:5" x14ac:dyDescent="0.2">
      <c r="C20" s="15">
        <v>0.24</v>
      </c>
      <c r="D20" t="s">
        <v>13</v>
      </c>
      <c r="E20" s="16" t="s">
        <v>14</v>
      </c>
    </row>
    <row r="21" spans="3:5" x14ac:dyDescent="0.2">
      <c r="C21" s="12">
        <v>0.32</v>
      </c>
      <c r="D21" s="13" t="s">
        <v>15</v>
      </c>
      <c r="E21" s="14" t="s">
        <v>16</v>
      </c>
    </row>
    <row r="22" spans="3:5" x14ac:dyDescent="0.2">
      <c r="C22" s="15">
        <v>0.35</v>
      </c>
      <c r="D22" t="s">
        <v>17</v>
      </c>
      <c r="E22" s="16" t="s">
        <v>18</v>
      </c>
    </row>
    <row r="23" spans="3:5" x14ac:dyDescent="0.2">
      <c r="C23" s="12">
        <v>0.37</v>
      </c>
      <c r="D23" s="13" t="s">
        <v>19</v>
      </c>
      <c r="E23" s="14" t="s">
        <v>20</v>
      </c>
    </row>
    <row r="24" spans="3:5" ht="13.5" thickBot="1" x14ac:dyDescent="0.25">
      <c r="C24" s="17"/>
      <c r="E24" s="7"/>
    </row>
    <row r="25" spans="3:5" ht="18" x14ac:dyDescent="0.25">
      <c r="C25" s="18" t="s">
        <v>21</v>
      </c>
      <c r="D25" s="19"/>
      <c r="E25" s="20"/>
    </row>
    <row r="26" spans="3:5" x14ac:dyDescent="0.2">
      <c r="C26" s="6" t="s">
        <v>22</v>
      </c>
      <c r="D26" s="21"/>
      <c r="E26" s="22"/>
    </row>
    <row r="27" spans="3:5" x14ac:dyDescent="0.2">
      <c r="C27" s="6" t="s">
        <v>23</v>
      </c>
      <c r="E27" s="7"/>
    </row>
    <row r="28" spans="3:5" x14ac:dyDescent="0.2">
      <c r="C28" s="6" t="s">
        <v>24</v>
      </c>
      <c r="E28" s="7"/>
    </row>
    <row r="29" spans="3:5" x14ac:dyDescent="0.2">
      <c r="C29" s="6" t="s">
        <v>25</v>
      </c>
      <c r="E29" s="7"/>
    </row>
    <row r="30" spans="3:5" x14ac:dyDescent="0.2">
      <c r="C30" s="6" t="s">
        <v>26</v>
      </c>
      <c r="E30" s="7"/>
    </row>
    <row r="31" spans="3:5" x14ac:dyDescent="0.2">
      <c r="C31" s="6"/>
      <c r="E31" s="7"/>
    </row>
    <row r="32" spans="3:5" ht="18" x14ac:dyDescent="0.25">
      <c r="C32" s="23" t="s">
        <v>27</v>
      </c>
      <c r="D32" s="24"/>
      <c r="E32" s="25"/>
    </row>
    <row r="33" spans="3:5" ht="13.5" thickBot="1" x14ac:dyDescent="0.25">
      <c r="C33" s="26" t="s">
        <v>28</v>
      </c>
      <c r="D33" s="27"/>
      <c r="E33" s="28" t="s">
        <v>29</v>
      </c>
    </row>
  </sheetData>
  <sheetProtection algorithmName="SHA-512" hashValue="r3sVe3B8YQsdF95rYq41IoiqofSXQUvIxQJb/Po15aL3Yex7o/JYsw9XSYTL6k71qsg2/OduT1iLaJADCLIs3w==" saltValue="CPAEa0able69991h9WbJRQ==" spinCount="100000" sheet="1" selectLockedCells="1"/>
  <mergeCells count="1">
    <mergeCell ref="B2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375-3F9D-453F-9CC0-9CF1FF0C688A}">
  <dimension ref="A1:J15"/>
  <sheetViews>
    <sheetView workbookViewId="0">
      <selection activeCell="G17" sqref="G17"/>
    </sheetView>
  </sheetViews>
  <sheetFormatPr defaultColWidth="9.140625" defaultRowHeight="15" x14ac:dyDescent="0.2"/>
  <cols>
    <col min="1" max="3" width="9.140625" style="75"/>
    <col min="4" max="4" width="27.7109375" style="75" bestFit="1" customWidth="1"/>
    <col min="5" max="5" width="31.85546875" style="75" customWidth="1"/>
    <col min="6" max="6" width="22.42578125" style="75" customWidth="1"/>
    <col min="7" max="7" width="25" style="75" customWidth="1"/>
    <col min="8" max="8" width="21.5703125" style="75" customWidth="1"/>
    <col min="9" max="9" width="18" style="75" customWidth="1"/>
    <col min="10" max="10" width="14.5703125" style="75" customWidth="1"/>
    <col min="11" max="11" width="15.7109375" style="75" customWidth="1"/>
    <col min="12" max="12" width="11.5703125" style="75" bestFit="1" customWidth="1"/>
    <col min="13" max="13" width="11.5703125" style="75" customWidth="1"/>
    <col min="14" max="14" width="12" style="75" customWidth="1"/>
    <col min="15" max="15" width="12.28515625" style="75" bestFit="1" customWidth="1"/>
    <col min="16" max="16" width="11.42578125" style="75" customWidth="1"/>
    <col min="17" max="17" width="2.42578125" style="75" customWidth="1"/>
    <col min="18" max="18" width="12.28515625" style="75" bestFit="1" customWidth="1"/>
    <col min="19" max="19" width="13.85546875" style="75" customWidth="1"/>
    <col min="20" max="20" width="12.28515625" style="75" bestFit="1" customWidth="1"/>
    <col min="21" max="21" width="11" style="75" bestFit="1" customWidth="1"/>
    <col min="22" max="22" width="14.5703125" style="75" customWidth="1"/>
    <col min="23" max="23" width="1.42578125" style="75" customWidth="1"/>
    <col min="24" max="24" width="12.42578125" style="75" customWidth="1"/>
    <col min="25" max="25" width="13.42578125" style="75" customWidth="1"/>
    <col min="26" max="26" width="13.85546875" style="75" customWidth="1"/>
    <col min="27" max="27" width="16.140625" style="75" customWidth="1"/>
    <col min="28" max="28" width="15.5703125" style="75" customWidth="1"/>
    <col min="29" max="29" width="13.5703125" style="75" customWidth="1"/>
    <col min="30" max="16384" width="9.140625" style="75"/>
  </cols>
  <sheetData>
    <row r="1" spans="1:10" x14ac:dyDescent="0.2">
      <c r="I1" s="69"/>
      <c r="J1" s="69"/>
    </row>
    <row r="2" spans="1:10" x14ac:dyDescent="0.2">
      <c r="A2" s="211"/>
      <c r="B2" s="211"/>
      <c r="C2" s="211"/>
      <c r="D2" s="211"/>
    </row>
    <row r="3" spans="1:10" x14ac:dyDescent="0.2">
      <c r="A3" s="211"/>
      <c r="B3" s="211"/>
      <c r="C3" s="211"/>
      <c r="D3" s="211"/>
    </row>
    <row r="4" spans="1:10" x14ac:dyDescent="0.2">
      <c r="A4" s="211"/>
      <c r="B4" s="211"/>
      <c r="C4" s="211"/>
      <c r="D4" s="211"/>
    </row>
    <row r="5" spans="1:10" x14ac:dyDescent="0.2">
      <c r="A5" s="211"/>
      <c r="B5" s="211"/>
      <c r="C5" s="211"/>
      <c r="D5" s="211"/>
      <c r="E5" s="233"/>
      <c r="F5" s="233"/>
      <c r="G5" s="233"/>
      <c r="H5" s="233"/>
      <c r="I5" s="233"/>
    </row>
    <row r="6" spans="1:10" ht="32.25" customHeight="1" x14ac:dyDescent="0.2">
      <c r="A6" s="211"/>
      <c r="B6" s="211"/>
      <c r="C6" s="211"/>
      <c r="D6" s="211"/>
      <c r="E6" s="234" t="s">
        <v>86</v>
      </c>
      <c r="F6" s="234"/>
      <c r="G6" s="234"/>
      <c r="H6" s="234"/>
      <c r="I6" s="234"/>
    </row>
    <row r="7" spans="1:10" ht="29.25" customHeight="1" x14ac:dyDescent="0.2">
      <c r="A7" s="211"/>
      <c r="B7" s="211"/>
      <c r="C7" s="211"/>
      <c r="D7" s="211"/>
      <c r="E7" s="234" t="s">
        <v>96</v>
      </c>
      <c r="F7" s="234"/>
      <c r="G7" s="234"/>
      <c r="H7" s="234"/>
      <c r="I7" s="234"/>
    </row>
    <row r="8" spans="1:10" x14ac:dyDescent="0.2">
      <c r="A8" s="211"/>
      <c r="B8" s="211"/>
      <c r="C8" s="211"/>
      <c r="D8" s="211"/>
    </row>
    <row r="9" spans="1:10" x14ac:dyDescent="0.2">
      <c r="A9" s="211"/>
      <c r="B9" s="211"/>
      <c r="C9" s="211"/>
      <c r="D9" s="211"/>
    </row>
    <row r="10" spans="1:10" ht="78.75" x14ac:dyDescent="0.25">
      <c r="A10" s="211"/>
      <c r="B10" s="211"/>
      <c r="C10" s="211"/>
      <c r="D10" s="211"/>
      <c r="E10" s="77" t="s">
        <v>83</v>
      </c>
      <c r="F10" s="77" t="s">
        <v>91</v>
      </c>
      <c r="G10" s="77" t="s">
        <v>84</v>
      </c>
      <c r="H10" s="77" t="s">
        <v>87</v>
      </c>
      <c r="I10" s="77" t="s">
        <v>85</v>
      </c>
    </row>
    <row r="11" spans="1:10" ht="15.75" x14ac:dyDescent="0.25">
      <c r="D11" s="70" t="s">
        <v>82</v>
      </c>
      <c r="E11" s="71" t="s">
        <v>63</v>
      </c>
      <c r="F11" s="232">
        <v>1884.8227999999999</v>
      </c>
      <c r="G11" s="72">
        <f>F11/0.6667</f>
        <v>2827.0928453577321</v>
      </c>
      <c r="H11" s="72">
        <f>G11*52</f>
        <v>147008.82795860208</v>
      </c>
      <c r="I11" s="72">
        <f>G11*0.6667</f>
        <v>1884.8227999999999</v>
      </c>
    </row>
    <row r="12" spans="1:10" ht="30.75" x14ac:dyDescent="0.25">
      <c r="D12" s="70" t="s">
        <v>64</v>
      </c>
      <c r="E12" s="73" t="s">
        <v>67</v>
      </c>
      <c r="F12" s="232"/>
      <c r="G12" s="74">
        <f>((F11-(0.8*1062.8))/0.6667)+1062.8</f>
        <v>2614.5966101694912</v>
      </c>
      <c r="H12" s="72">
        <f t="shared" ref="H12:H13" si="0">G12*52</f>
        <v>135959.02372881354</v>
      </c>
      <c r="I12" s="74">
        <f>(0.8*1062.8)+(G12-1062.8)*0.6667</f>
        <v>1884.8227999999997</v>
      </c>
    </row>
    <row r="13" spans="1:10" ht="30.75" x14ac:dyDescent="0.25">
      <c r="D13" s="70" t="s">
        <v>66</v>
      </c>
      <c r="E13" s="73" t="s">
        <v>65</v>
      </c>
      <c r="F13" s="232"/>
      <c r="G13" s="74">
        <f>((F11-(0.75*1062.8))/0.6667)+1062.8</f>
        <v>2694.3026248687565</v>
      </c>
      <c r="H13" s="72">
        <f t="shared" si="0"/>
        <v>140103.73649317533</v>
      </c>
      <c r="I13" s="74">
        <f>(0.75*1062.8)+(G13-1062.8)*0.6667</f>
        <v>1884.8227999999999</v>
      </c>
    </row>
    <row r="15" spans="1:10" ht="32.25" customHeight="1" x14ac:dyDescent="0.2"/>
  </sheetData>
  <sheetProtection algorithmName="SHA-512" hashValue="OSW8YfGPuinoDOgF2z44wTcc/fEJEOv9Rn96ukF5sSH0USTFY71inaLrnjRVGZpceRd0i47ASWLp0T8msISeWQ==" saltValue="wpSfA9kL1yQKxBdE4OssjQ==" spinCount="100000" sheet="1" objects="1" scenarios="1"/>
  <mergeCells count="5">
    <mergeCell ref="F11:F13"/>
    <mergeCell ref="A2:D10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B56D9C83FF340B2C728E69D897028" ma:contentTypeVersion="2" ma:contentTypeDescription="Create a new document." ma:contentTypeScope="" ma:versionID="0853c84d9d16127849002ba01a4f0955">
  <xsd:schema xmlns:xsd="http://www.w3.org/2001/XMLSchema" xmlns:xs="http://www.w3.org/2001/XMLSchema" xmlns:p="http://schemas.microsoft.com/office/2006/metadata/properties" xmlns:ns1="http://schemas.microsoft.com/sharepoint/v3" xmlns:ns2="d1f43dc5-2603-47ff-adfb-9ba8e998a36b" targetNamespace="http://schemas.microsoft.com/office/2006/metadata/properties" ma:root="true" ma:fieldsID="fd5a28385f2114546165ef5c1a68b064" ns1:_="" ns2:_="">
    <xsd:import namespace="http://schemas.microsoft.com/sharepoint/v3"/>
    <xsd:import namespace="d1f43dc5-2603-47ff-adfb-9ba8e998a36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3dc5-2603-47ff-adfb-9ba8e998a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116DA6-D3DC-461E-9EF1-70879218B772}"/>
</file>

<file path=customXml/itemProps2.xml><?xml version="1.0" encoding="utf-8"?>
<ds:datastoreItem xmlns:ds="http://schemas.openxmlformats.org/officeDocument/2006/customXml" ds:itemID="{B632EBB2-D247-4978-9891-F6B1E77173FB}"/>
</file>

<file path=customXml/itemProps3.xml><?xml version="1.0" encoding="utf-8"?>
<ds:datastoreItem xmlns:ds="http://schemas.openxmlformats.org/officeDocument/2006/customXml" ds:itemID="{304A7C62-04B8-419E-B861-8D4DE2A1AE3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Interactive Flat TTD Rate</vt:lpstr>
      <vt:lpstr>Interactive Tiered TTD Rate</vt:lpstr>
      <vt:lpstr>2024 Interactive Tax Rates</vt:lpstr>
      <vt:lpstr>2024 Tax Info</vt:lpstr>
      <vt:lpstr>Maximum Benefit Wage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Robles Rafael</dc:creator>
  <cp:lastModifiedBy>Watson Teri A</cp:lastModifiedBy>
  <dcterms:created xsi:type="dcterms:W3CDTF">2025-07-11T21:29:09Z</dcterms:created>
  <dcterms:modified xsi:type="dcterms:W3CDTF">2025-10-01T12:42:48Z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0x0101009A6B56D9C83FF340B2C728E69D897028</vt:lpwstr>
  </property>
</Properties>
</file>