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795" yWindow="270" windowWidth="15870" windowHeight="12885" activeTab="0"/>
  </bookViews>
  <sheets>
    <sheet name="List of Proposed Grants" sheetId="1" r:id="rId1"/>
  </sheets>
  <definedNames>
    <definedName name="_xlnm.Print_Area" localSheetId="0">'List of Proposed Grants'!$A$1:$J$172</definedName>
    <definedName name="_xlnm.Print_Titles" localSheetId="0">'List of Proposed Grants'!$1:$1</definedName>
  </definedNames>
  <calcPr fullCalcOnLoad="1"/>
</workbook>
</file>

<file path=xl/sharedStrings.xml><?xml version="1.0" encoding="utf-8"?>
<sst xmlns="http://schemas.openxmlformats.org/spreadsheetml/2006/main" count="191" uniqueCount="191">
  <si>
    <t>MORROW COUNTY</t>
  </si>
  <si>
    <t>MULTNOMAH COUNTY</t>
  </si>
  <si>
    <t xml:space="preserve">  Multnomah CL</t>
  </si>
  <si>
    <t>POLK COUNTY</t>
  </si>
  <si>
    <t xml:space="preserve">  Dallas PL</t>
  </si>
  <si>
    <t>WASHINGTON COUNTY</t>
  </si>
  <si>
    <t xml:space="preserve">  Banks PL</t>
  </si>
  <si>
    <t xml:space="preserve">  Beaverton PL</t>
  </si>
  <si>
    <t xml:space="preserve">  Cornelius PL</t>
  </si>
  <si>
    <t xml:space="preserve">  Forest Grove PL</t>
  </si>
  <si>
    <t xml:space="preserve">  Hillsboro PL</t>
  </si>
  <si>
    <t xml:space="preserve">  Sherwood PL</t>
  </si>
  <si>
    <t xml:space="preserve">  Tigard PL</t>
  </si>
  <si>
    <t xml:space="preserve">  Tualatin PL</t>
  </si>
  <si>
    <t>TOTALS</t>
  </si>
  <si>
    <t xml:space="preserve">  Toledo PL</t>
  </si>
  <si>
    <t xml:space="preserve">  Waldport PL</t>
  </si>
  <si>
    <t xml:space="preserve">  Yachats PL</t>
  </si>
  <si>
    <t>LINN COUNTY</t>
  </si>
  <si>
    <t xml:space="preserve">  Albany PL</t>
  </si>
  <si>
    <t xml:space="preserve">  Brownsville PL</t>
  </si>
  <si>
    <t xml:space="preserve">  Harrisburg PL</t>
  </si>
  <si>
    <t xml:space="preserve">  Lebanon PL</t>
  </si>
  <si>
    <t xml:space="preserve">  Lyons PL</t>
  </si>
  <si>
    <t xml:space="preserve">  Sweet Home PL</t>
  </si>
  <si>
    <t xml:space="preserve">  Springfield PL</t>
  </si>
  <si>
    <t>LINCOLN COUNTY</t>
  </si>
  <si>
    <t xml:space="preserve">  Driftwood L (Lincoln City)</t>
  </si>
  <si>
    <t xml:space="preserve">  Newport PL</t>
  </si>
  <si>
    <t xml:space="preserve">  Independence PL</t>
  </si>
  <si>
    <t xml:space="preserve">  Monmouth PL</t>
  </si>
  <si>
    <t>WHEELER COUNTY</t>
  </si>
  <si>
    <t xml:space="preserve">  Fossil PL</t>
  </si>
  <si>
    <t>YAMHILL COUNTY</t>
  </si>
  <si>
    <t xml:space="preserve">  Amity PL</t>
  </si>
  <si>
    <t xml:space="preserve">  Helix PL</t>
  </si>
  <si>
    <t xml:space="preserve">  Hermiston PL</t>
  </si>
  <si>
    <t xml:space="preserve">  Milton-Freewater PL</t>
  </si>
  <si>
    <t xml:space="preserve">  Pendleton PL</t>
  </si>
  <si>
    <t xml:space="preserve">  Pilot Rock PL</t>
  </si>
  <si>
    <t xml:space="preserve">  Stanfield PL</t>
  </si>
  <si>
    <t xml:space="preserve">  Ukiah PL</t>
  </si>
  <si>
    <t xml:space="preserve">  Umatilla PL</t>
  </si>
  <si>
    <t xml:space="preserve">  Weston PL</t>
  </si>
  <si>
    <t>UNION COUNTY</t>
  </si>
  <si>
    <t xml:space="preserve">  Tillamook CL</t>
  </si>
  <si>
    <t>UMATILLA COUNTY</t>
  </si>
  <si>
    <t xml:space="preserve">  Astoria PL</t>
  </si>
  <si>
    <t xml:space="preserve">  Warrenton Community L</t>
  </si>
  <si>
    <t>HARNEY COUNTY</t>
  </si>
  <si>
    <t xml:space="preserve">  Harney CL</t>
  </si>
  <si>
    <t>HOOD RIVER COUNTY</t>
  </si>
  <si>
    <t>SHERMAN COUNTY</t>
  </si>
  <si>
    <t>TILLAMOOK COUNTY</t>
  </si>
  <si>
    <t>JACKSON COUNTY</t>
  </si>
  <si>
    <t>KLAMATH COUNTY</t>
  </si>
  <si>
    <t xml:space="preserve">  Jefferson PL</t>
  </si>
  <si>
    <t xml:space="preserve">  Mt. Angel PL</t>
  </si>
  <si>
    <t xml:space="preserve">  Salem PL</t>
  </si>
  <si>
    <t xml:space="preserve">  Elgin PL</t>
  </si>
  <si>
    <t xml:space="preserve">  Union PL</t>
  </si>
  <si>
    <t>WALLOWA COUNTY</t>
  </si>
  <si>
    <t xml:space="preserve">  Enterprise PL</t>
  </si>
  <si>
    <t xml:space="preserve">  Joseph PL</t>
  </si>
  <si>
    <t xml:space="preserve">  Wallowa PL</t>
  </si>
  <si>
    <t>WASCO COUNTY</t>
  </si>
  <si>
    <t xml:space="preserve">  McMinnville PL</t>
  </si>
  <si>
    <t xml:space="preserve">  Newberg PL</t>
  </si>
  <si>
    <t xml:space="preserve">  Sheridan PL</t>
  </si>
  <si>
    <t xml:space="preserve">  Willamina PL</t>
  </si>
  <si>
    <t>BAKER COUNTY</t>
  </si>
  <si>
    <t>LANE COUNTY</t>
  </si>
  <si>
    <t xml:space="preserve">  Cottage Grove PL</t>
  </si>
  <si>
    <t xml:space="preserve">  Eugene PL</t>
  </si>
  <si>
    <t xml:space="preserve">  Junction City PL</t>
  </si>
  <si>
    <t xml:space="preserve">  Oakridge PL</t>
  </si>
  <si>
    <t xml:space="preserve">  Umatilla CSLD</t>
  </si>
  <si>
    <t xml:space="preserve">  Adams PL</t>
  </si>
  <si>
    <t>Grant Recipient</t>
  </si>
  <si>
    <t xml:space="preserve">  North Bend PL</t>
  </si>
  <si>
    <t>CROOK COUNTY</t>
  </si>
  <si>
    <t xml:space="preserve">  Crook CL</t>
  </si>
  <si>
    <t>CURRY COUNTY</t>
  </si>
  <si>
    <t>BENTON COUNTY</t>
  </si>
  <si>
    <t>CLACKAMAS COUNTY</t>
  </si>
  <si>
    <t xml:space="preserve">  Jefferson CLD</t>
  </si>
  <si>
    <t>GILLIAM COUNTY</t>
  </si>
  <si>
    <t xml:space="preserve">  Arlington PL</t>
  </si>
  <si>
    <t>GRANT COUNTY</t>
  </si>
  <si>
    <t>LAKE COUNTY</t>
  </si>
  <si>
    <t>MALHEUR COUNTY</t>
  </si>
  <si>
    <t xml:space="preserve">  Nyssa PL</t>
  </si>
  <si>
    <t>MARION COUNTY</t>
  </si>
  <si>
    <t xml:space="preserve">  North Powder PL</t>
  </si>
  <si>
    <t xml:space="preserve">  Stayton PL</t>
  </si>
  <si>
    <t xml:space="preserve">  Woodburn PL</t>
  </si>
  <si>
    <t xml:space="preserve">  Langlois LD</t>
  </si>
  <si>
    <t xml:space="preserve">  Port Orford LD</t>
  </si>
  <si>
    <t>DESCHUTES COUNTY</t>
  </si>
  <si>
    <t>DOUGLAS COUNTY</t>
  </si>
  <si>
    <t>CLATSOP COUNTY</t>
  </si>
  <si>
    <t xml:space="preserve">  Athena PL</t>
  </si>
  <si>
    <t xml:space="preserve">  Echo PL</t>
  </si>
  <si>
    <t>COLUMBIA COUNTY</t>
  </si>
  <si>
    <t xml:space="preserve">  Clatskanie LD</t>
  </si>
  <si>
    <t xml:space="preserve">  Rainier PL</t>
  </si>
  <si>
    <t xml:space="preserve">  St. Helens PL</t>
  </si>
  <si>
    <t xml:space="preserve">  Scappoose LD</t>
  </si>
  <si>
    <t xml:space="preserve">  Vernonia PL</t>
  </si>
  <si>
    <t>COOS COUNTY</t>
  </si>
  <si>
    <t xml:space="preserve">  Coos CLSD</t>
  </si>
  <si>
    <t xml:space="preserve">  Bandon PL</t>
  </si>
  <si>
    <t xml:space="preserve">  Coos Bay PL</t>
  </si>
  <si>
    <t xml:space="preserve">  Coquille PL</t>
  </si>
  <si>
    <t xml:space="preserve">  Lakeside PL</t>
  </si>
  <si>
    <t>JEFFERSON COUNTY</t>
  </si>
  <si>
    <t>JOSEPHINE COUNTY</t>
  </si>
  <si>
    <t xml:space="preserve">  North Plains PL</t>
  </si>
  <si>
    <t xml:space="preserve">  Lincoln CLD</t>
  </si>
  <si>
    <t xml:space="preserve">  Wasco CLSD</t>
  </si>
  <si>
    <t xml:space="preserve">  Jackson County LD</t>
  </si>
  <si>
    <t xml:space="preserve">  Dufur School/Community L</t>
  </si>
  <si>
    <t xml:space="preserve">  Ontario LD</t>
  </si>
  <si>
    <t xml:space="preserve">  Clackamas CL </t>
  </si>
  <si>
    <t xml:space="preserve">  Canby PL </t>
  </si>
  <si>
    <t xml:space="preserve">  Estacada PL</t>
  </si>
  <si>
    <t xml:space="preserve">  Gladstone PL </t>
  </si>
  <si>
    <t xml:space="preserve">  Lake Oswego PL </t>
  </si>
  <si>
    <t xml:space="preserve">  Molalla PL </t>
  </si>
  <si>
    <t xml:space="preserve">  Oregon City PL </t>
  </si>
  <si>
    <t xml:space="preserve">  Sandy PL </t>
  </si>
  <si>
    <t xml:space="preserve">  West Linn PL </t>
  </si>
  <si>
    <t xml:space="preserve">  Wilsonville PL </t>
  </si>
  <si>
    <t xml:space="preserve">  Sherman CL</t>
  </si>
  <si>
    <t xml:space="preserve">  The Dalles-Wasco CL</t>
  </si>
  <si>
    <t xml:space="preserve">  Corvallis/Benton CPL</t>
  </si>
  <si>
    <t xml:space="preserve">  Ledding L (Milwaukie)  </t>
  </si>
  <si>
    <t xml:space="preserve">  Mary Gilkey PL (Dayton)</t>
  </si>
  <si>
    <t xml:space="preserve">  Ione PL</t>
  </si>
  <si>
    <t>Total Population Served</t>
  </si>
  <si>
    <t>Approx. Sq. Miles</t>
  </si>
  <si>
    <t>Population Allocation (Per Youth)</t>
  </si>
  <si>
    <t>Sq. Mile Allocation</t>
  </si>
  <si>
    <t>Grant Base</t>
  </si>
  <si>
    <t>Total Grant</t>
  </si>
  <si>
    <t xml:space="preserve">  Baker CLD</t>
  </si>
  <si>
    <t xml:space="preserve">  Hazel M. Lewis L (Powers)</t>
  </si>
  <si>
    <t xml:space="preserve">  Agness Community LD</t>
  </si>
  <si>
    <t xml:space="preserve">  Gilliam CPL</t>
  </si>
  <si>
    <t xml:space="preserve">  Grant CPL</t>
  </si>
  <si>
    <t xml:space="preserve">  Hood River CLD</t>
  </si>
  <si>
    <t xml:space="preserve">  Josephine CL System</t>
  </si>
  <si>
    <t xml:space="preserve">  Lake CLD</t>
  </si>
  <si>
    <t xml:space="preserve">  Lowell PL </t>
  </si>
  <si>
    <t xml:space="preserve">  Oregon Trail LD (Morrow)</t>
  </si>
  <si>
    <t xml:space="preserve">  Chemeketa CRLS (Marion/Polk/Yamhill)</t>
  </si>
  <si>
    <t xml:space="preserve">  Silver Falls LD (Silverton)</t>
  </si>
  <si>
    <t>PL - Public Library</t>
  </si>
  <si>
    <t>CL - County Library</t>
  </si>
  <si>
    <t xml:space="preserve">CSLD - County Special Library District </t>
  </si>
  <si>
    <t>L - Library</t>
  </si>
  <si>
    <t>CPL - County Public Library</t>
  </si>
  <si>
    <t>PLD - Public Library District</t>
  </si>
  <si>
    <t>CLD - County Library District</t>
  </si>
  <si>
    <t xml:space="preserve">  Klamath CLSD</t>
  </si>
  <si>
    <t>CLSD - County Library Service District</t>
  </si>
  <si>
    <t xml:space="preserve">  Spray School/PL</t>
  </si>
  <si>
    <t xml:space="preserve">  Washington County CLS</t>
  </si>
  <si>
    <t>CLS - Cooperative Library Service</t>
  </si>
  <si>
    <t>CRLS - Cooperative Regional Library Service</t>
  </si>
  <si>
    <r>
      <t xml:space="preserve">  Southern Wasco CL </t>
    </r>
    <r>
      <rPr>
        <sz val="10"/>
        <rFont val="Helv"/>
        <family val="0"/>
      </rPr>
      <t>(Maupin)</t>
    </r>
  </si>
  <si>
    <t xml:space="preserve">  Scio PL</t>
  </si>
  <si>
    <t xml:space="preserve">  Cook Memorial (La Grande)</t>
  </si>
  <si>
    <t>Youth          0-14            in County</t>
  </si>
  <si>
    <t xml:space="preserve">  Halsey PL</t>
  </si>
  <si>
    <t xml:space="preserve">  Happy Valley L</t>
  </si>
  <si>
    <t xml:space="preserve">  Siuslaw PLD (Florence)</t>
  </si>
  <si>
    <t xml:space="preserve">  Lane LD (Creswell)</t>
  </si>
  <si>
    <t xml:space="preserve">  Fern Ridge Community LD (Veneta)</t>
  </si>
  <si>
    <t xml:space="preserve">  Curry PLD (Gold Beach)</t>
  </si>
  <si>
    <t xml:space="preserve">  Chetco Community PLD (Brookings)</t>
  </si>
  <si>
    <t xml:space="preserve">  Deschutes PLD </t>
  </si>
  <si>
    <t xml:space="preserve">  Emma Humphrey L (Vale)</t>
  </si>
  <si>
    <t xml:space="preserve">  Flora M. Laird L (Myrtle Point)</t>
  </si>
  <si>
    <t>Total Grant (rounded for distribution)</t>
  </si>
  <si>
    <t xml:space="preserve">  Seaside PL </t>
  </si>
  <si>
    <t>Youth   0-14 Served</t>
  </si>
  <si>
    <t xml:space="preserve">North Douglas Library District </t>
  </si>
  <si>
    <t>Roseburg</t>
  </si>
  <si>
    <t xml:space="preserve"> Lower Umpqua Library District</t>
  </si>
  <si>
    <t xml:space="preserve"> Sutherlin PL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</si>
</sst>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&quot;$&quot;#,##0\)"/>
    <numFmt numFmtId="165" formatCode="#,##0.0"/>
    <numFmt numFmtId="166" formatCode="#,##0.000"/>
    <numFmt numFmtId="167" formatCode="#,##0.0000"/>
    <numFmt numFmtId="168" formatCode="&quot;$&quot;#,##0.00"/>
    <numFmt numFmtId="169" formatCode="&quot;$&quot;#,##0"/>
    <numFmt numFmtId="170" formatCode="&quot;$&quot;#,##0.0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04998999834060669"/>
      <name val="Helv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1" fillId="33" borderId="0" xfId="0" applyNumberFormat="1" applyFont="1" applyFill="1" applyAlignment="1">
      <alignment shrinkToFit="1"/>
    </xf>
    <xf numFmtId="3" fontId="9" fillId="33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34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center"/>
    </xf>
    <xf numFmtId="9" fontId="0" fillId="0" borderId="0" xfId="57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 shrinkToFit="1"/>
    </xf>
    <xf numFmtId="5" fontId="0" fillId="0" borderId="0" xfId="0" applyNumberFormat="1" applyFont="1" applyFill="1" applyAlignment="1">
      <alignment horizontal="center"/>
    </xf>
    <xf numFmtId="168" fontId="8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shrinkToFit="1"/>
    </xf>
    <xf numFmtId="3" fontId="0" fillId="0" borderId="10" xfId="0" applyNumberFormat="1" applyFill="1" applyBorder="1" applyAlignment="1">
      <alignment/>
    </xf>
    <xf numFmtId="168" fontId="1" fillId="33" borderId="0" xfId="0" applyNumberFormat="1" applyFont="1" applyFill="1" applyBorder="1" applyAlignment="1">
      <alignment shrinkToFit="1"/>
    </xf>
    <xf numFmtId="3" fontId="0" fillId="34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3" fontId="0" fillId="34" borderId="1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left"/>
    </xf>
    <xf numFmtId="3" fontId="9" fillId="34" borderId="0" xfId="0" applyNumberFormat="1" applyFont="1" applyFill="1" applyBorder="1" applyAlignment="1">
      <alignment/>
    </xf>
    <xf numFmtId="169" fontId="45" fillId="34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4" fontId="45" fillId="34" borderId="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34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8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9" fillId="35" borderId="10" xfId="0" applyNumberFormat="1" applyFont="1" applyFill="1" applyBorder="1" applyAlignment="1">
      <alignment shrinkToFit="1"/>
    </xf>
    <xf numFmtId="3" fontId="0" fillId="35" borderId="0" xfId="0" applyNumberFormat="1" applyFont="1" applyFill="1" applyAlignment="1">
      <alignment/>
    </xf>
    <xf numFmtId="164" fontId="2" fillId="34" borderId="12" xfId="0" applyNumberFormat="1" applyFont="1" applyFill="1" applyBorder="1" applyAlignment="1">
      <alignment horizontal="center" wrapText="1"/>
    </xf>
    <xf numFmtId="3" fontId="9" fillId="34" borderId="0" xfId="0" applyNumberFormat="1" applyFont="1" applyFill="1" applyBorder="1" applyAlignment="1">
      <alignment shrinkToFit="1"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3" fontId="2" fillId="34" borderId="12" xfId="0" applyNumberFormat="1" applyFont="1" applyFill="1" applyBorder="1" applyAlignment="1">
      <alignment horizontal="center" wrapText="1"/>
    </xf>
    <xf numFmtId="169" fontId="2" fillId="34" borderId="12" xfId="0" applyNumberFormat="1" applyFont="1" applyFill="1" applyBorder="1" applyAlignment="1">
      <alignment horizontal="center" wrapText="1"/>
    </xf>
    <xf numFmtId="169" fontId="8" fillId="34" borderId="10" xfId="0" applyNumberFormat="1" applyFont="1" applyFill="1" applyBorder="1" applyAlignment="1">
      <alignment/>
    </xf>
    <xf numFmtId="169" fontId="9" fillId="34" borderId="0" xfId="0" applyNumberFormat="1" applyFont="1" applyFill="1" applyBorder="1" applyAlignment="1">
      <alignment/>
    </xf>
    <xf numFmtId="169" fontId="8" fillId="34" borderId="0" xfId="0" applyNumberFormat="1" applyFont="1" applyFill="1" applyBorder="1" applyAlignment="1">
      <alignment/>
    </xf>
    <xf numFmtId="169" fontId="0" fillId="34" borderId="0" xfId="0" applyNumberFormat="1" applyFont="1" applyFill="1" applyAlignment="1">
      <alignment/>
    </xf>
    <xf numFmtId="169" fontId="8" fillId="34" borderId="0" xfId="0" applyNumberFormat="1" applyFont="1" applyFill="1" applyAlignment="1">
      <alignment/>
    </xf>
    <xf numFmtId="169" fontId="0" fillId="34" borderId="0" xfId="0" applyNumberFormat="1" applyFont="1" applyFill="1" applyAlignment="1">
      <alignment/>
    </xf>
    <xf numFmtId="169" fontId="0" fillId="34" borderId="0" xfId="0" applyNumberFormat="1" applyFont="1" applyFill="1" applyBorder="1" applyAlignment="1">
      <alignment/>
    </xf>
    <xf numFmtId="169" fontId="0" fillId="34" borderId="0" xfId="0" applyNumberFormat="1" applyFont="1" applyFill="1" applyBorder="1" applyAlignment="1">
      <alignment/>
    </xf>
    <xf numFmtId="169" fontId="0" fillId="34" borderId="13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/>
    </xf>
    <xf numFmtId="4" fontId="1" fillId="34" borderId="0" xfId="0" applyNumberFormat="1" applyFont="1" applyFill="1" applyAlignment="1">
      <alignment horizontal="center"/>
    </xf>
    <xf numFmtId="4" fontId="1" fillId="34" borderId="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169" fontId="8" fillId="35" borderId="10" xfId="0" applyNumberFormat="1" applyFont="1" applyFill="1" applyBorder="1" applyAlignment="1">
      <alignment/>
    </xf>
    <xf numFmtId="4" fontId="9" fillId="35" borderId="10" xfId="0" applyNumberFormat="1" applyFont="1" applyFill="1" applyBorder="1" applyAlignment="1">
      <alignment/>
    </xf>
    <xf numFmtId="3" fontId="0" fillId="35" borderId="0" xfId="0" applyNumberFormat="1" applyFont="1" applyFill="1" applyAlignment="1">
      <alignment horizontal="center"/>
    </xf>
    <xf numFmtId="3" fontId="0" fillId="35" borderId="10" xfId="0" applyNumberFormat="1" applyFont="1" applyFill="1" applyBorder="1" applyAlignment="1">
      <alignment/>
    </xf>
    <xf numFmtId="169" fontId="0" fillId="35" borderId="10" xfId="0" applyNumberFormat="1" applyFont="1" applyFill="1" applyBorder="1" applyAlignment="1">
      <alignment/>
    </xf>
    <xf numFmtId="3" fontId="0" fillId="35" borderId="0" xfId="0" applyNumberFormat="1" applyFont="1" applyFill="1" applyAlignment="1">
      <alignment/>
    </xf>
    <xf numFmtId="3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9" fillId="35" borderId="10" xfId="0" applyNumberFormat="1" applyFont="1" applyFill="1" applyBorder="1" applyAlignment="1">
      <alignment horizontal="left"/>
    </xf>
    <xf numFmtId="3" fontId="9" fillId="35" borderId="10" xfId="0" applyNumberFormat="1" applyFont="1" applyFill="1" applyBorder="1" applyAlignment="1">
      <alignment/>
    </xf>
    <xf numFmtId="169" fontId="9" fillId="35" borderId="10" xfId="0" applyNumberFormat="1" applyFont="1" applyFill="1" applyBorder="1" applyAlignment="1">
      <alignment/>
    </xf>
    <xf numFmtId="169" fontId="45" fillId="35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3" fontId="0" fillId="35" borderId="0" xfId="0" applyNumberFormat="1" applyFont="1" applyFill="1" applyAlignment="1">
      <alignment horizontal="center" shrinkToFit="1"/>
    </xf>
    <xf numFmtId="168" fontId="1" fillId="35" borderId="0" xfId="0" applyNumberFormat="1" applyFont="1" applyFill="1" applyBorder="1" applyAlignment="1">
      <alignment shrinkToFit="1"/>
    </xf>
    <xf numFmtId="3" fontId="1" fillId="35" borderId="0" xfId="0" applyNumberFormat="1" applyFont="1" applyFill="1" applyBorder="1" applyAlignment="1">
      <alignment shrinkToFit="1"/>
    </xf>
    <xf numFmtId="3" fontId="1" fillId="35" borderId="0" xfId="0" applyNumberFormat="1" applyFont="1" applyFill="1" applyAlignment="1">
      <alignment shrinkToFit="1"/>
    </xf>
    <xf numFmtId="3" fontId="0" fillId="0" borderId="0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62"/>
  <sheetViews>
    <sheetView showGridLines="0" showZeros="0" tabSelected="1" zoomScaleSheetLayoutView="100" zoomScalePageLayoutView="115" workbookViewId="0" topLeftCell="A124">
      <selection activeCell="A57" sqref="A57"/>
    </sheetView>
  </sheetViews>
  <sheetFormatPr defaultColWidth="10.8515625" defaultRowHeight="12.75"/>
  <cols>
    <col min="1" max="1" width="36.28125" style="5" customWidth="1"/>
    <col min="2" max="2" width="10.7109375" style="2" customWidth="1"/>
    <col min="3" max="4" width="10.7109375" style="60" customWidth="1"/>
    <col min="5" max="5" width="10.7109375" style="49" customWidth="1"/>
    <col min="6" max="7" width="11.7109375" style="68" customWidth="1"/>
    <col min="8" max="8" width="10.7109375" style="68" customWidth="1"/>
    <col min="9" max="9" width="10.7109375" style="71" customWidth="1"/>
    <col min="10" max="10" width="11.7109375" style="75" customWidth="1"/>
    <col min="11" max="11" width="15.00390625" style="27" customWidth="1"/>
    <col min="12" max="12" width="6.421875" style="2" bestFit="1" customWidth="1"/>
    <col min="13" max="61" width="9.140625" style="2" customWidth="1"/>
    <col min="62" max="16384" width="10.8515625" style="2" customWidth="1"/>
  </cols>
  <sheetData>
    <row r="1" spans="1:11" s="40" customFormat="1" ht="47.25" customHeight="1">
      <c r="A1" s="38" t="s">
        <v>78</v>
      </c>
      <c r="B1" s="38" t="s">
        <v>173</v>
      </c>
      <c r="C1" s="56" t="s">
        <v>139</v>
      </c>
      <c r="D1" s="61" t="s">
        <v>186</v>
      </c>
      <c r="E1" s="38" t="s">
        <v>140</v>
      </c>
      <c r="F1" s="62" t="s">
        <v>141</v>
      </c>
      <c r="G1" s="62" t="s">
        <v>142</v>
      </c>
      <c r="H1" s="62" t="s">
        <v>143</v>
      </c>
      <c r="I1" s="62" t="s">
        <v>144</v>
      </c>
      <c r="J1" s="72" t="s">
        <v>184</v>
      </c>
      <c r="K1" s="39"/>
    </row>
    <row r="2" spans="1:11" s="55" customFormat="1" ht="12.75">
      <c r="A2" s="76" t="s">
        <v>70</v>
      </c>
      <c r="B2" s="52">
        <v>2575</v>
      </c>
      <c r="C2" s="52"/>
      <c r="D2" s="52"/>
      <c r="E2" s="52"/>
      <c r="F2" s="77"/>
      <c r="G2" s="77"/>
      <c r="H2" s="77"/>
      <c r="I2" s="77"/>
      <c r="J2" s="78"/>
      <c r="K2" s="79"/>
    </row>
    <row r="3" spans="1:11" s="14" customFormat="1" ht="12.75">
      <c r="A3" s="35" t="s">
        <v>145</v>
      </c>
      <c r="B3" s="8"/>
      <c r="C3" s="23">
        <v>16510</v>
      </c>
      <c r="D3" s="23">
        <f>B2</f>
        <v>2575</v>
      </c>
      <c r="E3" s="8">
        <v>3089</v>
      </c>
      <c r="F3" s="63">
        <f aca="true" t="shared" si="0" ref="F3:F34">(D3/$D$172)*$F$172</f>
        <v>2113.6237939470293</v>
      </c>
      <c r="G3" s="63">
        <f aca="true" t="shared" si="1" ref="G3:G34">(E3/$E$172)*$G$172</f>
        <v>5468.089571327705</v>
      </c>
      <c r="H3" s="63">
        <f>SUM(F3:G3)</f>
        <v>7581.713365274734</v>
      </c>
      <c r="I3" s="63">
        <f>IF(H3&lt;1000,1000,H3)</f>
        <v>7581.713365274734</v>
      </c>
      <c r="J3" s="73">
        <f>ROUND(I3,0)</f>
        <v>7582</v>
      </c>
      <c r="K3" s="27"/>
    </row>
    <row r="4" spans="1:11" s="55" customFormat="1" ht="12.75">
      <c r="A4" s="51" t="s">
        <v>83</v>
      </c>
      <c r="B4" s="52">
        <v>10520</v>
      </c>
      <c r="C4" s="52"/>
      <c r="D4" s="52"/>
      <c r="E4" s="52"/>
      <c r="F4" s="77">
        <f t="shared" si="0"/>
        <v>0</v>
      </c>
      <c r="G4" s="77">
        <f t="shared" si="1"/>
        <v>0</v>
      </c>
      <c r="H4" s="77">
        <f aca="true" t="shared" si="2" ref="H4:H72">SUM(F4:G4)</f>
        <v>0</v>
      </c>
      <c r="I4" s="77"/>
      <c r="J4" s="78">
        <f aca="true" t="shared" si="3" ref="J4:J70">ROUND(I4,0)</f>
        <v>0</v>
      </c>
      <c r="K4" s="79"/>
    </row>
    <row r="5" spans="1:11" s="14" customFormat="1" ht="12.75">
      <c r="A5" s="35" t="s">
        <v>135</v>
      </c>
      <c r="B5" s="10"/>
      <c r="C5" s="23">
        <v>84855</v>
      </c>
      <c r="D5" s="23">
        <f>B4</f>
        <v>10520</v>
      </c>
      <c r="E5" s="8">
        <v>675</v>
      </c>
      <c r="F5" s="63">
        <f t="shared" si="0"/>
        <v>8635.076626144755</v>
      </c>
      <c r="G5" s="63">
        <f t="shared" si="1"/>
        <v>1194.8722760266107</v>
      </c>
      <c r="H5" s="63">
        <f t="shared" si="2"/>
        <v>9829.948902171365</v>
      </c>
      <c r="I5" s="63">
        <f>IF(H5&lt;1000,1000,H5)</f>
        <v>9829.948902171365</v>
      </c>
      <c r="J5" s="73">
        <f t="shared" si="3"/>
        <v>9830</v>
      </c>
      <c r="K5" s="27"/>
    </row>
    <row r="6" spans="1:11" s="82" customFormat="1" ht="12.75">
      <c r="A6" s="80" t="s">
        <v>84</v>
      </c>
      <c r="B6" s="53">
        <v>72047</v>
      </c>
      <c r="C6" s="53"/>
      <c r="D6" s="53"/>
      <c r="E6" s="53"/>
      <c r="F6" s="81">
        <f t="shared" si="0"/>
        <v>0</v>
      </c>
      <c r="G6" s="81">
        <f t="shared" si="1"/>
        <v>0</v>
      </c>
      <c r="H6" s="81">
        <f t="shared" si="2"/>
        <v>0</v>
      </c>
      <c r="I6" s="81"/>
      <c r="J6" s="78">
        <f t="shared" si="3"/>
        <v>0</v>
      </c>
      <c r="K6" s="79"/>
    </row>
    <row r="7" spans="1:11" s="14" customFormat="1" ht="12.75">
      <c r="A7" s="13" t="s">
        <v>124</v>
      </c>
      <c r="B7" s="8"/>
      <c r="C7" s="48">
        <v>23452</v>
      </c>
      <c r="D7" s="23">
        <f aca="true" t="shared" si="4" ref="D7:D18">$B$6/SUM($C$7:$C$18)*C7</f>
        <v>4156.029457413916</v>
      </c>
      <c r="E7" s="6">
        <v>59.94</v>
      </c>
      <c r="F7" s="63">
        <f t="shared" si="0"/>
        <v>3411.3719415669184</v>
      </c>
      <c r="G7" s="63">
        <f t="shared" si="1"/>
        <v>106.10465811116303</v>
      </c>
      <c r="H7" s="63">
        <f aca="true" t="shared" si="5" ref="H7:H18">SUM(F7:G7)</f>
        <v>3517.4765996780816</v>
      </c>
      <c r="I7" s="63">
        <f aca="true" t="shared" si="6" ref="I7:I18">IF(H7&lt;1000,1000,H7)</f>
        <v>3517.4765996780816</v>
      </c>
      <c r="J7" s="73">
        <f t="shared" si="3"/>
        <v>3517</v>
      </c>
      <c r="K7" s="27"/>
    </row>
    <row r="8" spans="1:11" s="14" customFormat="1" ht="12.75">
      <c r="A8" s="37" t="s">
        <v>123</v>
      </c>
      <c r="B8" s="48"/>
      <c r="C8" s="48">
        <v>39193</v>
      </c>
      <c r="D8" s="23">
        <f>$B$6/SUM($C$7:$C$18)*C8</f>
        <v>6945.559548201587</v>
      </c>
      <c r="E8" s="50">
        <v>7</v>
      </c>
      <c r="F8" s="63">
        <f t="shared" si="0"/>
        <v>5701.08734887567</v>
      </c>
      <c r="G8" s="63">
        <f t="shared" si="1"/>
        <v>12.391268047683372</v>
      </c>
      <c r="H8" s="63">
        <f t="shared" si="5"/>
        <v>5713.478616923353</v>
      </c>
      <c r="I8" s="63">
        <f t="shared" si="6"/>
        <v>5713.478616923353</v>
      </c>
      <c r="J8" s="73">
        <f t="shared" si="3"/>
        <v>5713</v>
      </c>
      <c r="K8" s="27"/>
    </row>
    <row r="9" spans="1:11" s="14" customFormat="1" ht="12.75">
      <c r="A9" s="37" t="s">
        <v>125</v>
      </c>
      <c r="B9" s="23"/>
      <c r="C9" s="48">
        <v>17146</v>
      </c>
      <c r="D9" s="23">
        <f t="shared" si="4"/>
        <v>3038.5161639441844</v>
      </c>
      <c r="E9" s="23">
        <v>773.35</v>
      </c>
      <c r="F9" s="63">
        <f t="shared" si="0"/>
        <v>2494.089344623332</v>
      </c>
      <c r="G9" s="63">
        <f t="shared" si="1"/>
        <v>1368.9695920965623</v>
      </c>
      <c r="H9" s="63">
        <f t="shared" si="5"/>
        <v>3863.0589367198945</v>
      </c>
      <c r="I9" s="63">
        <f t="shared" si="6"/>
        <v>3863.0589367198945</v>
      </c>
      <c r="J9" s="73">
        <f t="shared" si="3"/>
        <v>3863</v>
      </c>
      <c r="K9" s="27"/>
    </row>
    <row r="10" spans="1:11" s="14" customFormat="1" ht="12.75">
      <c r="A10" s="37" t="s">
        <v>126</v>
      </c>
      <c r="B10" s="8"/>
      <c r="C10" s="48">
        <v>20174</v>
      </c>
      <c r="D10" s="23">
        <f t="shared" si="4"/>
        <v>3575.121024811033</v>
      </c>
      <c r="E10" s="23">
        <v>5.32</v>
      </c>
      <c r="F10" s="63">
        <f t="shared" si="0"/>
        <v>2934.547908458597</v>
      </c>
      <c r="G10" s="63">
        <f t="shared" si="1"/>
        <v>9.417363716239363</v>
      </c>
      <c r="H10" s="63">
        <f t="shared" si="5"/>
        <v>2943.965272174836</v>
      </c>
      <c r="I10" s="63">
        <f t="shared" si="6"/>
        <v>2943.965272174836</v>
      </c>
      <c r="J10" s="73">
        <f t="shared" si="3"/>
        <v>2944</v>
      </c>
      <c r="K10" s="27"/>
    </row>
    <row r="11" spans="1:11" s="14" customFormat="1" ht="12.75">
      <c r="A11" s="46" t="s">
        <v>175</v>
      </c>
      <c r="B11" s="8"/>
      <c r="C11" s="48">
        <v>54257</v>
      </c>
      <c r="D11" s="23">
        <f t="shared" si="4"/>
        <v>9615.115566728076</v>
      </c>
      <c r="E11" s="23">
        <v>38</v>
      </c>
      <c r="F11" s="63">
        <f t="shared" si="0"/>
        <v>7892.3250653929845</v>
      </c>
      <c r="G11" s="63">
        <f t="shared" si="1"/>
        <v>67.26688368742401</v>
      </c>
      <c r="H11" s="63">
        <f t="shared" si="5"/>
        <v>7959.591949080408</v>
      </c>
      <c r="I11" s="63">
        <f t="shared" si="6"/>
        <v>7959.591949080408</v>
      </c>
      <c r="J11" s="73">
        <f t="shared" si="3"/>
        <v>7960</v>
      </c>
      <c r="K11" s="27"/>
    </row>
    <row r="12" spans="1:11" s="14" customFormat="1" ht="12.75">
      <c r="A12" s="37" t="s">
        <v>127</v>
      </c>
      <c r="B12" s="8"/>
      <c r="C12" s="48">
        <v>45486</v>
      </c>
      <c r="D12" s="23">
        <f t="shared" si="4"/>
        <v>8060.769055941046</v>
      </c>
      <c r="E12" s="23">
        <v>15.11</v>
      </c>
      <c r="F12" s="63">
        <f t="shared" si="0"/>
        <v>6616.478941417058</v>
      </c>
      <c r="G12" s="63">
        <f t="shared" si="1"/>
        <v>26.74743717149939</v>
      </c>
      <c r="H12" s="63">
        <f t="shared" si="5"/>
        <v>6643.226378588558</v>
      </c>
      <c r="I12" s="63">
        <f t="shared" si="6"/>
        <v>6643.226378588558</v>
      </c>
      <c r="J12" s="73">
        <f t="shared" si="3"/>
        <v>6643</v>
      </c>
      <c r="K12" s="27"/>
    </row>
    <row r="13" spans="1:11" s="14" customFormat="1" ht="12.75">
      <c r="A13" s="35" t="s">
        <v>136</v>
      </c>
      <c r="B13" s="8"/>
      <c r="C13" s="48">
        <v>39727</v>
      </c>
      <c r="D13" s="23">
        <f t="shared" si="4"/>
        <v>7040.191977429757</v>
      </c>
      <c r="E13" s="23">
        <v>12</v>
      </c>
      <c r="F13" s="63">
        <f t="shared" si="0"/>
        <v>5778.7639912429195</v>
      </c>
      <c r="G13" s="63">
        <f t="shared" si="1"/>
        <v>21.242173796028638</v>
      </c>
      <c r="H13" s="63">
        <f t="shared" si="5"/>
        <v>5800.006165038948</v>
      </c>
      <c r="I13" s="63">
        <f t="shared" si="6"/>
        <v>5800.006165038948</v>
      </c>
      <c r="J13" s="73">
        <f t="shared" si="3"/>
        <v>5800</v>
      </c>
      <c r="K13" s="27"/>
    </row>
    <row r="14" spans="1:11" s="3" customFormat="1" ht="12.75">
      <c r="A14" s="13" t="s">
        <v>128</v>
      </c>
      <c r="B14" s="8"/>
      <c r="C14" s="48">
        <v>23058</v>
      </c>
      <c r="D14" s="23">
        <f t="shared" si="4"/>
        <v>4086.207028357926</v>
      </c>
      <c r="E14" s="8">
        <v>404</v>
      </c>
      <c r="F14" s="63">
        <f t="shared" si="0"/>
        <v>3354.0599619925806</v>
      </c>
      <c r="G14" s="63">
        <f t="shared" si="1"/>
        <v>715.1531844662974</v>
      </c>
      <c r="H14" s="63">
        <f t="shared" si="5"/>
        <v>4069.213146458878</v>
      </c>
      <c r="I14" s="63">
        <f t="shared" si="6"/>
        <v>4069.213146458878</v>
      </c>
      <c r="J14" s="73">
        <f t="shared" si="3"/>
        <v>4069</v>
      </c>
      <c r="K14" s="27"/>
    </row>
    <row r="15" spans="1:11" s="14" customFormat="1" ht="12.75">
      <c r="A15" s="7" t="s">
        <v>129</v>
      </c>
      <c r="B15" s="8"/>
      <c r="C15" s="48">
        <v>56980</v>
      </c>
      <c r="D15" s="23">
        <f t="shared" si="4"/>
        <v>10097.670070076963</v>
      </c>
      <c r="E15" s="8">
        <v>110.44</v>
      </c>
      <c r="F15" s="63">
        <f t="shared" si="0"/>
        <v>8288.41775671512</v>
      </c>
      <c r="G15" s="63">
        <f t="shared" si="1"/>
        <v>195.49880616945023</v>
      </c>
      <c r="H15" s="63">
        <f t="shared" si="5"/>
        <v>8483.91656288457</v>
      </c>
      <c r="I15" s="63">
        <f t="shared" si="6"/>
        <v>8483.91656288457</v>
      </c>
      <c r="J15" s="73">
        <f t="shared" si="3"/>
        <v>8484</v>
      </c>
      <c r="K15" s="27"/>
    </row>
    <row r="16" spans="1:11" s="14" customFormat="1" ht="12.75">
      <c r="A16" s="13" t="s">
        <v>130</v>
      </c>
      <c r="B16" s="8"/>
      <c r="C16" s="48">
        <v>30557</v>
      </c>
      <c r="D16" s="23">
        <f t="shared" si="4"/>
        <v>5415.136966152015</v>
      </c>
      <c r="E16" s="8">
        <v>394.12</v>
      </c>
      <c r="F16" s="63">
        <f t="shared" si="0"/>
        <v>4444.878578307194</v>
      </c>
      <c r="G16" s="63">
        <f t="shared" si="1"/>
        <v>697.6637947075673</v>
      </c>
      <c r="H16" s="63">
        <f t="shared" si="5"/>
        <v>5142.542373014761</v>
      </c>
      <c r="I16" s="63">
        <f t="shared" si="6"/>
        <v>5142.542373014761</v>
      </c>
      <c r="J16" s="73">
        <f t="shared" si="3"/>
        <v>5143</v>
      </c>
      <c r="K16" s="27"/>
    </row>
    <row r="17" spans="1:11" s="14" customFormat="1" ht="12.75">
      <c r="A17" s="13" t="s">
        <v>131</v>
      </c>
      <c r="B17" s="8"/>
      <c r="C17" s="48">
        <v>29312</v>
      </c>
      <c r="D17" s="23">
        <f t="shared" si="4"/>
        <v>5194.505178906563</v>
      </c>
      <c r="E17" s="8">
        <v>17.55</v>
      </c>
      <c r="F17" s="63">
        <f t="shared" si="0"/>
        <v>4263.778541327371</v>
      </c>
      <c r="G17" s="63">
        <f t="shared" si="1"/>
        <v>31.066679176691885</v>
      </c>
      <c r="H17" s="63">
        <f t="shared" si="5"/>
        <v>4294.845220504063</v>
      </c>
      <c r="I17" s="63">
        <f t="shared" si="6"/>
        <v>4294.845220504063</v>
      </c>
      <c r="J17" s="73">
        <f t="shared" si="3"/>
        <v>4295</v>
      </c>
      <c r="K17" s="27"/>
    </row>
    <row r="18" spans="1:11" s="14" customFormat="1" ht="12.75">
      <c r="A18" s="37" t="s">
        <v>132</v>
      </c>
      <c r="B18" s="8"/>
      <c r="C18" s="48">
        <v>27211</v>
      </c>
      <c r="D18" s="23">
        <f t="shared" si="4"/>
        <v>4822.17796203693</v>
      </c>
      <c r="E18" s="23">
        <v>45</v>
      </c>
      <c r="F18" s="63">
        <f t="shared" si="0"/>
        <v>3958.163137556601</v>
      </c>
      <c r="G18" s="63">
        <f t="shared" si="1"/>
        <v>79.6581517351074</v>
      </c>
      <c r="H18" s="63">
        <f t="shared" si="5"/>
        <v>4037.8212892917086</v>
      </c>
      <c r="I18" s="63">
        <f t="shared" si="6"/>
        <v>4037.8212892917086</v>
      </c>
      <c r="J18" s="73">
        <f t="shared" si="3"/>
        <v>4038</v>
      </c>
      <c r="K18" s="27"/>
    </row>
    <row r="19" spans="1:11" s="55" customFormat="1" ht="12.75">
      <c r="A19" s="51" t="s">
        <v>100</v>
      </c>
      <c r="B19" s="52">
        <v>6274</v>
      </c>
      <c r="C19" s="52"/>
      <c r="D19" s="52"/>
      <c r="E19" s="52"/>
      <c r="F19" s="77">
        <f t="shared" si="0"/>
        <v>0</v>
      </c>
      <c r="G19" s="77">
        <f t="shared" si="1"/>
        <v>0</v>
      </c>
      <c r="H19" s="77">
        <f t="shared" si="2"/>
        <v>0</v>
      </c>
      <c r="I19" s="77"/>
      <c r="J19" s="78">
        <f t="shared" si="3"/>
        <v>0</v>
      </c>
      <c r="K19" s="79"/>
    </row>
    <row r="20" spans="1:11" s="3" customFormat="1" ht="12.75">
      <c r="A20" s="13" t="s">
        <v>47</v>
      </c>
      <c r="B20" s="8"/>
      <c r="C20" s="23">
        <v>9735</v>
      </c>
      <c r="D20" s="23">
        <f>$B$19/38820*C20</f>
        <v>1573.3485316846986</v>
      </c>
      <c r="E20" s="8">
        <v>11.4</v>
      </c>
      <c r="F20" s="63">
        <f t="shared" si="0"/>
        <v>1291.4434534914176</v>
      </c>
      <c r="G20" s="63">
        <f t="shared" si="1"/>
        <v>20.180065106227204</v>
      </c>
      <c r="H20" s="63">
        <f t="shared" si="2"/>
        <v>1311.6235185976448</v>
      </c>
      <c r="I20" s="63">
        <f>IF(H20&lt;1000,1000,H20)</f>
        <v>1311.6235185976448</v>
      </c>
      <c r="J20" s="73">
        <f t="shared" si="3"/>
        <v>1312</v>
      </c>
      <c r="K20" s="27"/>
    </row>
    <row r="21" spans="1:11" s="49" customFormat="1" ht="12.75">
      <c r="A21" s="45" t="s">
        <v>185</v>
      </c>
      <c r="B21" s="8"/>
      <c r="C21" s="23">
        <v>23800</v>
      </c>
      <c r="D21" s="23">
        <f>$B$19/38820*C21</f>
        <v>3846.5018031942295</v>
      </c>
      <c r="E21" s="8">
        <v>1057</v>
      </c>
      <c r="F21" s="63">
        <f t="shared" si="0"/>
        <v>3157.303974637466</v>
      </c>
      <c r="G21" s="63">
        <f t="shared" si="1"/>
        <v>1871.0814752001893</v>
      </c>
      <c r="H21" s="63">
        <f t="shared" si="2"/>
        <v>5028.385449837655</v>
      </c>
      <c r="I21" s="63">
        <f>IF(H21&lt;1000,1000,H21)</f>
        <v>5028.385449837655</v>
      </c>
      <c r="J21" s="73">
        <f t="shared" si="3"/>
        <v>5028</v>
      </c>
      <c r="K21" s="27"/>
    </row>
    <row r="22" spans="1:11" s="14" customFormat="1" ht="12.75">
      <c r="A22" s="13" t="s">
        <v>48</v>
      </c>
      <c r="B22" s="8"/>
      <c r="C22" s="23">
        <v>5285</v>
      </c>
      <c r="D22" s="23">
        <f>$B$19/38820*C22</f>
        <v>854.1496651210716</v>
      </c>
      <c r="E22" s="8">
        <v>17</v>
      </c>
      <c r="F22" s="63">
        <f t="shared" si="0"/>
        <v>701.1072061327316</v>
      </c>
      <c r="G22" s="63">
        <f t="shared" si="1"/>
        <v>30.093079544373904</v>
      </c>
      <c r="H22" s="63">
        <f t="shared" si="2"/>
        <v>731.2002856771055</v>
      </c>
      <c r="I22" s="63">
        <f>IF(H22&lt;1000,1000,H22)</f>
        <v>1000</v>
      </c>
      <c r="J22" s="73">
        <f t="shared" si="3"/>
        <v>1000</v>
      </c>
      <c r="K22" s="27"/>
    </row>
    <row r="23" spans="1:11" s="55" customFormat="1" ht="12.75">
      <c r="A23" s="51" t="s">
        <v>103</v>
      </c>
      <c r="B23" s="52">
        <v>8801</v>
      </c>
      <c r="C23" s="52"/>
      <c r="D23" s="52"/>
      <c r="E23" s="52"/>
      <c r="F23" s="77">
        <f t="shared" si="0"/>
        <v>0</v>
      </c>
      <c r="G23" s="77">
        <f t="shared" si="1"/>
        <v>0</v>
      </c>
      <c r="H23" s="77">
        <f t="shared" si="2"/>
        <v>0</v>
      </c>
      <c r="I23" s="77"/>
      <c r="J23" s="78">
        <f t="shared" si="3"/>
        <v>0</v>
      </c>
      <c r="K23" s="79"/>
    </row>
    <row r="24" spans="1:11" s="14" customFormat="1" ht="12.75">
      <c r="A24" s="13" t="s">
        <v>104</v>
      </c>
      <c r="B24" s="8"/>
      <c r="C24" s="23">
        <v>5908</v>
      </c>
      <c r="D24" s="23">
        <f>$B$23/51345*C24</f>
        <v>1012.6849352419905</v>
      </c>
      <c r="E24" s="8">
        <v>125</v>
      </c>
      <c r="F24" s="63">
        <f t="shared" si="0"/>
        <v>831.2368834559912</v>
      </c>
      <c r="G24" s="63">
        <f t="shared" si="1"/>
        <v>221.27264370863162</v>
      </c>
      <c r="H24" s="63">
        <f>SUM(F24:G24)</f>
        <v>1052.5095271646228</v>
      </c>
      <c r="I24" s="63">
        <f>IF(H24&lt;1000,1000,H24)</f>
        <v>1052.5095271646228</v>
      </c>
      <c r="J24" s="73">
        <f t="shared" si="3"/>
        <v>1053</v>
      </c>
      <c r="K24" s="27"/>
    </row>
    <row r="25" spans="1:11" s="14" customFormat="1" ht="12.75">
      <c r="A25" s="13" t="s">
        <v>105</v>
      </c>
      <c r="B25" s="8"/>
      <c r="C25" s="23">
        <v>1910</v>
      </c>
      <c r="D25" s="23">
        <f>$B$23/51345*C25</f>
        <v>327.39137209075864</v>
      </c>
      <c r="E25" s="8">
        <v>2.6</v>
      </c>
      <c r="F25" s="63">
        <f t="shared" si="0"/>
        <v>268.7309491199972</v>
      </c>
      <c r="G25" s="63">
        <f t="shared" si="1"/>
        <v>4.602470989139539</v>
      </c>
      <c r="H25" s="63">
        <f>SUM(F25:G25)</f>
        <v>273.33342010913674</v>
      </c>
      <c r="I25" s="63">
        <f>IF(H25&lt;1000,1000,H25)</f>
        <v>1000</v>
      </c>
      <c r="J25" s="73">
        <f t="shared" si="3"/>
        <v>1000</v>
      </c>
      <c r="K25" s="27"/>
    </row>
    <row r="26" spans="1:11" s="14" customFormat="1" ht="12.75">
      <c r="A26" s="37" t="s">
        <v>107</v>
      </c>
      <c r="B26" s="8"/>
      <c r="C26" s="23">
        <v>12348</v>
      </c>
      <c r="D26" s="23">
        <f>$B$23/51345*C26</f>
        <v>2116.559509202454</v>
      </c>
      <c r="E26" s="23">
        <v>47</v>
      </c>
      <c r="F26" s="63">
        <f t="shared" si="0"/>
        <v>1737.3244815359817</v>
      </c>
      <c r="G26" s="63">
        <f t="shared" si="1"/>
        <v>83.1985140344455</v>
      </c>
      <c r="H26" s="63">
        <f>SUM(F26:G26)</f>
        <v>1820.5229955704272</v>
      </c>
      <c r="I26" s="63">
        <f>IF(H26&lt;1000,1000,H26)</f>
        <v>1820.5229955704272</v>
      </c>
      <c r="J26" s="73">
        <f t="shared" si="3"/>
        <v>1821</v>
      </c>
      <c r="K26" s="27"/>
    </row>
    <row r="27" spans="1:11" s="14" customFormat="1" ht="12.75">
      <c r="A27" s="37" t="s">
        <v>106</v>
      </c>
      <c r="B27" s="8"/>
      <c r="C27" s="23">
        <v>13240</v>
      </c>
      <c r="D27" s="23">
        <f>$B$23/51345*C27</f>
        <v>2269.4564222416984</v>
      </c>
      <c r="E27" s="23">
        <v>6.02</v>
      </c>
      <c r="F27" s="63">
        <f t="shared" si="0"/>
        <v>1862.8260556799805</v>
      </c>
      <c r="G27" s="63">
        <f t="shared" si="1"/>
        <v>10.656490521007699</v>
      </c>
      <c r="H27" s="63">
        <f>SUM(F27:G27)</f>
        <v>1873.4825462009883</v>
      </c>
      <c r="I27" s="63">
        <f>IF(H27&lt;1000,1000,H27)</f>
        <v>1873.4825462009883</v>
      </c>
      <c r="J27" s="73">
        <f t="shared" si="3"/>
        <v>1873</v>
      </c>
      <c r="K27" s="27"/>
    </row>
    <row r="28" spans="1:11" s="14" customFormat="1" ht="12.75">
      <c r="A28" s="13" t="s">
        <v>108</v>
      </c>
      <c r="B28" s="8"/>
      <c r="C28" s="23">
        <v>2065</v>
      </c>
      <c r="D28" s="23">
        <f>$B$23/51345*C28</f>
        <v>353.95978186775733</v>
      </c>
      <c r="E28" s="23">
        <v>1.45</v>
      </c>
      <c r="F28" s="63">
        <f t="shared" si="0"/>
        <v>290.5389580799969</v>
      </c>
      <c r="G28" s="63">
        <f t="shared" si="1"/>
        <v>2.5667626670201273</v>
      </c>
      <c r="H28" s="63">
        <f>SUM(F28:G28)</f>
        <v>293.105720747017</v>
      </c>
      <c r="I28" s="63">
        <f>IF(H28&lt;1000,1000,H28)</f>
        <v>1000</v>
      </c>
      <c r="J28" s="73">
        <f t="shared" si="3"/>
        <v>1000</v>
      </c>
      <c r="K28" s="27"/>
    </row>
    <row r="29" spans="1:11" s="55" customFormat="1" ht="12.75">
      <c r="A29" s="51" t="s">
        <v>109</v>
      </c>
      <c r="B29" s="52">
        <v>9743</v>
      </c>
      <c r="C29" s="52"/>
      <c r="D29" s="52"/>
      <c r="E29" s="52"/>
      <c r="F29" s="77">
        <f t="shared" si="0"/>
        <v>0</v>
      </c>
      <c r="G29" s="77">
        <f t="shared" si="1"/>
        <v>0</v>
      </c>
      <c r="H29" s="77">
        <f t="shared" si="2"/>
        <v>0</v>
      </c>
      <c r="I29" s="77"/>
      <c r="J29" s="78">
        <f t="shared" si="3"/>
        <v>0</v>
      </c>
      <c r="K29" s="79"/>
    </row>
    <row r="30" spans="1:11" s="14" customFormat="1" ht="12.75">
      <c r="A30" s="13" t="s">
        <v>111</v>
      </c>
      <c r="B30" s="8"/>
      <c r="C30" s="23">
        <v>3125</v>
      </c>
      <c r="D30" s="23">
        <f aca="true" t="shared" si="7" ref="D30:D37">$B$29/SUM($C$30:$C$37)*C30</f>
        <v>480.91731164113094</v>
      </c>
      <c r="E30" s="8">
        <v>3.22</v>
      </c>
      <c r="F30" s="63">
        <f t="shared" si="0"/>
        <v>394.7488438080516</v>
      </c>
      <c r="G30" s="63">
        <f t="shared" si="1"/>
        <v>5.699983301934352</v>
      </c>
      <c r="H30" s="63">
        <f aca="true" t="shared" si="8" ref="H30:H37">SUM(F30:G30)</f>
        <v>400.448827109986</v>
      </c>
      <c r="I30" s="63">
        <f aca="true" t="shared" si="9" ref="I30:I37">IF(H30&lt;1000,1000,H30)</f>
        <v>1000</v>
      </c>
      <c r="J30" s="73">
        <f t="shared" si="3"/>
        <v>1000</v>
      </c>
      <c r="K30" s="27"/>
    </row>
    <row r="31" spans="1:11" s="14" customFormat="1" ht="12.75">
      <c r="A31" s="13" t="s">
        <v>112</v>
      </c>
      <c r="B31" s="8"/>
      <c r="C31" s="23">
        <v>16615</v>
      </c>
      <c r="D31" s="23">
        <f t="shared" si="7"/>
        <v>2556.941162533565</v>
      </c>
      <c r="E31" s="8">
        <v>15.9</v>
      </c>
      <c r="F31" s="63">
        <f t="shared" si="0"/>
        <v>2098.800652758649</v>
      </c>
      <c r="G31" s="63">
        <f t="shared" si="1"/>
        <v>28.145880279737945</v>
      </c>
      <c r="H31" s="63">
        <f t="shared" si="8"/>
        <v>2126.946533038387</v>
      </c>
      <c r="I31" s="63">
        <f t="shared" si="9"/>
        <v>2126.946533038387</v>
      </c>
      <c r="J31" s="73">
        <f t="shared" si="3"/>
        <v>2127</v>
      </c>
      <c r="K31" s="27"/>
    </row>
    <row r="32" spans="1:11" s="14" customFormat="1" ht="12.75">
      <c r="A32" s="13" t="s">
        <v>110</v>
      </c>
      <c r="B32" s="8"/>
      <c r="C32" s="23">
        <v>24900</v>
      </c>
      <c r="D32" s="23">
        <f t="shared" si="7"/>
        <v>3831.949139156531</v>
      </c>
      <c r="E32" s="8">
        <v>1596</v>
      </c>
      <c r="F32" s="63">
        <f t="shared" si="0"/>
        <v>3145.358787462555</v>
      </c>
      <c r="G32" s="63">
        <f t="shared" si="1"/>
        <v>2825.2091148718087</v>
      </c>
      <c r="H32" s="63">
        <f t="shared" si="8"/>
        <v>5970.567902334364</v>
      </c>
      <c r="I32" s="63">
        <f t="shared" si="9"/>
        <v>5970.567902334364</v>
      </c>
      <c r="J32" s="73">
        <f t="shared" si="3"/>
        <v>5971</v>
      </c>
      <c r="K32" s="27"/>
    </row>
    <row r="33" spans="1:11" s="14" customFormat="1" ht="12.75">
      <c r="A33" s="13" t="s">
        <v>113</v>
      </c>
      <c r="B33" s="8"/>
      <c r="C33" s="23">
        <v>3915</v>
      </c>
      <c r="D33" s="23">
        <f t="shared" si="7"/>
        <v>602.4932080240088</v>
      </c>
      <c r="E33" s="8">
        <v>3</v>
      </c>
      <c r="F33" s="63">
        <f t="shared" si="0"/>
        <v>494.54135152272704</v>
      </c>
      <c r="G33" s="63">
        <f t="shared" si="1"/>
        <v>5.3105434490071595</v>
      </c>
      <c r="H33" s="63">
        <f t="shared" si="8"/>
        <v>499.8518949717342</v>
      </c>
      <c r="I33" s="63">
        <f t="shared" si="9"/>
        <v>1000</v>
      </c>
      <c r="J33" s="73">
        <f t="shared" si="3"/>
        <v>1000</v>
      </c>
      <c r="K33" s="27"/>
    </row>
    <row r="34" spans="1:11" s="14" customFormat="1" ht="12.75">
      <c r="A34" s="35" t="s">
        <v>183</v>
      </c>
      <c r="B34" s="8"/>
      <c r="C34" s="23">
        <v>2535</v>
      </c>
      <c r="D34" s="23">
        <f t="shared" si="7"/>
        <v>390.1201232032854</v>
      </c>
      <c r="E34" s="8">
        <v>2</v>
      </c>
      <c r="F34" s="63">
        <f t="shared" si="0"/>
        <v>320.22026209709145</v>
      </c>
      <c r="G34" s="63">
        <f t="shared" si="1"/>
        <v>3.540362299338106</v>
      </c>
      <c r="H34" s="63">
        <f t="shared" si="8"/>
        <v>323.76062439642953</v>
      </c>
      <c r="I34" s="63">
        <f t="shared" si="9"/>
        <v>1000</v>
      </c>
      <c r="J34" s="73">
        <f t="shared" si="3"/>
        <v>1000</v>
      </c>
      <c r="K34" s="27"/>
    </row>
    <row r="35" spans="1:11" s="14" customFormat="1" ht="12.75">
      <c r="A35" s="35" t="s">
        <v>146</v>
      </c>
      <c r="B35" s="8"/>
      <c r="C35" s="23">
        <v>695</v>
      </c>
      <c r="D35" s="23">
        <f t="shared" si="7"/>
        <v>106.95601010898751</v>
      </c>
      <c r="E35" s="8">
        <v>1</v>
      </c>
      <c r="F35" s="63">
        <f aca="true" t="shared" si="10" ref="F35:F67">(D35/$D$172)*$F$172</f>
        <v>87.79214286291068</v>
      </c>
      <c r="G35" s="63">
        <f aca="true" t="shared" si="11" ref="G35:G67">(E35/$E$172)*$G$172</f>
        <v>1.770181149669053</v>
      </c>
      <c r="H35" s="63">
        <f t="shared" si="8"/>
        <v>89.56232401257974</v>
      </c>
      <c r="I35" s="63">
        <f t="shared" si="9"/>
        <v>1000</v>
      </c>
      <c r="J35" s="73">
        <f t="shared" si="3"/>
        <v>1000</v>
      </c>
      <c r="K35" s="27"/>
    </row>
    <row r="36" spans="1:11" s="14" customFormat="1" ht="12.75">
      <c r="A36" s="15" t="s">
        <v>114</v>
      </c>
      <c r="B36" s="10"/>
      <c r="C36" s="23">
        <v>1725</v>
      </c>
      <c r="D36" s="23">
        <f t="shared" si="7"/>
        <v>265.46635602590425</v>
      </c>
      <c r="E36" s="8">
        <v>2</v>
      </c>
      <c r="F36" s="63">
        <f t="shared" si="10"/>
        <v>217.90136178204446</v>
      </c>
      <c r="G36" s="63">
        <f t="shared" si="11"/>
        <v>3.540362299338106</v>
      </c>
      <c r="H36" s="63">
        <f t="shared" si="8"/>
        <v>221.44172408138257</v>
      </c>
      <c r="I36" s="63">
        <f t="shared" si="9"/>
        <v>1000</v>
      </c>
      <c r="J36" s="73">
        <f t="shared" si="3"/>
        <v>1000</v>
      </c>
      <c r="K36" s="27"/>
    </row>
    <row r="37" spans="1:11" s="14" customFormat="1" ht="12.75">
      <c r="A37" s="13" t="s">
        <v>79</v>
      </c>
      <c r="B37" s="8"/>
      <c r="C37" s="23">
        <v>9800</v>
      </c>
      <c r="D37" s="23">
        <f t="shared" si="7"/>
        <v>1508.1566893065867</v>
      </c>
      <c r="E37" s="8">
        <v>4</v>
      </c>
      <c r="F37" s="63">
        <f t="shared" si="10"/>
        <v>1237.93237418205</v>
      </c>
      <c r="G37" s="63">
        <f t="shared" si="11"/>
        <v>7.080724598676212</v>
      </c>
      <c r="H37" s="63">
        <f t="shared" si="8"/>
        <v>1245.013098780726</v>
      </c>
      <c r="I37" s="63">
        <f t="shared" si="9"/>
        <v>1245.013098780726</v>
      </c>
      <c r="J37" s="73">
        <f t="shared" si="3"/>
        <v>1245</v>
      </c>
      <c r="K37" s="27"/>
    </row>
    <row r="38" spans="1:11" s="55" customFormat="1" ht="12.75">
      <c r="A38" s="51" t="s">
        <v>80</v>
      </c>
      <c r="B38" s="52">
        <v>3410</v>
      </c>
      <c r="C38" s="52"/>
      <c r="D38" s="52"/>
      <c r="E38" s="52"/>
      <c r="F38" s="77">
        <f t="shared" si="10"/>
        <v>0</v>
      </c>
      <c r="G38" s="77">
        <f t="shared" si="11"/>
        <v>0</v>
      </c>
      <c r="H38" s="77">
        <f t="shared" si="2"/>
        <v>0</v>
      </c>
      <c r="I38" s="77"/>
      <c r="J38" s="78">
        <f t="shared" si="3"/>
        <v>0</v>
      </c>
      <c r="K38" s="79"/>
    </row>
    <row r="39" spans="1:11" s="14" customFormat="1" ht="12.75">
      <c r="A39" s="13" t="s">
        <v>81</v>
      </c>
      <c r="B39" s="8"/>
      <c r="C39" s="23">
        <v>22105</v>
      </c>
      <c r="D39" s="23">
        <f>B38</f>
        <v>3410</v>
      </c>
      <c r="E39" s="8">
        <v>2991</v>
      </c>
      <c r="F39" s="63">
        <f t="shared" si="10"/>
        <v>2799.0124805279106</v>
      </c>
      <c r="G39" s="63">
        <f t="shared" si="11"/>
        <v>5294.611818660138</v>
      </c>
      <c r="H39" s="63">
        <f t="shared" si="2"/>
        <v>8093.624299188048</v>
      </c>
      <c r="I39" s="63">
        <f>IF(H39&lt;1000,1000,H39)</f>
        <v>8093.624299188048</v>
      </c>
      <c r="J39" s="73">
        <f t="shared" si="3"/>
        <v>8094</v>
      </c>
      <c r="K39" s="27"/>
    </row>
    <row r="40" spans="1:11" s="55" customFormat="1" ht="12.75">
      <c r="A40" s="51" t="s">
        <v>82</v>
      </c>
      <c r="B40" s="52">
        <v>2551</v>
      </c>
      <c r="C40" s="52"/>
      <c r="D40" s="52"/>
      <c r="E40" s="52"/>
      <c r="F40" s="77">
        <f t="shared" si="10"/>
        <v>0</v>
      </c>
      <c r="G40" s="77">
        <f t="shared" si="11"/>
        <v>0</v>
      </c>
      <c r="H40" s="77">
        <f t="shared" si="2"/>
        <v>0</v>
      </c>
      <c r="I40" s="77"/>
      <c r="J40" s="78">
        <f t="shared" si="3"/>
        <v>0</v>
      </c>
      <c r="K40" s="79"/>
    </row>
    <row r="41" spans="1:11" s="14" customFormat="1" ht="12.75">
      <c r="A41" s="35" t="s">
        <v>147</v>
      </c>
      <c r="B41" s="8"/>
      <c r="C41" s="23">
        <v>141</v>
      </c>
      <c r="D41" s="23">
        <f>$B$40/22805*C41</f>
        <v>15.772462179346634</v>
      </c>
      <c r="E41" s="8">
        <v>334</v>
      </c>
      <c r="F41" s="63">
        <f t="shared" si="10"/>
        <v>12.946427709280256</v>
      </c>
      <c r="G41" s="63">
        <f t="shared" si="11"/>
        <v>591.2405039894637</v>
      </c>
      <c r="H41" s="63">
        <f>SUM(F41:G41)</f>
        <v>604.1869316987439</v>
      </c>
      <c r="I41" s="63">
        <f>IF(H41&lt;1000,1000,H41)</f>
        <v>1000</v>
      </c>
      <c r="J41" s="73">
        <f t="shared" si="3"/>
        <v>1000</v>
      </c>
      <c r="K41" s="27"/>
    </row>
    <row r="42" spans="1:11" s="14" customFormat="1" ht="12.75">
      <c r="A42" s="35" t="s">
        <v>180</v>
      </c>
      <c r="B42" s="8"/>
      <c r="C42" s="23">
        <v>14084</v>
      </c>
      <c r="D42" s="23">
        <f>$B$40/22805*C42</f>
        <v>1575.4564349923262</v>
      </c>
      <c r="E42" s="8">
        <v>405</v>
      </c>
      <c r="F42" s="63">
        <f t="shared" si="10"/>
        <v>1293.173672748249</v>
      </c>
      <c r="G42" s="63">
        <f t="shared" si="11"/>
        <v>716.9233656159665</v>
      </c>
      <c r="H42" s="63">
        <f>SUM(F42:G42)</f>
        <v>2010.0970383642155</v>
      </c>
      <c r="I42" s="63">
        <f>IF(H42&lt;1000,1000,H42)</f>
        <v>2010.0970383642155</v>
      </c>
      <c r="J42" s="73">
        <f t="shared" si="3"/>
        <v>2010</v>
      </c>
      <c r="K42" s="27"/>
    </row>
    <row r="43" spans="1:11" s="14" customFormat="1" ht="12.75">
      <c r="A43" s="35" t="s">
        <v>179</v>
      </c>
      <c r="B43" s="8"/>
      <c r="C43" s="23">
        <v>4903</v>
      </c>
      <c r="D43" s="23">
        <f>$B$40/22600*C43</f>
        <v>553.4315486725664</v>
      </c>
      <c r="E43" s="8">
        <v>323</v>
      </c>
      <c r="F43" s="63">
        <f t="shared" si="10"/>
        <v>454.27032605642313</v>
      </c>
      <c r="G43" s="63">
        <f t="shared" si="11"/>
        <v>571.7685113431041</v>
      </c>
      <c r="H43" s="63">
        <f>SUM(F43:G43)</f>
        <v>1026.0388373995272</v>
      </c>
      <c r="I43" s="63">
        <f>IF(H43&lt;1000,1000,H43)</f>
        <v>1026.0388373995272</v>
      </c>
      <c r="J43" s="73">
        <f t="shared" si="3"/>
        <v>1026</v>
      </c>
      <c r="K43" s="27"/>
    </row>
    <row r="44" spans="1:11" s="14" customFormat="1" ht="12.75">
      <c r="A44" s="13" t="s">
        <v>96</v>
      </c>
      <c r="B44" s="8"/>
      <c r="C44" s="23">
        <v>720</v>
      </c>
      <c r="D44" s="23">
        <f>$B$40/22805*C44</f>
        <v>80.54023240517431</v>
      </c>
      <c r="E44" s="8">
        <v>136</v>
      </c>
      <c r="F44" s="63">
        <f t="shared" si="10"/>
        <v>66.10941808994174</v>
      </c>
      <c r="G44" s="63">
        <f t="shared" si="11"/>
        <v>240.74463635499123</v>
      </c>
      <c r="H44" s="63">
        <f>SUM(F44:G44)</f>
        <v>306.85405444493296</v>
      </c>
      <c r="I44" s="63">
        <f>IF(H44&lt;1000,1000,H44)</f>
        <v>1000</v>
      </c>
      <c r="J44" s="73">
        <f t="shared" si="3"/>
        <v>1000</v>
      </c>
      <c r="K44" s="27"/>
    </row>
    <row r="45" spans="1:11" s="16" customFormat="1" ht="12.75">
      <c r="A45" s="13" t="s">
        <v>97</v>
      </c>
      <c r="B45" s="8"/>
      <c r="C45" s="23">
        <v>2433</v>
      </c>
      <c r="D45" s="23">
        <f>$B$40/22805*C45</f>
        <v>272.1588686691515</v>
      </c>
      <c r="E45" s="8">
        <v>270</v>
      </c>
      <c r="F45" s="63">
        <f t="shared" si="10"/>
        <v>223.39474196226146</v>
      </c>
      <c r="G45" s="63">
        <f t="shared" si="11"/>
        <v>477.9489104106444</v>
      </c>
      <c r="H45" s="63">
        <f>SUM(F45:G45)</f>
        <v>701.3436523729058</v>
      </c>
      <c r="I45" s="63">
        <f>IF(H45&lt;1000,1000,H45)</f>
        <v>1000</v>
      </c>
      <c r="J45" s="73">
        <f t="shared" si="3"/>
        <v>1000</v>
      </c>
      <c r="K45" s="28"/>
    </row>
    <row r="46" spans="1:11" s="84" customFormat="1" ht="12.75">
      <c r="A46" s="51" t="s">
        <v>98</v>
      </c>
      <c r="B46" s="52">
        <v>33476</v>
      </c>
      <c r="C46" s="52"/>
      <c r="D46" s="52">
        <f>$B$40/22600*C46</f>
        <v>0</v>
      </c>
      <c r="E46" s="52"/>
      <c r="F46" s="77">
        <f t="shared" si="10"/>
        <v>0</v>
      </c>
      <c r="G46" s="77">
        <f t="shared" si="11"/>
        <v>0</v>
      </c>
      <c r="H46" s="77">
        <f t="shared" si="2"/>
        <v>0</v>
      </c>
      <c r="I46" s="77"/>
      <c r="J46" s="78">
        <f t="shared" si="3"/>
        <v>0</v>
      </c>
      <c r="K46" s="83"/>
    </row>
    <row r="47" spans="1:11" s="16" customFormat="1" ht="12.75">
      <c r="A47" s="35" t="s">
        <v>181</v>
      </c>
      <c r="B47" s="8"/>
      <c r="C47" s="23">
        <v>182930</v>
      </c>
      <c r="D47" s="23">
        <f>B46</f>
        <v>33476</v>
      </c>
      <c r="E47" s="8">
        <v>3055</v>
      </c>
      <c r="F47" s="63">
        <f t="shared" si="10"/>
        <v>27477.930146085728</v>
      </c>
      <c r="G47" s="63">
        <f t="shared" si="11"/>
        <v>5407.903412238958</v>
      </c>
      <c r="H47" s="63">
        <f t="shared" si="2"/>
        <v>32885.83355832469</v>
      </c>
      <c r="I47" s="63">
        <f>IF(H47&lt;1000,1000,H47)</f>
        <v>32885.83355832469</v>
      </c>
      <c r="J47" s="73">
        <f t="shared" si="3"/>
        <v>32886</v>
      </c>
      <c r="K47" s="28"/>
    </row>
    <row r="48" spans="1:11" s="55" customFormat="1" ht="12.75">
      <c r="A48" s="51" t="s">
        <v>99</v>
      </c>
      <c r="B48" s="52">
        <v>16977</v>
      </c>
      <c r="C48" s="52"/>
      <c r="D48" s="52">
        <f>$B$40/22600*C48</f>
        <v>0</v>
      </c>
      <c r="E48" s="52"/>
      <c r="F48" s="77">
        <f t="shared" si="10"/>
        <v>0</v>
      </c>
      <c r="G48" s="77">
        <f t="shared" si="11"/>
        <v>0</v>
      </c>
      <c r="H48" s="77">
        <f t="shared" si="2"/>
        <v>0</v>
      </c>
      <c r="I48" s="77"/>
      <c r="J48" s="78">
        <f t="shared" si="3"/>
        <v>0</v>
      </c>
      <c r="K48" s="79"/>
    </row>
    <row r="49" spans="1:11" s="17" customFormat="1" ht="12.75">
      <c r="A49" s="46" t="s">
        <v>189</v>
      </c>
      <c r="B49" s="8"/>
      <c r="C49" s="23">
        <v>6249</v>
      </c>
      <c r="D49" s="23">
        <f>$B$48/111180*C49</f>
        <v>954.2118456556934</v>
      </c>
      <c r="E49" s="23">
        <v>545</v>
      </c>
      <c r="F49" s="63">
        <f t="shared" si="10"/>
        <v>783.2407228908675</v>
      </c>
      <c r="G49" s="63">
        <f t="shared" si="11"/>
        <v>964.748726569634</v>
      </c>
      <c r="H49" s="63">
        <f t="shared" si="2"/>
        <v>1747.9894494605014</v>
      </c>
      <c r="I49" s="63">
        <f>IF(H49&lt;1000,1000,H49)</f>
        <v>1747.9894494605014</v>
      </c>
      <c r="J49" s="73">
        <f t="shared" si="3"/>
        <v>1748</v>
      </c>
      <c r="K49" s="29"/>
    </row>
    <row r="50" spans="1:11" s="16" customFormat="1" ht="12.75">
      <c r="A50" s="46" t="s">
        <v>187</v>
      </c>
      <c r="B50" s="8"/>
      <c r="C50" s="23">
        <v>2483</v>
      </c>
      <c r="D50" s="23">
        <f>$B$48/111180*C50</f>
        <v>379.14994603345923</v>
      </c>
      <c r="E50" s="23">
        <v>196</v>
      </c>
      <c r="F50" s="63">
        <f t="shared" si="10"/>
        <v>311.2156688971074</v>
      </c>
      <c r="G50" s="63">
        <f t="shared" si="11"/>
        <v>346.9555053351344</v>
      </c>
      <c r="H50" s="63">
        <f>SUM(F50:G50)</f>
        <v>658.1711742322418</v>
      </c>
      <c r="I50" s="63">
        <f>IF(H50&lt;1000,1000,H50)</f>
        <v>1000</v>
      </c>
      <c r="J50" s="73">
        <f>ROUND(I50,0)</f>
        <v>1000</v>
      </c>
      <c r="K50" s="28"/>
    </row>
    <row r="51" spans="1:11" s="95" customFormat="1" ht="12.75">
      <c r="A51" s="46" t="s">
        <v>188</v>
      </c>
      <c r="B51" s="8"/>
      <c r="C51" s="8">
        <v>24015</v>
      </c>
      <c r="D51" s="8">
        <f>$B$48/111180*C51</f>
        <v>3667.0503237992443</v>
      </c>
      <c r="E51" s="8">
        <v>10</v>
      </c>
      <c r="F51" s="96">
        <f>(D51/$D$172)*$F$172</f>
        <v>3010.005754556598</v>
      </c>
      <c r="G51" s="97">
        <f>(E51/$E$172)*$G$172</f>
        <v>17.701811496690528</v>
      </c>
      <c r="H51" s="97">
        <f>SUM(F51:G51)</f>
        <v>3027.7075660532882</v>
      </c>
      <c r="I51" s="97">
        <f>IF(H51&lt;1000,1000,H51)</f>
        <v>3027.7075660532882</v>
      </c>
      <c r="J51" s="98">
        <f>ROUND(I51,0)</f>
        <v>3028</v>
      </c>
      <c r="K51" s="28"/>
    </row>
    <row r="52" spans="1:11" s="16" customFormat="1" ht="12.75">
      <c r="A52" s="46" t="s">
        <v>190</v>
      </c>
      <c r="B52" s="8"/>
      <c r="C52" s="23">
        <v>8060</v>
      </c>
      <c r="D52" s="23">
        <f>$B$48/111180*C52</f>
        <v>1230.7485159201294</v>
      </c>
      <c r="E52" s="23">
        <v>6.35</v>
      </c>
      <c r="F52" s="63">
        <f t="shared" si="10"/>
        <v>1010.2288728597201</v>
      </c>
      <c r="G52" s="63">
        <f t="shared" si="11"/>
        <v>11.240650300398487</v>
      </c>
      <c r="H52" s="63">
        <f t="shared" si="2"/>
        <v>1021.4695231601186</v>
      </c>
      <c r="I52" s="63">
        <f>IF(H52&lt;1000,1000,H52)</f>
        <v>1021.4695231601186</v>
      </c>
      <c r="J52" s="73">
        <f t="shared" si="3"/>
        <v>1021</v>
      </c>
      <c r="K52" s="28"/>
    </row>
    <row r="53" spans="1:11" s="55" customFormat="1" ht="12.75">
      <c r="A53" s="51" t="s">
        <v>86</v>
      </c>
      <c r="B53" s="52">
        <v>285</v>
      </c>
      <c r="C53" s="52"/>
      <c r="D53" s="52"/>
      <c r="E53" s="52"/>
      <c r="F53" s="77">
        <f t="shared" si="10"/>
        <v>0</v>
      </c>
      <c r="G53" s="77">
        <f t="shared" si="11"/>
        <v>0</v>
      </c>
      <c r="H53" s="77">
        <f t="shared" si="2"/>
        <v>0</v>
      </c>
      <c r="I53" s="77"/>
      <c r="J53" s="78">
        <f t="shared" si="3"/>
        <v>0</v>
      </c>
      <c r="K53" s="79"/>
    </row>
    <row r="54" spans="1:64" s="14" customFormat="1" ht="12.75">
      <c r="A54" s="13" t="s">
        <v>87</v>
      </c>
      <c r="B54" s="8"/>
      <c r="C54" s="23">
        <v>610</v>
      </c>
      <c r="D54" s="23">
        <f>$B$53/SUM($C$54:$C$55)*C54</f>
        <v>87.80303030303031</v>
      </c>
      <c r="E54" s="8">
        <v>1</v>
      </c>
      <c r="F54" s="63">
        <f t="shared" si="10"/>
        <v>72.07090253558715</v>
      </c>
      <c r="G54" s="63">
        <f t="shared" si="11"/>
        <v>1.770181149669053</v>
      </c>
      <c r="H54" s="63">
        <f>SUM(F54:G54)</f>
        <v>73.84108368525621</v>
      </c>
      <c r="I54" s="63">
        <f>IF(H54&lt;1000,1000,H54)</f>
        <v>1000</v>
      </c>
      <c r="J54" s="73">
        <f t="shared" si="3"/>
        <v>1000</v>
      </c>
      <c r="K54" s="27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s="3" customFormat="1" ht="12.75">
      <c r="A55" s="35" t="s">
        <v>148</v>
      </c>
      <c r="B55" s="8"/>
      <c r="C55" s="23">
        <v>1370</v>
      </c>
      <c r="D55" s="23">
        <f>$B$53/SUM($C$54:$C$55)*C55</f>
        <v>197.19696969696972</v>
      </c>
      <c r="E55" s="8">
        <v>1222</v>
      </c>
      <c r="F55" s="63">
        <f t="shared" si="10"/>
        <v>161.8641581536957</v>
      </c>
      <c r="G55" s="63">
        <f t="shared" si="11"/>
        <v>2163.161364895583</v>
      </c>
      <c r="H55" s="63">
        <f>SUM(F55:G55)</f>
        <v>2325.025523049279</v>
      </c>
      <c r="I55" s="63">
        <f>IF(H55&lt;1000,1000,H55)</f>
        <v>2325.025523049279</v>
      </c>
      <c r="J55" s="73">
        <f t="shared" si="3"/>
        <v>2325</v>
      </c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11" s="55" customFormat="1" ht="12.75">
      <c r="A56" s="76" t="s">
        <v>88</v>
      </c>
      <c r="B56" s="52">
        <v>941</v>
      </c>
      <c r="C56" s="52"/>
      <c r="D56" s="52"/>
      <c r="E56" s="52"/>
      <c r="F56" s="77">
        <f t="shared" si="10"/>
        <v>0</v>
      </c>
      <c r="G56" s="77">
        <f t="shared" si="11"/>
        <v>0</v>
      </c>
      <c r="H56" s="77">
        <f t="shared" si="2"/>
        <v>0</v>
      </c>
      <c r="I56" s="77"/>
      <c r="J56" s="78">
        <f t="shared" si="3"/>
        <v>0</v>
      </c>
      <c r="K56" s="79"/>
    </row>
    <row r="57" spans="1:11" s="14" customFormat="1" ht="12.75">
      <c r="A57" s="35" t="s">
        <v>149</v>
      </c>
      <c r="B57" s="8"/>
      <c r="C57" s="23">
        <v>7415</v>
      </c>
      <c r="D57" s="23">
        <f>B56</f>
        <v>941</v>
      </c>
      <c r="E57" s="8">
        <v>4528</v>
      </c>
      <c r="F57" s="63">
        <f t="shared" si="10"/>
        <v>772.3961126618075</v>
      </c>
      <c r="G57" s="63">
        <f t="shared" si="11"/>
        <v>8015.380245701473</v>
      </c>
      <c r="H57" s="63">
        <f t="shared" si="2"/>
        <v>8787.77635836328</v>
      </c>
      <c r="I57" s="63">
        <f>IF(H57&lt;1000,1000,H57)</f>
        <v>8787.77635836328</v>
      </c>
      <c r="J57" s="73">
        <f t="shared" si="3"/>
        <v>8788</v>
      </c>
      <c r="K57" s="27"/>
    </row>
    <row r="58" spans="1:11" s="55" customFormat="1" ht="12.75">
      <c r="A58" s="51" t="s">
        <v>49</v>
      </c>
      <c r="B58" s="52">
        <v>1192</v>
      </c>
      <c r="C58" s="52"/>
      <c r="D58" s="52"/>
      <c r="E58" s="52"/>
      <c r="F58" s="77">
        <f t="shared" si="10"/>
        <v>0</v>
      </c>
      <c r="G58" s="77">
        <f t="shared" si="11"/>
        <v>0</v>
      </c>
      <c r="H58" s="77">
        <f t="shared" si="2"/>
        <v>0</v>
      </c>
      <c r="I58" s="77"/>
      <c r="J58" s="78">
        <f t="shared" si="3"/>
        <v>0</v>
      </c>
      <c r="K58" s="79"/>
    </row>
    <row r="59" spans="1:11" s="14" customFormat="1" ht="12.75">
      <c r="A59" s="13" t="s">
        <v>50</v>
      </c>
      <c r="B59" s="8"/>
      <c r="C59" s="23">
        <v>7360</v>
      </c>
      <c r="D59" s="23">
        <f>B58</f>
        <v>1192</v>
      </c>
      <c r="E59" s="8">
        <v>10228</v>
      </c>
      <c r="F59" s="63">
        <f t="shared" si="10"/>
        <v>978.423131023246</v>
      </c>
      <c r="G59" s="63">
        <f t="shared" si="11"/>
        <v>18105.412798815072</v>
      </c>
      <c r="H59" s="63">
        <f t="shared" si="2"/>
        <v>19083.83592983832</v>
      </c>
      <c r="I59" s="63">
        <f>IF(H59&lt;1000,1000,H59)</f>
        <v>19083.83592983832</v>
      </c>
      <c r="J59" s="73">
        <f t="shared" si="3"/>
        <v>19084</v>
      </c>
      <c r="K59" s="27"/>
    </row>
    <row r="60" spans="1:11" s="55" customFormat="1" ht="12.75">
      <c r="A60" s="51" t="s">
        <v>51</v>
      </c>
      <c r="B60" s="52">
        <v>4908</v>
      </c>
      <c r="C60" s="52"/>
      <c r="D60" s="52"/>
      <c r="E60" s="52"/>
      <c r="F60" s="77">
        <f t="shared" si="10"/>
        <v>0</v>
      </c>
      <c r="G60" s="77">
        <f t="shared" si="11"/>
        <v>0</v>
      </c>
      <c r="H60" s="77">
        <f t="shared" si="2"/>
        <v>0</v>
      </c>
      <c r="I60" s="77"/>
      <c r="J60" s="78">
        <f t="shared" si="3"/>
        <v>0</v>
      </c>
      <c r="K60" s="79"/>
    </row>
    <row r="61" spans="1:11" s="14" customFormat="1" ht="12.75">
      <c r="A61" s="35" t="s">
        <v>150</v>
      </c>
      <c r="B61" s="8"/>
      <c r="C61" s="23">
        <v>25145</v>
      </c>
      <c r="D61" s="23">
        <f>B60</f>
        <v>4908</v>
      </c>
      <c r="E61" s="8">
        <v>533</v>
      </c>
      <c r="F61" s="63">
        <f t="shared" si="10"/>
        <v>4028.607992501755</v>
      </c>
      <c r="G61" s="63">
        <f t="shared" si="11"/>
        <v>943.5065527736052</v>
      </c>
      <c r="H61" s="63">
        <f t="shared" si="2"/>
        <v>4972.11454527536</v>
      </c>
      <c r="I61" s="63">
        <f>IF(H61&lt;1000,1000,H61)</f>
        <v>4972.11454527536</v>
      </c>
      <c r="J61" s="73">
        <f t="shared" si="3"/>
        <v>4972</v>
      </c>
      <c r="K61" s="27"/>
    </row>
    <row r="62" spans="1:11" s="55" customFormat="1" ht="12.75">
      <c r="A62" s="51" t="s">
        <v>54</v>
      </c>
      <c r="B62" s="52">
        <v>36540</v>
      </c>
      <c r="C62" s="52"/>
      <c r="D62" s="52"/>
      <c r="E62" s="52"/>
      <c r="F62" s="77">
        <f t="shared" si="10"/>
        <v>0</v>
      </c>
      <c r="G62" s="77">
        <f t="shared" si="11"/>
        <v>0</v>
      </c>
      <c r="H62" s="77">
        <f t="shared" si="2"/>
        <v>0</v>
      </c>
      <c r="I62" s="77"/>
      <c r="J62" s="78">
        <f t="shared" si="3"/>
        <v>0</v>
      </c>
      <c r="K62" s="79"/>
    </row>
    <row r="63" spans="1:11" s="14" customFormat="1" ht="12.75">
      <c r="A63" s="13" t="s">
        <v>120</v>
      </c>
      <c r="B63" s="8"/>
      <c r="C63" s="23">
        <v>216900</v>
      </c>
      <c r="D63" s="23">
        <f>B62</f>
        <v>36540</v>
      </c>
      <c r="E63" s="8">
        <v>2801</v>
      </c>
      <c r="F63" s="63">
        <f t="shared" si="10"/>
        <v>29992.937254689103</v>
      </c>
      <c r="G63" s="63">
        <f t="shared" si="11"/>
        <v>4958.277400223017</v>
      </c>
      <c r="H63" s="63">
        <f t="shared" si="2"/>
        <v>34951.21465491212</v>
      </c>
      <c r="I63" s="63">
        <f>IF(H63&lt;1000,1000,H63)</f>
        <v>34951.21465491212</v>
      </c>
      <c r="J63" s="73">
        <f t="shared" si="3"/>
        <v>34951</v>
      </c>
      <c r="K63" s="27"/>
    </row>
    <row r="64" spans="1:11" s="55" customFormat="1" ht="12.75">
      <c r="A64" s="51" t="s">
        <v>115</v>
      </c>
      <c r="B64" s="52">
        <v>4280</v>
      </c>
      <c r="C64" s="52"/>
      <c r="D64" s="52"/>
      <c r="E64" s="52"/>
      <c r="F64" s="77">
        <f t="shared" si="10"/>
        <v>0</v>
      </c>
      <c r="G64" s="77">
        <f t="shared" si="11"/>
        <v>0</v>
      </c>
      <c r="H64" s="77">
        <f t="shared" si="2"/>
        <v>0</v>
      </c>
      <c r="I64" s="77"/>
      <c r="J64" s="78">
        <f t="shared" si="3"/>
        <v>0</v>
      </c>
      <c r="K64" s="79"/>
    </row>
    <row r="65" spans="1:11" s="16" customFormat="1" ht="12.75">
      <c r="A65" s="13" t="s">
        <v>85</v>
      </c>
      <c r="B65" s="8"/>
      <c r="C65" s="23">
        <v>19135</v>
      </c>
      <c r="D65" s="23">
        <v>3611</v>
      </c>
      <c r="E65" s="23">
        <v>2496</v>
      </c>
      <c r="F65" s="63">
        <f t="shared" si="10"/>
        <v>2963.9982601719307</v>
      </c>
      <c r="G65" s="63">
        <f t="shared" si="11"/>
        <v>4418.372149573956</v>
      </c>
      <c r="H65" s="63">
        <f t="shared" si="2"/>
        <v>7382.370409745887</v>
      </c>
      <c r="I65" s="63">
        <f>IF(H65&lt;1000,1000,H65)</f>
        <v>7382.370409745887</v>
      </c>
      <c r="J65" s="73">
        <f t="shared" si="3"/>
        <v>7382</v>
      </c>
      <c r="K65" s="28"/>
    </row>
    <row r="66" spans="1:11" s="55" customFormat="1" ht="12.75">
      <c r="A66" s="51" t="s">
        <v>116</v>
      </c>
      <c r="B66" s="52">
        <v>13129</v>
      </c>
      <c r="C66" s="52"/>
      <c r="D66" s="52"/>
      <c r="E66" s="52"/>
      <c r="F66" s="77">
        <f t="shared" si="10"/>
        <v>0</v>
      </c>
      <c r="G66" s="77">
        <f t="shared" si="11"/>
        <v>0</v>
      </c>
      <c r="H66" s="77">
        <f t="shared" si="2"/>
        <v>0</v>
      </c>
      <c r="I66" s="77"/>
      <c r="J66" s="78">
        <f t="shared" si="3"/>
        <v>0</v>
      </c>
      <c r="K66" s="79"/>
    </row>
    <row r="67" spans="1:11" s="14" customFormat="1" ht="12.75">
      <c r="A67" s="46" t="s">
        <v>151</v>
      </c>
      <c r="B67" s="8"/>
      <c r="C67" s="23">
        <v>39249</v>
      </c>
      <c r="D67" s="23">
        <f>B66</f>
        <v>13129</v>
      </c>
      <c r="E67" s="23">
        <v>135.35</v>
      </c>
      <c r="F67" s="63">
        <f t="shared" si="10"/>
        <v>10776.608462419628</v>
      </c>
      <c r="G67" s="63">
        <f t="shared" si="11"/>
        <v>239.59401860770632</v>
      </c>
      <c r="H67" s="63">
        <f t="shared" si="2"/>
        <v>11016.202481027334</v>
      </c>
      <c r="I67" s="63">
        <f>IF(H67&lt;1000,1000,H67)</f>
        <v>11016.202481027334</v>
      </c>
      <c r="J67" s="73">
        <f t="shared" si="3"/>
        <v>11016</v>
      </c>
      <c r="K67" s="27"/>
    </row>
    <row r="68" spans="1:11" s="55" customFormat="1" ht="12.75">
      <c r="A68" s="51" t="s">
        <v>55</v>
      </c>
      <c r="B68" s="52">
        <v>11285</v>
      </c>
      <c r="C68" s="52"/>
      <c r="D68" s="52"/>
      <c r="E68" s="52"/>
      <c r="F68" s="77">
        <f aca="true" t="shared" si="12" ref="F68:F99">(D68/$D$172)*$F$172</f>
        <v>0</v>
      </c>
      <c r="G68" s="77">
        <f aca="true" t="shared" si="13" ref="G68:G99">(E68/$E$172)*$G$172</f>
        <v>0</v>
      </c>
      <c r="H68" s="77">
        <f t="shared" si="2"/>
        <v>0</v>
      </c>
      <c r="I68" s="77"/>
      <c r="J68" s="78">
        <f t="shared" si="3"/>
        <v>0</v>
      </c>
      <c r="K68" s="79"/>
    </row>
    <row r="69" spans="1:11" s="14" customFormat="1" ht="12.75">
      <c r="A69" s="35" t="s">
        <v>164</v>
      </c>
      <c r="B69" s="8"/>
      <c r="C69" s="23">
        <v>67690</v>
      </c>
      <c r="D69" s="23">
        <f>B68</f>
        <v>11285</v>
      </c>
      <c r="E69" s="23">
        <v>6135</v>
      </c>
      <c r="F69" s="63">
        <f t="shared" si="12"/>
        <v>9263.007578521252</v>
      </c>
      <c r="G69" s="63">
        <f t="shared" si="13"/>
        <v>10860.061353219642</v>
      </c>
      <c r="H69" s="63">
        <f t="shared" si="2"/>
        <v>20123.068931740894</v>
      </c>
      <c r="I69" s="63">
        <f>IF(H69&lt;1000,1000,H69)</f>
        <v>20123.068931740894</v>
      </c>
      <c r="J69" s="73">
        <f t="shared" si="3"/>
        <v>20123</v>
      </c>
      <c r="K69" s="27"/>
    </row>
    <row r="70" spans="1:11" s="55" customFormat="1" ht="12.75">
      <c r="A70" s="51" t="s">
        <v>89</v>
      </c>
      <c r="B70" s="52">
        <v>1060</v>
      </c>
      <c r="C70" s="52"/>
      <c r="D70" s="52"/>
      <c r="E70" s="52"/>
      <c r="F70" s="77">
        <f t="shared" si="12"/>
        <v>0</v>
      </c>
      <c r="G70" s="77">
        <f t="shared" si="13"/>
        <v>0</v>
      </c>
      <c r="H70" s="77">
        <f t="shared" si="2"/>
        <v>0</v>
      </c>
      <c r="I70" s="77"/>
      <c r="J70" s="78">
        <f t="shared" si="3"/>
        <v>0</v>
      </c>
      <c r="K70" s="79"/>
    </row>
    <row r="71" spans="1:11" s="3" customFormat="1" ht="12.75">
      <c r="A71" s="35" t="s">
        <v>152</v>
      </c>
      <c r="B71" s="8"/>
      <c r="C71" s="23">
        <v>8120</v>
      </c>
      <c r="D71" s="23">
        <f>B70</f>
        <v>1060</v>
      </c>
      <c r="E71" s="8">
        <v>8359</v>
      </c>
      <c r="F71" s="63">
        <f t="shared" si="12"/>
        <v>870.0742608092625</v>
      </c>
      <c r="G71" s="63">
        <f t="shared" si="13"/>
        <v>14796.944230083614</v>
      </c>
      <c r="H71" s="63">
        <f t="shared" si="2"/>
        <v>15667.018490892877</v>
      </c>
      <c r="I71" s="63">
        <f>IF(H71&lt;1000,1000,H71)</f>
        <v>15667.018490892877</v>
      </c>
      <c r="J71" s="73">
        <f aca="true" t="shared" si="14" ref="J71:J133">ROUND(I71,0)</f>
        <v>15667</v>
      </c>
      <c r="K71" s="27"/>
    </row>
    <row r="72" spans="1:11" s="55" customFormat="1" ht="12.75">
      <c r="A72" s="76" t="s">
        <v>71</v>
      </c>
      <c r="B72" s="52">
        <v>53567</v>
      </c>
      <c r="C72" s="52"/>
      <c r="D72" s="52"/>
      <c r="E72" s="52"/>
      <c r="F72" s="77">
        <f t="shared" si="12"/>
        <v>0</v>
      </c>
      <c r="G72" s="77">
        <f t="shared" si="13"/>
        <v>0</v>
      </c>
      <c r="H72" s="77">
        <f t="shared" si="2"/>
        <v>0</v>
      </c>
      <c r="I72" s="77"/>
      <c r="J72" s="78">
        <f t="shared" si="14"/>
        <v>0</v>
      </c>
      <c r="K72" s="79"/>
    </row>
    <row r="73" spans="1:11" s="14" customFormat="1" ht="12.75">
      <c r="A73" s="37" t="s">
        <v>72</v>
      </c>
      <c r="B73" s="8"/>
      <c r="C73" s="23">
        <v>9892</v>
      </c>
      <c r="D73" s="23">
        <f aca="true" t="shared" si="15" ref="D73:D81">$B$72/370600*C73</f>
        <v>1429.802385321101</v>
      </c>
      <c r="E73" s="23">
        <v>3</v>
      </c>
      <c r="F73" s="63">
        <f t="shared" si="12"/>
        <v>1173.6172202939406</v>
      </c>
      <c r="G73" s="63">
        <f t="shared" si="13"/>
        <v>5.3105434490071595</v>
      </c>
      <c r="H73" s="63">
        <f aca="true" t="shared" si="16" ref="H73:H105">SUM(F73:G73)</f>
        <v>1178.9277637429477</v>
      </c>
      <c r="I73" s="63">
        <f aca="true" t="shared" si="17" ref="I73:I81">IF(H73&lt;1000,1000,H73)</f>
        <v>1178.9277637429477</v>
      </c>
      <c r="J73" s="73">
        <f t="shared" si="14"/>
        <v>1179</v>
      </c>
      <c r="K73" s="27"/>
    </row>
    <row r="74" spans="1:11" s="14" customFormat="1" ht="12.75">
      <c r="A74" s="37" t="s">
        <v>73</v>
      </c>
      <c r="B74" s="8"/>
      <c r="C74" s="23">
        <v>167780</v>
      </c>
      <c r="D74" s="23">
        <f t="shared" si="15"/>
        <v>24251.136697247708</v>
      </c>
      <c r="E74" s="23">
        <v>44.61</v>
      </c>
      <c r="F74" s="63">
        <f t="shared" si="12"/>
        <v>19905.933807209603</v>
      </c>
      <c r="G74" s="63">
        <f t="shared" si="13"/>
        <v>78.96778108673645</v>
      </c>
      <c r="H74" s="63">
        <f t="shared" si="16"/>
        <v>19984.90158829634</v>
      </c>
      <c r="I74" s="63">
        <f t="shared" si="17"/>
        <v>19984.90158829634</v>
      </c>
      <c r="J74" s="73">
        <f t="shared" si="14"/>
        <v>19985</v>
      </c>
      <c r="K74" s="27"/>
    </row>
    <row r="75" spans="1:11" s="14" customFormat="1" ht="12.75">
      <c r="A75" s="46" t="s">
        <v>178</v>
      </c>
      <c r="B75" s="8"/>
      <c r="C75" s="23">
        <v>13062</v>
      </c>
      <c r="D75" s="23">
        <f t="shared" si="15"/>
        <v>1887.998256880734</v>
      </c>
      <c r="E75" s="8">
        <v>181</v>
      </c>
      <c r="F75" s="63">
        <f t="shared" si="12"/>
        <v>1549.715743174227</v>
      </c>
      <c r="G75" s="63">
        <f t="shared" si="13"/>
        <v>320.40278809009857</v>
      </c>
      <c r="H75" s="63">
        <f t="shared" si="16"/>
        <v>1870.1185312643256</v>
      </c>
      <c r="I75" s="63">
        <f t="shared" si="17"/>
        <v>1870.1185312643256</v>
      </c>
      <c r="J75" s="73">
        <f t="shared" si="14"/>
        <v>1870</v>
      </c>
      <c r="K75" s="27"/>
    </row>
    <row r="76" spans="1:11" s="14" customFormat="1" ht="12.75">
      <c r="A76" s="37" t="s">
        <v>74</v>
      </c>
      <c r="B76" s="8"/>
      <c r="C76" s="23">
        <v>6010</v>
      </c>
      <c r="D76" s="23">
        <f t="shared" si="15"/>
        <v>868.6931192660551</v>
      </c>
      <c r="E76" s="23">
        <v>3.28</v>
      </c>
      <c r="F76" s="63">
        <f t="shared" si="12"/>
        <v>713.0448335995333</v>
      </c>
      <c r="G76" s="63">
        <f t="shared" si="13"/>
        <v>5.806194170914494</v>
      </c>
      <c r="H76" s="63">
        <f t="shared" si="16"/>
        <v>718.8510277704478</v>
      </c>
      <c r="I76" s="63">
        <f t="shared" si="17"/>
        <v>1000</v>
      </c>
      <c r="J76" s="73">
        <f t="shared" si="14"/>
        <v>1000</v>
      </c>
      <c r="K76" s="27"/>
    </row>
    <row r="77" spans="1:11" s="14" customFormat="1" ht="12.75">
      <c r="A77" s="46" t="s">
        <v>177</v>
      </c>
      <c r="B77" s="8"/>
      <c r="C77" s="23">
        <v>9489</v>
      </c>
      <c r="D77" s="23">
        <f t="shared" si="15"/>
        <v>1371.5522477064221</v>
      </c>
      <c r="E77" s="23">
        <v>58.239</v>
      </c>
      <c r="F77" s="63">
        <f t="shared" si="12"/>
        <v>1125.804064230611</v>
      </c>
      <c r="G77" s="63">
        <f t="shared" si="13"/>
        <v>103.09357997557598</v>
      </c>
      <c r="H77" s="63">
        <f t="shared" si="16"/>
        <v>1228.897644206187</v>
      </c>
      <c r="I77" s="63">
        <f t="shared" si="17"/>
        <v>1228.897644206187</v>
      </c>
      <c r="J77" s="73">
        <f t="shared" si="14"/>
        <v>1229</v>
      </c>
      <c r="K77" s="27"/>
    </row>
    <row r="78" spans="1:11" s="14" customFormat="1" ht="12.75">
      <c r="A78" s="46" t="s">
        <v>153</v>
      </c>
      <c r="B78" s="8"/>
      <c r="C78" s="23">
        <v>1070</v>
      </c>
      <c r="D78" s="23">
        <f t="shared" si="15"/>
        <v>154.65917431192662</v>
      </c>
      <c r="E78" s="23">
        <v>1</v>
      </c>
      <c r="F78" s="63">
        <f t="shared" si="12"/>
        <v>126.94808185549097</v>
      </c>
      <c r="G78" s="63">
        <f t="shared" si="13"/>
        <v>1.770181149669053</v>
      </c>
      <c r="H78" s="63">
        <f t="shared" si="16"/>
        <v>128.71826300516003</v>
      </c>
      <c r="I78" s="63">
        <f t="shared" si="17"/>
        <v>1000</v>
      </c>
      <c r="J78" s="73">
        <f t="shared" si="14"/>
        <v>1000</v>
      </c>
      <c r="K78" s="27"/>
    </row>
    <row r="79" spans="1:11" s="14" customFormat="1" ht="12.75">
      <c r="A79" s="37" t="s">
        <v>75</v>
      </c>
      <c r="B79" s="8"/>
      <c r="C79" s="23">
        <v>3255</v>
      </c>
      <c r="D79" s="23">
        <f t="shared" si="15"/>
        <v>470.481880733945</v>
      </c>
      <c r="E79" s="8">
        <v>1</v>
      </c>
      <c r="F79" s="63">
        <f t="shared" si="12"/>
        <v>386.18318358843277</v>
      </c>
      <c r="G79" s="63">
        <f t="shared" si="13"/>
        <v>1.770181149669053</v>
      </c>
      <c r="H79" s="63">
        <f t="shared" si="16"/>
        <v>387.9533647381018</v>
      </c>
      <c r="I79" s="63">
        <f t="shared" si="17"/>
        <v>1000</v>
      </c>
      <c r="J79" s="73">
        <f t="shared" si="14"/>
        <v>1000</v>
      </c>
      <c r="K79" s="27"/>
    </row>
    <row r="80" spans="1:11" s="14" customFormat="1" ht="12.75">
      <c r="A80" s="46" t="s">
        <v>176</v>
      </c>
      <c r="B80" s="8"/>
      <c r="C80" s="23">
        <v>18046</v>
      </c>
      <c r="D80" s="23">
        <f t="shared" si="15"/>
        <v>2608.392018348624</v>
      </c>
      <c r="E80" s="8">
        <v>97</v>
      </c>
      <c r="F80" s="63">
        <f t="shared" si="12"/>
        <v>2141.0327898730748</v>
      </c>
      <c r="G80" s="63">
        <f t="shared" si="13"/>
        <v>171.70757151789815</v>
      </c>
      <c r="H80" s="63">
        <f t="shared" si="16"/>
        <v>2312.740361390973</v>
      </c>
      <c r="I80" s="63">
        <f t="shared" si="17"/>
        <v>2312.740361390973</v>
      </c>
      <c r="J80" s="73">
        <f t="shared" si="14"/>
        <v>2313</v>
      </c>
      <c r="K80" s="27"/>
    </row>
    <row r="81" spans="1:11" s="14" customFormat="1" ht="12.75">
      <c r="A81" s="37" t="s">
        <v>25</v>
      </c>
      <c r="B81" s="8"/>
      <c r="C81" s="23">
        <v>60655</v>
      </c>
      <c r="D81" s="23">
        <f t="shared" si="15"/>
        <v>8767.151605504587</v>
      </c>
      <c r="E81" s="23">
        <v>16</v>
      </c>
      <c r="F81" s="63">
        <f t="shared" si="12"/>
        <v>7196.2952382661715</v>
      </c>
      <c r="G81" s="63">
        <f t="shared" si="13"/>
        <v>28.322898394704847</v>
      </c>
      <c r="H81" s="63">
        <f t="shared" si="16"/>
        <v>7224.618136660876</v>
      </c>
      <c r="I81" s="63">
        <f t="shared" si="17"/>
        <v>7224.618136660876</v>
      </c>
      <c r="J81" s="73">
        <f t="shared" si="14"/>
        <v>7225</v>
      </c>
      <c r="K81" s="27"/>
    </row>
    <row r="82" spans="1:11" s="55" customFormat="1" ht="12.75">
      <c r="A82" s="51" t="s">
        <v>26</v>
      </c>
      <c r="B82" s="52">
        <v>6454</v>
      </c>
      <c r="C82" s="52"/>
      <c r="D82" s="52"/>
      <c r="E82" s="52"/>
      <c r="F82" s="77">
        <f t="shared" si="12"/>
        <v>0</v>
      </c>
      <c r="G82" s="77">
        <f t="shared" si="13"/>
        <v>0</v>
      </c>
      <c r="H82" s="77">
        <f t="shared" si="16"/>
        <v>0</v>
      </c>
      <c r="I82" s="77"/>
      <c r="J82" s="78">
        <f t="shared" si="14"/>
        <v>0</v>
      </c>
      <c r="K82" s="79"/>
    </row>
    <row r="83" spans="1:11" s="14" customFormat="1" ht="12.75">
      <c r="A83" s="13" t="s">
        <v>27</v>
      </c>
      <c r="B83" s="8"/>
      <c r="C83" s="23">
        <v>8665</v>
      </c>
      <c r="D83" s="23">
        <f aca="true" t="shared" si="18" ref="D83:D88">$B$82/47960*C83</f>
        <v>1166.0531693077564</v>
      </c>
      <c r="E83" s="8">
        <v>5</v>
      </c>
      <c r="F83" s="63">
        <f t="shared" si="12"/>
        <v>957.1253295752301</v>
      </c>
      <c r="G83" s="63">
        <f t="shared" si="13"/>
        <v>8.850905748345264</v>
      </c>
      <c r="H83" s="63">
        <f t="shared" si="16"/>
        <v>965.9762353235753</v>
      </c>
      <c r="I83" s="63">
        <f aca="true" t="shared" si="19" ref="I83:I88">IF(H83&lt;1000,1000,H83)</f>
        <v>1000</v>
      </c>
      <c r="J83" s="73">
        <f t="shared" si="14"/>
        <v>1000</v>
      </c>
      <c r="K83" s="27"/>
    </row>
    <row r="84" spans="1:11" s="14" customFormat="1" ht="12" customHeight="1">
      <c r="A84" s="13" t="s">
        <v>118</v>
      </c>
      <c r="B84" s="8"/>
      <c r="C84" s="23">
        <v>22760</v>
      </c>
      <c r="D84" s="23">
        <f t="shared" si="18"/>
        <v>3062.82402001668</v>
      </c>
      <c r="E84" s="8">
        <v>973</v>
      </c>
      <c r="F84" s="63">
        <f t="shared" si="12"/>
        <v>2514.0418350989307</v>
      </c>
      <c r="G84" s="63">
        <f t="shared" si="13"/>
        <v>1722.3862586279888</v>
      </c>
      <c r="H84" s="63">
        <f t="shared" si="16"/>
        <v>4236.4280937269195</v>
      </c>
      <c r="I84" s="63">
        <f t="shared" si="19"/>
        <v>4236.4280937269195</v>
      </c>
      <c r="J84" s="73">
        <f t="shared" si="14"/>
        <v>4236</v>
      </c>
      <c r="K84" s="27"/>
    </row>
    <row r="85" spans="1:11" s="14" customFormat="1" ht="12.75">
      <c r="A85" s="13" t="s">
        <v>28</v>
      </c>
      <c r="B85" s="8"/>
      <c r="C85" s="23">
        <v>10215</v>
      </c>
      <c r="D85" s="23">
        <f t="shared" si="18"/>
        <v>1374.6374061718097</v>
      </c>
      <c r="E85" s="8">
        <v>8</v>
      </c>
      <c r="F85" s="63">
        <f t="shared" si="12"/>
        <v>1128.3364387317918</v>
      </c>
      <c r="G85" s="63">
        <f t="shared" si="13"/>
        <v>14.161449197352423</v>
      </c>
      <c r="H85" s="63">
        <f t="shared" si="16"/>
        <v>1142.497887929144</v>
      </c>
      <c r="I85" s="63">
        <f t="shared" si="19"/>
        <v>1142.497887929144</v>
      </c>
      <c r="J85" s="73">
        <f t="shared" si="14"/>
        <v>1142</v>
      </c>
      <c r="K85" s="27"/>
    </row>
    <row r="86" spans="1:11" s="14" customFormat="1" ht="12.75">
      <c r="A86" s="13" t="s">
        <v>15</v>
      </c>
      <c r="B86" s="8"/>
      <c r="C86" s="23">
        <v>3485</v>
      </c>
      <c r="D86" s="23">
        <f t="shared" si="18"/>
        <v>468.97810675562965</v>
      </c>
      <c r="E86" s="8">
        <v>2</v>
      </c>
      <c r="F86" s="63">
        <f t="shared" si="12"/>
        <v>384.9488486520112</v>
      </c>
      <c r="G86" s="63">
        <f t="shared" si="13"/>
        <v>3.540362299338106</v>
      </c>
      <c r="H86" s="63">
        <f t="shared" si="16"/>
        <v>388.48921095134926</v>
      </c>
      <c r="I86" s="63">
        <f t="shared" si="19"/>
        <v>1000</v>
      </c>
      <c r="J86" s="73">
        <f t="shared" si="14"/>
        <v>1000</v>
      </c>
      <c r="K86" s="27"/>
    </row>
    <row r="87" spans="1:11" s="3" customFormat="1" ht="12.75">
      <c r="A87" s="13" t="s">
        <v>16</v>
      </c>
      <c r="B87" s="8"/>
      <c r="C87" s="23">
        <v>2095</v>
      </c>
      <c r="D87" s="23">
        <f t="shared" si="18"/>
        <v>281.92514595496243</v>
      </c>
      <c r="E87" s="8">
        <v>2</v>
      </c>
      <c r="F87" s="63">
        <f t="shared" si="12"/>
        <v>231.4111443116107</v>
      </c>
      <c r="G87" s="63">
        <f t="shared" si="13"/>
        <v>3.540362299338106</v>
      </c>
      <c r="H87" s="63">
        <f t="shared" si="16"/>
        <v>234.95150661094883</v>
      </c>
      <c r="I87" s="63">
        <f t="shared" si="19"/>
        <v>1000</v>
      </c>
      <c r="J87" s="73">
        <f t="shared" si="14"/>
        <v>1000</v>
      </c>
      <c r="K87" s="27"/>
    </row>
    <row r="88" spans="1:11" s="24" customFormat="1" ht="12.75">
      <c r="A88" s="22" t="s">
        <v>17</v>
      </c>
      <c r="B88" s="23"/>
      <c r="C88" s="23">
        <v>740</v>
      </c>
      <c r="D88" s="23">
        <f t="shared" si="18"/>
        <v>99.58215179316096</v>
      </c>
      <c r="E88" s="23">
        <v>1</v>
      </c>
      <c r="F88" s="63">
        <f t="shared" si="12"/>
        <v>81.73949727474555</v>
      </c>
      <c r="G88" s="63">
        <f t="shared" si="13"/>
        <v>1.770181149669053</v>
      </c>
      <c r="H88" s="63">
        <f t="shared" si="16"/>
        <v>83.5096784244146</v>
      </c>
      <c r="I88" s="63">
        <f t="shared" si="19"/>
        <v>1000</v>
      </c>
      <c r="J88" s="73">
        <f t="shared" si="14"/>
        <v>1000</v>
      </c>
      <c r="K88" s="25"/>
    </row>
    <row r="89" spans="1:11" s="55" customFormat="1" ht="12.75">
      <c r="A89" s="76" t="s">
        <v>18</v>
      </c>
      <c r="B89" s="52">
        <v>24474</v>
      </c>
      <c r="C89" s="52"/>
      <c r="D89" s="52"/>
      <c r="E89" s="52"/>
      <c r="F89" s="77">
        <f t="shared" si="12"/>
        <v>0</v>
      </c>
      <c r="G89" s="77">
        <f t="shared" si="13"/>
        <v>0</v>
      </c>
      <c r="H89" s="77">
        <f t="shared" si="16"/>
        <v>0</v>
      </c>
      <c r="I89" s="77"/>
      <c r="J89" s="78">
        <f t="shared" si="14"/>
        <v>0</v>
      </c>
      <c r="K89" s="79"/>
    </row>
    <row r="90" spans="1:11" s="14" customFormat="1" ht="12.75">
      <c r="A90" s="13" t="s">
        <v>19</v>
      </c>
      <c r="B90" s="8"/>
      <c r="C90" s="23">
        <v>52710</v>
      </c>
      <c r="D90" s="23">
        <f aca="true" t="shared" si="20" ref="D90:D97">$B$89/131730*C90</f>
        <v>9792.944204053747</v>
      </c>
      <c r="E90" s="8">
        <v>17.7</v>
      </c>
      <c r="F90" s="63">
        <f t="shared" si="12"/>
        <v>8038.291216498505</v>
      </c>
      <c r="G90" s="63">
        <f t="shared" si="13"/>
        <v>31.332206349142236</v>
      </c>
      <c r="H90" s="63">
        <f t="shared" si="16"/>
        <v>8069.623422847647</v>
      </c>
      <c r="I90" s="63">
        <f aca="true" t="shared" si="21" ref="I90:I97">IF(H90&lt;1000,1000,H90)</f>
        <v>8069.623422847647</v>
      </c>
      <c r="J90" s="73">
        <f t="shared" si="14"/>
        <v>8070</v>
      </c>
      <c r="K90" s="27"/>
    </row>
    <row r="91" spans="1:11" s="16" customFormat="1" ht="12.75">
      <c r="A91" s="13" t="s">
        <v>20</v>
      </c>
      <c r="B91" s="8"/>
      <c r="C91" s="23">
        <v>1710</v>
      </c>
      <c r="D91" s="23">
        <f t="shared" si="20"/>
        <v>317.69938510589844</v>
      </c>
      <c r="E91" s="8">
        <v>1</v>
      </c>
      <c r="F91" s="63">
        <f t="shared" si="12"/>
        <v>260.7755260901621</v>
      </c>
      <c r="G91" s="63">
        <f t="shared" si="13"/>
        <v>1.770181149669053</v>
      </c>
      <c r="H91" s="63">
        <f t="shared" si="16"/>
        <v>262.54570723983113</v>
      </c>
      <c r="I91" s="63">
        <f t="shared" si="21"/>
        <v>1000</v>
      </c>
      <c r="J91" s="73">
        <f t="shared" si="14"/>
        <v>1000</v>
      </c>
      <c r="K91" s="28"/>
    </row>
    <row r="92" spans="1:11" s="16" customFormat="1" ht="12.75">
      <c r="A92" s="46" t="s">
        <v>174</v>
      </c>
      <c r="B92" s="8"/>
      <c r="C92" s="23">
        <v>925</v>
      </c>
      <c r="D92" s="23">
        <f t="shared" si="20"/>
        <v>171.85493053974037</v>
      </c>
      <c r="E92" s="23">
        <v>0.56</v>
      </c>
      <c r="F92" s="63">
        <f t="shared" si="12"/>
        <v>141.06278458093558</v>
      </c>
      <c r="G92" s="63">
        <f t="shared" si="13"/>
        <v>0.9913014438146698</v>
      </c>
      <c r="H92" s="63">
        <f t="shared" si="16"/>
        <v>142.05408602475026</v>
      </c>
      <c r="I92" s="63">
        <f t="shared" si="21"/>
        <v>1000</v>
      </c>
      <c r="J92" s="73">
        <f t="shared" si="14"/>
        <v>1000</v>
      </c>
      <c r="K92" s="28"/>
    </row>
    <row r="93" spans="1:11" s="18" customFormat="1" ht="12.75">
      <c r="A93" s="13" t="s">
        <v>21</v>
      </c>
      <c r="B93" s="8"/>
      <c r="C93" s="23">
        <v>3655</v>
      </c>
      <c r="D93" s="23">
        <f t="shared" si="20"/>
        <v>679.0592120245958</v>
      </c>
      <c r="E93" s="8">
        <v>1</v>
      </c>
      <c r="F93" s="63">
        <f t="shared" si="12"/>
        <v>557.3886244792646</v>
      </c>
      <c r="G93" s="63">
        <f t="shared" si="13"/>
        <v>1.770181149669053</v>
      </c>
      <c r="H93" s="63">
        <f t="shared" si="16"/>
        <v>559.1588056289337</v>
      </c>
      <c r="I93" s="63">
        <f t="shared" si="21"/>
        <v>1000</v>
      </c>
      <c r="J93" s="73">
        <f t="shared" si="14"/>
        <v>1000</v>
      </c>
      <c r="K93" s="28"/>
    </row>
    <row r="94" spans="1:11" s="14" customFormat="1" ht="12.75">
      <c r="A94" s="41" t="s">
        <v>22</v>
      </c>
      <c r="B94" s="8"/>
      <c r="C94" s="23">
        <v>16720</v>
      </c>
      <c r="D94" s="23">
        <f t="shared" si="20"/>
        <v>3106.393987702118</v>
      </c>
      <c r="E94" s="23">
        <v>5.25</v>
      </c>
      <c r="F94" s="63">
        <f t="shared" si="12"/>
        <v>2549.805143992696</v>
      </c>
      <c r="G94" s="63">
        <f t="shared" si="13"/>
        <v>9.29345103576253</v>
      </c>
      <c r="H94" s="63">
        <f t="shared" si="16"/>
        <v>2559.0985950284585</v>
      </c>
      <c r="I94" s="63">
        <f t="shared" si="21"/>
        <v>2559.0985950284585</v>
      </c>
      <c r="J94" s="73">
        <f t="shared" si="14"/>
        <v>2559</v>
      </c>
      <c r="K94" s="27"/>
    </row>
    <row r="95" spans="1:11" s="14" customFormat="1" ht="12.75">
      <c r="A95" s="13" t="s">
        <v>23</v>
      </c>
      <c r="B95" s="8"/>
      <c r="C95" s="23">
        <v>1180</v>
      </c>
      <c r="D95" s="23">
        <f t="shared" si="20"/>
        <v>219.23115463447962</v>
      </c>
      <c r="E95" s="8">
        <v>1</v>
      </c>
      <c r="F95" s="63">
        <f t="shared" si="12"/>
        <v>179.95036303297732</v>
      </c>
      <c r="G95" s="63">
        <f t="shared" si="13"/>
        <v>1.770181149669053</v>
      </c>
      <c r="H95" s="63">
        <f t="shared" si="16"/>
        <v>181.72054418264636</v>
      </c>
      <c r="I95" s="63">
        <f t="shared" si="21"/>
        <v>1000</v>
      </c>
      <c r="J95" s="73">
        <f t="shared" si="14"/>
        <v>1000</v>
      </c>
      <c r="K95" s="27"/>
    </row>
    <row r="96" spans="1:11" s="3" customFormat="1" ht="12.75">
      <c r="A96" s="35" t="s">
        <v>171</v>
      </c>
      <c r="B96" s="8"/>
      <c r="C96" s="23">
        <v>905</v>
      </c>
      <c r="D96" s="23">
        <f t="shared" si="20"/>
        <v>168.13914825780003</v>
      </c>
      <c r="E96" s="8">
        <v>1</v>
      </c>
      <c r="F96" s="63">
        <f t="shared" si="12"/>
        <v>138.0127784278343</v>
      </c>
      <c r="G96" s="63">
        <f t="shared" si="13"/>
        <v>1.770181149669053</v>
      </c>
      <c r="H96" s="63">
        <f t="shared" si="16"/>
        <v>139.78295957750333</v>
      </c>
      <c r="I96" s="63">
        <f t="shared" si="21"/>
        <v>1000</v>
      </c>
      <c r="J96" s="73">
        <f t="shared" si="14"/>
        <v>1000</v>
      </c>
      <c r="K96" s="27"/>
    </row>
    <row r="97" spans="1:11" s="16" customFormat="1" ht="12.75">
      <c r="A97" s="7" t="s">
        <v>24</v>
      </c>
      <c r="B97" s="8"/>
      <c r="C97" s="23">
        <v>9090</v>
      </c>
      <c r="D97" s="23">
        <f t="shared" si="20"/>
        <v>1688.823047141881</v>
      </c>
      <c r="E97" s="8">
        <v>6.5</v>
      </c>
      <c r="F97" s="63">
        <f t="shared" si="12"/>
        <v>1386.2277965845456</v>
      </c>
      <c r="G97" s="63">
        <f t="shared" si="13"/>
        <v>11.506177472848844</v>
      </c>
      <c r="H97" s="63">
        <f t="shared" si="16"/>
        <v>1397.7339740573943</v>
      </c>
      <c r="I97" s="63">
        <f t="shared" si="21"/>
        <v>1397.7339740573943</v>
      </c>
      <c r="J97" s="73">
        <f t="shared" si="14"/>
        <v>1398</v>
      </c>
      <c r="K97" s="28"/>
    </row>
    <row r="98" spans="1:11" s="55" customFormat="1" ht="12.75">
      <c r="A98" s="51" t="s">
        <v>90</v>
      </c>
      <c r="B98" s="52">
        <v>6399</v>
      </c>
      <c r="C98" s="52"/>
      <c r="D98" s="52"/>
      <c r="E98" s="52"/>
      <c r="F98" s="77">
        <f t="shared" si="12"/>
        <v>0</v>
      </c>
      <c r="G98" s="77">
        <f t="shared" si="13"/>
        <v>0</v>
      </c>
      <c r="H98" s="77">
        <f t="shared" si="16"/>
        <v>0</v>
      </c>
      <c r="I98" s="77"/>
      <c r="J98" s="78">
        <f t="shared" si="14"/>
        <v>0</v>
      </c>
      <c r="K98" s="79"/>
    </row>
    <row r="99" spans="1:64" s="14" customFormat="1" ht="12.75">
      <c r="A99" s="13" t="s">
        <v>91</v>
      </c>
      <c r="B99" s="8"/>
      <c r="C99" s="23">
        <v>3285</v>
      </c>
      <c r="D99" s="23">
        <f>B98/31845*C99</f>
        <v>660.094677343382</v>
      </c>
      <c r="E99" s="8">
        <v>1</v>
      </c>
      <c r="F99" s="63">
        <f t="shared" si="12"/>
        <v>541.8220645789356</v>
      </c>
      <c r="G99" s="63">
        <f t="shared" si="13"/>
        <v>1.770181149669053</v>
      </c>
      <c r="H99" s="63">
        <f t="shared" si="16"/>
        <v>543.5922457286047</v>
      </c>
      <c r="I99" s="63">
        <f>IF(H99&lt;1000,1000,H99)</f>
        <v>1000</v>
      </c>
      <c r="J99" s="73">
        <f t="shared" si="14"/>
        <v>1000</v>
      </c>
      <c r="K99" s="27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</row>
    <row r="100" spans="1:64" s="3" customFormat="1" ht="12.75">
      <c r="A100" s="13" t="s">
        <v>122</v>
      </c>
      <c r="B100" s="8"/>
      <c r="C100" s="23">
        <v>26645</v>
      </c>
      <c r="D100" s="23">
        <f>B98/31845*C100</f>
        <v>5354.10127178521</v>
      </c>
      <c r="E100" s="8">
        <v>9926</v>
      </c>
      <c r="F100" s="63">
        <f aca="true" t="shared" si="22" ref="F100:F131">(D100/$D$172)*$F$172</f>
        <v>4394.778968251367</v>
      </c>
      <c r="G100" s="63">
        <f aca="true" t="shared" si="23" ref="G100:G131">(E100/$E$172)*$G$172</f>
        <v>17570.818091615023</v>
      </c>
      <c r="H100" s="63">
        <f t="shared" si="16"/>
        <v>21965.59705986639</v>
      </c>
      <c r="I100" s="63">
        <f>IF(H100&lt;1000,1000,H100)</f>
        <v>21965.59705986639</v>
      </c>
      <c r="J100" s="73">
        <f t="shared" si="14"/>
        <v>21966</v>
      </c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11" s="19" customFormat="1" ht="12.75">
      <c r="A101" s="35" t="s">
        <v>182</v>
      </c>
      <c r="B101" s="8"/>
      <c r="C101" s="23">
        <v>1915</v>
      </c>
      <c r="D101" s="23">
        <f>B98/31845*C101</f>
        <v>384.8040508714084</v>
      </c>
      <c r="E101" s="8">
        <v>1</v>
      </c>
      <c r="F101" s="63">
        <f t="shared" si="22"/>
        <v>315.856698224859</v>
      </c>
      <c r="G101" s="63">
        <f t="shared" si="23"/>
        <v>1.770181149669053</v>
      </c>
      <c r="H101" s="63">
        <f t="shared" si="16"/>
        <v>317.626879374528</v>
      </c>
      <c r="I101" s="63">
        <f>IF(H101&lt;1000,1000,H101)</f>
        <v>1000</v>
      </c>
      <c r="J101" s="73">
        <f t="shared" si="14"/>
        <v>1000</v>
      </c>
      <c r="K101" s="29"/>
    </row>
    <row r="102" spans="1:11" s="82" customFormat="1" ht="12.75">
      <c r="A102" s="80" t="s">
        <v>92</v>
      </c>
      <c r="B102" s="53">
        <v>70991</v>
      </c>
      <c r="C102" s="53"/>
      <c r="D102" s="53"/>
      <c r="E102" s="53"/>
      <c r="F102" s="81">
        <f t="shared" si="22"/>
        <v>0</v>
      </c>
      <c r="G102" s="81">
        <f t="shared" si="23"/>
        <v>0</v>
      </c>
      <c r="H102" s="81">
        <f t="shared" si="16"/>
        <v>0</v>
      </c>
      <c r="I102" s="81"/>
      <c r="J102" s="78">
        <f t="shared" si="14"/>
        <v>0</v>
      </c>
      <c r="K102" s="79"/>
    </row>
    <row r="103" spans="1:11" s="14" customFormat="1" ht="12.75">
      <c r="A103" s="35" t="s">
        <v>155</v>
      </c>
      <c r="B103" s="8"/>
      <c r="C103" s="23">
        <v>183129</v>
      </c>
      <c r="D103" s="23">
        <v>39678</v>
      </c>
      <c r="E103" s="8">
        <v>2446</v>
      </c>
      <c r="F103" s="63">
        <f t="shared" si="22"/>
        <v>32568.685396594257</v>
      </c>
      <c r="G103" s="63">
        <f t="shared" si="23"/>
        <v>4329.863092090504</v>
      </c>
      <c r="H103" s="63">
        <f t="shared" si="16"/>
        <v>36898.54848868476</v>
      </c>
      <c r="I103" s="63">
        <f aca="true" t="shared" si="24" ref="I103:I111">IF(H103&lt;1000,1000,H103)</f>
        <v>36898.54848868476</v>
      </c>
      <c r="J103" s="73">
        <f t="shared" si="14"/>
        <v>36899</v>
      </c>
      <c r="K103" s="27"/>
    </row>
    <row r="104" spans="1:11" s="14" customFormat="1" ht="12.75">
      <c r="A104" s="13" t="s">
        <v>56</v>
      </c>
      <c r="B104" s="8"/>
      <c r="C104" s="23">
        <v>3235</v>
      </c>
      <c r="D104" s="23">
        <f aca="true" t="shared" si="25" ref="D104:D109">$B$102/365132*C104</f>
        <v>628.9667435338453</v>
      </c>
      <c r="E104" s="8">
        <v>1</v>
      </c>
      <c r="F104" s="63">
        <f t="shared" si="22"/>
        <v>516.2714853337918</v>
      </c>
      <c r="G104" s="63">
        <f t="shared" si="23"/>
        <v>1.770181149669053</v>
      </c>
      <c r="H104" s="63">
        <f t="shared" si="16"/>
        <v>518.0416664834609</v>
      </c>
      <c r="I104" s="63">
        <f t="shared" si="24"/>
        <v>1000</v>
      </c>
      <c r="J104" s="73">
        <f t="shared" si="14"/>
        <v>1000</v>
      </c>
      <c r="K104" s="27"/>
    </row>
    <row r="105" spans="1:11" s="14" customFormat="1" ht="12.75">
      <c r="A105" s="13" t="s">
        <v>57</v>
      </c>
      <c r="B105" s="8"/>
      <c r="C105" s="23">
        <v>3400</v>
      </c>
      <c r="D105" s="23">
        <f t="shared" si="25"/>
        <v>661.0469638377353</v>
      </c>
      <c r="E105" s="8">
        <v>1</v>
      </c>
      <c r="F105" s="63">
        <f t="shared" si="22"/>
        <v>542.6037249257781</v>
      </c>
      <c r="G105" s="63">
        <f t="shared" si="23"/>
        <v>1.770181149669053</v>
      </c>
      <c r="H105" s="63">
        <f t="shared" si="16"/>
        <v>544.3739060754472</v>
      </c>
      <c r="I105" s="63">
        <f t="shared" si="24"/>
        <v>1000</v>
      </c>
      <c r="J105" s="73">
        <f t="shared" si="14"/>
        <v>1000</v>
      </c>
      <c r="K105" s="27"/>
    </row>
    <row r="106" spans="1:11" s="14" customFormat="1" ht="12.75">
      <c r="A106" s="37" t="s">
        <v>58</v>
      </c>
      <c r="B106" s="8"/>
      <c r="C106" s="23">
        <v>163480</v>
      </c>
      <c r="D106" s="23">
        <f t="shared" si="25"/>
        <v>31784.693425939113</v>
      </c>
      <c r="E106" s="23">
        <v>49.13</v>
      </c>
      <c r="F106" s="63">
        <f t="shared" si="22"/>
        <v>26089.663809078298</v>
      </c>
      <c r="G106" s="63">
        <f t="shared" si="23"/>
        <v>86.96899988324058</v>
      </c>
      <c r="H106" s="63">
        <f aca="true" t="shared" si="26" ref="H106:H137">SUM(F106:G106)</f>
        <v>26176.632808961538</v>
      </c>
      <c r="I106" s="63">
        <f t="shared" si="24"/>
        <v>26176.632808961538</v>
      </c>
      <c r="J106" s="73">
        <f t="shared" si="14"/>
        <v>26177</v>
      </c>
      <c r="K106" s="27"/>
    </row>
    <row r="107" spans="1:11" s="14" customFormat="1" ht="12.75">
      <c r="A107" s="35" t="s">
        <v>156</v>
      </c>
      <c r="B107" s="8"/>
      <c r="C107" s="23">
        <v>19770</v>
      </c>
      <c r="D107" s="23">
        <f t="shared" si="25"/>
        <v>3843.793669138832</v>
      </c>
      <c r="E107" s="8">
        <v>186</v>
      </c>
      <c r="F107" s="63">
        <f t="shared" si="22"/>
        <v>3155.0810711125396</v>
      </c>
      <c r="G107" s="63">
        <f t="shared" si="23"/>
        <v>329.2536938384439</v>
      </c>
      <c r="H107" s="63">
        <f t="shared" si="26"/>
        <v>3484.3347649509833</v>
      </c>
      <c r="I107" s="63">
        <f t="shared" si="24"/>
        <v>3484.3347649509833</v>
      </c>
      <c r="J107" s="73">
        <f t="shared" si="14"/>
        <v>3484</v>
      </c>
      <c r="K107" s="27"/>
    </row>
    <row r="108" spans="1:11" s="14" customFormat="1" ht="12.75">
      <c r="A108" s="13" t="s">
        <v>94</v>
      </c>
      <c r="B108" s="8"/>
      <c r="C108" s="23">
        <v>7770</v>
      </c>
      <c r="D108" s="23">
        <f t="shared" si="25"/>
        <v>1510.6867379468247</v>
      </c>
      <c r="E108" s="23">
        <v>3</v>
      </c>
      <c r="F108" s="63">
        <f t="shared" si="22"/>
        <v>1240.0091007862636</v>
      </c>
      <c r="G108" s="63">
        <f t="shared" si="23"/>
        <v>5.3105434490071595</v>
      </c>
      <c r="H108" s="63">
        <f t="shared" si="26"/>
        <v>1245.3196442352707</v>
      </c>
      <c r="I108" s="63">
        <f t="shared" si="24"/>
        <v>1245.3196442352707</v>
      </c>
      <c r="J108" s="73">
        <f t="shared" si="14"/>
        <v>1245</v>
      </c>
      <c r="K108" s="27"/>
    </row>
    <row r="109" spans="1:11" s="3" customFormat="1" ht="12.75">
      <c r="A109" s="37" t="s">
        <v>95</v>
      </c>
      <c r="B109" s="8"/>
      <c r="C109" s="23">
        <v>24685</v>
      </c>
      <c r="D109" s="23">
        <f t="shared" si="25"/>
        <v>4799.3953830395585</v>
      </c>
      <c r="E109" s="23">
        <v>7.91</v>
      </c>
      <c r="F109" s="63">
        <f t="shared" si="22"/>
        <v>3939.46263229201</v>
      </c>
      <c r="G109" s="63">
        <f t="shared" si="23"/>
        <v>14.00213289388221</v>
      </c>
      <c r="H109" s="63">
        <f t="shared" si="26"/>
        <v>3953.4647651858922</v>
      </c>
      <c r="I109" s="63">
        <f t="shared" si="24"/>
        <v>3953.4647651858922</v>
      </c>
      <c r="J109" s="73">
        <f t="shared" si="14"/>
        <v>3953</v>
      </c>
      <c r="K109" s="27"/>
    </row>
    <row r="110" spans="1:11" s="55" customFormat="1" ht="12.75">
      <c r="A110" s="76" t="s">
        <v>0</v>
      </c>
      <c r="B110" s="52">
        <v>2467</v>
      </c>
      <c r="C110" s="52"/>
      <c r="D110" s="52"/>
      <c r="E110" s="52"/>
      <c r="F110" s="77">
        <f t="shared" si="22"/>
        <v>0</v>
      </c>
      <c r="G110" s="77">
        <f t="shared" si="23"/>
        <v>0</v>
      </c>
      <c r="H110" s="77">
        <f t="shared" si="26"/>
        <v>0</v>
      </c>
      <c r="I110" s="77"/>
      <c r="J110" s="78">
        <f t="shared" si="14"/>
        <v>0</v>
      </c>
      <c r="K110" s="79"/>
    </row>
    <row r="111" spans="1:11" s="14" customFormat="1" ht="12.75">
      <c r="A111" s="35" t="s">
        <v>138</v>
      </c>
      <c r="B111" s="8"/>
      <c r="C111" s="23">
        <v>839</v>
      </c>
      <c r="D111" s="23">
        <f>B110/11890*C111</f>
        <v>174.08015138772078</v>
      </c>
      <c r="E111" s="23">
        <v>375</v>
      </c>
      <c r="F111" s="63">
        <f t="shared" si="22"/>
        <v>142.88930098135438</v>
      </c>
      <c r="G111" s="63">
        <f t="shared" si="23"/>
        <v>663.8179311258949</v>
      </c>
      <c r="H111" s="63">
        <f t="shared" si="26"/>
        <v>806.7072321072493</v>
      </c>
      <c r="I111" s="63">
        <f t="shared" si="24"/>
        <v>1000</v>
      </c>
      <c r="J111" s="73">
        <f t="shared" si="14"/>
        <v>1000</v>
      </c>
      <c r="K111" s="27"/>
    </row>
    <row r="112" spans="1:11" s="14" customFormat="1" ht="12.75">
      <c r="A112" s="35" t="s">
        <v>154</v>
      </c>
      <c r="B112" s="8"/>
      <c r="C112" s="23">
        <v>10048</v>
      </c>
      <c r="D112" s="23">
        <f>B110/11890*C112</f>
        <v>2084.812111017662</v>
      </c>
      <c r="E112" s="23">
        <v>1109</v>
      </c>
      <c r="F112" s="63">
        <f t="shared" si="22"/>
        <v>1711.2654305848023</v>
      </c>
      <c r="G112" s="63">
        <f t="shared" si="23"/>
        <v>1963.1308949829797</v>
      </c>
      <c r="H112" s="63">
        <f t="shared" si="26"/>
        <v>3674.396325567782</v>
      </c>
      <c r="I112" s="63">
        <f>IF(H112&lt;1000,1000,H112)</f>
        <v>3674.396325567782</v>
      </c>
      <c r="J112" s="73">
        <f t="shared" si="14"/>
        <v>3674</v>
      </c>
      <c r="K112" s="27"/>
    </row>
    <row r="113" spans="1:11" s="55" customFormat="1" ht="12.75">
      <c r="A113" s="51" t="s">
        <v>1</v>
      </c>
      <c r="B113" s="52">
        <v>129591</v>
      </c>
      <c r="C113" s="52"/>
      <c r="D113" s="52"/>
      <c r="E113" s="52"/>
      <c r="F113" s="77">
        <f t="shared" si="22"/>
        <v>0</v>
      </c>
      <c r="G113" s="77">
        <f t="shared" si="23"/>
        <v>0</v>
      </c>
      <c r="H113" s="77">
        <f t="shared" si="26"/>
        <v>0</v>
      </c>
      <c r="I113" s="77"/>
      <c r="J113" s="78">
        <f t="shared" si="14"/>
        <v>0</v>
      </c>
      <c r="K113" s="79"/>
    </row>
    <row r="114" spans="1:11" s="14" customFormat="1" ht="12.75">
      <c r="A114" s="37" t="s">
        <v>2</v>
      </c>
      <c r="B114" s="8"/>
      <c r="C114" s="23">
        <v>800439</v>
      </c>
      <c r="D114" s="23">
        <f>B113</f>
        <v>129591</v>
      </c>
      <c r="E114" s="23">
        <v>464</v>
      </c>
      <c r="F114" s="63">
        <f t="shared" si="22"/>
        <v>106371.50333257843</v>
      </c>
      <c r="G114" s="63">
        <f t="shared" si="23"/>
        <v>821.3640534464406</v>
      </c>
      <c r="H114" s="63">
        <f t="shared" si="26"/>
        <v>107192.86738602487</v>
      </c>
      <c r="I114" s="63">
        <f>IF(H114&lt;1000,1000,H114)</f>
        <v>107192.86738602487</v>
      </c>
      <c r="J114" s="73">
        <f t="shared" si="14"/>
        <v>107193</v>
      </c>
      <c r="K114" s="27"/>
    </row>
    <row r="115" spans="1:11" s="82" customFormat="1" ht="12.75">
      <c r="A115" s="80" t="s">
        <v>3</v>
      </c>
      <c r="B115" s="53">
        <v>15636</v>
      </c>
      <c r="C115" s="53"/>
      <c r="D115" s="53"/>
      <c r="E115" s="53"/>
      <c r="F115" s="81">
        <f t="shared" si="22"/>
        <v>0</v>
      </c>
      <c r="G115" s="81">
        <f t="shared" si="23"/>
        <v>0</v>
      </c>
      <c r="H115" s="81">
        <f t="shared" si="26"/>
        <v>0</v>
      </c>
      <c r="I115" s="81"/>
      <c r="J115" s="78">
        <f t="shared" si="14"/>
        <v>0</v>
      </c>
      <c r="K115" s="79"/>
    </row>
    <row r="116" spans="1:11" s="14" customFormat="1" ht="12.75">
      <c r="A116" s="13" t="s">
        <v>4</v>
      </c>
      <c r="B116" s="8"/>
      <c r="C116" s="23">
        <v>15570</v>
      </c>
      <c r="D116" s="23">
        <f>$B$115/54198*C116</f>
        <v>4491.909664563268</v>
      </c>
      <c r="E116" s="23">
        <v>5</v>
      </c>
      <c r="F116" s="63">
        <f t="shared" si="22"/>
        <v>3687.070736808366</v>
      </c>
      <c r="G116" s="63">
        <f t="shared" si="23"/>
        <v>8.850905748345264</v>
      </c>
      <c r="H116" s="63">
        <f t="shared" si="26"/>
        <v>3695.921642556711</v>
      </c>
      <c r="I116" s="63">
        <f>IF(H116&lt;1000,1000,H116)</f>
        <v>3695.921642556711</v>
      </c>
      <c r="J116" s="73">
        <f t="shared" si="14"/>
        <v>3696</v>
      </c>
      <c r="K116" s="27"/>
    </row>
    <row r="117" spans="1:11" s="14" customFormat="1" ht="12.75">
      <c r="A117" s="13" t="s">
        <v>29</v>
      </c>
      <c r="B117" s="8"/>
      <c r="C117" s="23">
        <v>9340</v>
      </c>
      <c r="D117" s="23">
        <f>$B$115/54198*C117</f>
        <v>2694.5688032768735</v>
      </c>
      <c r="E117" s="8">
        <v>2.99</v>
      </c>
      <c r="F117" s="63">
        <f t="shared" si="22"/>
        <v>2211.7688299158726</v>
      </c>
      <c r="G117" s="63">
        <f t="shared" si="23"/>
        <v>5.292841637510469</v>
      </c>
      <c r="H117" s="63">
        <f t="shared" si="26"/>
        <v>2217.061671553383</v>
      </c>
      <c r="I117" s="63">
        <f>IF(H117&lt;1000,1000,H117)</f>
        <v>2217.061671553383</v>
      </c>
      <c r="J117" s="73">
        <f t="shared" si="14"/>
        <v>2217</v>
      </c>
      <c r="K117" s="27"/>
    </row>
    <row r="118" spans="1:11" s="14" customFormat="1" ht="12.75">
      <c r="A118" s="13" t="s">
        <v>30</v>
      </c>
      <c r="B118" s="8"/>
      <c r="C118" s="23">
        <v>9855</v>
      </c>
      <c r="D118" s="23">
        <f>$B$115/54198*C118</f>
        <v>2843.145134506808</v>
      </c>
      <c r="E118" s="8">
        <v>2</v>
      </c>
      <c r="F118" s="63">
        <f t="shared" si="22"/>
        <v>2333.723963471191</v>
      </c>
      <c r="G118" s="63">
        <f t="shared" si="23"/>
        <v>3.540362299338106</v>
      </c>
      <c r="H118" s="63">
        <f t="shared" si="26"/>
        <v>2337.264325770529</v>
      </c>
      <c r="I118" s="63">
        <f>IF(H118&lt;1000,1000,H118)</f>
        <v>2337.264325770529</v>
      </c>
      <c r="J118" s="73">
        <f t="shared" si="14"/>
        <v>2337</v>
      </c>
      <c r="K118" s="27"/>
    </row>
    <row r="119" spans="1:11" s="55" customFormat="1" ht="12.75">
      <c r="A119" s="51" t="s">
        <v>52</v>
      </c>
      <c r="B119" s="52">
        <v>281</v>
      </c>
      <c r="C119" s="52"/>
      <c r="D119" s="52"/>
      <c r="E119" s="52"/>
      <c r="F119" s="77">
        <f t="shared" si="22"/>
        <v>0</v>
      </c>
      <c r="G119" s="77">
        <f t="shared" si="23"/>
        <v>0</v>
      </c>
      <c r="H119" s="77">
        <f t="shared" si="26"/>
        <v>0</v>
      </c>
      <c r="I119" s="77"/>
      <c r="J119" s="78">
        <f t="shared" si="14"/>
        <v>0</v>
      </c>
      <c r="K119" s="79"/>
    </row>
    <row r="120" spans="1:11" s="14" customFormat="1" ht="12.75">
      <c r="A120" s="13" t="s">
        <v>133</v>
      </c>
      <c r="B120" s="8"/>
      <c r="C120" s="23">
        <v>1800</v>
      </c>
      <c r="D120" s="23">
        <f>B119</f>
        <v>281</v>
      </c>
      <c r="E120" s="8">
        <v>831</v>
      </c>
      <c r="F120" s="63">
        <f t="shared" si="22"/>
        <v>230.6517615918894</v>
      </c>
      <c r="G120" s="63">
        <f t="shared" si="23"/>
        <v>1471.0205353749832</v>
      </c>
      <c r="H120" s="63">
        <f t="shared" si="26"/>
        <v>1701.6722969668726</v>
      </c>
      <c r="I120" s="63">
        <f>IF(H120&lt;1000,1000,H120)</f>
        <v>1701.6722969668726</v>
      </c>
      <c r="J120" s="73">
        <f t="shared" si="14"/>
        <v>1702</v>
      </c>
      <c r="K120" s="27"/>
    </row>
    <row r="121" spans="1:11" s="55" customFormat="1" ht="12.75">
      <c r="A121" s="51" t="s">
        <v>53</v>
      </c>
      <c r="B121" s="52">
        <v>4271</v>
      </c>
      <c r="C121" s="52"/>
      <c r="D121" s="52"/>
      <c r="E121" s="52"/>
      <c r="F121" s="77">
        <f t="shared" si="22"/>
        <v>0</v>
      </c>
      <c r="G121" s="77">
        <f t="shared" si="23"/>
        <v>0</v>
      </c>
      <c r="H121" s="77">
        <f t="shared" si="26"/>
        <v>0</v>
      </c>
      <c r="I121" s="77"/>
      <c r="J121" s="78">
        <f t="shared" si="14"/>
        <v>0</v>
      </c>
      <c r="K121" s="79"/>
    </row>
    <row r="122" spans="1:11" s="16" customFormat="1" ht="12.75">
      <c r="A122" s="13" t="s">
        <v>45</v>
      </c>
      <c r="B122" s="8"/>
      <c r="C122" s="23">
        <v>26175</v>
      </c>
      <c r="D122" s="23">
        <f>B121</f>
        <v>4271</v>
      </c>
      <c r="E122" s="8">
        <v>1125</v>
      </c>
      <c r="F122" s="63">
        <f t="shared" si="22"/>
        <v>3505.742611241849</v>
      </c>
      <c r="G122" s="63">
        <f t="shared" si="23"/>
        <v>1991.4537933776846</v>
      </c>
      <c r="H122" s="63">
        <f t="shared" si="26"/>
        <v>5497.1964046195335</v>
      </c>
      <c r="I122" s="63">
        <f>IF(H122&lt;1000,1000,H122)</f>
        <v>5497.1964046195335</v>
      </c>
      <c r="J122" s="73">
        <f t="shared" si="14"/>
        <v>5497</v>
      </c>
      <c r="K122" s="28"/>
    </row>
    <row r="123" spans="1:11" s="55" customFormat="1" ht="12.75">
      <c r="A123" s="51" t="s">
        <v>46</v>
      </c>
      <c r="B123" s="52">
        <v>17145</v>
      </c>
      <c r="C123" s="52"/>
      <c r="D123" s="52"/>
      <c r="E123" s="52"/>
      <c r="F123" s="77">
        <f t="shared" si="22"/>
        <v>0</v>
      </c>
      <c r="G123" s="77">
        <f t="shared" si="23"/>
        <v>0</v>
      </c>
      <c r="H123" s="77">
        <f t="shared" si="26"/>
        <v>0</v>
      </c>
      <c r="I123" s="77"/>
      <c r="J123" s="78">
        <f t="shared" si="14"/>
        <v>0</v>
      </c>
      <c r="K123" s="79"/>
    </row>
    <row r="124" spans="1:64" s="14" customFormat="1" ht="12.75">
      <c r="A124" s="15" t="s">
        <v>77</v>
      </c>
      <c r="B124" s="10"/>
      <c r="C124" s="23">
        <v>375</v>
      </c>
      <c r="D124" s="23">
        <f aca="true" t="shared" si="27" ref="D124:D136">$B$123/SUM($C$124:$C$136)*C124</f>
        <v>79.8928238583411</v>
      </c>
      <c r="E124" s="23">
        <v>1</v>
      </c>
      <c r="F124" s="63">
        <f t="shared" si="22"/>
        <v>65.57800911557617</v>
      </c>
      <c r="G124" s="63">
        <f t="shared" si="23"/>
        <v>1.770181149669053</v>
      </c>
      <c r="H124" s="63">
        <f t="shared" si="26"/>
        <v>67.34819026524522</v>
      </c>
      <c r="I124" s="63">
        <f aca="true" t="shared" si="28" ref="I124:I136">IF(H124&lt;1000,1000,H124)</f>
        <v>1000</v>
      </c>
      <c r="J124" s="73">
        <f t="shared" si="14"/>
        <v>1000</v>
      </c>
      <c r="K124" s="27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</row>
    <row r="125" spans="1:64" s="3" customFormat="1" ht="12.75">
      <c r="A125" s="9" t="s">
        <v>101</v>
      </c>
      <c r="B125" s="10"/>
      <c r="C125" s="23">
        <v>1175</v>
      </c>
      <c r="D125" s="23">
        <f t="shared" si="27"/>
        <v>250.3308480894688</v>
      </c>
      <c r="E125" s="23">
        <v>1</v>
      </c>
      <c r="F125" s="63">
        <f t="shared" si="22"/>
        <v>205.47776189547199</v>
      </c>
      <c r="G125" s="63">
        <f t="shared" si="23"/>
        <v>1.770181149669053</v>
      </c>
      <c r="H125" s="63">
        <f t="shared" si="26"/>
        <v>207.24794304514103</v>
      </c>
      <c r="I125" s="63">
        <f t="shared" si="28"/>
        <v>1000</v>
      </c>
      <c r="J125" s="73">
        <f t="shared" si="14"/>
        <v>1000</v>
      </c>
      <c r="K125" s="28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</row>
    <row r="126" spans="1:64" s="16" customFormat="1" ht="12.75">
      <c r="A126" s="15" t="s">
        <v>102</v>
      </c>
      <c r="B126" s="8"/>
      <c r="C126" s="23">
        <v>705</v>
      </c>
      <c r="D126" s="23">
        <f t="shared" si="27"/>
        <v>150.19850885368126</v>
      </c>
      <c r="E126" s="23">
        <v>1</v>
      </c>
      <c r="F126" s="63">
        <f t="shared" si="22"/>
        <v>123.2866571372832</v>
      </c>
      <c r="G126" s="63">
        <f t="shared" si="23"/>
        <v>1.770181149669053</v>
      </c>
      <c r="H126" s="63">
        <f t="shared" si="26"/>
        <v>125.05683828695226</v>
      </c>
      <c r="I126" s="63">
        <f t="shared" si="28"/>
        <v>1000</v>
      </c>
      <c r="J126" s="73">
        <f t="shared" si="14"/>
        <v>1000</v>
      </c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</row>
    <row r="127" spans="1:64" s="14" customFormat="1" ht="12.75">
      <c r="A127" s="37" t="s">
        <v>35</v>
      </c>
      <c r="B127" s="8"/>
      <c r="C127" s="23">
        <v>195</v>
      </c>
      <c r="D127" s="23">
        <f t="shared" si="27"/>
        <v>41.54426840633737</v>
      </c>
      <c r="E127" s="23">
        <v>1</v>
      </c>
      <c r="F127" s="63">
        <f t="shared" si="22"/>
        <v>34.10056474009961</v>
      </c>
      <c r="G127" s="63">
        <f t="shared" si="23"/>
        <v>1.770181149669053</v>
      </c>
      <c r="H127" s="63">
        <f t="shared" si="26"/>
        <v>35.870745889768656</v>
      </c>
      <c r="I127" s="63">
        <f t="shared" si="28"/>
        <v>1000</v>
      </c>
      <c r="J127" s="73">
        <f t="shared" si="14"/>
        <v>1000</v>
      </c>
      <c r="K127" s="27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</row>
    <row r="128" spans="1:64" s="3" customFormat="1" ht="12.75">
      <c r="A128" s="41" t="s">
        <v>36</v>
      </c>
      <c r="B128" s="8"/>
      <c r="C128" s="23">
        <v>17985</v>
      </c>
      <c r="D128" s="23">
        <f t="shared" si="27"/>
        <v>3831.659832246039</v>
      </c>
      <c r="E128" s="23">
        <v>7.79</v>
      </c>
      <c r="F128" s="63">
        <f t="shared" si="22"/>
        <v>3145.121317183033</v>
      </c>
      <c r="G128" s="63">
        <f t="shared" si="23"/>
        <v>13.789711155921925</v>
      </c>
      <c r="H128" s="63">
        <f t="shared" si="26"/>
        <v>3158.911028338955</v>
      </c>
      <c r="I128" s="63">
        <f t="shared" si="28"/>
        <v>3158.911028338955</v>
      </c>
      <c r="J128" s="73">
        <f t="shared" si="14"/>
        <v>3159</v>
      </c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</row>
    <row r="129" spans="1:11" s="14" customFormat="1" ht="12.75">
      <c r="A129" s="37" t="s">
        <v>37</v>
      </c>
      <c r="B129" s="8"/>
      <c r="C129" s="23">
        <v>7070</v>
      </c>
      <c r="D129" s="23">
        <f t="shared" si="27"/>
        <v>1506.246039142591</v>
      </c>
      <c r="E129" s="23">
        <v>1.9</v>
      </c>
      <c r="F129" s="63">
        <f t="shared" si="22"/>
        <v>1236.3640651923295</v>
      </c>
      <c r="G129" s="63">
        <f t="shared" si="23"/>
        <v>3.3633441843712006</v>
      </c>
      <c r="H129" s="63">
        <f t="shared" si="26"/>
        <v>1239.7274093767007</v>
      </c>
      <c r="I129" s="63">
        <f t="shared" si="28"/>
        <v>1239.7274093767007</v>
      </c>
      <c r="J129" s="73">
        <f t="shared" si="14"/>
        <v>1240</v>
      </c>
      <c r="K129" s="27"/>
    </row>
    <row r="130" spans="1:11" s="14" customFormat="1" ht="12.75">
      <c r="A130" s="37" t="s">
        <v>38</v>
      </c>
      <c r="B130" s="8"/>
      <c r="C130" s="23">
        <v>16890</v>
      </c>
      <c r="D130" s="23">
        <f t="shared" si="27"/>
        <v>3598.372786579683</v>
      </c>
      <c r="E130" s="23">
        <v>11.32</v>
      </c>
      <c r="F130" s="63">
        <f t="shared" si="22"/>
        <v>2953.6335305655507</v>
      </c>
      <c r="G130" s="63">
        <f t="shared" si="23"/>
        <v>20.038450614253684</v>
      </c>
      <c r="H130" s="63">
        <f t="shared" si="26"/>
        <v>2973.6719811798043</v>
      </c>
      <c r="I130" s="63">
        <f t="shared" si="28"/>
        <v>2973.6719811798043</v>
      </c>
      <c r="J130" s="73">
        <f t="shared" si="14"/>
        <v>2974</v>
      </c>
      <c r="K130" s="27"/>
    </row>
    <row r="131" spans="1:64" s="14" customFormat="1" ht="12.75">
      <c r="A131" s="37" t="s">
        <v>39</v>
      </c>
      <c r="B131" s="8"/>
      <c r="C131" s="23">
        <v>1505</v>
      </c>
      <c r="D131" s="23">
        <f t="shared" si="27"/>
        <v>320.63653308480895</v>
      </c>
      <c r="E131" s="23">
        <v>1</v>
      </c>
      <c r="F131" s="63">
        <f t="shared" si="22"/>
        <v>263.18640991717905</v>
      </c>
      <c r="G131" s="63">
        <f t="shared" si="23"/>
        <v>1.770181149669053</v>
      </c>
      <c r="H131" s="63">
        <f t="shared" si="26"/>
        <v>264.9565910668481</v>
      </c>
      <c r="I131" s="63">
        <f t="shared" si="28"/>
        <v>1000</v>
      </c>
      <c r="J131" s="73">
        <f t="shared" si="14"/>
        <v>1000</v>
      </c>
      <c r="K131" s="27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</row>
    <row r="132" spans="1:64" s="3" customFormat="1" ht="12.75">
      <c r="A132" s="41" t="s">
        <v>40</v>
      </c>
      <c r="B132" s="8"/>
      <c r="C132" s="23">
        <v>2145</v>
      </c>
      <c r="D132" s="23">
        <f t="shared" si="27"/>
        <v>456.9869524697111</v>
      </c>
      <c r="E132" s="23">
        <v>1.75</v>
      </c>
      <c r="F132" s="63">
        <f aca="true" t="shared" si="29" ref="F132:F163">(D132/$D$172)*$F$172</f>
        <v>375.1062121410957</v>
      </c>
      <c r="G132" s="63">
        <f aca="true" t="shared" si="30" ref="G132:G163">(E132/$E$172)*$G$172</f>
        <v>3.097817011920843</v>
      </c>
      <c r="H132" s="63">
        <f t="shared" si="26"/>
        <v>378.2040291530165</v>
      </c>
      <c r="I132" s="63">
        <f t="shared" si="28"/>
        <v>1000</v>
      </c>
      <c r="J132" s="73">
        <f t="shared" si="14"/>
        <v>1000</v>
      </c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</row>
    <row r="133" spans="1:64" s="14" customFormat="1" ht="12.75">
      <c r="A133" s="37" t="s">
        <v>41</v>
      </c>
      <c r="B133" s="8"/>
      <c r="C133" s="23">
        <v>302</v>
      </c>
      <c r="D133" s="23">
        <f t="shared" si="27"/>
        <v>64.34035414725071</v>
      </c>
      <c r="E133" s="23">
        <v>498</v>
      </c>
      <c r="F133" s="63">
        <f t="shared" si="29"/>
        <v>52.81215667441069</v>
      </c>
      <c r="G133" s="63">
        <f t="shared" si="30"/>
        <v>881.5502125351885</v>
      </c>
      <c r="H133" s="63">
        <f t="shared" si="26"/>
        <v>934.3623692095991</v>
      </c>
      <c r="I133" s="63">
        <f t="shared" si="28"/>
        <v>1000</v>
      </c>
      <c r="J133" s="73">
        <f t="shared" si="14"/>
        <v>1000</v>
      </c>
      <c r="K133" s="2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</row>
    <row r="134" spans="1:64" s="18" customFormat="1" ht="12.75">
      <c r="A134" s="37" t="s">
        <v>76</v>
      </c>
      <c r="B134" s="8"/>
      <c r="C134" s="23">
        <v>24223</v>
      </c>
      <c r="D134" s="23">
        <f t="shared" si="27"/>
        <v>5160.650326188257</v>
      </c>
      <c r="E134" s="23">
        <v>2707</v>
      </c>
      <c r="F134" s="63">
        <f t="shared" si="29"/>
        <v>4235.989639484271</v>
      </c>
      <c r="G134" s="63">
        <f t="shared" si="30"/>
        <v>4791.880372154127</v>
      </c>
      <c r="H134" s="63">
        <f t="shared" si="26"/>
        <v>9027.870011638399</v>
      </c>
      <c r="I134" s="63">
        <f t="shared" si="28"/>
        <v>9027.870011638399</v>
      </c>
      <c r="J134" s="73">
        <f aca="true" t="shared" si="31" ref="J134:J171">ROUND(I134,0)</f>
        <v>9028</v>
      </c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</row>
    <row r="135" spans="1:11" s="16" customFormat="1" ht="12" customHeight="1">
      <c r="A135" s="41" t="s">
        <v>42</v>
      </c>
      <c r="B135" s="8"/>
      <c r="C135" s="23">
        <v>7220</v>
      </c>
      <c r="D135" s="23">
        <f t="shared" si="27"/>
        <v>1538.2031686859273</v>
      </c>
      <c r="E135" s="23">
        <v>4</v>
      </c>
      <c r="F135" s="63">
        <f t="shared" si="29"/>
        <v>1262.5952688385598</v>
      </c>
      <c r="G135" s="63">
        <f t="shared" si="30"/>
        <v>7.080724598676212</v>
      </c>
      <c r="H135" s="63">
        <f t="shared" si="26"/>
        <v>1269.675993437236</v>
      </c>
      <c r="I135" s="63">
        <f t="shared" si="28"/>
        <v>1269.675993437236</v>
      </c>
      <c r="J135" s="73">
        <f t="shared" si="31"/>
        <v>1270</v>
      </c>
      <c r="K135" s="28"/>
    </row>
    <row r="136" spans="1:11" s="14" customFormat="1" ht="12.75">
      <c r="A136" s="13" t="s">
        <v>43</v>
      </c>
      <c r="B136" s="8"/>
      <c r="C136" s="23">
        <v>685</v>
      </c>
      <c r="D136" s="23">
        <f t="shared" si="27"/>
        <v>145.93755824790307</v>
      </c>
      <c r="E136" s="23">
        <v>1</v>
      </c>
      <c r="F136" s="63">
        <f t="shared" si="29"/>
        <v>119.7891633177858</v>
      </c>
      <c r="G136" s="63">
        <f t="shared" si="30"/>
        <v>1.770181149669053</v>
      </c>
      <c r="H136" s="63">
        <f t="shared" si="26"/>
        <v>121.55934446745486</v>
      </c>
      <c r="I136" s="63">
        <f t="shared" si="28"/>
        <v>1000</v>
      </c>
      <c r="J136" s="73">
        <f t="shared" si="31"/>
        <v>1000</v>
      </c>
      <c r="K136" s="27"/>
    </row>
    <row r="137" spans="1:11" s="55" customFormat="1" ht="12.75">
      <c r="A137" s="51" t="s">
        <v>44</v>
      </c>
      <c r="B137" s="52">
        <v>5030</v>
      </c>
      <c r="C137" s="52"/>
      <c r="D137" s="52"/>
      <c r="E137" s="52"/>
      <c r="F137" s="77">
        <f t="shared" si="29"/>
        <v>0</v>
      </c>
      <c r="G137" s="77">
        <f t="shared" si="30"/>
        <v>0</v>
      </c>
      <c r="H137" s="77">
        <f t="shared" si="26"/>
        <v>0</v>
      </c>
      <c r="I137" s="77"/>
      <c r="J137" s="78">
        <f t="shared" si="31"/>
        <v>0</v>
      </c>
      <c r="K137" s="79"/>
    </row>
    <row r="138" spans="1:11" s="14" customFormat="1" ht="12.75">
      <c r="A138" s="46" t="s">
        <v>172</v>
      </c>
      <c r="B138" s="8"/>
      <c r="C138" s="23">
        <v>20278</v>
      </c>
      <c r="D138" s="23">
        <f>B137/26900*C138</f>
        <v>3791.7598513011153</v>
      </c>
      <c r="E138" s="23">
        <v>1132</v>
      </c>
      <c r="F138" s="63">
        <f t="shared" si="29"/>
        <v>3112.3704243274124</v>
      </c>
      <c r="G138" s="63">
        <f t="shared" si="30"/>
        <v>2003.8450614253682</v>
      </c>
      <c r="H138" s="63">
        <f>SUM(F138:G138)</f>
        <v>5116.21548575278</v>
      </c>
      <c r="I138" s="63">
        <f>IF(H138&lt;1000,1000,H138)</f>
        <v>5116.21548575278</v>
      </c>
      <c r="J138" s="73">
        <f t="shared" si="31"/>
        <v>5116</v>
      </c>
      <c r="K138" s="27"/>
    </row>
    <row r="139" spans="1:11" s="14" customFormat="1" ht="12.75">
      <c r="A139" s="37" t="s">
        <v>59</v>
      </c>
      <c r="B139" s="8"/>
      <c r="C139" s="23">
        <v>2649</v>
      </c>
      <c r="D139" s="23">
        <f>B137/26900*C139</f>
        <v>495.33345724907065</v>
      </c>
      <c r="E139" s="23">
        <v>226</v>
      </c>
      <c r="F139" s="63">
        <f t="shared" si="29"/>
        <v>406.58197327366184</v>
      </c>
      <c r="G139" s="63">
        <f t="shared" si="30"/>
        <v>400.060939825206</v>
      </c>
      <c r="H139" s="63">
        <f aca="true" t="shared" si="32" ref="H139:H168">SUM(F139:G139)</f>
        <v>806.6429130988679</v>
      </c>
      <c r="I139" s="63">
        <f>IF(H139&lt;1000,1000,H139)</f>
        <v>1000</v>
      </c>
      <c r="J139" s="73">
        <f t="shared" si="31"/>
        <v>1000</v>
      </c>
      <c r="K139" s="27"/>
    </row>
    <row r="140" spans="1:11" s="14" customFormat="1" ht="12.75">
      <c r="A140" s="37" t="s">
        <v>93</v>
      </c>
      <c r="B140" s="8"/>
      <c r="C140" s="23">
        <v>681</v>
      </c>
      <c r="D140" s="23">
        <f>B137/26900*C140</f>
        <v>127.33940520446096</v>
      </c>
      <c r="E140" s="23">
        <v>226</v>
      </c>
      <c r="F140" s="63">
        <f t="shared" si="29"/>
        <v>104.52333854260614</v>
      </c>
      <c r="G140" s="63">
        <f t="shared" si="30"/>
        <v>400.060939825206</v>
      </c>
      <c r="H140" s="63">
        <f t="shared" si="32"/>
        <v>504.58427836781215</v>
      </c>
      <c r="I140" s="63">
        <f>IF(H140&lt;1000,1000,H140)</f>
        <v>1000</v>
      </c>
      <c r="J140" s="73">
        <f t="shared" si="31"/>
        <v>1000</v>
      </c>
      <c r="K140" s="27"/>
    </row>
    <row r="141" spans="1:11" s="16" customFormat="1" ht="12.75">
      <c r="A141" s="37" t="s">
        <v>60</v>
      </c>
      <c r="B141" s="8"/>
      <c r="C141" s="23">
        <v>3292</v>
      </c>
      <c r="D141" s="23">
        <f>B137/26900*C141</f>
        <v>615.5672862453531</v>
      </c>
      <c r="E141" s="23">
        <v>453</v>
      </c>
      <c r="F141" s="63">
        <f t="shared" si="29"/>
        <v>505.27287882857473</v>
      </c>
      <c r="G141" s="63">
        <f t="shared" si="30"/>
        <v>801.8920608000811</v>
      </c>
      <c r="H141" s="63">
        <f t="shared" si="32"/>
        <v>1307.164939628656</v>
      </c>
      <c r="I141" s="63">
        <f>IF(H141&lt;1000,1000,H141)</f>
        <v>1307.164939628656</v>
      </c>
      <c r="J141" s="73">
        <f t="shared" si="31"/>
        <v>1307</v>
      </c>
      <c r="K141" s="28"/>
    </row>
    <row r="142" spans="1:11" s="55" customFormat="1" ht="12.75">
      <c r="A142" s="51" t="s">
        <v>61</v>
      </c>
      <c r="B142" s="52">
        <v>1187</v>
      </c>
      <c r="C142" s="52"/>
      <c r="D142" s="52"/>
      <c r="E142" s="52"/>
      <c r="F142" s="77">
        <f t="shared" si="29"/>
        <v>0</v>
      </c>
      <c r="G142" s="77">
        <f t="shared" si="30"/>
        <v>0</v>
      </c>
      <c r="H142" s="77">
        <f t="shared" si="32"/>
        <v>0</v>
      </c>
      <c r="I142" s="77"/>
      <c r="J142" s="78">
        <f t="shared" si="31"/>
        <v>0</v>
      </c>
      <c r="K142" s="79"/>
    </row>
    <row r="143" spans="1:11" s="14" customFormat="1" ht="12.75">
      <c r="A143" s="13" t="s">
        <v>62</v>
      </c>
      <c r="B143" s="8"/>
      <c r="C143" s="23">
        <v>1985</v>
      </c>
      <c r="D143" s="23">
        <f>$B$142/SUM($C$143:$C$145)*C143</f>
        <v>602.6074168797954</v>
      </c>
      <c r="E143" s="8">
        <v>2</v>
      </c>
      <c r="F143" s="63">
        <f t="shared" si="29"/>
        <v>494.6350969810067</v>
      </c>
      <c r="G143" s="63">
        <f t="shared" si="30"/>
        <v>3.540362299338106</v>
      </c>
      <c r="H143" s="63">
        <f t="shared" si="32"/>
        <v>498.1754592803448</v>
      </c>
      <c r="I143" s="63">
        <f>IF(H143&lt;1000,1000,H143)</f>
        <v>1000</v>
      </c>
      <c r="J143" s="73">
        <f t="shared" si="31"/>
        <v>1000</v>
      </c>
      <c r="K143" s="27"/>
    </row>
    <row r="144" spans="1:64" s="14" customFormat="1" ht="12.75">
      <c r="A144" s="13" t="s">
        <v>63</v>
      </c>
      <c r="B144" s="8"/>
      <c r="C144" s="23">
        <v>1120</v>
      </c>
      <c r="D144" s="23">
        <f>$B$142/SUM($C$143:$C$145)*C144</f>
        <v>340.01023017902816</v>
      </c>
      <c r="E144" s="8">
        <v>1</v>
      </c>
      <c r="F144" s="63">
        <f t="shared" si="29"/>
        <v>279.08882046283503</v>
      </c>
      <c r="G144" s="63">
        <f t="shared" si="30"/>
        <v>1.770181149669053</v>
      </c>
      <c r="H144" s="63">
        <f t="shared" si="32"/>
        <v>280.8590016125041</v>
      </c>
      <c r="I144" s="63">
        <f>IF(H144&lt;1000,1000,H144)</f>
        <v>1000</v>
      </c>
      <c r="J144" s="73">
        <f t="shared" si="31"/>
        <v>1000</v>
      </c>
      <c r="K144" s="27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</row>
    <row r="145" spans="1:11" s="17" customFormat="1" ht="12.75">
      <c r="A145" s="7" t="s">
        <v>64</v>
      </c>
      <c r="B145" s="8"/>
      <c r="C145" s="23">
        <v>805</v>
      </c>
      <c r="D145" s="23">
        <f>$B$142/SUM($C$143:$C$145)*C145</f>
        <v>244.3823529411765</v>
      </c>
      <c r="E145" s="8">
        <v>1</v>
      </c>
      <c r="F145" s="63">
        <f t="shared" si="29"/>
        <v>200.59508970766265</v>
      </c>
      <c r="G145" s="63">
        <f t="shared" si="30"/>
        <v>1.770181149669053</v>
      </c>
      <c r="H145" s="63">
        <f t="shared" si="32"/>
        <v>202.3652708573317</v>
      </c>
      <c r="I145" s="63">
        <f>IF(H145&lt;1000,1000,H145)</f>
        <v>1000</v>
      </c>
      <c r="J145" s="73">
        <f t="shared" si="31"/>
        <v>1000</v>
      </c>
      <c r="K145" s="29"/>
    </row>
    <row r="146" spans="1:11" s="55" customFormat="1" ht="14.25" customHeight="1">
      <c r="A146" s="51" t="s">
        <v>65</v>
      </c>
      <c r="B146" s="52">
        <v>4855</v>
      </c>
      <c r="C146" s="52"/>
      <c r="D146" s="52"/>
      <c r="E146" s="52"/>
      <c r="F146" s="77">
        <f t="shared" si="29"/>
        <v>0</v>
      </c>
      <c r="G146" s="77">
        <f t="shared" si="30"/>
        <v>0</v>
      </c>
      <c r="H146" s="77">
        <f t="shared" si="32"/>
        <v>0</v>
      </c>
      <c r="I146" s="77"/>
      <c r="J146" s="78">
        <f t="shared" si="31"/>
        <v>0</v>
      </c>
      <c r="K146" s="79"/>
    </row>
    <row r="147" spans="1:11" s="14" customFormat="1" ht="15" customHeight="1">
      <c r="A147" s="13" t="s">
        <v>121</v>
      </c>
      <c r="B147" s="8"/>
      <c r="C147" s="23">
        <v>2019</v>
      </c>
      <c r="D147" s="23">
        <f>$B$146/27100*C147</f>
        <v>361.7064575645756</v>
      </c>
      <c r="E147" s="8">
        <v>499</v>
      </c>
      <c r="F147" s="63">
        <f t="shared" si="29"/>
        <v>296.8976214107877</v>
      </c>
      <c r="G147" s="63">
        <f t="shared" si="30"/>
        <v>883.3203936848575</v>
      </c>
      <c r="H147" s="63">
        <f t="shared" si="32"/>
        <v>1180.2180150956451</v>
      </c>
      <c r="I147" s="63">
        <f>IF(H147&lt;1000,1000,H147)</f>
        <v>1180.2180150956451</v>
      </c>
      <c r="J147" s="73">
        <f t="shared" si="31"/>
        <v>1180</v>
      </c>
      <c r="K147" s="27"/>
    </row>
    <row r="148" spans="1:11" s="14" customFormat="1" ht="15" customHeight="1">
      <c r="A148" s="45" t="s">
        <v>170</v>
      </c>
      <c r="B148" s="8"/>
      <c r="C148" s="23">
        <v>2589</v>
      </c>
      <c r="D148" s="23">
        <f>$B$146/27100*C148</f>
        <v>463.82269372693725</v>
      </c>
      <c r="E148" s="8">
        <v>940</v>
      </c>
      <c r="F148" s="63">
        <f t="shared" si="29"/>
        <v>380.71715791606215</v>
      </c>
      <c r="G148" s="63">
        <f t="shared" si="30"/>
        <v>1663.97028068891</v>
      </c>
      <c r="H148" s="63">
        <f t="shared" si="32"/>
        <v>2044.6874386049722</v>
      </c>
      <c r="I148" s="63">
        <f>IF(H148&lt;1000,1000,H148)</f>
        <v>2044.6874386049722</v>
      </c>
      <c r="J148" s="73">
        <f t="shared" si="31"/>
        <v>2045</v>
      </c>
      <c r="K148" s="27"/>
    </row>
    <row r="149" spans="1:11" s="14" customFormat="1" ht="15" customHeight="1">
      <c r="A149" s="35" t="s">
        <v>134</v>
      </c>
      <c r="B149" s="8"/>
      <c r="C149" s="23">
        <v>14625</v>
      </c>
      <c r="D149" s="23">
        <f>$B$146/27100*C149</f>
        <v>2620.0876383763834</v>
      </c>
      <c r="E149" s="8">
        <v>7</v>
      </c>
      <c r="F149" s="63">
        <f t="shared" si="29"/>
        <v>2150.6328445432246</v>
      </c>
      <c r="G149" s="63">
        <f t="shared" si="30"/>
        <v>12.391268047683372</v>
      </c>
      <c r="H149" s="63">
        <f t="shared" si="32"/>
        <v>2163.024112590908</v>
      </c>
      <c r="I149" s="63">
        <f>IF(H149&lt;1000,1000,H149)</f>
        <v>2163.024112590908</v>
      </c>
      <c r="J149" s="73">
        <f t="shared" si="31"/>
        <v>2163</v>
      </c>
      <c r="K149" s="27"/>
    </row>
    <row r="150" spans="1:11" s="14" customFormat="1" ht="15" customHeight="1">
      <c r="A150" s="13" t="s">
        <v>119</v>
      </c>
      <c r="B150" s="8"/>
      <c r="C150" s="23">
        <v>6313</v>
      </c>
      <c r="D150" s="23">
        <f>$B$146/27100*C150</f>
        <v>1130.982103321033</v>
      </c>
      <c r="E150" s="8">
        <v>200</v>
      </c>
      <c r="F150" s="63">
        <f t="shared" si="29"/>
        <v>928.3381297505215</v>
      </c>
      <c r="G150" s="63">
        <f t="shared" si="30"/>
        <v>354.0362299338106</v>
      </c>
      <c r="H150" s="63">
        <f t="shared" si="32"/>
        <v>1282.3743596843321</v>
      </c>
      <c r="I150" s="63">
        <f>IF(H150&lt;1000,1000,H150)</f>
        <v>1282.3743596843321</v>
      </c>
      <c r="J150" s="73">
        <f t="shared" si="31"/>
        <v>1282</v>
      </c>
      <c r="K150" s="27"/>
    </row>
    <row r="151" spans="1:11" s="82" customFormat="1" ht="12.75">
      <c r="A151" s="80" t="s">
        <v>5</v>
      </c>
      <c r="B151" s="53">
        <v>118320</v>
      </c>
      <c r="C151" s="53"/>
      <c r="D151" s="53"/>
      <c r="E151" s="53"/>
      <c r="F151" s="81">
        <f t="shared" si="29"/>
        <v>0</v>
      </c>
      <c r="G151" s="81">
        <f t="shared" si="30"/>
        <v>0</v>
      </c>
      <c r="H151" s="81">
        <f t="shared" si="32"/>
        <v>0</v>
      </c>
      <c r="I151" s="81"/>
      <c r="J151" s="78">
        <f t="shared" si="31"/>
        <v>0</v>
      </c>
      <c r="K151" s="79"/>
    </row>
    <row r="152" spans="1:11" s="14" customFormat="1" ht="12.75">
      <c r="A152" s="13" t="s">
        <v>6</v>
      </c>
      <c r="B152" s="8"/>
      <c r="C152" s="23">
        <v>1775</v>
      </c>
      <c r="D152" s="23">
        <f aca="true" t="shared" si="33" ref="D152:D161">$B$151/SUM($C$152:$C$161)*C152</f>
        <v>353.9404520948951</v>
      </c>
      <c r="E152" s="23">
        <v>1</v>
      </c>
      <c r="F152" s="63">
        <f t="shared" si="29"/>
        <v>290.52309172354904</v>
      </c>
      <c r="G152" s="63">
        <f t="shared" si="30"/>
        <v>1.770181149669053</v>
      </c>
      <c r="H152" s="63">
        <f t="shared" si="32"/>
        <v>292.2932728732181</v>
      </c>
      <c r="I152" s="63">
        <f aca="true" t="shared" si="34" ref="I152:I161">IF(H152&lt;1000,1000,H152)</f>
        <v>1000</v>
      </c>
      <c r="J152" s="73">
        <f t="shared" si="31"/>
        <v>1000</v>
      </c>
      <c r="K152" s="27"/>
    </row>
    <row r="153" spans="1:11" s="14" customFormat="1" ht="12.75">
      <c r="A153" s="37" t="s">
        <v>7</v>
      </c>
      <c r="B153" s="8"/>
      <c r="C153" s="23">
        <v>95685</v>
      </c>
      <c r="D153" s="23">
        <f t="shared" si="33"/>
        <v>19079.882906309882</v>
      </c>
      <c r="E153" s="23">
        <v>19.6</v>
      </c>
      <c r="F153" s="63">
        <f t="shared" si="29"/>
        <v>15661.240581164955</v>
      </c>
      <c r="G153" s="63">
        <f t="shared" si="30"/>
        <v>34.69555053351344</v>
      </c>
      <c r="H153" s="63">
        <f t="shared" si="32"/>
        <v>15695.936131698469</v>
      </c>
      <c r="I153" s="63">
        <f t="shared" si="34"/>
        <v>15695.936131698469</v>
      </c>
      <c r="J153" s="73">
        <f t="shared" si="31"/>
        <v>15696</v>
      </c>
      <c r="K153" s="27"/>
    </row>
    <row r="154" spans="1:11" s="14" customFormat="1" ht="12.75">
      <c r="A154" s="37" t="s">
        <v>8</v>
      </c>
      <c r="B154" s="8"/>
      <c r="C154" s="23">
        <v>11915</v>
      </c>
      <c r="D154" s="23">
        <f t="shared" si="33"/>
        <v>2375.887598146859</v>
      </c>
      <c r="E154" s="23">
        <v>2</v>
      </c>
      <c r="F154" s="63">
        <f t="shared" si="29"/>
        <v>1950.1874016259646</v>
      </c>
      <c r="G154" s="63">
        <f t="shared" si="30"/>
        <v>3.540362299338106</v>
      </c>
      <c r="H154" s="63">
        <f t="shared" si="32"/>
        <v>1953.7277639253027</v>
      </c>
      <c r="I154" s="63">
        <f t="shared" si="34"/>
        <v>1953.7277639253027</v>
      </c>
      <c r="J154" s="73">
        <f t="shared" si="31"/>
        <v>1954</v>
      </c>
      <c r="K154" s="27"/>
    </row>
    <row r="155" spans="1:11" s="14" customFormat="1" ht="12.75">
      <c r="A155" s="37" t="s">
        <v>9</v>
      </c>
      <c r="B155" s="8"/>
      <c r="C155" s="23">
        <v>23555</v>
      </c>
      <c r="D155" s="23">
        <f t="shared" si="33"/>
        <v>4696.93935160296</v>
      </c>
      <c r="E155" s="23">
        <v>6</v>
      </c>
      <c r="F155" s="63">
        <f t="shared" si="29"/>
        <v>3855.364183407436</v>
      </c>
      <c r="G155" s="63">
        <f t="shared" si="30"/>
        <v>10.621086898014319</v>
      </c>
      <c r="H155" s="63">
        <f t="shared" si="32"/>
        <v>3865.9852703054503</v>
      </c>
      <c r="I155" s="63">
        <f t="shared" si="34"/>
        <v>3865.9852703054503</v>
      </c>
      <c r="J155" s="73">
        <f t="shared" si="31"/>
        <v>3866</v>
      </c>
      <c r="K155" s="27"/>
    </row>
    <row r="156" spans="1:11" s="14" customFormat="1" ht="12.75">
      <c r="A156" s="37" t="s">
        <v>10</v>
      </c>
      <c r="B156" s="8"/>
      <c r="C156" s="23">
        <v>101540</v>
      </c>
      <c r="D156" s="23">
        <f t="shared" si="33"/>
        <v>20247.38789054403</v>
      </c>
      <c r="E156" s="23">
        <v>23.96</v>
      </c>
      <c r="F156" s="63">
        <f t="shared" si="29"/>
        <v>16619.557596399536</v>
      </c>
      <c r="G156" s="63">
        <f t="shared" si="30"/>
        <v>42.41354034607051</v>
      </c>
      <c r="H156" s="63">
        <f t="shared" si="32"/>
        <v>16661.971136745608</v>
      </c>
      <c r="I156" s="63">
        <f t="shared" si="34"/>
        <v>16661.971136745608</v>
      </c>
      <c r="J156" s="73">
        <f t="shared" si="31"/>
        <v>16662</v>
      </c>
      <c r="K156" s="27"/>
    </row>
    <row r="157" spans="1:11" s="14" customFormat="1" ht="12.75">
      <c r="A157" s="37" t="s">
        <v>117</v>
      </c>
      <c r="B157" s="8"/>
      <c r="C157" s="23">
        <v>2980</v>
      </c>
      <c r="D157" s="23">
        <f t="shared" si="33"/>
        <v>594.2211533762182</v>
      </c>
      <c r="E157" s="8">
        <v>1</v>
      </c>
      <c r="F157" s="63">
        <f t="shared" si="29"/>
        <v>487.751444133057</v>
      </c>
      <c r="G157" s="63">
        <f t="shared" si="30"/>
        <v>1.770181149669053</v>
      </c>
      <c r="H157" s="63">
        <f t="shared" si="32"/>
        <v>489.52162528272606</v>
      </c>
      <c r="I157" s="63">
        <f t="shared" si="34"/>
        <v>1000</v>
      </c>
      <c r="J157" s="73">
        <f t="shared" si="31"/>
        <v>1000</v>
      </c>
      <c r="K157" s="27"/>
    </row>
    <row r="158" spans="1:64" s="14" customFormat="1" ht="12.75">
      <c r="A158" s="13" t="s">
        <v>11</v>
      </c>
      <c r="B158" s="8"/>
      <c r="C158" s="23">
        <v>19350</v>
      </c>
      <c r="D158" s="23">
        <f t="shared" si="33"/>
        <v>3858.4494355133634</v>
      </c>
      <c r="E158" s="8">
        <v>4</v>
      </c>
      <c r="F158" s="63">
        <f t="shared" si="29"/>
        <v>3167.1108872398167</v>
      </c>
      <c r="G158" s="63">
        <f t="shared" si="30"/>
        <v>7.080724598676212</v>
      </c>
      <c r="H158" s="63">
        <f t="shared" si="32"/>
        <v>3174.191611838493</v>
      </c>
      <c r="I158" s="63">
        <f t="shared" si="34"/>
        <v>3174.191611838493</v>
      </c>
      <c r="J158" s="73">
        <f t="shared" si="31"/>
        <v>3174</v>
      </c>
      <c r="K158" s="27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</row>
    <row r="159" spans="1:64" s="3" customFormat="1" ht="12.75">
      <c r="A159" s="41" t="s">
        <v>12</v>
      </c>
      <c r="B159" s="8"/>
      <c r="C159" s="23">
        <v>50985</v>
      </c>
      <c r="D159" s="23">
        <f t="shared" si="33"/>
        <v>10166.565605666607</v>
      </c>
      <c r="E159" s="23">
        <v>11.82</v>
      </c>
      <c r="F159" s="63">
        <f t="shared" si="29"/>
        <v>8344.9689191691</v>
      </c>
      <c r="G159" s="63">
        <f t="shared" si="30"/>
        <v>20.92354118908821</v>
      </c>
      <c r="H159" s="63">
        <f t="shared" si="32"/>
        <v>8365.892460358187</v>
      </c>
      <c r="I159" s="63">
        <f t="shared" si="34"/>
        <v>8365.892460358187</v>
      </c>
      <c r="J159" s="73">
        <f t="shared" si="31"/>
        <v>8366</v>
      </c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</row>
    <row r="160" spans="1:11" s="14" customFormat="1" ht="12.75">
      <c r="A160" s="37" t="s">
        <v>13</v>
      </c>
      <c r="B160" s="8"/>
      <c r="C160" s="23">
        <v>26960</v>
      </c>
      <c r="D160" s="23">
        <f t="shared" si="33"/>
        <v>5375.906810410351</v>
      </c>
      <c r="E160" s="23">
        <v>8</v>
      </c>
      <c r="F160" s="63">
        <f t="shared" si="29"/>
        <v>4412.677494572893</v>
      </c>
      <c r="G160" s="63">
        <f t="shared" si="30"/>
        <v>14.161449197352423</v>
      </c>
      <c r="H160" s="63">
        <f t="shared" si="32"/>
        <v>4426.838943770245</v>
      </c>
      <c r="I160" s="63">
        <f t="shared" si="34"/>
        <v>4426.838943770245</v>
      </c>
      <c r="J160" s="73">
        <f t="shared" si="31"/>
        <v>4427</v>
      </c>
      <c r="K160" s="27"/>
    </row>
    <row r="161" spans="1:11" s="14" customFormat="1" ht="12.75">
      <c r="A161" s="46" t="s">
        <v>167</v>
      </c>
      <c r="B161" s="8"/>
      <c r="C161" s="23">
        <v>258626</v>
      </c>
      <c r="D161" s="23">
        <f t="shared" si="33"/>
        <v>51570.81879633484</v>
      </c>
      <c r="E161" s="23">
        <v>649</v>
      </c>
      <c r="F161" s="63">
        <f t="shared" si="29"/>
        <v>42330.60570146175</v>
      </c>
      <c r="G161" s="63">
        <f t="shared" si="30"/>
        <v>1148.8475661352154</v>
      </c>
      <c r="H161" s="63">
        <f t="shared" si="32"/>
        <v>43479.45326759696</v>
      </c>
      <c r="I161" s="63">
        <f t="shared" si="34"/>
        <v>43479.45326759696</v>
      </c>
      <c r="J161" s="73">
        <f t="shared" si="31"/>
        <v>43479</v>
      </c>
      <c r="K161" s="27"/>
    </row>
    <row r="162" spans="1:11" s="55" customFormat="1" ht="12.75">
      <c r="A162" s="51" t="s">
        <v>31</v>
      </c>
      <c r="B162" s="52">
        <v>204</v>
      </c>
      <c r="C162" s="52"/>
      <c r="D162" s="52"/>
      <c r="E162" s="52"/>
      <c r="F162" s="77">
        <f t="shared" si="29"/>
        <v>0</v>
      </c>
      <c r="G162" s="77">
        <f t="shared" si="30"/>
        <v>0</v>
      </c>
      <c r="H162" s="77">
        <f t="shared" si="32"/>
        <v>0</v>
      </c>
      <c r="I162" s="77"/>
      <c r="J162" s="78">
        <f t="shared" si="31"/>
        <v>0</v>
      </c>
      <c r="K162" s="79"/>
    </row>
    <row r="163" spans="1:11" s="24" customFormat="1" ht="12.75">
      <c r="A163" s="22" t="s">
        <v>32</v>
      </c>
      <c r="B163" s="23"/>
      <c r="C163" s="23">
        <v>475</v>
      </c>
      <c r="D163" s="23">
        <f>B162/1480*C163</f>
        <v>65.47297297297298</v>
      </c>
      <c r="E163" s="23">
        <v>1</v>
      </c>
      <c r="F163" s="63">
        <f t="shared" si="29"/>
        <v>53.741838266456874</v>
      </c>
      <c r="G163" s="63">
        <f t="shared" si="30"/>
        <v>1.770181149669053</v>
      </c>
      <c r="H163" s="63">
        <f t="shared" si="32"/>
        <v>55.51201941612592</v>
      </c>
      <c r="I163" s="63">
        <f>IF(H163&lt;1000,1000,H163)</f>
        <v>1000</v>
      </c>
      <c r="J163" s="73">
        <f t="shared" si="31"/>
        <v>1000</v>
      </c>
      <c r="K163" s="25"/>
    </row>
    <row r="164" spans="1:11" s="3" customFormat="1" ht="12.75">
      <c r="A164" s="35" t="s">
        <v>166</v>
      </c>
      <c r="B164" s="8"/>
      <c r="C164" s="23">
        <v>409</v>
      </c>
      <c r="D164" s="23">
        <f>B162/1480*C164</f>
        <v>56.37567567567568</v>
      </c>
      <c r="E164" s="8">
        <v>605</v>
      </c>
      <c r="F164" s="63">
        <f aca="true" t="shared" si="35" ref="F164:F171">(D164/$D$172)*$F$172</f>
        <v>46.27455126522286</v>
      </c>
      <c r="G164" s="63">
        <f aca="true" t="shared" si="36" ref="G164:G171">(E164/$E$172)*$G$172</f>
        <v>1070.959595549777</v>
      </c>
      <c r="H164" s="63">
        <f t="shared" si="32"/>
        <v>1117.234146815</v>
      </c>
      <c r="I164" s="63">
        <f>IF(H164&lt;1000,1000,H164)</f>
        <v>1117.234146815</v>
      </c>
      <c r="J164" s="73">
        <f t="shared" si="31"/>
        <v>1117</v>
      </c>
      <c r="K164" s="27"/>
    </row>
    <row r="165" spans="1:14" s="82" customFormat="1" ht="12.75">
      <c r="A165" s="80" t="s">
        <v>33</v>
      </c>
      <c r="B165" s="53">
        <v>20533</v>
      </c>
      <c r="C165" s="53"/>
      <c r="D165" s="53"/>
      <c r="E165" s="53"/>
      <c r="F165" s="81">
        <f t="shared" si="35"/>
        <v>0</v>
      </c>
      <c r="G165" s="81">
        <f t="shared" si="36"/>
        <v>0</v>
      </c>
      <c r="H165" s="81">
        <f t="shared" si="32"/>
        <v>0</v>
      </c>
      <c r="I165" s="81"/>
      <c r="J165" s="78">
        <f t="shared" si="31"/>
        <v>0</v>
      </c>
      <c r="K165" s="79"/>
      <c r="L165" s="85"/>
      <c r="M165" s="85"/>
      <c r="N165" s="85"/>
    </row>
    <row r="166" spans="1:14" s="20" customFormat="1" ht="12.75">
      <c r="A166" s="13" t="s">
        <v>34</v>
      </c>
      <c r="B166" s="8"/>
      <c r="C166" s="23">
        <v>1640</v>
      </c>
      <c r="D166" s="23">
        <f aca="true" t="shared" si="37" ref="D166:D171">$B$165/107170*C166</f>
        <v>314.21218624615096</v>
      </c>
      <c r="E166" s="8">
        <v>1</v>
      </c>
      <c r="F166" s="63">
        <f t="shared" si="35"/>
        <v>257.913146873002</v>
      </c>
      <c r="G166" s="63">
        <f t="shared" si="36"/>
        <v>1.770181149669053</v>
      </c>
      <c r="H166" s="63">
        <f t="shared" si="32"/>
        <v>259.68332802267105</v>
      </c>
      <c r="I166" s="63">
        <f aca="true" t="shared" si="38" ref="I166:I171">IF(H166&lt;1000,1000,H166)</f>
        <v>1000</v>
      </c>
      <c r="J166" s="73">
        <f t="shared" si="31"/>
        <v>1000</v>
      </c>
      <c r="K166" s="27"/>
      <c r="L166" s="32"/>
      <c r="M166" s="33"/>
      <c r="N166" s="33"/>
    </row>
    <row r="167" spans="1:14" s="14" customFormat="1" ht="12.75">
      <c r="A167" s="35" t="s">
        <v>137</v>
      </c>
      <c r="B167" s="8"/>
      <c r="C167" s="23">
        <v>2670</v>
      </c>
      <c r="D167" s="23">
        <f t="shared" si="37"/>
        <v>511.5527666324531</v>
      </c>
      <c r="E167" s="8">
        <v>1</v>
      </c>
      <c r="F167" s="63">
        <f t="shared" si="35"/>
        <v>419.89518423836296</v>
      </c>
      <c r="G167" s="63">
        <f t="shared" si="36"/>
        <v>1.770181149669053</v>
      </c>
      <c r="H167" s="63">
        <f t="shared" si="32"/>
        <v>421.665365388032</v>
      </c>
      <c r="I167" s="63">
        <f t="shared" si="38"/>
        <v>1000</v>
      </c>
      <c r="J167" s="73">
        <f t="shared" si="31"/>
        <v>1000</v>
      </c>
      <c r="K167" s="27"/>
      <c r="L167" s="32"/>
      <c r="M167" s="16"/>
      <c r="N167" s="16"/>
    </row>
    <row r="168" spans="1:14" s="14" customFormat="1" ht="12.75">
      <c r="A168" s="13" t="s">
        <v>66</v>
      </c>
      <c r="B168" s="8"/>
      <c r="C168" s="23">
        <v>33665</v>
      </c>
      <c r="D168" s="23">
        <f t="shared" si="37"/>
        <v>6449.971493888215</v>
      </c>
      <c r="E168" s="8">
        <v>5</v>
      </c>
      <c r="F168" s="63">
        <f t="shared" si="35"/>
        <v>5294.296396024154</v>
      </c>
      <c r="G168" s="63">
        <f t="shared" si="36"/>
        <v>8.850905748345264</v>
      </c>
      <c r="H168" s="63">
        <f t="shared" si="32"/>
        <v>5303.147301772499</v>
      </c>
      <c r="I168" s="63">
        <f t="shared" si="38"/>
        <v>5303.147301772499</v>
      </c>
      <c r="J168" s="73">
        <f t="shared" si="31"/>
        <v>5303</v>
      </c>
      <c r="K168" s="27"/>
      <c r="L168" s="32"/>
      <c r="M168" s="16"/>
      <c r="N168" s="16"/>
    </row>
    <row r="169" spans="1:14" s="14" customFormat="1" ht="12.75">
      <c r="A169" s="37" t="s">
        <v>67</v>
      </c>
      <c r="B169" s="8"/>
      <c r="C169" s="23">
        <v>23480</v>
      </c>
      <c r="D169" s="23">
        <f t="shared" si="37"/>
        <v>4498.598861621723</v>
      </c>
      <c r="E169" s="23">
        <v>5.82</v>
      </c>
      <c r="F169" s="63">
        <f t="shared" si="35"/>
        <v>3692.5613954744435</v>
      </c>
      <c r="G169" s="63">
        <f t="shared" si="36"/>
        <v>10.30245429107389</v>
      </c>
      <c r="H169" s="63">
        <f>SUM(F169:G169)</f>
        <v>3702.8638497655174</v>
      </c>
      <c r="I169" s="63">
        <f t="shared" si="38"/>
        <v>3702.8638497655174</v>
      </c>
      <c r="J169" s="73">
        <f t="shared" si="31"/>
        <v>3703</v>
      </c>
      <c r="K169" s="27"/>
      <c r="L169" s="32"/>
      <c r="M169" s="16"/>
      <c r="N169" s="16"/>
    </row>
    <row r="170" spans="1:14" s="14" customFormat="1" ht="12.75">
      <c r="A170" s="13" t="s">
        <v>68</v>
      </c>
      <c r="B170" s="8"/>
      <c r="C170" s="23">
        <v>6185</v>
      </c>
      <c r="D170" s="23">
        <f t="shared" si="37"/>
        <v>1185.0014463002706</v>
      </c>
      <c r="E170" s="8">
        <v>1</v>
      </c>
      <c r="F170" s="63">
        <f t="shared" si="35"/>
        <v>972.6785447619008</v>
      </c>
      <c r="G170" s="63">
        <f t="shared" si="36"/>
        <v>1.770181149669053</v>
      </c>
      <c r="H170" s="63">
        <f>SUM(F170:G170)</f>
        <v>974.4487259115698</v>
      </c>
      <c r="I170" s="63">
        <f t="shared" si="38"/>
        <v>1000</v>
      </c>
      <c r="J170" s="73">
        <f t="shared" si="31"/>
        <v>1000</v>
      </c>
      <c r="K170" s="27"/>
      <c r="L170" s="32"/>
      <c r="M170" s="16"/>
      <c r="N170" s="16"/>
    </row>
    <row r="171" spans="1:14" s="14" customFormat="1" ht="12.75">
      <c r="A171" s="13" t="s">
        <v>69</v>
      </c>
      <c r="B171" s="8"/>
      <c r="C171" s="23">
        <v>2110</v>
      </c>
      <c r="D171" s="23">
        <f t="shared" si="37"/>
        <v>404.260800597182</v>
      </c>
      <c r="E171" s="8">
        <v>1</v>
      </c>
      <c r="F171" s="63">
        <f t="shared" si="35"/>
        <v>331.8272804280696</v>
      </c>
      <c r="G171" s="63">
        <f t="shared" si="36"/>
        <v>1.770181149669053</v>
      </c>
      <c r="H171" s="63">
        <f>SUM(F171:G171)</f>
        <v>333.59746157773867</v>
      </c>
      <c r="I171" s="63">
        <f t="shared" si="38"/>
        <v>1000</v>
      </c>
      <c r="J171" s="73">
        <f t="shared" si="31"/>
        <v>1000</v>
      </c>
      <c r="K171" s="27"/>
      <c r="L171" s="32"/>
      <c r="M171" s="16"/>
      <c r="N171" s="16"/>
    </row>
    <row r="172" spans="1:14" s="94" customFormat="1" ht="12.75">
      <c r="A172" s="86" t="s">
        <v>14</v>
      </c>
      <c r="B172" s="87">
        <f>SUM(B2:B171)</f>
        <v>721399</v>
      </c>
      <c r="C172" s="54">
        <f>SUM(C2:C171)</f>
        <v>3842966</v>
      </c>
      <c r="D172" s="87">
        <f>SUM(D2:D171)</f>
        <v>685693.728538865</v>
      </c>
      <c r="E172" s="87">
        <f>SUM(E2:E171)</f>
        <v>79488.24900000003</v>
      </c>
      <c r="F172" s="88">
        <f>H172*0.8</f>
        <v>562834.4</v>
      </c>
      <c r="G172" s="88">
        <f>H172*0.2</f>
        <v>140708.6</v>
      </c>
      <c r="H172" s="89">
        <v>703543</v>
      </c>
      <c r="I172" s="89">
        <f>SUM(I2:I171)</f>
        <v>734187.8901901407</v>
      </c>
      <c r="J172" s="90">
        <f>SUM(J2:J171)</f>
        <v>734189</v>
      </c>
      <c r="K172" s="91"/>
      <c r="L172" s="92"/>
      <c r="M172" s="93"/>
      <c r="N172" s="93"/>
    </row>
    <row r="173" spans="1:14" s="11" customFormat="1" ht="12.75">
      <c r="A173" s="42"/>
      <c r="B173" s="12"/>
      <c r="C173" s="57"/>
      <c r="D173" s="43"/>
      <c r="E173" s="12"/>
      <c r="F173" s="64"/>
      <c r="G173" s="64"/>
      <c r="H173" s="44"/>
      <c r="I173" s="44"/>
      <c r="J173" s="47"/>
      <c r="K173" s="30"/>
      <c r="L173" s="36"/>
      <c r="M173" s="34"/>
      <c r="N173" s="34"/>
    </row>
    <row r="174" spans="1:10" s="14" customFormat="1" ht="12.75">
      <c r="A174" s="35" t="s">
        <v>158</v>
      </c>
      <c r="C174" s="58"/>
      <c r="D174" s="58"/>
      <c r="E174" s="49"/>
      <c r="F174" s="67"/>
      <c r="G174" s="67"/>
      <c r="H174" s="65"/>
      <c r="I174" s="25"/>
      <c r="J174" s="74"/>
    </row>
    <row r="175" spans="1:11" s="14" customFormat="1" ht="12.75">
      <c r="A175" s="35" t="s">
        <v>163</v>
      </c>
      <c r="C175" s="58"/>
      <c r="D175" s="58"/>
      <c r="E175" s="49"/>
      <c r="F175" s="66"/>
      <c r="G175" s="66"/>
      <c r="H175" s="66"/>
      <c r="I175" s="69"/>
      <c r="J175" s="75"/>
      <c r="K175" s="27"/>
    </row>
    <row r="176" spans="1:12" ht="12.75">
      <c r="A176" s="35" t="s">
        <v>168</v>
      </c>
      <c r="B176" s="14"/>
      <c r="C176" s="58"/>
      <c r="D176" s="58"/>
      <c r="F176" s="66"/>
      <c r="G176" s="66"/>
      <c r="H176" s="66"/>
      <c r="I176" s="69"/>
      <c r="K176" s="31"/>
      <c r="L176" s="4"/>
    </row>
    <row r="177" spans="1:12" ht="12.75">
      <c r="A177" s="35" t="s">
        <v>165</v>
      </c>
      <c r="B177" s="21"/>
      <c r="C177" s="59"/>
      <c r="I177" s="70"/>
      <c r="K177" s="31"/>
      <c r="L177" s="4"/>
    </row>
    <row r="178" spans="1:12" ht="12.75">
      <c r="A178" s="35" t="s">
        <v>161</v>
      </c>
      <c r="B178" s="21"/>
      <c r="C178" s="59"/>
      <c r="I178" s="70"/>
      <c r="K178" s="31"/>
      <c r="L178" s="4"/>
    </row>
    <row r="179" spans="1:64" s="4" customFormat="1" ht="12.75">
      <c r="A179" s="35" t="s">
        <v>169</v>
      </c>
      <c r="B179" s="21"/>
      <c r="C179" s="59"/>
      <c r="D179" s="60"/>
      <c r="E179" s="49"/>
      <c r="F179" s="68"/>
      <c r="G179" s="68"/>
      <c r="H179" s="68"/>
      <c r="I179" s="70"/>
      <c r="J179" s="75"/>
      <c r="K179" s="3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s="4" customFormat="1" ht="12.75">
      <c r="A180" s="35" t="s">
        <v>159</v>
      </c>
      <c r="B180" s="21"/>
      <c r="C180" s="59"/>
      <c r="D180" s="60"/>
      <c r="E180" s="49"/>
      <c r="F180" s="68"/>
      <c r="G180" s="68"/>
      <c r="H180" s="68"/>
      <c r="I180" s="70"/>
      <c r="J180" s="75"/>
      <c r="K180" s="3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s="4" customFormat="1" ht="12.75">
      <c r="A181" s="35" t="s">
        <v>160</v>
      </c>
      <c r="B181" s="21"/>
      <c r="C181" s="59"/>
      <c r="D181" s="60"/>
      <c r="E181" s="49"/>
      <c r="F181" s="68"/>
      <c r="G181" s="68"/>
      <c r="H181" s="68"/>
      <c r="I181" s="70"/>
      <c r="J181" s="75"/>
      <c r="K181" s="3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s="4" customFormat="1" ht="12.75">
      <c r="A182" s="35" t="s">
        <v>157</v>
      </c>
      <c r="B182" s="21"/>
      <c r="C182" s="59"/>
      <c r="D182" s="60"/>
      <c r="E182" s="49"/>
      <c r="F182" s="68"/>
      <c r="G182" s="68"/>
      <c r="H182" s="68"/>
      <c r="I182" s="70"/>
      <c r="J182" s="75"/>
      <c r="K182" s="3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s="4" customFormat="1" ht="12.75">
      <c r="A183" s="35" t="s">
        <v>162</v>
      </c>
      <c r="B183" s="21"/>
      <c r="C183" s="59"/>
      <c r="D183" s="60"/>
      <c r="E183" s="49"/>
      <c r="F183" s="68"/>
      <c r="G183" s="68"/>
      <c r="H183" s="68"/>
      <c r="I183" s="70"/>
      <c r="J183" s="75"/>
      <c r="K183" s="3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s="4" customFormat="1" ht="12.75">
      <c r="A184" s="5"/>
      <c r="B184" s="2"/>
      <c r="C184" s="60"/>
      <c r="D184" s="60"/>
      <c r="E184" s="49"/>
      <c r="F184" s="68"/>
      <c r="G184" s="68"/>
      <c r="H184" s="68"/>
      <c r="I184" s="70"/>
      <c r="J184" s="75"/>
      <c r="K184" s="3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s="4" customFormat="1" ht="12.75">
      <c r="A185" s="5"/>
      <c r="B185" s="2"/>
      <c r="C185" s="60"/>
      <c r="D185" s="60"/>
      <c r="E185" s="49"/>
      <c r="F185" s="68"/>
      <c r="G185" s="68"/>
      <c r="H185" s="68"/>
      <c r="I185" s="70"/>
      <c r="J185" s="75"/>
      <c r="K185" s="3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s="4" customFormat="1" ht="12.75">
      <c r="A186" s="5"/>
      <c r="B186" s="2"/>
      <c r="C186" s="60"/>
      <c r="D186" s="60"/>
      <c r="E186" s="49"/>
      <c r="F186" s="68"/>
      <c r="G186" s="68"/>
      <c r="H186" s="68"/>
      <c r="I186" s="70"/>
      <c r="J186" s="75"/>
      <c r="K186" s="3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s="4" customFormat="1" ht="12.75">
      <c r="A187" s="5"/>
      <c r="B187" s="2"/>
      <c r="C187" s="60"/>
      <c r="D187" s="60"/>
      <c r="E187" s="49"/>
      <c r="F187" s="68"/>
      <c r="G187" s="68"/>
      <c r="H187" s="68"/>
      <c r="I187" s="70"/>
      <c r="J187" s="75"/>
      <c r="K187" s="3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s="4" customFormat="1" ht="12.75">
      <c r="A188" s="5"/>
      <c r="B188" s="2"/>
      <c r="C188" s="60"/>
      <c r="D188" s="60"/>
      <c r="E188" s="49"/>
      <c r="F188" s="68"/>
      <c r="G188" s="68"/>
      <c r="H188" s="68"/>
      <c r="I188" s="70"/>
      <c r="J188" s="75"/>
      <c r="K188" s="26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s="4" customFormat="1" ht="12.75">
      <c r="A189" s="5"/>
      <c r="B189" s="2"/>
      <c r="C189" s="60"/>
      <c r="D189" s="60"/>
      <c r="E189" s="49"/>
      <c r="F189" s="68"/>
      <c r="G189" s="68"/>
      <c r="H189" s="68"/>
      <c r="I189" s="70"/>
      <c r="J189" s="75"/>
      <c r="K189" s="26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9:12" ht="12.75">
      <c r="I190" s="70"/>
      <c r="K190" s="31"/>
      <c r="L190" s="4"/>
    </row>
    <row r="191" spans="9:12" ht="12.75">
      <c r="I191" s="70"/>
      <c r="K191" s="31"/>
      <c r="L191" s="4"/>
    </row>
    <row r="192" spans="9:12" ht="12.75">
      <c r="I192" s="70"/>
      <c r="K192" s="31"/>
      <c r="L192" s="4"/>
    </row>
    <row r="193" spans="9:12" ht="12.75">
      <c r="I193" s="70"/>
      <c r="K193" s="31"/>
      <c r="L193" s="4"/>
    </row>
    <row r="194" spans="9:12" ht="12.75">
      <c r="I194" s="70"/>
      <c r="K194" s="31"/>
      <c r="L194" s="4"/>
    </row>
    <row r="195" spans="9:12" ht="12.75">
      <c r="I195" s="70"/>
      <c r="K195" s="31"/>
      <c r="L195" s="4"/>
    </row>
    <row r="196" spans="9:12" ht="12.75">
      <c r="I196" s="70"/>
      <c r="K196" s="31"/>
      <c r="L196" s="4"/>
    </row>
    <row r="197" spans="9:12" ht="12.75">
      <c r="I197" s="70"/>
      <c r="K197" s="31"/>
      <c r="L197" s="4"/>
    </row>
    <row r="198" spans="9:12" ht="12.75">
      <c r="I198" s="70"/>
      <c r="K198" s="31"/>
      <c r="L198" s="4"/>
    </row>
    <row r="199" spans="9:12" ht="12.75">
      <c r="I199" s="70"/>
      <c r="K199" s="31"/>
      <c r="L199" s="4"/>
    </row>
    <row r="200" spans="9:12" ht="12.75">
      <c r="I200" s="70"/>
      <c r="K200" s="31"/>
      <c r="L200" s="4"/>
    </row>
    <row r="201" spans="9:12" ht="12.75">
      <c r="I201" s="70"/>
      <c r="K201" s="31"/>
      <c r="L201" s="4"/>
    </row>
    <row r="202" spans="9:12" ht="12.75">
      <c r="I202" s="70"/>
      <c r="K202" s="31"/>
      <c r="L202" s="4"/>
    </row>
    <row r="203" spans="9:12" ht="12.75">
      <c r="I203" s="70"/>
      <c r="K203" s="31"/>
      <c r="L203" s="4"/>
    </row>
    <row r="204" spans="9:12" ht="12.75">
      <c r="I204" s="70"/>
      <c r="K204" s="31"/>
      <c r="L204" s="4"/>
    </row>
    <row r="205" spans="9:12" ht="12.75">
      <c r="I205" s="70"/>
      <c r="K205" s="31"/>
      <c r="L205" s="4"/>
    </row>
    <row r="206" spans="9:12" ht="12.75">
      <c r="I206" s="70"/>
      <c r="K206" s="31"/>
      <c r="L206" s="4"/>
    </row>
    <row r="207" spans="9:12" ht="12.75">
      <c r="I207" s="70"/>
      <c r="K207" s="31"/>
      <c r="L207" s="4"/>
    </row>
    <row r="208" spans="9:12" ht="12.75">
      <c r="I208" s="70"/>
      <c r="K208" s="31"/>
      <c r="L208" s="4"/>
    </row>
    <row r="209" spans="9:12" ht="12.75">
      <c r="I209" s="70"/>
      <c r="K209" s="31"/>
      <c r="L209" s="4"/>
    </row>
    <row r="210" spans="9:12" ht="12.75">
      <c r="I210" s="70"/>
      <c r="K210" s="31"/>
      <c r="L210" s="4"/>
    </row>
    <row r="211" spans="9:12" ht="12.75">
      <c r="I211" s="70"/>
      <c r="K211" s="31"/>
      <c r="L211" s="4"/>
    </row>
    <row r="212" spans="9:12" ht="12.75">
      <c r="I212" s="70"/>
      <c r="K212" s="31"/>
      <c r="L212" s="4"/>
    </row>
    <row r="213" spans="9:12" ht="12.75">
      <c r="I213" s="70"/>
      <c r="K213" s="31"/>
      <c r="L213" s="4"/>
    </row>
    <row r="214" spans="9:12" ht="12.75">
      <c r="I214" s="70"/>
      <c r="K214" s="31"/>
      <c r="L214" s="4"/>
    </row>
    <row r="215" spans="9:12" ht="12.75">
      <c r="I215" s="70"/>
      <c r="K215" s="31"/>
      <c r="L215" s="4"/>
    </row>
    <row r="216" spans="9:12" ht="12.75">
      <c r="I216" s="70"/>
      <c r="K216" s="31"/>
      <c r="L216" s="4"/>
    </row>
    <row r="217" spans="9:12" ht="12.75">
      <c r="I217" s="70"/>
      <c r="K217" s="31"/>
      <c r="L217" s="4"/>
    </row>
    <row r="218" spans="9:12" ht="12.75">
      <c r="I218" s="70"/>
      <c r="K218" s="31"/>
      <c r="L218" s="4"/>
    </row>
    <row r="219" spans="9:12" ht="12.75">
      <c r="I219" s="70"/>
      <c r="K219" s="31"/>
      <c r="L219" s="4"/>
    </row>
    <row r="220" spans="9:12" ht="12.75">
      <c r="I220" s="70"/>
      <c r="K220" s="31"/>
      <c r="L220" s="4"/>
    </row>
    <row r="221" spans="1:64" s="1" customFormat="1" ht="12.75">
      <c r="A221" s="5"/>
      <c r="B221" s="2"/>
      <c r="C221" s="60"/>
      <c r="D221" s="60"/>
      <c r="E221" s="49"/>
      <c r="F221" s="68"/>
      <c r="G221" s="68"/>
      <c r="H221" s="68"/>
      <c r="I221" s="70"/>
      <c r="J221" s="75"/>
      <c r="K221" s="31"/>
      <c r="L221" s="4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9:12" ht="12.75">
      <c r="I222" s="70"/>
      <c r="K222" s="31"/>
      <c r="L222" s="4"/>
    </row>
    <row r="223" spans="9:12" ht="12.75">
      <c r="I223" s="70"/>
      <c r="K223" s="31"/>
      <c r="L223" s="4"/>
    </row>
    <row r="224" spans="9:12" ht="12.75">
      <c r="I224" s="70"/>
      <c r="K224" s="31"/>
      <c r="L224" s="4"/>
    </row>
    <row r="225" spans="9:12" ht="12.75">
      <c r="I225" s="70"/>
      <c r="K225" s="31"/>
      <c r="L225" s="4"/>
    </row>
    <row r="226" spans="9:12" ht="12.75">
      <c r="I226" s="70"/>
      <c r="K226" s="31"/>
      <c r="L226" s="4"/>
    </row>
    <row r="227" spans="9:12" ht="12.75">
      <c r="I227" s="70"/>
      <c r="K227" s="31"/>
      <c r="L227" s="4"/>
    </row>
    <row r="228" spans="9:12" ht="12.75">
      <c r="I228" s="70"/>
      <c r="K228" s="31"/>
      <c r="L228" s="4"/>
    </row>
    <row r="229" spans="9:12" ht="12.75">
      <c r="I229" s="70"/>
      <c r="K229" s="31"/>
      <c r="L229" s="4"/>
    </row>
    <row r="230" spans="9:12" ht="12.75">
      <c r="I230" s="70"/>
      <c r="K230" s="31"/>
      <c r="L230" s="4"/>
    </row>
    <row r="231" spans="9:12" ht="12.75">
      <c r="I231" s="70"/>
      <c r="K231" s="31"/>
      <c r="L231" s="4"/>
    </row>
    <row r="232" spans="9:12" ht="12.75">
      <c r="I232" s="70"/>
      <c r="K232" s="31"/>
      <c r="L232" s="4"/>
    </row>
    <row r="233" spans="9:12" ht="12.75">
      <c r="I233" s="70"/>
      <c r="K233" s="31"/>
      <c r="L233" s="4"/>
    </row>
    <row r="234" spans="9:12" ht="12.75">
      <c r="I234" s="70"/>
      <c r="K234" s="31"/>
      <c r="L234" s="4"/>
    </row>
    <row r="235" spans="9:12" ht="12.75">
      <c r="I235" s="70"/>
      <c r="K235" s="31"/>
      <c r="L235" s="4"/>
    </row>
    <row r="236" spans="9:12" ht="12.75">
      <c r="I236" s="70"/>
      <c r="K236" s="31"/>
      <c r="L236" s="4"/>
    </row>
    <row r="237" ht="12.75">
      <c r="I237" s="70"/>
    </row>
    <row r="238" ht="12.75">
      <c r="I238" s="70"/>
    </row>
    <row r="239" ht="12.75">
      <c r="I239" s="70"/>
    </row>
    <row r="240" ht="12.75">
      <c r="I240" s="70"/>
    </row>
    <row r="241" ht="12.75">
      <c r="I241" s="70"/>
    </row>
    <row r="242" ht="12.75">
      <c r="I242" s="70"/>
    </row>
    <row r="243" ht="12.75">
      <c r="I243" s="70"/>
    </row>
    <row r="244" ht="12.75">
      <c r="I244" s="70"/>
    </row>
    <row r="245" ht="12.75">
      <c r="I245" s="70"/>
    </row>
    <row r="246" ht="12.75">
      <c r="I246" s="70"/>
    </row>
    <row r="247" ht="12.75">
      <c r="I247" s="70"/>
    </row>
    <row r="248" ht="12.75">
      <c r="I248" s="70"/>
    </row>
    <row r="249" ht="12.75">
      <c r="I249" s="70"/>
    </row>
    <row r="250" ht="12.75">
      <c r="I250" s="70"/>
    </row>
    <row r="251" ht="12.75">
      <c r="I251" s="70"/>
    </row>
    <row r="252" ht="12.75">
      <c r="I252" s="70"/>
    </row>
    <row r="253" ht="12.75">
      <c r="I253" s="70"/>
    </row>
    <row r="254" ht="12.75">
      <c r="I254" s="70"/>
    </row>
    <row r="255" ht="12.75">
      <c r="I255" s="70"/>
    </row>
    <row r="256" ht="12.75">
      <c r="I256" s="70"/>
    </row>
    <row r="257" ht="12.75">
      <c r="I257" s="70"/>
    </row>
    <row r="258" ht="12.75">
      <c r="I258" s="70"/>
    </row>
    <row r="259" ht="12.75">
      <c r="I259" s="70"/>
    </row>
    <row r="260" ht="12.75">
      <c r="I260" s="70"/>
    </row>
    <row r="261" ht="12.75">
      <c r="I261" s="70"/>
    </row>
    <row r="262" ht="12.75">
      <c r="I262" s="70"/>
    </row>
    <row r="263" ht="12.75">
      <c r="I263" s="70"/>
    </row>
    <row r="264" ht="12.75">
      <c r="I264" s="70"/>
    </row>
    <row r="265" ht="12.75">
      <c r="I265" s="70"/>
    </row>
    <row r="266" ht="12.75">
      <c r="I266" s="70"/>
    </row>
    <row r="267" ht="12.75">
      <c r="I267" s="70"/>
    </row>
    <row r="268" ht="12.75">
      <c r="I268" s="70"/>
    </row>
    <row r="269" ht="12.75">
      <c r="I269" s="70"/>
    </row>
    <row r="270" ht="12.75">
      <c r="I270" s="70"/>
    </row>
    <row r="271" ht="12.75">
      <c r="I271" s="70"/>
    </row>
    <row r="272" ht="12.75">
      <c r="I272" s="70"/>
    </row>
    <row r="273" ht="12.75">
      <c r="I273" s="70"/>
    </row>
    <row r="274" ht="12.75">
      <c r="I274" s="70"/>
    </row>
    <row r="275" ht="12.75">
      <c r="I275" s="70"/>
    </row>
    <row r="276" ht="12.75">
      <c r="I276" s="70"/>
    </row>
    <row r="277" ht="12.75">
      <c r="I277" s="70"/>
    </row>
    <row r="278" ht="12.75">
      <c r="I278" s="70"/>
    </row>
    <row r="279" ht="12.75">
      <c r="I279" s="70"/>
    </row>
    <row r="280" ht="12.75">
      <c r="I280" s="70"/>
    </row>
    <row r="281" ht="12.75">
      <c r="I281" s="70"/>
    </row>
    <row r="282" ht="12.75">
      <c r="I282" s="70"/>
    </row>
    <row r="283" ht="12.75">
      <c r="I283" s="70"/>
    </row>
    <row r="284" ht="12.75">
      <c r="I284" s="70"/>
    </row>
    <row r="285" ht="12.75">
      <c r="I285" s="70"/>
    </row>
    <row r="286" ht="12.75">
      <c r="I286" s="70"/>
    </row>
    <row r="287" ht="12.75">
      <c r="I287" s="70"/>
    </row>
    <row r="288" ht="12.75">
      <c r="I288" s="70"/>
    </row>
    <row r="289" ht="12.75">
      <c r="I289" s="70"/>
    </row>
    <row r="290" ht="12.75">
      <c r="I290" s="70"/>
    </row>
    <row r="291" ht="12.75">
      <c r="I291" s="70"/>
    </row>
    <row r="292" ht="12.75">
      <c r="I292" s="70"/>
    </row>
    <row r="293" ht="12.75">
      <c r="I293" s="70"/>
    </row>
    <row r="294" ht="12.75">
      <c r="I294" s="70"/>
    </row>
    <row r="295" ht="12.75">
      <c r="I295" s="70"/>
    </row>
    <row r="296" ht="12.75">
      <c r="I296" s="70"/>
    </row>
    <row r="297" ht="12.75">
      <c r="I297" s="70"/>
    </row>
    <row r="298" ht="12.75">
      <c r="I298" s="70"/>
    </row>
    <row r="299" ht="12.75">
      <c r="I299" s="70"/>
    </row>
    <row r="300" ht="12.75">
      <c r="I300" s="70"/>
    </row>
    <row r="301" ht="12.75">
      <c r="I301" s="70"/>
    </row>
    <row r="302" ht="12.75">
      <c r="I302" s="70"/>
    </row>
    <row r="303" ht="12.75">
      <c r="I303" s="70"/>
    </row>
    <row r="304" ht="12.75">
      <c r="I304" s="70"/>
    </row>
    <row r="305" ht="12.75">
      <c r="I305" s="70"/>
    </row>
    <row r="306" ht="12.75">
      <c r="I306" s="70"/>
    </row>
    <row r="307" ht="12.75">
      <c r="I307" s="70"/>
    </row>
    <row r="308" ht="12.75">
      <c r="I308" s="70"/>
    </row>
    <row r="309" ht="12.75">
      <c r="I309" s="70"/>
    </row>
    <row r="310" ht="12.75">
      <c r="I310" s="70"/>
    </row>
    <row r="311" ht="12.75">
      <c r="I311" s="70"/>
    </row>
    <row r="312" ht="12.75">
      <c r="I312" s="70"/>
    </row>
    <row r="313" ht="12.75">
      <c r="I313" s="70"/>
    </row>
    <row r="314" ht="12.75">
      <c r="I314" s="70"/>
    </row>
    <row r="315" ht="12.75">
      <c r="I315" s="70"/>
    </row>
    <row r="316" ht="12.75">
      <c r="I316" s="70"/>
    </row>
    <row r="317" ht="12.75">
      <c r="I317" s="70"/>
    </row>
    <row r="318" ht="12.75">
      <c r="I318" s="70"/>
    </row>
    <row r="319" ht="12.75">
      <c r="I319" s="70"/>
    </row>
    <row r="320" ht="12.75">
      <c r="I320" s="70"/>
    </row>
    <row r="321" ht="12.75">
      <c r="I321" s="70"/>
    </row>
    <row r="322" ht="12.75">
      <c r="I322" s="70"/>
    </row>
    <row r="323" ht="12.75">
      <c r="I323" s="70"/>
    </row>
    <row r="324" ht="12.75">
      <c r="I324" s="70"/>
    </row>
    <row r="325" ht="12.75">
      <c r="I325" s="70"/>
    </row>
    <row r="326" ht="12.75">
      <c r="I326" s="70"/>
    </row>
    <row r="327" ht="12.75">
      <c r="I327" s="70"/>
    </row>
    <row r="328" ht="12.75">
      <c r="I328" s="70"/>
    </row>
    <row r="329" ht="12.75">
      <c r="I329" s="70"/>
    </row>
    <row r="330" ht="12.75">
      <c r="I330" s="70"/>
    </row>
    <row r="331" ht="12.75">
      <c r="I331" s="70"/>
    </row>
    <row r="332" ht="12.75">
      <c r="I332" s="70"/>
    </row>
    <row r="333" ht="12.75">
      <c r="I333" s="70"/>
    </row>
    <row r="334" ht="12.75">
      <c r="I334" s="70"/>
    </row>
    <row r="335" ht="12.75">
      <c r="I335" s="70"/>
    </row>
    <row r="336" ht="12.75">
      <c r="I336" s="70"/>
    </row>
    <row r="337" ht="12.75">
      <c r="I337" s="70"/>
    </row>
    <row r="338" ht="12.75">
      <c r="I338" s="70"/>
    </row>
    <row r="339" ht="12.75">
      <c r="I339" s="70"/>
    </row>
    <row r="340" ht="12.75">
      <c r="I340" s="70"/>
    </row>
    <row r="341" ht="12.75">
      <c r="I341" s="70"/>
    </row>
    <row r="342" ht="12.75">
      <c r="I342" s="70"/>
    </row>
    <row r="343" ht="12.75">
      <c r="I343" s="70"/>
    </row>
    <row r="344" ht="12.75">
      <c r="I344" s="70"/>
    </row>
    <row r="345" ht="12.75">
      <c r="I345" s="70"/>
    </row>
    <row r="346" ht="12.75">
      <c r="I346" s="70"/>
    </row>
    <row r="347" ht="12.75">
      <c r="I347" s="70"/>
    </row>
    <row r="348" ht="12.75">
      <c r="I348" s="70"/>
    </row>
    <row r="349" ht="12.75">
      <c r="I349" s="70"/>
    </row>
    <row r="350" ht="12.75">
      <c r="I350" s="70"/>
    </row>
    <row r="351" ht="12.75">
      <c r="I351" s="70"/>
    </row>
    <row r="352" ht="12.75">
      <c r="I352" s="70"/>
    </row>
    <row r="353" ht="12.75">
      <c r="I353" s="70"/>
    </row>
    <row r="354" ht="12.75">
      <c r="I354" s="70"/>
    </row>
    <row r="355" ht="12.75">
      <c r="I355" s="70"/>
    </row>
    <row r="356" ht="12.75">
      <c r="I356" s="70"/>
    </row>
    <row r="357" ht="12.75">
      <c r="I357" s="70"/>
    </row>
    <row r="358" ht="12.75">
      <c r="I358" s="70"/>
    </row>
    <row r="359" ht="12.75">
      <c r="I359" s="70"/>
    </row>
    <row r="360" ht="12.75">
      <c r="I360" s="70"/>
    </row>
    <row r="361" ht="12.75">
      <c r="I361" s="70"/>
    </row>
    <row r="362" ht="12.75">
      <c r="I362" s="70"/>
    </row>
    <row r="363" ht="12.75">
      <c r="I363" s="70"/>
    </row>
    <row r="364" ht="12.75">
      <c r="I364" s="70"/>
    </row>
    <row r="365" ht="12.75">
      <c r="I365" s="70"/>
    </row>
    <row r="366" ht="12.75">
      <c r="I366" s="70"/>
    </row>
    <row r="367" ht="12.75">
      <c r="I367" s="70"/>
    </row>
    <row r="368" ht="12.75">
      <c r="I368" s="70"/>
    </row>
    <row r="369" ht="12.75">
      <c r="I369" s="70"/>
    </row>
    <row r="370" ht="12.75">
      <c r="I370" s="70"/>
    </row>
    <row r="371" ht="12.75">
      <c r="I371" s="70"/>
    </row>
    <row r="372" ht="12.75">
      <c r="I372" s="70"/>
    </row>
    <row r="373" ht="12.75">
      <c r="I373" s="70"/>
    </row>
    <row r="374" ht="12.75">
      <c r="I374" s="70"/>
    </row>
    <row r="375" ht="12.75">
      <c r="I375" s="70"/>
    </row>
    <row r="376" ht="12.75">
      <c r="I376" s="70"/>
    </row>
    <row r="377" ht="12.75">
      <c r="I377" s="70"/>
    </row>
    <row r="378" ht="12.75">
      <c r="I378" s="70"/>
    </row>
    <row r="379" ht="12.75">
      <c r="I379" s="70"/>
    </row>
    <row r="380" ht="12.75">
      <c r="I380" s="70"/>
    </row>
    <row r="381" ht="12.75">
      <c r="I381" s="70"/>
    </row>
    <row r="382" ht="12.75">
      <c r="I382" s="70"/>
    </row>
    <row r="383" ht="12.75">
      <c r="I383" s="70"/>
    </row>
    <row r="384" ht="12.75">
      <c r="I384" s="70"/>
    </row>
    <row r="385" ht="12.75">
      <c r="I385" s="70"/>
    </row>
    <row r="386" ht="12.75">
      <c r="I386" s="70"/>
    </row>
    <row r="387" ht="12.75">
      <c r="I387" s="70"/>
    </row>
    <row r="388" ht="12.75">
      <c r="I388" s="70"/>
    </row>
    <row r="389" ht="12.75">
      <c r="I389" s="70"/>
    </row>
    <row r="390" ht="12.75">
      <c r="I390" s="70"/>
    </row>
    <row r="391" ht="12.75">
      <c r="I391" s="70"/>
    </row>
    <row r="392" ht="12.75">
      <c r="I392" s="70"/>
    </row>
    <row r="393" ht="12.75">
      <c r="I393" s="70"/>
    </row>
    <row r="394" ht="12.75">
      <c r="I394" s="70"/>
    </row>
    <row r="395" ht="12.75">
      <c r="I395" s="70"/>
    </row>
    <row r="396" ht="12.75">
      <c r="I396" s="70"/>
    </row>
    <row r="397" ht="12.75">
      <c r="I397" s="70"/>
    </row>
    <row r="398" ht="12.75">
      <c r="I398" s="70"/>
    </row>
    <row r="399" ht="12.75">
      <c r="I399" s="70"/>
    </row>
    <row r="400" ht="12.75">
      <c r="I400" s="70"/>
    </row>
    <row r="401" ht="12.75">
      <c r="I401" s="70"/>
    </row>
    <row r="402" ht="12.75">
      <c r="I402" s="70"/>
    </row>
    <row r="403" ht="12.75">
      <c r="I403" s="70"/>
    </row>
    <row r="404" ht="12.75">
      <c r="I404" s="70"/>
    </row>
    <row r="405" ht="12.75">
      <c r="I405" s="70"/>
    </row>
    <row r="406" ht="12.75">
      <c r="I406" s="70"/>
    </row>
    <row r="407" ht="12.75">
      <c r="I407" s="70"/>
    </row>
    <row r="408" ht="12.75">
      <c r="I408" s="70"/>
    </row>
    <row r="409" ht="12.75">
      <c r="I409" s="70"/>
    </row>
    <row r="410" ht="12.75">
      <c r="I410" s="70"/>
    </row>
    <row r="411" ht="12.75">
      <c r="I411" s="70"/>
    </row>
    <row r="412" ht="12.75">
      <c r="I412" s="70"/>
    </row>
    <row r="413" ht="12.75">
      <c r="I413" s="70"/>
    </row>
    <row r="414" ht="12.75">
      <c r="I414" s="70"/>
    </row>
    <row r="415" ht="12.75">
      <c r="I415" s="70"/>
    </row>
    <row r="416" ht="12.75">
      <c r="I416" s="70"/>
    </row>
    <row r="417" ht="12.75">
      <c r="I417" s="70"/>
    </row>
    <row r="418" ht="12.75">
      <c r="I418" s="70"/>
    </row>
    <row r="419" ht="12.75">
      <c r="I419" s="70"/>
    </row>
    <row r="420" ht="12.75">
      <c r="I420" s="70"/>
    </row>
    <row r="421" ht="12.75">
      <c r="I421" s="70"/>
    </row>
    <row r="422" ht="12.75">
      <c r="I422" s="70"/>
    </row>
    <row r="423" ht="12.75">
      <c r="I423" s="70"/>
    </row>
    <row r="424" ht="12.75">
      <c r="I424" s="70"/>
    </row>
    <row r="425" ht="12.75">
      <c r="I425" s="70"/>
    </row>
    <row r="426" ht="12.75">
      <c r="I426" s="70"/>
    </row>
    <row r="427" ht="12.75">
      <c r="I427" s="70"/>
    </row>
    <row r="428" ht="12.75">
      <c r="I428" s="70"/>
    </row>
    <row r="429" ht="12.75">
      <c r="I429" s="70"/>
    </row>
    <row r="430" ht="12.75">
      <c r="I430" s="70"/>
    </row>
    <row r="431" ht="12.75">
      <c r="I431" s="70"/>
    </row>
    <row r="432" ht="12.75">
      <c r="I432" s="70"/>
    </row>
    <row r="433" ht="12.75">
      <c r="I433" s="70"/>
    </row>
    <row r="434" ht="12.75">
      <c r="I434" s="70"/>
    </row>
    <row r="435" ht="12.75">
      <c r="I435" s="70"/>
    </row>
    <row r="436" ht="12.75">
      <c r="I436" s="70"/>
    </row>
    <row r="437" ht="12.75">
      <c r="I437" s="70"/>
    </row>
    <row r="438" ht="12.75">
      <c r="I438" s="70"/>
    </row>
    <row r="439" ht="12.75">
      <c r="I439" s="70"/>
    </row>
    <row r="440" ht="12.75">
      <c r="I440" s="70"/>
    </row>
    <row r="441" ht="12.75">
      <c r="I441" s="70"/>
    </row>
    <row r="442" ht="12.75">
      <c r="I442" s="70"/>
    </row>
    <row r="443" ht="12.75">
      <c r="I443" s="70"/>
    </row>
    <row r="444" ht="12.75">
      <c r="I444" s="70"/>
    </row>
    <row r="445" ht="12.75">
      <c r="I445" s="70"/>
    </row>
    <row r="446" ht="12.75">
      <c r="I446" s="70"/>
    </row>
    <row r="447" ht="12.75">
      <c r="I447" s="70"/>
    </row>
    <row r="448" ht="12.75">
      <c r="I448" s="70"/>
    </row>
    <row r="449" ht="12.75">
      <c r="I449" s="70"/>
    </row>
    <row r="450" ht="12.75">
      <c r="I450" s="70"/>
    </row>
    <row r="451" ht="12.75">
      <c r="I451" s="70"/>
    </row>
    <row r="452" ht="12.75">
      <c r="I452" s="70"/>
    </row>
    <row r="453" ht="12.75">
      <c r="I453" s="70"/>
    </row>
    <row r="454" ht="12.75">
      <c r="I454" s="70"/>
    </row>
    <row r="455" ht="12.75">
      <c r="I455" s="70"/>
    </row>
    <row r="456" ht="12.75">
      <c r="I456" s="70"/>
    </row>
    <row r="457" ht="12.75">
      <c r="I457" s="70"/>
    </row>
    <row r="458" ht="12.75">
      <c r="I458" s="70"/>
    </row>
    <row r="459" ht="12.75">
      <c r="I459" s="70"/>
    </row>
    <row r="460" ht="12.75">
      <c r="I460" s="70"/>
    </row>
    <row r="461" ht="12.75">
      <c r="I461" s="70"/>
    </row>
    <row r="462" ht="12.75">
      <c r="I462" s="70"/>
    </row>
    <row r="463" ht="12.75">
      <c r="I463" s="70"/>
    </row>
    <row r="464" ht="12.75">
      <c r="I464" s="70"/>
    </row>
    <row r="465" ht="12.75">
      <c r="I465" s="70"/>
    </row>
    <row r="466" ht="12.75">
      <c r="I466" s="70"/>
    </row>
    <row r="467" ht="12.75">
      <c r="I467" s="70"/>
    </row>
    <row r="468" ht="12.75">
      <c r="I468" s="70"/>
    </row>
    <row r="469" ht="12.75">
      <c r="I469" s="70"/>
    </row>
    <row r="470" ht="12.75">
      <c r="I470" s="70"/>
    </row>
    <row r="471" ht="12.75">
      <c r="I471" s="70"/>
    </row>
    <row r="472" ht="12.75">
      <c r="I472" s="70"/>
    </row>
    <row r="473" ht="12.75">
      <c r="I473" s="70"/>
    </row>
    <row r="474" ht="12.75">
      <c r="I474" s="70"/>
    </row>
    <row r="475" ht="12.75">
      <c r="I475" s="70"/>
    </row>
    <row r="476" ht="12.75">
      <c r="I476" s="70"/>
    </row>
    <row r="477" ht="12.75">
      <c r="I477" s="70"/>
    </row>
    <row r="478" ht="12.75">
      <c r="I478" s="70"/>
    </row>
    <row r="479" ht="12.75">
      <c r="I479" s="70"/>
    </row>
    <row r="480" ht="12.75">
      <c r="I480" s="70"/>
    </row>
    <row r="481" ht="12.75">
      <c r="I481" s="70"/>
    </row>
    <row r="482" ht="12.75">
      <c r="I482" s="70"/>
    </row>
    <row r="483" ht="12.75">
      <c r="I483" s="70"/>
    </row>
    <row r="484" ht="12.75">
      <c r="I484" s="70"/>
    </row>
    <row r="485" ht="12.75">
      <c r="I485" s="70"/>
    </row>
    <row r="486" ht="12.75">
      <c r="I486" s="70"/>
    </row>
    <row r="487" ht="12.75">
      <c r="I487" s="70"/>
    </row>
    <row r="488" ht="12.75">
      <c r="I488" s="70"/>
    </row>
    <row r="489" ht="12.75">
      <c r="I489" s="70"/>
    </row>
    <row r="490" ht="12.75">
      <c r="I490" s="70"/>
    </row>
    <row r="491" ht="12.75">
      <c r="I491" s="70"/>
    </row>
    <row r="492" ht="12.75">
      <c r="I492" s="70"/>
    </row>
    <row r="493" ht="12.75">
      <c r="I493" s="70"/>
    </row>
    <row r="494" ht="12.75">
      <c r="I494" s="70"/>
    </row>
    <row r="495" ht="12.75">
      <c r="I495" s="70"/>
    </row>
    <row r="496" ht="12.75">
      <c r="I496" s="70"/>
    </row>
    <row r="497" ht="12.75">
      <c r="I497" s="70"/>
    </row>
    <row r="498" ht="12.75">
      <c r="I498" s="70"/>
    </row>
    <row r="499" ht="12.75">
      <c r="I499" s="70"/>
    </row>
    <row r="500" ht="12.75">
      <c r="I500" s="70"/>
    </row>
    <row r="501" ht="12.75">
      <c r="I501" s="70"/>
    </row>
    <row r="502" ht="12.75">
      <c r="I502" s="70"/>
    </row>
    <row r="503" ht="12.75">
      <c r="I503" s="70"/>
    </row>
    <row r="504" ht="12.75">
      <c r="I504" s="70"/>
    </row>
    <row r="505" ht="12.75">
      <c r="I505" s="70"/>
    </row>
    <row r="506" ht="12.75">
      <c r="I506" s="70"/>
    </row>
    <row r="507" ht="12.75">
      <c r="I507" s="70"/>
    </row>
    <row r="508" ht="12.75">
      <c r="I508" s="70"/>
    </row>
    <row r="509" ht="12.75">
      <c r="I509" s="70"/>
    </row>
    <row r="510" ht="12.75">
      <c r="I510" s="70"/>
    </row>
    <row r="511" ht="12.75">
      <c r="I511" s="70"/>
    </row>
    <row r="512" ht="12.75">
      <c r="I512" s="70"/>
    </row>
    <row r="513" ht="12.75">
      <c r="I513" s="70"/>
    </row>
    <row r="514" ht="12.75">
      <c r="I514" s="70"/>
    </row>
    <row r="515" ht="12.75">
      <c r="I515" s="70"/>
    </row>
    <row r="516" ht="12.75">
      <c r="I516" s="70"/>
    </row>
    <row r="517" ht="12.75">
      <c r="I517" s="70"/>
    </row>
    <row r="518" ht="12.75">
      <c r="I518" s="70"/>
    </row>
    <row r="519" ht="12.75">
      <c r="I519" s="70"/>
    </row>
    <row r="520" ht="12.75">
      <c r="I520" s="70"/>
    </row>
    <row r="521" ht="12.75">
      <c r="I521" s="70"/>
    </row>
    <row r="522" ht="12.75">
      <c r="I522" s="70"/>
    </row>
    <row r="523" ht="12.75">
      <c r="I523" s="70"/>
    </row>
    <row r="524" ht="12.75">
      <c r="I524" s="70"/>
    </row>
    <row r="525" ht="12.75">
      <c r="I525" s="70"/>
    </row>
    <row r="526" ht="12.75">
      <c r="I526" s="70"/>
    </row>
    <row r="527" ht="12.75">
      <c r="I527" s="70"/>
    </row>
    <row r="528" ht="12.75">
      <c r="I528" s="70"/>
    </row>
    <row r="529" ht="12.75">
      <c r="I529" s="70"/>
    </row>
    <row r="530" ht="12.75">
      <c r="I530" s="70"/>
    </row>
    <row r="531" ht="12.75">
      <c r="I531" s="70"/>
    </row>
    <row r="532" ht="12.75">
      <c r="I532" s="70"/>
    </row>
    <row r="533" ht="12.75">
      <c r="I533" s="70"/>
    </row>
    <row r="534" ht="12.75">
      <c r="I534" s="70"/>
    </row>
    <row r="535" ht="12.75">
      <c r="I535" s="70"/>
    </row>
    <row r="536" ht="12.75">
      <c r="I536" s="70"/>
    </row>
    <row r="537" ht="12.75">
      <c r="I537" s="70"/>
    </row>
    <row r="538" ht="12.75">
      <c r="I538" s="70"/>
    </row>
    <row r="539" ht="12.75">
      <c r="I539" s="70"/>
    </row>
    <row r="540" ht="12.75">
      <c r="I540" s="70"/>
    </row>
    <row r="541" ht="12.75">
      <c r="I541" s="70"/>
    </row>
    <row r="542" ht="12.75">
      <c r="I542" s="70"/>
    </row>
    <row r="543" ht="12.75">
      <c r="I543" s="70"/>
    </row>
    <row r="544" ht="12.75">
      <c r="I544" s="70"/>
    </row>
    <row r="545" ht="12.75">
      <c r="I545" s="70"/>
    </row>
    <row r="546" ht="12.75">
      <c r="I546" s="70"/>
    </row>
    <row r="547" ht="12.75">
      <c r="I547" s="70"/>
    </row>
    <row r="548" ht="12.75">
      <c r="I548" s="70"/>
    </row>
    <row r="549" ht="12.75">
      <c r="I549" s="70"/>
    </row>
    <row r="550" ht="12.75">
      <c r="I550" s="70"/>
    </row>
    <row r="551" ht="12.75">
      <c r="I551" s="70"/>
    </row>
    <row r="552" ht="12.75">
      <c r="I552" s="70"/>
    </row>
    <row r="553" ht="12.75">
      <c r="I553" s="70"/>
    </row>
    <row r="554" ht="12.75">
      <c r="I554" s="70"/>
    </row>
    <row r="555" ht="12.75">
      <c r="I555" s="70"/>
    </row>
    <row r="556" ht="12.75">
      <c r="I556" s="70"/>
    </row>
    <row r="557" ht="12.75">
      <c r="I557" s="70"/>
    </row>
    <row r="558" ht="12.75">
      <c r="I558" s="70"/>
    </row>
    <row r="559" ht="12.75">
      <c r="I559" s="70"/>
    </row>
    <row r="560" ht="12.75">
      <c r="I560" s="70"/>
    </row>
    <row r="561" ht="12.75">
      <c r="I561" s="70"/>
    </row>
    <row r="562" ht="12.75">
      <c r="I562" s="70"/>
    </row>
  </sheetData>
  <sheetProtection/>
  <printOptions/>
  <pageMargins left="0.25" right="0.25" top="0.75" bottom="0.75" header="0.3" footer="0.3"/>
  <pageSetup horizontalDpi="600" verticalDpi="600" orientation="landscape" r:id="rId1"/>
  <headerFooter alignWithMargins="0">
    <oddHeader xml:space="preserve">&amp;C&amp;"Helvetica,Italic"Proposed Ready to Read  Grants for 2019 </oddHeader>
    <oddFooter>&amp;L&amp;D&amp;R&amp;P</oddFooter>
  </headerFooter>
  <rowBreaks count="1" manualBreakCount="1">
    <brk id="37" max="255" man="1"/>
  </rowBreaks>
  <ignoredErrors>
    <ignoredError sqref="D47 D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OREGON STATE LIBRARY</dc:creator>
  <cp:keywords/>
  <dc:description/>
  <cp:lastModifiedBy>Greta Bergquist</cp:lastModifiedBy>
  <cp:lastPrinted>2018-10-02T16:07:48Z</cp:lastPrinted>
  <dcterms:created xsi:type="dcterms:W3CDTF">1999-05-05T19:59:42Z</dcterms:created>
  <dcterms:modified xsi:type="dcterms:W3CDTF">2018-10-02T17:35:54Z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Greta Bergquist</vt:lpwstr>
  </property>
  <property fmtid="{D5CDD505-2E9C-101B-9397-08002B2CF9AE}" pid="4" name="display_urn:schemas-microsoft-com:office:office#Auth">
    <vt:lpwstr>Greta Bergquist</vt:lpwstr>
  </property>
</Properties>
</file>