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95" yWindow="270" windowWidth="15870" windowHeight="12885" activeTab="0"/>
  </bookViews>
  <sheets>
    <sheet name="List of Proposed Grants" sheetId="1" r:id="rId1"/>
  </sheets>
  <definedNames>
    <definedName name="_xlnm.Print_Area" localSheetId="0">'List of Proposed Grants'!$A$1:$J$172</definedName>
    <definedName name="_xlnm.Print_Titles" localSheetId="0">'List of Proposed Grants'!$1:$1</definedName>
  </definedNames>
  <calcPr fullCalcOnLoad="1"/>
</workbook>
</file>

<file path=xl/sharedStrings.xml><?xml version="1.0" encoding="utf-8"?>
<sst xmlns="http://schemas.openxmlformats.org/spreadsheetml/2006/main" count="314" uniqueCount="184">
  <si>
    <t>MORROW COUNTY</t>
  </si>
  <si>
    <t>MULTNOMAH COUNTY</t>
  </si>
  <si>
    <t xml:space="preserve">  Multnomah CL</t>
  </si>
  <si>
    <t>POLK COUNTY</t>
  </si>
  <si>
    <t xml:space="preserve">  Dallas PL</t>
  </si>
  <si>
    <t>WASHINGTON COUNTY</t>
  </si>
  <si>
    <t xml:space="preserve">  Banks PL</t>
  </si>
  <si>
    <t xml:space="preserve">  Beaverton PL</t>
  </si>
  <si>
    <t xml:space="preserve">  Cornelius PL</t>
  </si>
  <si>
    <t xml:space="preserve">  Forest Grove PL</t>
  </si>
  <si>
    <t xml:space="preserve">  Hillsboro PL</t>
  </si>
  <si>
    <t xml:space="preserve">  Sherwood PL</t>
  </si>
  <si>
    <t xml:space="preserve">  Tigard PL</t>
  </si>
  <si>
    <t xml:space="preserve">  Tualatin PL</t>
  </si>
  <si>
    <t>TOTALS</t>
  </si>
  <si>
    <t xml:space="preserve">  Toledo PL</t>
  </si>
  <si>
    <t xml:space="preserve">  Waldport PL</t>
  </si>
  <si>
    <t xml:space="preserve">  Yachats PL</t>
  </si>
  <si>
    <t>LINN COUNTY</t>
  </si>
  <si>
    <t xml:space="preserve">  Albany PL</t>
  </si>
  <si>
    <t xml:space="preserve">  Brownsville PL</t>
  </si>
  <si>
    <t xml:space="preserve">  Harrisburg PL</t>
  </si>
  <si>
    <t xml:space="preserve">  Lebanon PL</t>
  </si>
  <si>
    <t xml:space="preserve">  Lyons PL</t>
  </si>
  <si>
    <t xml:space="preserve">  Sweet Home PL</t>
  </si>
  <si>
    <t xml:space="preserve">  Springfield PL</t>
  </si>
  <si>
    <t>LINCOLN COUNTY</t>
  </si>
  <si>
    <t xml:space="preserve">  Driftwood L (Lincoln City)</t>
  </si>
  <si>
    <t xml:space="preserve">  Newport PL</t>
  </si>
  <si>
    <t xml:space="preserve">  Independence PL</t>
  </si>
  <si>
    <t xml:space="preserve">  Monmouth PL</t>
  </si>
  <si>
    <t>WHEELER COUNTY</t>
  </si>
  <si>
    <t xml:space="preserve">  Fossil PL</t>
  </si>
  <si>
    <t>YAMHILL COUNTY</t>
  </si>
  <si>
    <t xml:space="preserve">  Amity PL</t>
  </si>
  <si>
    <t xml:space="preserve">  Helix PL</t>
  </si>
  <si>
    <t xml:space="preserve">  Hermiston PL</t>
  </si>
  <si>
    <t xml:space="preserve">  Milton-Freewater PL</t>
  </si>
  <si>
    <t xml:space="preserve">  Pendleton PL</t>
  </si>
  <si>
    <t xml:space="preserve">  Pilot Rock PL</t>
  </si>
  <si>
    <t xml:space="preserve">  Stanfield PL</t>
  </si>
  <si>
    <t xml:space="preserve">  Ukiah PL</t>
  </si>
  <si>
    <t xml:space="preserve">  Umatilla PL</t>
  </si>
  <si>
    <t xml:space="preserve">  Weston PL</t>
  </si>
  <si>
    <t>UNION COUNTY</t>
  </si>
  <si>
    <t xml:space="preserve">  Tillamook CL</t>
  </si>
  <si>
    <t>UMATILLA COUNTY</t>
  </si>
  <si>
    <t xml:space="preserve">  Astoria PL</t>
  </si>
  <si>
    <t xml:space="preserve">  Warrenton Community L</t>
  </si>
  <si>
    <t>HARNEY COUNTY</t>
  </si>
  <si>
    <t xml:space="preserve">  Harney CL</t>
  </si>
  <si>
    <t>HOOD RIVER COUNTY</t>
  </si>
  <si>
    <t>SHERMAN COUNTY</t>
  </si>
  <si>
    <t>TILLAMOOK COUNTY</t>
  </si>
  <si>
    <t>JACKSON COUNTY</t>
  </si>
  <si>
    <t>KLAMATH COUNTY</t>
  </si>
  <si>
    <t xml:space="preserve">  Wagner PL (Falls City)</t>
  </si>
  <si>
    <t xml:space="preserve">  Jefferson PL</t>
  </si>
  <si>
    <t xml:space="preserve">  Mt. Angel PL</t>
  </si>
  <si>
    <t xml:space="preserve">  Salem PL</t>
  </si>
  <si>
    <t xml:space="preserve">  Elgin PL</t>
  </si>
  <si>
    <t xml:space="preserve">  Union PL</t>
  </si>
  <si>
    <t>WALLOWA COUNTY</t>
  </si>
  <si>
    <t xml:space="preserve">  Wallowa CL</t>
  </si>
  <si>
    <t xml:space="preserve">  Enterprise PL</t>
  </si>
  <si>
    <t xml:space="preserve">  Joseph PL</t>
  </si>
  <si>
    <t xml:space="preserve">  Wallowa PL</t>
  </si>
  <si>
    <t>WASCO COUNTY</t>
  </si>
  <si>
    <t xml:space="preserve">  McMinnville PL</t>
  </si>
  <si>
    <t xml:space="preserve">  Newberg PL</t>
  </si>
  <si>
    <t xml:space="preserve">  Sheridan PL</t>
  </si>
  <si>
    <t xml:space="preserve">  Willamina PL</t>
  </si>
  <si>
    <t>BAKER COUNTY</t>
  </si>
  <si>
    <t>LANE COUNTY</t>
  </si>
  <si>
    <t xml:space="preserve">  Cottage Grove PL</t>
  </si>
  <si>
    <t xml:space="preserve">  Eugene PL</t>
  </si>
  <si>
    <t xml:space="preserve">  Junction City PL</t>
  </si>
  <si>
    <t xml:space="preserve">  Oakridge PL</t>
  </si>
  <si>
    <t xml:space="preserve">  Umatilla CSLD</t>
  </si>
  <si>
    <t xml:space="preserve">  Adams PL</t>
  </si>
  <si>
    <t>Grant Recipient</t>
  </si>
  <si>
    <t xml:space="preserve">  North Bend PL</t>
  </si>
  <si>
    <t>CROOK COUNTY</t>
  </si>
  <si>
    <t xml:space="preserve">  Crook CL</t>
  </si>
  <si>
    <t>CURRY COUNTY</t>
  </si>
  <si>
    <t>BENTON COUNTY</t>
  </si>
  <si>
    <t>CLACKAMAS COUNTY</t>
  </si>
  <si>
    <t xml:space="preserve">  Jefferson CLD</t>
  </si>
  <si>
    <t>GILLIAM COUNTY</t>
  </si>
  <si>
    <t xml:space="preserve">  Arlington PL</t>
  </si>
  <si>
    <t>GRANT COUNTY</t>
  </si>
  <si>
    <t>LAKE COUNTY</t>
  </si>
  <si>
    <t>MALHEUR COUNTY</t>
  </si>
  <si>
    <t xml:space="preserve">  Nyssa PL</t>
  </si>
  <si>
    <t>MARION COUNTY</t>
  </si>
  <si>
    <t xml:space="preserve">  North Powder PL</t>
  </si>
  <si>
    <t xml:space="preserve">  Stayton PL</t>
  </si>
  <si>
    <t xml:space="preserve">  Woodburn PL</t>
  </si>
  <si>
    <t xml:space="preserve">  Langlois LD</t>
  </si>
  <si>
    <t xml:space="preserve">  Port Orford LD</t>
  </si>
  <si>
    <t>DESCHUTES COUNTY</t>
  </si>
  <si>
    <t>DOUGLAS COUNTY</t>
  </si>
  <si>
    <t>CLATSOP COUNTY</t>
  </si>
  <si>
    <t xml:space="preserve">  Athena PL</t>
  </si>
  <si>
    <t xml:space="preserve">  Echo PL</t>
  </si>
  <si>
    <t>COLUMBIA COUNTY</t>
  </si>
  <si>
    <t xml:space="preserve">  Clatskanie LD</t>
  </si>
  <si>
    <t xml:space="preserve">  Rainier PL</t>
  </si>
  <si>
    <t xml:space="preserve">  St. Helens PL</t>
  </si>
  <si>
    <t xml:space="preserve">  Scappoose LD</t>
  </si>
  <si>
    <t xml:space="preserve">  Vernonia PL</t>
  </si>
  <si>
    <t>COOS COUNTY</t>
  </si>
  <si>
    <t xml:space="preserve">  Coos CLSD</t>
  </si>
  <si>
    <t xml:space="preserve">  Bandon PL</t>
  </si>
  <si>
    <t xml:space="preserve">  Coos Bay PL</t>
  </si>
  <si>
    <t xml:space="preserve">  Coquille PL</t>
  </si>
  <si>
    <t xml:space="preserve">  Lakeside PL</t>
  </si>
  <si>
    <t>JEFFERSON COUNTY</t>
  </si>
  <si>
    <t>JOSEPHINE COUNTY</t>
  </si>
  <si>
    <t xml:space="preserve">  North Plains PL</t>
  </si>
  <si>
    <t xml:space="preserve">  Lincoln CLD</t>
  </si>
  <si>
    <t xml:space="preserve">  Wasco CLSD</t>
  </si>
  <si>
    <t xml:space="preserve">  Jackson County LD</t>
  </si>
  <si>
    <t xml:space="preserve">  Dufur School/Community L</t>
  </si>
  <si>
    <t xml:space="preserve">  Ontario LD</t>
  </si>
  <si>
    <t xml:space="preserve">  Clackamas CL </t>
  </si>
  <si>
    <t xml:space="preserve">  Canby PL </t>
  </si>
  <si>
    <t xml:space="preserve">  Estacada PL</t>
  </si>
  <si>
    <t xml:space="preserve">  Gladstone PL </t>
  </si>
  <si>
    <t xml:space="preserve">  Lake Oswego PL </t>
  </si>
  <si>
    <t xml:space="preserve">  Molalla PL </t>
  </si>
  <si>
    <t xml:space="preserve">  Oregon City PL </t>
  </si>
  <si>
    <t xml:space="preserve">  Sandy PL </t>
  </si>
  <si>
    <t xml:space="preserve">  West Linn PL </t>
  </si>
  <si>
    <t xml:space="preserve">  Wilsonville PL </t>
  </si>
  <si>
    <t xml:space="preserve">  Sherman CL</t>
  </si>
  <si>
    <t xml:space="preserve">  The Dalles-Wasco CL</t>
  </si>
  <si>
    <t xml:space="preserve">  Corvallis/Benton CPL</t>
  </si>
  <si>
    <t xml:space="preserve">  Ledding L (Milwaukie)  </t>
  </si>
  <si>
    <t xml:space="preserve">  Mary Gilkey PL (Dayton)</t>
  </si>
  <si>
    <t xml:space="preserve">  Ione PL</t>
  </si>
  <si>
    <t>Total Population Served</t>
  </si>
  <si>
    <t>Approx. Sq. Miles</t>
  </si>
  <si>
    <t>Population Allocation (Per Youth)</t>
  </si>
  <si>
    <t>Sq. Mile Allocation</t>
  </si>
  <si>
    <t>Grant Base</t>
  </si>
  <si>
    <t>Total Grant</t>
  </si>
  <si>
    <t xml:space="preserve">  Baker CLD</t>
  </si>
  <si>
    <t xml:space="preserve">  Hazel M. Lewis L (Powers)</t>
  </si>
  <si>
    <t xml:space="preserve">  Agness Community LD</t>
  </si>
  <si>
    <t xml:space="preserve">  Gilliam CPL</t>
  </si>
  <si>
    <t xml:space="preserve">  Grant CPL</t>
  </si>
  <si>
    <t xml:space="preserve">  Hood River CLD</t>
  </si>
  <si>
    <t xml:space="preserve">  Josephine CL System</t>
  </si>
  <si>
    <t xml:space="preserve">  Lake CLD</t>
  </si>
  <si>
    <t xml:space="preserve">  Lowell PL </t>
  </si>
  <si>
    <t xml:space="preserve">  Oregon Trail LD (Morrow)</t>
  </si>
  <si>
    <t xml:space="preserve">  Chemeketa CRLS (Marion/Polk/Yamhill)</t>
  </si>
  <si>
    <t xml:space="preserve">  Silver Falls LD (Silverton)</t>
  </si>
  <si>
    <t xml:space="preserve">  Klamath CLSD</t>
  </si>
  <si>
    <t xml:space="preserve">  Spray School/PL</t>
  </si>
  <si>
    <t xml:space="preserve">  Washington County CLS</t>
  </si>
  <si>
    <r>
      <t xml:space="preserve">  Southern Wasco CL </t>
    </r>
    <r>
      <rPr>
        <sz val="10"/>
        <rFont val="Helv"/>
        <family val="0"/>
      </rPr>
      <t>(Maupin)</t>
    </r>
  </si>
  <si>
    <t xml:space="preserve">  Scio PL</t>
  </si>
  <si>
    <t xml:space="preserve">  Cook Memorial (La Grande)</t>
  </si>
  <si>
    <t>Youth          0-14            in County</t>
  </si>
  <si>
    <t xml:space="preserve">  Halsey PL</t>
  </si>
  <si>
    <t xml:space="preserve">  Happy Valley L</t>
  </si>
  <si>
    <t xml:space="preserve">  Siuslaw PLD (Florence)</t>
  </si>
  <si>
    <t xml:space="preserve">  Lane LD (Creswell)</t>
  </si>
  <si>
    <t xml:space="preserve">  Fern Ridge Community LD (Veneta)</t>
  </si>
  <si>
    <t xml:space="preserve">  Curry PLD (Gold Beach)</t>
  </si>
  <si>
    <t xml:space="preserve">  Chetco Community PLD (Brookings)</t>
  </si>
  <si>
    <t xml:space="preserve">  Deschutes PLD </t>
  </si>
  <si>
    <t xml:space="preserve">  Emma Humphrey L (Vale)</t>
  </si>
  <si>
    <t xml:space="preserve">  Flora M. Laird L (Myrtle Point)</t>
  </si>
  <si>
    <t xml:space="preserve">  Seaside PL </t>
  </si>
  <si>
    <t xml:space="preserve">  Reedsport PL</t>
  </si>
  <si>
    <t>Youth   0-14 Served</t>
  </si>
  <si>
    <t xml:space="preserve">Total Grant </t>
  </si>
  <si>
    <t xml:space="preserve">  Sutherlin PL</t>
  </si>
  <si>
    <t>D D / Check</t>
  </si>
  <si>
    <t>DD</t>
  </si>
  <si>
    <t>Check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</si>
</sst>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&quot;$&quot;#,##0\)"/>
    <numFmt numFmtId="165" formatCode="#,##0.0"/>
    <numFmt numFmtId="166" formatCode="#,##0.000"/>
    <numFmt numFmtId="167" formatCode="#,##0.0000"/>
    <numFmt numFmtId="168" formatCode="&quot;$&quot;#,##0.00"/>
    <numFmt numFmtId="169" formatCode="&quot;$&quot;#,##0"/>
    <numFmt numFmtId="170" formatCode="&quot;$&quot;#,##0.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04998999834060669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169" fontId="8" fillId="34" borderId="1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9" fontId="2" fillId="0" borderId="1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9" fontId="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shrinkToFit="1"/>
    </xf>
    <xf numFmtId="3" fontId="1" fillId="0" borderId="0" xfId="0" applyNumberFormat="1" applyFont="1" applyFill="1" applyAlignment="1">
      <alignment shrinkToFit="1"/>
    </xf>
    <xf numFmtId="3" fontId="9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shrinkToFit="1"/>
    </xf>
    <xf numFmtId="169" fontId="9" fillId="34" borderId="10" xfId="0" applyNumberFormat="1" applyFont="1" applyFill="1" applyBorder="1" applyAlignment="1">
      <alignment/>
    </xf>
    <xf numFmtId="169" fontId="45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horizontal="center" wrapText="1"/>
    </xf>
    <xf numFmtId="169" fontId="9" fillId="33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69" fontId="9" fillId="34" borderId="1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5"/>
  <sheetViews>
    <sheetView showGridLines="0" showZeros="0" tabSelected="1" zoomScaleSheetLayoutView="100" zoomScalePageLayoutView="115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" sqref="P10"/>
    </sheetView>
  </sheetViews>
  <sheetFormatPr defaultColWidth="10.8515625" defaultRowHeight="12.75"/>
  <cols>
    <col min="1" max="1" width="36.28125" style="4" customWidth="1"/>
    <col min="2" max="3" width="10.7109375" style="2" customWidth="1"/>
    <col min="4" max="4" width="10.7109375" style="2" hidden="1" customWidth="1"/>
    <col min="5" max="5" width="10.7109375" style="43" hidden="1" customWidth="1"/>
    <col min="6" max="7" width="11.7109375" style="5" hidden="1" customWidth="1"/>
    <col min="8" max="8" width="10.7109375" style="5" hidden="1" customWidth="1"/>
    <col min="9" max="9" width="10.7109375" style="32" hidden="1" customWidth="1"/>
    <col min="10" max="10" width="11.7109375" style="59" customWidth="1"/>
    <col min="11" max="11" width="6.421875" style="2" bestFit="1" customWidth="1"/>
    <col min="12" max="59" width="9.140625" style="2" customWidth="1"/>
    <col min="60" max="16384" width="10.8515625" style="2" customWidth="1"/>
  </cols>
  <sheetData>
    <row r="1" spans="1:11" s="41" customFormat="1" ht="47.25" customHeight="1">
      <c r="A1" s="38" t="s">
        <v>80</v>
      </c>
      <c r="B1" s="38" t="s">
        <v>165</v>
      </c>
      <c r="C1" s="39" t="s">
        <v>141</v>
      </c>
      <c r="D1" s="38" t="s">
        <v>178</v>
      </c>
      <c r="E1" s="38" t="s">
        <v>142</v>
      </c>
      <c r="F1" s="40" t="s">
        <v>143</v>
      </c>
      <c r="G1" s="40" t="s">
        <v>144</v>
      </c>
      <c r="H1" s="40" t="s">
        <v>145</v>
      </c>
      <c r="I1" s="40" t="s">
        <v>146</v>
      </c>
      <c r="J1" s="55" t="s">
        <v>179</v>
      </c>
      <c r="K1" s="63" t="s">
        <v>181</v>
      </c>
    </row>
    <row r="2" spans="1:11" s="14" customFormat="1" ht="12.75">
      <c r="A2" s="11" t="s">
        <v>72</v>
      </c>
      <c r="B2" s="26">
        <v>2575</v>
      </c>
      <c r="C2" s="12"/>
      <c r="D2" s="12"/>
      <c r="E2" s="12"/>
      <c r="F2" s="10"/>
      <c r="G2" s="10"/>
      <c r="H2" s="10"/>
      <c r="I2" s="10"/>
      <c r="J2" s="56"/>
      <c r="K2" s="64"/>
    </row>
    <row r="3" spans="1:11" s="16" customFormat="1" ht="12.75">
      <c r="A3" s="30" t="s">
        <v>147</v>
      </c>
      <c r="B3" s="8"/>
      <c r="C3" s="8">
        <v>16510</v>
      </c>
      <c r="D3" s="8">
        <f>B2</f>
        <v>2575</v>
      </c>
      <c r="E3" s="8">
        <v>3089</v>
      </c>
      <c r="F3" s="44">
        <f aca="true" t="shared" si="0" ref="F3:F34">(D3/$D$172)*$F$172</f>
        <v>2119.841764865967</v>
      </c>
      <c r="G3" s="44">
        <f aca="true" t="shared" si="1" ref="G3:G34">(E3/$E$172)*$G$172</f>
        <v>5292.512653536209</v>
      </c>
      <c r="H3" s="44">
        <f>SUM(F3:G3)</f>
        <v>7412.354418402176</v>
      </c>
      <c r="I3" s="44">
        <f>IF(H3&lt;1000,1000,H3)</f>
        <v>7412.354418402176</v>
      </c>
      <c r="J3" s="57">
        <f>ROUND(I3,0)</f>
        <v>7412</v>
      </c>
      <c r="K3" s="46" t="s">
        <v>182</v>
      </c>
    </row>
    <row r="4" spans="1:11" s="14" customFormat="1" ht="12.75">
      <c r="A4" s="17" t="s">
        <v>85</v>
      </c>
      <c r="B4" s="26">
        <v>10672</v>
      </c>
      <c r="C4" s="12"/>
      <c r="D4" s="12"/>
      <c r="E4" s="12"/>
      <c r="F4" s="10">
        <f t="shared" si="0"/>
        <v>0</v>
      </c>
      <c r="G4" s="10">
        <f t="shared" si="1"/>
        <v>0</v>
      </c>
      <c r="H4" s="10">
        <f aca="true" t="shared" si="2" ref="H4:H70">SUM(F4:G4)</f>
        <v>0</v>
      </c>
      <c r="I4" s="10"/>
      <c r="J4" s="58">
        <f aca="true" t="shared" si="3" ref="J4:J68">ROUND(I4,0)</f>
        <v>0</v>
      </c>
      <c r="K4" s="64"/>
    </row>
    <row r="5" spans="1:11" s="16" customFormat="1" ht="12.75">
      <c r="A5" s="30" t="s">
        <v>137</v>
      </c>
      <c r="B5" s="13"/>
      <c r="C5" s="8">
        <v>83673</v>
      </c>
      <c r="D5" s="8">
        <f>B4</f>
        <v>10672</v>
      </c>
      <c r="E5" s="8">
        <v>675</v>
      </c>
      <c r="F5" s="44">
        <f t="shared" si="0"/>
        <v>8785.612161028972</v>
      </c>
      <c r="G5" s="44">
        <f t="shared" si="1"/>
        <v>1156.5056785810752</v>
      </c>
      <c r="H5" s="44">
        <f t="shared" si="2"/>
        <v>9942.117839610048</v>
      </c>
      <c r="I5" s="44">
        <f>IF(H5&lt;1000,1000,H5)</f>
        <v>9942.117839610048</v>
      </c>
      <c r="J5" s="57">
        <f t="shared" si="3"/>
        <v>9942</v>
      </c>
      <c r="K5" s="46" t="s">
        <v>183</v>
      </c>
    </row>
    <row r="6" spans="1:11" s="36" customFormat="1" ht="12.75">
      <c r="A6" s="33" t="s">
        <v>86</v>
      </c>
      <c r="B6" s="54">
        <v>72042</v>
      </c>
      <c r="C6" s="34"/>
      <c r="D6" s="34"/>
      <c r="E6" s="34"/>
      <c r="F6" s="35">
        <f t="shared" si="0"/>
        <v>0</v>
      </c>
      <c r="G6" s="35">
        <f t="shared" si="1"/>
        <v>0</v>
      </c>
      <c r="H6" s="35">
        <f t="shared" si="2"/>
        <v>0</v>
      </c>
      <c r="I6" s="35"/>
      <c r="J6" s="58">
        <f t="shared" si="3"/>
        <v>0</v>
      </c>
      <c r="K6" s="34"/>
    </row>
    <row r="7" spans="1:11" s="16" customFormat="1" ht="12.75">
      <c r="A7" s="15" t="s">
        <v>126</v>
      </c>
      <c r="B7" s="8"/>
      <c r="C7" s="45">
        <v>23510</v>
      </c>
      <c r="D7" s="8">
        <f aca="true" t="shared" si="4" ref="D7:D18">$B$6/SUM($C$7:$C$18)*C7</f>
        <v>4165.998253618822</v>
      </c>
      <c r="E7" s="6">
        <v>59.94</v>
      </c>
      <c r="F7" s="44">
        <f t="shared" si="0"/>
        <v>3429.6144040310137</v>
      </c>
      <c r="G7" s="44">
        <f t="shared" si="1"/>
        <v>102.69770425799946</v>
      </c>
      <c r="H7" s="44">
        <f aca="true" t="shared" si="5" ref="H7:H18">SUM(F7:G7)</f>
        <v>3532.312108289013</v>
      </c>
      <c r="I7" s="44">
        <f aca="true" t="shared" si="6" ref="I7:I18">IF(H7&lt;1000,1000,H7)</f>
        <v>3532.312108289013</v>
      </c>
      <c r="J7" s="57">
        <f t="shared" si="3"/>
        <v>3532</v>
      </c>
      <c r="K7" s="46" t="s">
        <v>182</v>
      </c>
    </row>
    <row r="8" spans="1:11" s="16" customFormat="1" ht="12.75">
      <c r="A8" s="15" t="s">
        <v>125</v>
      </c>
      <c r="B8" s="45"/>
      <c r="C8" s="45">
        <v>39436</v>
      </c>
      <c r="D8" s="8">
        <f>$B$6/SUM($C$7:$C$18)*C8</f>
        <v>6988.103238184256</v>
      </c>
      <c r="E8" s="46">
        <v>7</v>
      </c>
      <c r="F8" s="44">
        <f t="shared" si="0"/>
        <v>5752.882757863338</v>
      </c>
      <c r="G8" s="44">
        <f t="shared" si="1"/>
        <v>11.99339222232226</v>
      </c>
      <c r="H8" s="44">
        <f t="shared" si="5"/>
        <v>5764.876150085661</v>
      </c>
      <c r="I8" s="44">
        <f t="shared" si="6"/>
        <v>5764.876150085661</v>
      </c>
      <c r="J8" s="57">
        <f t="shared" si="3"/>
        <v>5765</v>
      </c>
      <c r="K8" s="46" t="s">
        <v>183</v>
      </c>
    </row>
    <row r="9" spans="1:11" s="16" customFormat="1" ht="12.75">
      <c r="A9" s="15" t="s">
        <v>127</v>
      </c>
      <c r="B9" s="8"/>
      <c r="C9" s="45">
        <v>17264</v>
      </c>
      <c r="D9" s="8">
        <f t="shared" si="4"/>
        <v>3059.200078710138</v>
      </c>
      <c r="E9" s="8">
        <v>773.35</v>
      </c>
      <c r="F9" s="44">
        <f t="shared" si="0"/>
        <v>2518.454405410099</v>
      </c>
      <c r="G9" s="44">
        <f t="shared" si="1"/>
        <v>1325.0128393047028</v>
      </c>
      <c r="H9" s="44">
        <f t="shared" si="5"/>
        <v>3843.4672447148014</v>
      </c>
      <c r="I9" s="44">
        <f t="shared" si="6"/>
        <v>3843.4672447148014</v>
      </c>
      <c r="J9" s="57">
        <f t="shared" si="3"/>
        <v>3843</v>
      </c>
      <c r="K9" s="46" t="s">
        <v>183</v>
      </c>
    </row>
    <row r="10" spans="1:11" s="16" customFormat="1" ht="12.75">
      <c r="A10" s="15" t="s">
        <v>128</v>
      </c>
      <c r="B10" s="8"/>
      <c r="C10" s="45">
        <v>20246</v>
      </c>
      <c r="D10" s="8">
        <f t="shared" si="4"/>
        <v>3587.613808709769</v>
      </c>
      <c r="E10" s="8">
        <v>5.32</v>
      </c>
      <c r="F10" s="44">
        <f t="shared" si="0"/>
        <v>2953.465471034109</v>
      </c>
      <c r="G10" s="44">
        <f t="shared" si="1"/>
        <v>9.114978088964918</v>
      </c>
      <c r="H10" s="44">
        <f t="shared" si="5"/>
        <v>2962.5804491230742</v>
      </c>
      <c r="I10" s="44">
        <f t="shared" si="6"/>
        <v>2962.5804491230742</v>
      </c>
      <c r="J10" s="57">
        <f t="shared" si="3"/>
        <v>2963</v>
      </c>
      <c r="K10" s="46" t="s">
        <v>183</v>
      </c>
    </row>
    <row r="11" spans="1:11" s="16" customFormat="1" ht="12.75">
      <c r="A11" s="30" t="s">
        <v>167</v>
      </c>
      <c r="B11" s="8"/>
      <c r="C11" s="45">
        <v>53219</v>
      </c>
      <c r="D11" s="8">
        <f t="shared" si="4"/>
        <v>9430.466229661424</v>
      </c>
      <c r="E11" s="8">
        <v>38</v>
      </c>
      <c r="F11" s="44">
        <f t="shared" si="0"/>
        <v>7763.5324954541275</v>
      </c>
      <c r="G11" s="44">
        <f t="shared" si="1"/>
        <v>65.1069863497494</v>
      </c>
      <c r="H11" s="44">
        <f t="shared" si="5"/>
        <v>7828.639481803877</v>
      </c>
      <c r="I11" s="44">
        <f t="shared" si="6"/>
        <v>7828.639481803877</v>
      </c>
      <c r="J11" s="57">
        <f t="shared" si="3"/>
        <v>7829</v>
      </c>
      <c r="K11" s="46" t="s">
        <v>183</v>
      </c>
    </row>
    <row r="12" spans="1:11" s="16" customFormat="1" ht="12.75">
      <c r="A12" s="15" t="s">
        <v>129</v>
      </c>
      <c r="B12" s="8"/>
      <c r="C12" s="45">
        <v>45467</v>
      </c>
      <c r="D12" s="8">
        <f t="shared" si="4"/>
        <v>8056.803173002423</v>
      </c>
      <c r="E12" s="8">
        <v>15.11</v>
      </c>
      <c r="F12" s="44">
        <f t="shared" si="0"/>
        <v>6632.678779586478</v>
      </c>
      <c r="G12" s="44">
        <f t="shared" si="1"/>
        <v>25.88859378275562</v>
      </c>
      <c r="H12" s="44">
        <f t="shared" si="5"/>
        <v>6658.567373369234</v>
      </c>
      <c r="I12" s="44">
        <f t="shared" si="6"/>
        <v>6658.567373369234</v>
      </c>
      <c r="J12" s="57">
        <f t="shared" si="3"/>
        <v>6659</v>
      </c>
      <c r="K12" s="46" t="s">
        <v>183</v>
      </c>
    </row>
    <row r="13" spans="1:11" s="16" customFormat="1" ht="12.75">
      <c r="A13" s="30" t="s">
        <v>138</v>
      </c>
      <c r="B13" s="8"/>
      <c r="C13" s="45">
        <v>39841</v>
      </c>
      <c r="D13" s="8">
        <f t="shared" si="4"/>
        <v>7059.869690447787</v>
      </c>
      <c r="E13" s="8">
        <v>12</v>
      </c>
      <c r="F13" s="44">
        <f t="shared" si="0"/>
        <v>5811.963737601005</v>
      </c>
      <c r="G13" s="44">
        <f t="shared" si="1"/>
        <v>20.560100952552446</v>
      </c>
      <c r="H13" s="44">
        <f t="shared" si="5"/>
        <v>5832.523838553558</v>
      </c>
      <c r="I13" s="44">
        <f t="shared" si="6"/>
        <v>5832.523838553558</v>
      </c>
      <c r="J13" s="57">
        <f t="shared" si="3"/>
        <v>5833</v>
      </c>
      <c r="K13" s="46" t="s">
        <v>182</v>
      </c>
    </row>
    <row r="14" spans="1:11" s="3" customFormat="1" ht="12.75">
      <c r="A14" s="15" t="s">
        <v>130</v>
      </c>
      <c r="B14" s="8"/>
      <c r="C14" s="45">
        <v>23176</v>
      </c>
      <c r="D14" s="8">
        <f t="shared" si="4"/>
        <v>4106.813080640996</v>
      </c>
      <c r="E14" s="8">
        <v>404</v>
      </c>
      <c r="F14" s="44">
        <f t="shared" si="0"/>
        <v>3380.8908306177277</v>
      </c>
      <c r="G14" s="44">
        <f t="shared" si="1"/>
        <v>692.1900654025991</v>
      </c>
      <c r="H14" s="44">
        <f t="shared" si="5"/>
        <v>4073.0808960203267</v>
      </c>
      <c r="I14" s="44">
        <f t="shared" si="6"/>
        <v>4073.0808960203267</v>
      </c>
      <c r="J14" s="57">
        <f t="shared" si="3"/>
        <v>4073</v>
      </c>
      <c r="K14" s="46" t="s">
        <v>183</v>
      </c>
    </row>
    <row r="15" spans="1:11" s="16" customFormat="1" ht="12.75">
      <c r="A15" s="7" t="s">
        <v>131</v>
      </c>
      <c r="B15" s="8"/>
      <c r="C15" s="45">
        <v>57171</v>
      </c>
      <c r="D15" s="8">
        <f t="shared" si="4"/>
        <v>10130.76504286013</v>
      </c>
      <c r="E15" s="8">
        <v>110.44</v>
      </c>
      <c r="F15" s="44">
        <f t="shared" si="0"/>
        <v>8340.046154523909</v>
      </c>
      <c r="G15" s="44">
        <f t="shared" si="1"/>
        <v>189.22146243332432</v>
      </c>
      <c r="H15" s="44">
        <f t="shared" si="5"/>
        <v>8529.267616957233</v>
      </c>
      <c r="I15" s="44">
        <f t="shared" si="6"/>
        <v>8529.267616957233</v>
      </c>
      <c r="J15" s="57">
        <f t="shared" si="3"/>
        <v>8529</v>
      </c>
      <c r="K15" s="46" t="s">
        <v>183</v>
      </c>
    </row>
    <row r="16" spans="1:11" s="16" customFormat="1" ht="12.75">
      <c r="A16" s="15" t="s">
        <v>132</v>
      </c>
      <c r="B16" s="8"/>
      <c r="C16" s="45">
        <v>30724</v>
      </c>
      <c r="D16" s="8">
        <f t="shared" si="4"/>
        <v>5444.327109493181</v>
      </c>
      <c r="E16" s="8">
        <v>394.12</v>
      </c>
      <c r="F16" s="44">
        <f t="shared" si="0"/>
        <v>4481.98523817307</v>
      </c>
      <c r="G16" s="44">
        <f t="shared" si="1"/>
        <v>675.2622489516642</v>
      </c>
      <c r="H16" s="44">
        <f t="shared" si="5"/>
        <v>5157.247487124734</v>
      </c>
      <c r="I16" s="44">
        <f t="shared" si="6"/>
        <v>5157.247487124734</v>
      </c>
      <c r="J16" s="57">
        <f t="shared" si="3"/>
        <v>5157</v>
      </c>
      <c r="K16" s="46" t="s">
        <v>183</v>
      </c>
    </row>
    <row r="17" spans="1:11" s="16" customFormat="1" ht="12.75">
      <c r="A17" s="15" t="s">
        <v>133</v>
      </c>
      <c r="B17" s="8"/>
      <c r="C17" s="45">
        <v>29261</v>
      </c>
      <c r="D17" s="8">
        <f t="shared" si="4"/>
        <v>5185.081875760968</v>
      </c>
      <c r="E17" s="8">
        <v>17.55</v>
      </c>
      <c r="F17" s="44">
        <f t="shared" si="0"/>
        <v>4268.564316305891</v>
      </c>
      <c r="G17" s="44">
        <f t="shared" si="1"/>
        <v>30.069147643107954</v>
      </c>
      <c r="H17" s="44">
        <f t="shared" si="5"/>
        <v>4298.633463949</v>
      </c>
      <c r="I17" s="44">
        <f t="shared" si="6"/>
        <v>4298.633463949</v>
      </c>
      <c r="J17" s="57">
        <f t="shared" si="3"/>
        <v>4299</v>
      </c>
      <c r="K17" s="46" t="s">
        <v>183</v>
      </c>
    </row>
    <row r="18" spans="1:11" s="16" customFormat="1" ht="12.75">
      <c r="A18" s="15" t="s">
        <v>134</v>
      </c>
      <c r="B18" s="8"/>
      <c r="C18" s="45">
        <v>27240</v>
      </c>
      <c r="D18" s="8">
        <f t="shared" si="4"/>
        <v>4826.958418910111</v>
      </c>
      <c r="E18" s="8">
        <v>45</v>
      </c>
      <c r="F18" s="44">
        <f t="shared" si="0"/>
        <v>3973.7429334668145</v>
      </c>
      <c r="G18" s="44">
        <f t="shared" si="1"/>
        <v>77.10037857207168</v>
      </c>
      <c r="H18" s="44">
        <f t="shared" si="5"/>
        <v>4050.8433120388863</v>
      </c>
      <c r="I18" s="44">
        <f t="shared" si="6"/>
        <v>4050.8433120388863</v>
      </c>
      <c r="J18" s="57">
        <f t="shared" si="3"/>
        <v>4051</v>
      </c>
      <c r="K18" s="46" t="s">
        <v>183</v>
      </c>
    </row>
    <row r="19" spans="1:11" s="14" customFormat="1" ht="12.75">
      <c r="A19" s="17" t="s">
        <v>102</v>
      </c>
      <c r="B19" s="26">
        <v>6252</v>
      </c>
      <c r="C19" s="12"/>
      <c r="D19" s="12"/>
      <c r="E19" s="12"/>
      <c r="F19" s="10">
        <f t="shared" si="0"/>
        <v>0</v>
      </c>
      <c r="G19" s="10">
        <f t="shared" si="1"/>
        <v>0</v>
      </c>
      <c r="H19" s="10">
        <f t="shared" si="2"/>
        <v>0</v>
      </c>
      <c r="I19" s="10"/>
      <c r="J19" s="58">
        <f t="shared" si="3"/>
        <v>0</v>
      </c>
      <c r="K19" s="64"/>
    </row>
    <row r="20" spans="1:11" s="3" customFormat="1" ht="12.75">
      <c r="A20" s="15" t="s">
        <v>47</v>
      </c>
      <c r="B20" s="8"/>
      <c r="C20" s="8">
        <v>9770</v>
      </c>
      <c r="D20" s="8">
        <f>$B$19/38225*C20</f>
        <v>1597.9604970568998</v>
      </c>
      <c r="E20" s="8">
        <v>11.4</v>
      </c>
      <c r="F20" s="44">
        <f t="shared" si="0"/>
        <v>1315.5042331134746</v>
      </c>
      <c r="G20" s="44">
        <f t="shared" si="1"/>
        <v>19.532095904924823</v>
      </c>
      <c r="H20" s="44">
        <f t="shared" si="2"/>
        <v>1335.0363290183993</v>
      </c>
      <c r="I20" s="44">
        <f>IF(H20&lt;1000,1000,H20)</f>
        <v>1335.0363290183993</v>
      </c>
      <c r="J20" s="57">
        <f t="shared" si="3"/>
        <v>1335</v>
      </c>
      <c r="K20" s="46" t="s">
        <v>183</v>
      </c>
    </row>
    <row r="21" spans="1:11" s="43" customFormat="1" ht="12.75">
      <c r="A21" s="42" t="s">
        <v>176</v>
      </c>
      <c r="B21" s="8"/>
      <c r="C21" s="8">
        <v>23190</v>
      </c>
      <c r="D21" s="8">
        <f>$B$19/38225*C21</f>
        <v>3792.9072596468277</v>
      </c>
      <c r="E21" s="8">
        <v>1057</v>
      </c>
      <c r="F21" s="44">
        <f t="shared" si="0"/>
        <v>3122.4711531117164</v>
      </c>
      <c r="G21" s="44">
        <f t="shared" si="1"/>
        <v>1811.0022255706613</v>
      </c>
      <c r="H21" s="44">
        <f t="shared" si="2"/>
        <v>4933.473378682378</v>
      </c>
      <c r="I21" s="44">
        <f>IF(H21&lt;1000,1000,H21)</f>
        <v>4933.473378682378</v>
      </c>
      <c r="J21" s="57">
        <f t="shared" si="3"/>
        <v>4933</v>
      </c>
      <c r="K21" s="46" t="s">
        <v>183</v>
      </c>
    </row>
    <row r="22" spans="1:11" s="16" customFormat="1" ht="12.75">
      <c r="A22" s="15" t="s">
        <v>48</v>
      </c>
      <c r="B22" s="8"/>
      <c r="C22" s="8">
        <v>5265</v>
      </c>
      <c r="D22" s="8">
        <f>$B$19/38225*C22</f>
        <v>861.132243296272</v>
      </c>
      <c r="E22" s="8">
        <v>17</v>
      </c>
      <c r="F22" s="44">
        <f t="shared" si="0"/>
        <v>708.9180949173432</v>
      </c>
      <c r="G22" s="44">
        <f t="shared" si="1"/>
        <v>29.126809682782632</v>
      </c>
      <c r="H22" s="44">
        <f t="shared" si="2"/>
        <v>738.0449046001258</v>
      </c>
      <c r="I22" s="44">
        <f>IF(H22&lt;1000,1000,H22)</f>
        <v>1000</v>
      </c>
      <c r="J22" s="57">
        <f t="shared" si="3"/>
        <v>1000</v>
      </c>
      <c r="K22" s="46" t="s">
        <v>182</v>
      </c>
    </row>
    <row r="23" spans="1:11" s="14" customFormat="1" ht="12.75">
      <c r="A23" s="17" t="s">
        <v>105</v>
      </c>
      <c r="B23" s="26">
        <v>8904</v>
      </c>
      <c r="C23" s="12"/>
      <c r="D23" s="12"/>
      <c r="E23" s="12"/>
      <c r="F23" s="10">
        <f t="shared" si="0"/>
        <v>0</v>
      </c>
      <c r="G23" s="10">
        <f t="shared" si="1"/>
        <v>0</v>
      </c>
      <c r="H23" s="10">
        <f t="shared" si="2"/>
        <v>0</v>
      </c>
      <c r="I23" s="10"/>
      <c r="J23" s="58">
        <f t="shared" si="3"/>
        <v>0</v>
      </c>
      <c r="K23" s="64"/>
    </row>
    <row r="24" spans="1:11" s="16" customFormat="1" ht="12.75">
      <c r="A24" s="15" t="s">
        <v>106</v>
      </c>
      <c r="B24" s="8"/>
      <c r="C24" s="8">
        <v>6017</v>
      </c>
      <c r="D24" s="8">
        <f>$B$23/50795*C24</f>
        <v>1054.7370410473472</v>
      </c>
      <c r="E24" s="8">
        <v>125</v>
      </c>
      <c r="F24" s="44">
        <f t="shared" si="0"/>
        <v>868.3012157527444</v>
      </c>
      <c r="G24" s="44">
        <f t="shared" si="1"/>
        <v>214.16771825575464</v>
      </c>
      <c r="H24" s="44">
        <f>SUM(F24:G24)</f>
        <v>1082.468934008499</v>
      </c>
      <c r="I24" s="44">
        <f>IF(H24&lt;1000,1000,H24)</f>
        <v>1082.468934008499</v>
      </c>
      <c r="J24" s="57">
        <f t="shared" si="3"/>
        <v>1082</v>
      </c>
      <c r="K24" s="46" t="s">
        <v>183</v>
      </c>
    </row>
    <row r="25" spans="1:11" s="16" customFormat="1" ht="12.75">
      <c r="A25" s="15" t="s">
        <v>107</v>
      </c>
      <c r="B25" s="8"/>
      <c r="C25" s="8">
        <v>1905</v>
      </c>
      <c r="D25" s="8">
        <f>$B$23/50795*C25</f>
        <v>333.93286740820946</v>
      </c>
      <c r="E25" s="8">
        <v>2.6</v>
      </c>
      <c r="F25" s="44">
        <f t="shared" si="0"/>
        <v>274.9067335896589</v>
      </c>
      <c r="G25" s="44">
        <f t="shared" si="1"/>
        <v>4.454688539719697</v>
      </c>
      <c r="H25" s="44">
        <f>SUM(F25:G25)</f>
        <v>279.36142212937864</v>
      </c>
      <c r="I25" s="44">
        <f>IF(H25&lt;1000,1000,H25)</f>
        <v>1000</v>
      </c>
      <c r="J25" s="57">
        <f t="shared" si="3"/>
        <v>1000</v>
      </c>
      <c r="K25" s="65"/>
    </row>
    <row r="26" spans="1:11" s="16" customFormat="1" ht="12.75">
      <c r="A26" s="15" t="s">
        <v>109</v>
      </c>
      <c r="B26" s="8"/>
      <c r="C26" s="8">
        <v>12454</v>
      </c>
      <c r="D26" s="8">
        <f>$B$23/50795*C26</f>
        <v>2183.0970764839058</v>
      </c>
      <c r="E26" s="8">
        <v>47</v>
      </c>
      <c r="F26" s="44">
        <f t="shared" si="0"/>
        <v>1797.2117900921849</v>
      </c>
      <c r="G26" s="44">
        <f t="shared" si="1"/>
        <v>80.52706206416374</v>
      </c>
      <c r="H26" s="44">
        <f>SUM(F26:G26)</f>
        <v>1877.7388521563487</v>
      </c>
      <c r="I26" s="44">
        <f>IF(H26&lt;1000,1000,H26)</f>
        <v>1877.7388521563487</v>
      </c>
      <c r="J26" s="57">
        <f t="shared" si="3"/>
        <v>1878</v>
      </c>
      <c r="K26" s="46" t="s">
        <v>182</v>
      </c>
    </row>
    <row r="27" spans="1:11" s="16" customFormat="1" ht="12.75">
      <c r="A27" s="15" t="s">
        <v>108</v>
      </c>
      <c r="B27" s="8"/>
      <c r="C27" s="8">
        <v>13121</v>
      </c>
      <c r="D27" s="8">
        <f>$B$23/50795*C27</f>
        <v>2300.0174032877253</v>
      </c>
      <c r="E27" s="8">
        <v>6.02</v>
      </c>
      <c r="F27" s="44">
        <f t="shared" si="0"/>
        <v>1893.4652238477245</v>
      </c>
      <c r="G27" s="44">
        <f t="shared" si="1"/>
        <v>10.314317311197142</v>
      </c>
      <c r="H27" s="44">
        <f>SUM(F27:G27)</f>
        <v>1903.7795411589216</v>
      </c>
      <c r="I27" s="44">
        <f>IF(H27&lt;1000,1000,H27)</f>
        <v>1903.7795411589216</v>
      </c>
      <c r="J27" s="57">
        <f t="shared" si="3"/>
        <v>1904</v>
      </c>
      <c r="K27" s="46" t="s">
        <v>183</v>
      </c>
    </row>
    <row r="28" spans="1:11" s="16" customFormat="1" ht="12.75">
      <c r="A28" s="15" t="s">
        <v>110</v>
      </c>
      <c r="B28" s="8"/>
      <c r="C28" s="8">
        <v>2065</v>
      </c>
      <c r="D28" s="8">
        <f>$B$23/50795*C28</f>
        <v>361.9797224136234</v>
      </c>
      <c r="E28" s="8">
        <v>1.45</v>
      </c>
      <c r="F28" s="44">
        <f t="shared" si="0"/>
        <v>297.9960130512576</v>
      </c>
      <c r="G28" s="44">
        <f t="shared" si="1"/>
        <v>2.484345531766754</v>
      </c>
      <c r="H28" s="44">
        <f>SUM(F28:G28)</f>
        <v>300.4803585830243</v>
      </c>
      <c r="I28" s="44">
        <f>IF(H28&lt;1000,1000,H28)</f>
        <v>1000</v>
      </c>
      <c r="J28" s="57">
        <f t="shared" si="3"/>
        <v>1000</v>
      </c>
      <c r="K28" s="46" t="s">
        <v>183</v>
      </c>
    </row>
    <row r="29" spans="1:11" s="14" customFormat="1" ht="12.75">
      <c r="A29" s="17" t="s">
        <v>111</v>
      </c>
      <c r="B29" s="26">
        <v>9787</v>
      </c>
      <c r="C29" s="12"/>
      <c r="D29" s="12"/>
      <c r="E29" s="12"/>
      <c r="F29" s="10">
        <f t="shared" si="0"/>
        <v>0</v>
      </c>
      <c r="G29" s="10">
        <f t="shared" si="1"/>
        <v>0</v>
      </c>
      <c r="H29" s="10">
        <f t="shared" si="2"/>
        <v>0</v>
      </c>
      <c r="I29" s="10"/>
      <c r="J29" s="58">
        <f t="shared" si="3"/>
        <v>0</v>
      </c>
      <c r="K29" s="64"/>
    </row>
    <row r="30" spans="1:11" s="16" customFormat="1" ht="12.75">
      <c r="A30" s="15" t="s">
        <v>113</v>
      </c>
      <c r="B30" s="8"/>
      <c r="C30" s="8">
        <v>3125</v>
      </c>
      <c r="D30" s="8">
        <f aca="true" t="shared" si="7" ref="D30:D37">$B$29/SUM($C$30:$C$37)*C30</f>
        <v>484.00656749485677</v>
      </c>
      <c r="E30" s="8">
        <v>3.22</v>
      </c>
      <c r="F30" s="44">
        <f t="shared" si="0"/>
        <v>398.45333446408387</v>
      </c>
      <c r="G30" s="44">
        <f t="shared" si="1"/>
        <v>5.51696042226824</v>
      </c>
      <c r="H30" s="44">
        <f aca="true" t="shared" si="8" ref="H30:H37">SUM(F30:G30)</f>
        <v>403.9702948863521</v>
      </c>
      <c r="I30" s="44">
        <f aca="true" t="shared" si="9" ref="I30:I37">IF(H30&lt;1000,1000,H30)</f>
        <v>1000</v>
      </c>
      <c r="J30" s="57">
        <f t="shared" si="3"/>
        <v>1000</v>
      </c>
      <c r="K30" s="46" t="s">
        <v>183</v>
      </c>
    </row>
    <row r="31" spans="1:11" s="16" customFormat="1" ht="12.75">
      <c r="A31" s="15" t="s">
        <v>114</v>
      </c>
      <c r="B31" s="8"/>
      <c r="C31" s="8">
        <v>16615</v>
      </c>
      <c r="D31" s="8">
        <f t="shared" si="7"/>
        <v>2573.3661180566546</v>
      </c>
      <c r="E31" s="8">
        <v>15.9</v>
      </c>
      <c r="F31" s="44">
        <f t="shared" si="0"/>
        <v>2118.4966886786415</v>
      </c>
      <c r="G31" s="44">
        <f t="shared" si="1"/>
        <v>27.242133762131992</v>
      </c>
      <c r="H31" s="44">
        <f t="shared" si="8"/>
        <v>2145.7388224407737</v>
      </c>
      <c r="I31" s="44">
        <f t="shared" si="9"/>
        <v>2145.7388224407737</v>
      </c>
      <c r="J31" s="57">
        <f t="shared" si="3"/>
        <v>2146</v>
      </c>
      <c r="K31" s="46" t="s">
        <v>183</v>
      </c>
    </row>
    <row r="32" spans="1:11" s="16" customFormat="1" ht="12.75">
      <c r="A32" s="15" t="s">
        <v>112</v>
      </c>
      <c r="B32" s="8"/>
      <c r="C32" s="8">
        <v>24810</v>
      </c>
      <c r="D32" s="8">
        <f t="shared" si="7"/>
        <v>3842.624940655167</v>
      </c>
      <c r="E32" s="8">
        <v>1596</v>
      </c>
      <c r="F32" s="44">
        <f t="shared" si="0"/>
        <v>3163.400712977255</v>
      </c>
      <c r="G32" s="44">
        <f t="shared" si="1"/>
        <v>2734.4934266894757</v>
      </c>
      <c r="H32" s="44">
        <f t="shared" si="8"/>
        <v>5897.894139666731</v>
      </c>
      <c r="I32" s="44">
        <f t="shared" si="9"/>
        <v>5897.894139666731</v>
      </c>
      <c r="J32" s="57">
        <f t="shared" si="3"/>
        <v>5898</v>
      </c>
      <c r="K32" s="46" t="s">
        <v>183</v>
      </c>
    </row>
    <row r="33" spans="1:11" s="16" customFormat="1" ht="12.75">
      <c r="A33" s="15" t="s">
        <v>115</v>
      </c>
      <c r="B33" s="8"/>
      <c r="C33" s="8">
        <v>3920</v>
      </c>
      <c r="D33" s="8">
        <f t="shared" si="7"/>
        <v>607.1378382655483</v>
      </c>
      <c r="E33" s="8">
        <v>3</v>
      </c>
      <c r="F33" s="44">
        <f t="shared" si="0"/>
        <v>499.8198627517468</v>
      </c>
      <c r="G33" s="44">
        <f t="shared" si="1"/>
        <v>5.1400252381381115</v>
      </c>
      <c r="H33" s="44">
        <f t="shared" si="8"/>
        <v>504.9598879898849</v>
      </c>
      <c r="I33" s="44">
        <f t="shared" si="9"/>
        <v>1000</v>
      </c>
      <c r="J33" s="57">
        <f t="shared" si="3"/>
        <v>1000</v>
      </c>
      <c r="K33" s="46" t="s">
        <v>183</v>
      </c>
    </row>
    <row r="34" spans="1:11" s="16" customFormat="1" ht="12.75">
      <c r="A34" s="30" t="s">
        <v>175</v>
      </c>
      <c r="B34" s="8"/>
      <c r="C34" s="8">
        <v>2525</v>
      </c>
      <c r="D34" s="8">
        <f t="shared" si="7"/>
        <v>391.0773065358443</v>
      </c>
      <c r="E34" s="8">
        <v>2</v>
      </c>
      <c r="F34" s="44">
        <f t="shared" si="0"/>
        <v>321.9502942469798</v>
      </c>
      <c r="G34" s="44">
        <f t="shared" si="1"/>
        <v>3.4266834920920743</v>
      </c>
      <c r="H34" s="44">
        <f t="shared" si="8"/>
        <v>325.3769777390719</v>
      </c>
      <c r="I34" s="44">
        <f t="shared" si="9"/>
        <v>1000</v>
      </c>
      <c r="J34" s="57">
        <f t="shared" si="3"/>
        <v>1000</v>
      </c>
      <c r="K34" s="46" t="s">
        <v>183</v>
      </c>
    </row>
    <row r="35" spans="1:11" s="16" customFormat="1" ht="12.75">
      <c r="A35" s="30" t="s">
        <v>148</v>
      </c>
      <c r="B35" s="8"/>
      <c r="C35" s="8">
        <v>695</v>
      </c>
      <c r="D35" s="8">
        <f t="shared" si="7"/>
        <v>107.64306061085614</v>
      </c>
      <c r="E35" s="8">
        <v>1</v>
      </c>
      <c r="F35" s="44">
        <f aca="true" t="shared" si="10" ref="F35:F70">(D35/$D$172)*$F$172</f>
        <v>88.61602158481226</v>
      </c>
      <c r="G35" s="44">
        <f aca="true" t="shared" si="11" ref="G35:G70">(E35/$E$172)*$G$172</f>
        <v>1.7133417460460372</v>
      </c>
      <c r="H35" s="44">
        <f t="shared" si="8"/>
        <v>90.3293633308583</v>
      </c>
      <c r="I35" s="44">
        <f t="shared" si="9"/>
        <v>1000</v>
      </c>
      <c r="J35" s="57">
        <f t="shared" si="3"/>
        <v>1000</v>
      </c>
      <c r="K35" s="46" t="s">
        <v>183</v>
      </c>
    </row>
    <row r="36" spans="1:11" s="16" customFormat="1" ht="12.75">
      <c r="A36" s="18" t="s">
        <v>116</v>
      </c>
      <c r="B36" s="13"/>
      <c r="C36" s="8">
        <v>1725</v>
      </c>
      <c r="D36" s="8">
        <f t="shared" si="7"/>
        <v>267.17162525716094</v>
      </c>
      <c r="E36" s="8">
        <v>2</v>
      </c>
      <c r="F36" s="44">
        <f t="shared" si="10"/>
        <v>219.9462406241743</v>
      </c>
      <c r="G36" s="44">
        <f t="shared" si="11"/>
        <v>3.4266834920920743</v>
      </c>
      <c r="H36" s="44">
        <f t="shared" si="8"/>
        <v>223.37292411626638</v>
      </c>
      <c r="I36" s="44">
        <f t="shared" si="9"/>
        <v>1000</v>
      </c>
      <c r="J36" s="57">
        <f t="shared" si="3"/>
        <v>1000</v>
      </c>
      <c r="K36" s="46" t="s">
        <v>183</v>
      </c>
    </row>
    <row r="37" spans="1:11" s="16" customFormat="1" ht="12.75">
      <c r="A37" s="15" t="s">
        <v>81</v>
      </c>
      <c r="B37" s="8"/>
      <c r="C37" s="8">
        <v>9775</v>
      </c>
      <c r="D37" s="8">
        <f t="shared" si="7"/>
        <v>1513.972543123912</v>
      </c>
      <c r="E37" s="8">
        <v>4</v>
      </c>
      <c r="F37" s="44">
        <f t="shared" si="10"/>
        <v>1246.3620302036543</v>
      </c>
      <c r="G37" s="44">
        <f t="shared" si="11"/>
        <v>6.853366984184149</v>
      </c>
      <c r="H37" s="44">
        <f t="shared" si="8"/>
        <v>1253.2153971878383</v>
      </c>
      <c r="I37" s="44">
        <f t="shared" si="9"/>
        <v>1253.2153971878383</v>
      </c>
      <c r="J37" s="57">
        <f t="shared" si="3"/>
        <v>1253</v>
      </c>
      <c r="K37" s="46" t="s">
        <v>183</v>
      </c>
    </row>
    <row r="38" spans="1:11" s="14" customFormat="1" ht="12.75">
      <c r="A38" s="17" t="s">
        <v>82</v>
      </c>
      <c r="B38" s="26">
        <v>3423</v>
      </c>
      <c r="C38" s="12"/>
      <c r="D38" s="12"/>
      <c r="E38" s="12"/>
      <c r="F38" s="10">
        <f t="shared" si="10"/>
        <v>0</v>
      </c>
      <c r="G38" s="10">
        <f t="shared" si="11"/>
        <v>0</v>
      </c>
      <c r="H38" s="10">
        <f t="shared" si="2"/>
        <v>0</v>
      </c>
      <c r="I38" s="10"/>
      <c r="J38" s="58">
        <f t="shared" si="3"/>
        <v>0</v>
      </c>
      <c r="K38" s="64"/>
    </row>
    <row r="39" spans="1:11" s="16" customFormat="1" ht="12.75">
      <c r="A39" s="15" t="s">
        <v>83</v>
      </c>
      <c r="B39" s="8"/>
      <c r="C39" s="8">
        <v>21580</v>
      </c>
      <c r="D39" s="8">
        <f>B38</f>
        <v>3423</v>
      </c>
      <c r="E39" s="8">
        <v>2991</v>
      </c>
      <c r="F39" s="44">
        <f t="shared" si="10"/>
        <v>2817.9488781111477</v>
      </c>
      <c r="G39" s="44">
        <f t="shared" si="11"/>
        <v>5124.605162423697</v>
      </c>
      <c r="H39" s="44">
        <f t="shared" si="2"/>
        <v>7942.554040534845</v>
      </c>
      <c r="I39" s="44">
        <f>IF(H39&lt;1000,1000,H39)</f>
        <v>7942.554040534845</v>
      </c>
      <c r="J39" s="57">
        <f t="shared" si="3"/>
        <v>7943</v>
      </c>
      <c r="K39" s="46" t="s">
        <v>182</v>
      </c>
    </row>
    <row r="40" spans="1:11" s="14" customFormat="1" ht="12.75">
      <c r="A40" s="17" t="s">
        <v>84</v>
      </c>
      <c r="B40" s="26">
        <v>2582</v>
      </c>
      <c r="C40" s="12"/>
      <c r="D40" s="12"/>
      <c r="E40" s="12"/>
      <c r="F40" s="10">
        <f t="shared" si="10"/>
        <v>0</v>
      </c>
      <c r="G40" s="10">
        <f t="shared" si="11"/>
        <v>0</v>
      </c>
      <c r="H40" s="10">
        <f t="shared" si="2"/>
        <v>0</v>
      </c>
      <c r="I40" s="10"/>
      <c r="J40" s="58">
        <f t="shared" si="3"/>
        <v>0</v>
      </c>
      <c r="K40" s="64"/>
    </row>
    <row r="41" spans="1:11" s="16" customFormat="1" ht="12.75">
      <c r="A41" s="60" t="s">
        <v>149</v>
      </c>
      <c r="B41" s="61"/>
      <c r="C41" s="8">
        <v>138</v>
      </c>
      <c r="D41" s="8">
        <f aca="true" t="shared" si="12" ref="D41:D46">$B$40/22600*C41</f>
        <v>15.766194690265488</v>
      </c>
      <c r="E41" s="8">
        <v>334</v>
      </c>
      <c r="F41" s="44">
        <f t="shared" si="10"/>
        <v>12.979354554342846</v>
      </c>
      <c r="G41" s="44">
        <f t="shared" si="11"/>
        <v>572.2561431793764</v>
      </c>
      <c r="H41" s="44">
        <f>SUM(F41:G41)</f>
        <v>585.2354977337193</v>
      </c>
      <c r="I41" s="44">
        <f>IF(H41&lt;1000,1000,H41)</f>
        <v>1000</v>
      </c>
      <c r="J41" s="57">
        <f t="shared" si="3"/>
        <v>1000</v>
      </c>
      <c r="K41" s="46" t="s">
        <v>183</v>
      </c>
    </row>
    <row r="42" spans="1:11" s="16" customFormat="1" ht="12.75">
      <c r="A42" s="62" t="s">
        <v>172</v>
      </c>
      <c r="B42" s="61"/>
      <c r="C42" s="8">
        <v>14074</v>
      </c>
      <c r="D42" s="8">
        <f t="shared" si="12"/>
        <v>1607.9233628318584</v>
      </c>
      <c r="E42" s="8">
        <v>405</v>
      </c>
      <c r="F42" s="44"/>
      <c r="G42" s="44"/>
      <c r="H42" s="44">
        <f>SUM(F42:G42)</f>
        <v>0</v>
      </c>
      <c r="I42" s="44">
        <f>IF(H42&lt;1000,1000,H42)</f>
        <v>1000</v>
      </c>
      <c r="J42" s="57"/>
      <c r="K42" s="65"/>
    </row>
    <row r="43" spans="1:11" s="16" customFormat="1" ht="12.75">
      <c r="A43" s="60" t="s">
        <v>171</v>
      </c>
      <c r="B43" s="61"/>
      <c r="C43" s="8">
        <v>4962</v>
      </c>
      <c r="D43" s="8">
        <f t="shared" si="12"/>
        <v>566.8975221238939</v>
      </c>
      <c r="E43" s="8">
        <v>323</v>
      </c>
      <c r="F43" s="44">
        <f t="shared" si="10"/>
        <v>466.6924441931102</v>
      </c>
      <c r="G43" s="44">
        <f t="shared" si="11"/>
        <v>553.4093839728699</v>
      </c>
      <c r="H43" s="44">
        <f>SUM(F43:G43)</f>
        <v>1020.1018281659801</v>
      </c>
      <c r="I43" s="44">
        <f>IF(H43&lt;1000,1000,H43)</f>
        <v>1020.1018281659801</v>
      </c>
      <c r="J43" s="57">
        <f t="shared" si="3"/>
        <v>1020</v>
      </c>
      <c r="K43" s="46" t="s">
        <v>183</v>
      </c>
    </row>
    <row r="44" spans="1:11" s="16" customFormat="1" ht="12.75">
      <c r="A44" s="15" t="s">
        <v>98</v>
      </c>
      <c r="B44" s="8"/>
      <c r="C44" s="8">
        <v>740</v>
      </c>
      <c r="D44" s="8">
        <f t="shared" si="12"/>
        <v>84.54336283185842</v>
      </c>
      <c r="E44" s="8">
        <v>136</v>
      </c>
      <c r="F44" s="44">
        <f t="shared" si="10"/>
        <v>69.59943746531671</v>
      </c>
      <c r="G44" s="44">
        <f t="shared" si="11"/>
        <v>233.01447746226106</v>
      </c>
      <c r="H44" s="44">
        <f>SUM(F44:G44)</f>
        <v>302.61391492757775</v>
      </c>
      <c r="I44" s="44">
        <f>IF(H44&lt;1000,1000,H44)</f>
        <v>1000</v>
      </c>
      <c r="J44" s="57">
        <f t="shared" si="3"/>
        <v>1000</v>
      </c>
      <c r="K44" s="46" t="s">
        <v>183</v>
      </c>
    </row>
    <row r="45" spans="1:11" s="19" customFormat="1" ht="12.75">
      <c r="A45" s="15" t="s">
        <v>99</v>
      </c>
      <c r="B45" s="8"/>
      <c r="C45" s="8">
        <v>2375</v>
      </c>
      <c r="D45" s="8">
        <f t="shared" si="12"/>
        <v>271.33849557522126</v>
      </c>
      <c r="E45" s="8">
        <v>270</v>
      </c>
      <c r="F45" s="44">
        <f t="shared" si="10"/>
        <v>223.37657294611785</v>
      </c>
      <c r="G45" s="44">
        <f t="shared" si="11"/>
        <v>462.60227143243003</v>
      </c>
      <c r="H45" s="44">
        <f>SUM(F45:G45)</f>
        <v>685.9788443785478</v>
      </c>
      <c r="I45" s="44">
        <f>IF(H45&lt;1000,1000,H45)</f>
        <v>1000</v>
      </c>
      <c r="J45" s="57">
        <f t="shared" si="3"/>
        <v>1000</v>
      </c>
      <c r="K45" s="46" t="s">
        <v>182</v>
      </c>
    </row>
    <row r="46" spans="1:11" s="20" customFormat="1" ht="12.75">
      <c r="A46" s="17" t="s">
        <v>100</v>
      </c>
      <c r="B46" s="26">
        <v>32684</v>
      </c>
      <c r="C46" s="12"/>
      <c r="D46" s="26">
        <f t="shared" si="12"/>
        <v>0</v>
      </c>
      <c r="E46" s="12"/>
      <c r="F46" s="10">
        <f t="shared" si="10"/>
        <v>0</v>
      </c>
      <c r="G46" s="10">
        <f t="shared" si="11"/>
        <v>0</v>
      </c>
      <c r="H46" s="10">
        <f t="shared" si="2"/>
        <v>0</v>
      </c>
      <c r="I46" s="10"/>
      <c r="J46" s="58">
        <f t="shared" si="3"/>
        <v>0</v>
      </c>
      <c r="K46" s="64"/>
    </row>
    <row r="47" spans="1:11" s="19" customFormat="1" ht="12.75">
      <c r="A47" s="30" t="s">
        <v>173</v>
      </c>
      <c r="B47" s="8"/>
      <c r="C47" s="8">
        <v>176635</v>
      </c>
      <c r="D47" s="8">
        <f>B46</f>
        <v>32684</v>
      </c>
      <c r="E47" s="8">
        <v>3055</v>
      </c>
      <c r="F47" s="44">
        <f t="shared" si="10"/>
        <v>26906.76048267156</v>
      </c>
      <c r="G47" s="44">
        <f t="shared" si="11"/>
        <v>5234.259034170644</v>
      </c>
      <c r="H47" s="44">
        <f t="shared" si="2"/>
        <v>32141.019516842207</v>
      </c>
      <c r="I47" s="44">
        <f>IF(H47&lt;1000,1000,H47)</f>
        <v>32141.019516842207</v>
      </c>
      <c r="J47" s="57">
        <f t="shared" si="3"/>
        <v>32141</v>
      </c>
      <c r="K47" s="46" t="s">
        <v>182</v>
      </c>
    </row>
    <row r="48" spans="1:11" s="14" customFormat="1" ht="12.75">
      <c r="A48" s="17" t="s">
        <v>101</v>
      </c>
      <c r="B48" s="26">
        <v>17148</v>
      </c>
      <c r="C48" s="12"/>
      <c r="D48" s="26">
        <f>$B$40/22600*C48</f>
        <v>0</v>
      </c>
      <c r="E48" s="12"/>
      <c r="F48" s="10">
        <f t="shared" si="10"/>
        <v>0</v>
      </c>
      <c r="G48" s="10">
        <f t="shared" si="11"/>
        <v>0</v>
      </c>
      <c r="H48" s="10">
        <f t="shared" si="2"/>
        <v>0</v>
      </c>
      <c r="I48" s="10"/>
      <c r="J48" s="58">
        <f t="shared" si="3"/>
        <v>0</v>
      </c>
      <c r="K48" s="64"/>
    </row>
    <row r="49" spans="1:11" s="21" customFormat="1" ht="12.75">
      <c r="A49" s="30" t="s">
        <v>177</v>
      </c>
      <c r="B49" s="8"/>
      <c r="C49" s="8">
        <v>4155</v>
      </c>
      <c r="D49" s="8">
        <f>$B$48/110395*C49</f>
        <v>645.4091217899362</v>
      </c>
      <c r="E49" s="8">
        <v>2.31</v>
      </c>
      <c r="F49" s="44">
        <f t="shared" si="10"/>
        <v>531.3262958430183</v>
      </c>
      <c r="G49" s="44">
        <f t="shared" si="11"/>
        <v>3.957819433366346</v>
      </c>
      <c r="H49" s="44">
        <f t="shared" si="2"/>
        <v>535.2841152763847</v>
      </c>
      <c r="I49" s="44">
        <f>IF(H49&lt;1000,1000,H49)</f>
        <v>1000</v>
      </c>
      <c r="J49" s="57">
        <f t="shared" si="3"/>
        <v>1000</v>
      </c>
      <c r="K49" s="46" t="s">
        <v>183</v>
      </c>
    </row>
    <row r="50" spans="1:11" s="19" customFormat="1" ht="12.75">
      <c r="A50" s="60" t="s">
        <v>180</v>
      </c>
      <c r="B50" s="8"/>
      <c r="C50" s="8">
        <v>8025</v>
      </c>
      <c r="D50" s="8">
        <f>$B$48/110395*C50</f>
        <v>1246.5483038181078</v>
      </c>
      <c r="E50" s="8">
        <v>6.35</v>
      </c>
      <c r="F50" s="44">
        <f t="shared" si="10"/>
        <v>1026.2078277112448</v>
      </c>
      <c r="G50" s="44">
        <f t="shared" si="11"/>
        <v>10.879720087392334</v>
      </c>
      <c r="H50" s="44">
        <f t="shared" si="2"/>
        <v>1037.0875477986372</v>
      </c>
      <c r="I50" s="44">
        <f>IF(H50&lt;1000,1000,H50)</f>
        <v>1037.0875477986372</v>
      </c>
      <c r="J50" s="57">
        <f t="shared" si="3"/>
        <v>1037</v>
      </c>
      <c r="K50" s="46" t="s">
        <v>183</v>
      </c>
    </row>
    <row r="51" spans="1:11" s="14" customFormat="1" ht="12.75">
      <c r="A51" s="17" t="s">
        <v>88</v>
      </c>
      <c r="B51" s="26">
        <v>286</v>
      </c>
      <c r="C51" s="12"/>
      <c r="D51" s="12"/>
      <c r="E51" s="12"/>
      <c r="F51" s="10">
        <f t="shared" si="10"/>
        <v>0</v>
      </c>
      <c r="G51" s="10">
        <f t="shared" si="11"/>
        <v>0</v>
      </c>
      <c r="H51" s="10">
        <f t="shared" si="2"/>
        <v>0</v>
      </c>
      <c r="I51" s="10"/>
      <c r="J51" s="58">
        <f t="shared" si="3"/>
        <v>0</v>
      </c>
      <c r="K51" s="64"/>
    </row>
    <row r="52" spans="1:62" s="16" customFormat="1" ht="12.75">
      <c r="A52" s="15" t="s">
        <v>89</v>
      </c>
      <c r="B52" s="8"/>
      <c r="C52" s="8">
        <v>605</v>
      </c>
      <c r="D52" s="8">
        <f>$B$51/SUM($C$52:$C$53)*C52</f>
        <v>87.38888888888889</v>
      </c>
      <c r="E52" s="8">
        <v>1</v>
      </c>
      <c r="F52" s="44">
        <f t="shared" si="10"/>
        <v>71.94198697161093</v>
      </c>
      <c r="G52" s="44">
        <f t="shared" si="11"/>
        <v>1.7133417460460372</v>
      </c>
      <c r="H52" s="44">
        <f>SUM(F52:G52)</f>
        <v>73.65532871765697</v>
      </c>
      <c r="I52" s="44">
        <f>IF(H52&lt;1000,1000,H52)</f>
        <v>1000</v>
      </c>
      <c r="J52" s="57">
        <f t="shared" si="3"/>
        <v>1000</v>
      </c>
      <c r="K52" s="46" t="s">
        <v>183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3" customFormat="1" ht="12.75">
      <c r="A53" s="30" t="s">
        <v>150</v>
      </c>
      <c r="B53" s="8"/>
      <c r="C53" s="8">
        <v>1375</v>
      </c>
      <c r="D53" s="8">
        <f>$B$51/SUM($C$52:$C$53)*C53</f>
        <v>198.6111111111111</v>
      </c>
      <c r="E53" s="8">
        <v>1222</v>
      </c>
      <c r="F53" s="44">
        <f t="shared" si="10"/>
        <v>163.50451584457028</v>
      </c>
      <c r="G53" s="44">
        <f t="shared" si="11"/>
        <v>2093.7036136682577</v>
      </c>
      <c r="H53" s="44">
        <f>SUM(F53:G53)</f>
        <v>2257.2081295128282</v>
      </c>
      <c r="I53" s="44">
        <f>IF(H53&lt;1000,1000,H53)</f>
        <v>2257.2081295128282</v>
      </c>
      <c r="J53" s="57">
        <f t="shared" si="3"/>
        <v>2257</v>
      </c>
      <c r="K53" s="46" t="s">
        <v>183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11" s="14" customFormat="1" ht="12.75">
      <c r="A54" s="11" t="s">
        <v>90</v>
      </c>
      <c r="B54" s="26">
        <v>973</v>
      </c>
      <c r="C54" s="12"/>
      <c r="D54" s="12"/>
      <c r="E54" s="12"/>
      <c r="F54" s="10">
        <f t="shared" si="10"/>
        <v>0</v>
      </c>
      <c r="G54" s="10">
        <f t="shared" si="11"/>
        <v>0</v>
      </c>
      <c r="H54" s="10">
        <f t="shared" si="2"/>
        <v>0</v>
      </c>
      <c r="I54" s="10"/>
      <c r="J54" s="58">
        <f t="shared" si="3"/>
        <v>0</v>
      </c>
      <c r="K54" s="64"/>
    </row>
    <row r="55" spans="1:11" s="16" customFormat="1" ht="12.75">
      <c r="A55" s="30" t="s">
        <v>151</v>
      </c>
      <c r="B55" s="8"/>
      <c r="C55" s="8">
        <v>7410</v>
      </c>
      <c r="D55" s="8">
        <f>B54</f>
        <v>973</v>
      </c>
      <c r="E55" s="8">
        <v>4528</v>
      </c>
      <c r="F55" s="44">
        <f t="shared" si="10"/>
        <v>801.0120532872179</v>
      </c>
      <c r="G55" s="44">
        <f t="shared" si="11"/>
        <v>7758.0114260964565</v>
      </c>
      <c r="H55" s="44">
        <f t="shared" si="2"/>
        <v>8559.023479383675</v>
      </c>
      <c r="I55" s="44">
        <f>IF(H55&lt;1000,1000,H55)</f>
        <v>8559.023479383675</v>
      </c>
      <c r="J55" s="57">
        <f t="shared" si="3"/>
        <v>8559</v>
      </c>
      <c r="K55" s="46" t="s">
        <v>183</v>
      </c>
    </row>
    <row r="56" spans="1:11" s="14" customFormat="1" ht="12.75">
      <c r="A56" s="17" t="s">
        <v>49</v>
      </c>
      <c r="B56" s="26">
        <v>1207</v>
      </c>
      <c r="C56" s="12"/>
      <c r="D56" s="12"/>
      <c r="E56" s="12"/>
      <c r="F56" s="10">
        <f t="shared" si="10"/>
        <v>0</v>
      </c>
      <c r="G56" s="10">
        <f t="shared" si="11"/>
        <v>0</v>
      </c>
      <c r="H56" s="10">
        <f t="shared" si="2"/>
        <v>0</v>
      </c>
      <c r="I56" s="10"/>
      <c r="J56" s="58">
        <f t="shared" si="3"/>
        <v>0</v>
      </c>
      <c r="K56" s="64"/>
    </row>
    <row r="57" spans="1:11" s="16" customFormat="1" ht="12.75">
      <c r="A57" s="15" t="s">
        <v>50</v>
      </c>
      <c r="B57" s="8"/>
      <c r="C57" s="8">
        <v>7320</v>
      </c>
      <c r="D57" s="8">
        <f>B56</f>
        <v>1207</v>
      </c>
      <c r="E57" s="8">
        <v>10228</v>
      </c>
      <c r="F57" s="44">
        <f t="shared" si="10"/>
        <v>993.6501010459117</v>
      </c>
      <c r="G57" s="44">
        <f t="shared" si="11"/>
        <v>17524.059378558868</v>
      </c>
      <c r="H57" s="44">
        <f t="shared" si="2"/>
        <v>18517.70947960478</v>
      </c>
      <c r="I57" s="44">
        <f>IF(H57&lt;1000,1000,H57)</f>
        <v>18517.70947960478</v>
      </c>
      <c r="J57" s="57">
        <f t="shared" si="3"/>
        <v>18518</v>
      </c>
      <c r="K57" s="46" t="s">
        <v>183</v>
      </c>
    </row>
    <row r="58" spans="1:11" s="14" customFormat="1" ht="12.75">
      <c r="A58" s="17" t="s">
        <v>51</v>
      </c>
      <c r="B58" s="26">
        <v>4922</v>
      </c>
      <c r="C58" s="12"/>
      <c r="D58" s="12"/>
      <c r="E58" s="12"/>
      <c r="F58" s="10">
        <f t="shared" si="10"/>
        <v>0</v>
      </c>
      <c r="G58" s="10">
        <f t="shared" si="11"/>
        <v>0</v>
      </c>
      <c r="H58" s="10">
        <f t="shared" si="2"/>
        <v>0</v>
      </c>
      <c r="I58" s="10"/>
      <c r="J58" s="58">
        <f t="shared" si="3"/>
        <v>0</v>
      </c>
      <c r="K58" s="64"/>
    </row>
    <row r="59" spans="1:11" s="16" customFormat="1" ht="12.75">
      <c r="A59" s="30" t="s">
        <v>152</v>
      </c>
      <c r="B59" s="8"/>
      <c r="C59" s="8">
        <v>24735</v>
      </c>
      <c r="D59" s="8">
        <f>B58</f>
        <v>4922</v>
      </c>
      <c r="E59" s="8">
        <v>533</v>
      </c>
      <c r="F59" s="44">
        <f t="shared" si="10"/>
        <v>4051.9849190952586</v>
      </c>
      <c r="G59" s="44">
        <f t="shared" si="11"/>
        <v>913.2111506425377</v>
      </c>
      <c r="H59" s="44">
        <f t="shared" si="2"/>
        <v>4965.196069737796</v>
      </c>
      <c r="I59" s="44">
        <f>IF(H59&lt;1000,1000,H59)</f>
        <v>4965.196069737796</v>
      </c>
      <c r="J59" s="57">
        <f t="shared" si="3"/>
        <v>4965</v>
      </c>
      <c r="K59" s="46" t="s">
        <v>182</v>
      </c>
    </row>
    <row r="60" spans="1:11" s="14" customFormat="1" ht="12.75">
      <c r="A60" s="17" t="s">
        <v>54</v>
      </c>
      <c r="B60" s="26">
        <v>36525</v>
      </c>
      <c r="C60" s="12"/>
      <c r="D60" s="12"/>
      <c r="E60" s="12"/>
      <c r="F60" s="10">
        <f t="shared" si="10"/>
        <v>0</v>
      </c>
      <c r="G60" s="10">
        <f t="shared" si="11"/>
        <v>0</v>
      </c>
      <c r="H60" s="10">
        <f t="shared" si="2"/>
        <v>0</v>
      </c>
      <c r="I60" s="10"/>
      <c r="J60" s="58">
        <f t="shared" si="3"/>
        <v>0</v>
      </c>
      <c r="K60" s="64"/>
    </row>
    <row r="61" spans="1:11" s="16" customFormat="1" ht="12.75">
      <c r="A61" s="15" t="s">
        <v>122</v>
      </c>
      <c r="B61" s="8"/>
      <c r="C61" s="8">
        <v>213765</v>
      </c>
      <c r="D61" s="8">
        <f>B60</f>
        <v>36525</v>
      </c>
      <c r="E61" s="8">
        <v>2801</v>
      </c>
      <c r="F61" s="44">
        <f t="shared" si="10"/>
        <v>30068.823480283285</v>
      </c>
      <c r="G61" s="44">
        <f t="shared" si="11"/>
        <v>4799.07023067495</v>
      </c>
      <c r="H61" s="44">
        <f t="shared" si="2"/>
        <v>34867.89371095823</v>
      </c>
      <c r="I61" s="44">
        <f>IF(H61&lt;1000,1000,H61)</f>
        <v>34867.89371095823</v>
      </c>
      <c r="J61" s="57">
        <f t="shared" si="3"/>
        <v>34868</v>
      </c>
      <c r="K61" s="46" t="s">
        <v>183</v>
      </c>
    </row>
    <row r="62" spans="1:11" s="14" customFormat="1" ht="12.75">
      <c r="A62" s="17" t="s">
        <v>117</v>
      </c>
      <c r="B62" s="26">
        <v>4303</v>
      </c>
      <c r="C62" s="12"/>
      <c r="D62" s="12"/>
      <c r="E62" s="12"/>
      <c r="F62" s="10">
        <f t="shared" si="10"/>
        <v>0</v>
      </c>
      <c r="G62" s="10">
        <f t="shared" si="11"/>
        <v>0</v>
      </c>
      <c r="H62" s="10">
        <f t="shared" si="2"/>
        <v>0</v>
      </c>
      <c r="I62" s="10"/>
      <c r="J62" s="58">
        <f t="shared" si="3"/>
        <v>0</v>
      </c>
      <c r="K62" s="64"/>
    </row>
    <row r="63" spans="1:11" s="19" customFormat="1" ht="12.75">
      <c r="A63" s="15" t="s">
        <v>87</v>
      </c>
      <c r="B63" s="8"/>
      <c r="C63" s="8">
        <v>18991</v>
      </c>
      <c r="D63" s="8">
        <v>3584</v>
      </c>
      <c r="E63" s="8">
        <v>2496</v>
      </c>
      <c r="F63" s="44">
        <f t="shared" si="10"/>
        <v>2950.4904408852917</v>
      </c>
      <c r="G63" s="44">
        <f t="shared" si="11"/>
        <v>4276.500998130909</v>
      </c>
      <c r="H63" s="44">
        <f t="shared" si="2"/>
        <v>7226.9914390162</v>
      </c>
      <c r="I63" s="44">
        <f>IF(H63&lt;1000,1000,H63)</f>
        <v>7226.9914390162</v>
      </c>
      <c r="J63" s="57">
        <f t="shared" si="3"/>
        <v>7227</v>
      </c>
      <c r="K63" s="46" t="s">
        <v>183</v>
      </c>
    </row>
    <row r="64" spans="1:11" s="14" customFormat="1" ht="12.75">
      <c r="A64" s="17" t="s">
        <v>118</v>
      </c>
      <c r="B64" s="26">
        <v>13183</v>
      </c>
      <c r="C64" s="12"/>
      <c r="D64" s="12"/>
      <c r="E64" s="12"/>
      <c r="F64" s="10">
        <f t="shared" si="10"/>
        <v>0</v>
      </c>
      <c r="G64" s="10">
        <f t="shared" si="11"/>
        <v>0</v>
      </c>
      <c r="H64" s="10">
        <f t="shared" si="2"/>
        <v>0</v>
      </c>
      <c r="I64" s="10"/>
      <c r="J64" s="58">
        <f t="shared" si="3"/>
        <v>0</v>
      </c>
      <c r="K64" s="64"/>
    </row>
    <row r="65" spans="1:11" s="16" customFormat="1" ht="12.75">
      <c r="A65" s="30" t="s">
        <v>153</v>
      </c>
      <c r="B65" s="8"/>
      <c r="C65" s="8">
        <v>39249</v>
      </c>
      <c r="D65" s="8">
        <f>B64</f>
        <v>13183</v>
      </c>
      <c r="E65" s="8">
        <v>135.35</v>
      </c>
      <c r="F65" s="44">
        <f t="shared" si="10"/>
        <v>10852.766596593416</v>
      </c>
      <c r="G65" s="44">
        <f t="shared" si="11"/>
        <v>231.9008053273311</v>
      </c>
      <c r="H65" s="44">
        <f t="shared" si="2"/>
        <v>11084.667401920748</v>
      </c>
      <c r="I65" s="44">
        <f>IF(H65&lt;1000,1000,H65)</f>
        <v>11084.667401920748</v>
      </c>
      <c r="J65" s="57">
        <f t="shared" si="3"/>
        <v>11085</v>
      </c>
      <c r="K65" s="46" t="s">
        <v>183</v>
      </c>
    </row>
    <row r="66" spans="1:11" s="14" customFormat="1" ht="12.75">
      <c r="A66" s="17" t="s">
        <v>55</v>
      </c>
      <c r="B66" s="26">
        <v>11452</v>
      </c>
      <c r="C66" s="12"/>
      <c r="D66" s="12"/>
      <c r="E66" s="12"/>
      <c r="F66" s="10">
        <f t="shared" si="10"/>
        <v>0</v>
      </c>
      <c r="G66" s="10">
        <f t="shared" si="11"/>
        <v>0</v>
      </c>
      <c r="H66" s="10">
        <f t="shared" si="2"/>
        <v>0</v>
      </c>
      <c r="I66" s="10"/>
      <c r="J66" s="58">
        <f t="shared" si="3"/>
        <v>0</v>
      </c>
      <c r="K66" s="64"/>
    </row>
    <row r="67" spans="1:11" s="16" customFormat="1" ht="12.75">
      <c r="A67" s="30" t="s">
        <v>159</v>
      </c>
      <c r="B67" s="8"/>
      <c r="C67" s="8">
        <v>67410</v>
      </c>
      <c r="D67" s="8">
        <f>B66</f>
        <v>11452</v>
      </c>
      <c r="E67" s="8">
        <v>6135</v>
      </c>
      <c r="F67" s="44">
        <f t="shared" si="10"/>
        <v>9427.738986891285</v>
      </c>
      <c r="G67" s="44">
        <f t="shared" si="11"/>
        <v>10511.351611992437</v>
      </c>
      <c r="H67" s="44">
        <f t="shared" si="2"/>
        <v>19939.090598883722</v>
      </c>
      <c r="I67" s="44">
        <f>IF(H67&lt;1000,1000,H67)</f>
        <v>19939.090598883722</v>
      </c>
      <c r="J67" s="57">
        <f t="shared" si="3"/>
        <v>19939</v>
      </c>
      <c r="K67" s="46" t="s">
        <v>183</v>
      </c>
    </row>
    <row r="68" spans="1:11" s="14" customFormat="1" ht="12.75">
      <c r="A68" s="17" t="s">
        <v>91</v>
      </c>
      <c r="B68" s="26">
        <v>1072</v>
      </c>
      <c r="C68" s="12"/>
      <c r="D68" s="12"/>
      <c r="E68" s="12"/>
      <c r="F68" s="10">
        <f t="shared" si="10"/>
        <v>0</v>
      </c>
      <c r="G68" s="10">
        <f t="shared" si="11"/>
        <v>0</v>
      </c>
      <c r="H68" s="10">
        <f t="shared" si="2"/>
        <v>0</v>
      </c>
      <c r="I68" s="10"/>
      <c r="J68" s="58">
        <f t="shared" si="3"/>
        <v>0</v>
      </c>
      <c r="K68" s="64"/>
    </row>
    <row r="69" spans="1:11" s="3" customFormat="1" ht="12.75">
      <c r="A69" s="30" t="s">
        <v>154</v>
      </c>
      <c r="B69" s="8"/>
      <c r="C69" s="8">
        <v>8015</v>
      </c>
      <c r="D69" s="8">
        <f>B68</f>
        <v>1072</v>
      </c>
      <c r="E69" s="8">
        <v>8359</v>
      </c>
      <c r="F69" s="44">
        <f t="shared" si="10"/>
        <v>882.5127658005115</v>
      </c>
      <c r="G69" s="44">
        <f t="shared" si="11"/>
        <v>14321.823655198825</v>
      </c>
      <c r="H69" s="44">
        <f t="shared" si="2"/>
        <v>15204.336420999336</v>
      </c>
      <c r="I69" s="44">
        <f>IF(H69&lt;1000,1000,H69)</f>
        <v>15204.336420999336</v>
      </c>
      <c r="J69" s="57">
        <f aca="true" t="shared" si="13" ref="J69:J132">ROUND(I69,0)</f>
        <v>15204</v>
      </c>
      <c r="K69" s="46" t="s">
        <v>183</v>
      </c>
    </row>
    <row r="70" spans="1:11" s="14" customFormat="1" ht="12.75">
      <c r="A70" s="11" t="s">
        <v>73</v>
      </c>
      <c r="B70" s="26">
        <v>54125</v>
      </c>
      <c r="C70" s="12"/>
      <c r="D70" s="12"/>
      <c r="E70" s="12"/>
      <c r="F70" s="10">
        <f t="shared" si="10"/>
        <v>0</v>
      </c>
      <c r="G70" s="10">
        <f t="shared" si="11"/>
        <v>0</v>
      </c>
      <c r="H70" s="10">
        <f t="shared" si="2"/>
        <v>0</v>
      </c>
      <c r="I70" s="10"/>
      <c r="J70" s="58">
        <f t="shared" si="13"/>
        <v>0</v>
      </c>
      <c r="K70" s="64"/>
    </row>
    <row r="71" spans="1:11" s="16" customFormat="1" ht="12.75">
      <c r="A71" s="15" t="s">
        <v>74</v>
      </c>
      <c r="B71" s="8"/>
      <c r="C71" s="8">
        <v>9892</v>
      </c>
      <c r="D71" s="8">
        <f aca="true" t="shared" si="14" ref="D71:D79">$B$70/365940*C71</f>
        <v>1463.0936765589988</v>
      </c>
      <c r="E71" s="8">
        <v>3</v>
      </c>
      <c r="F71" s="44">
        <f aca="true" t="shared" si="15" ref="F71:F103">(D71/$D$172)*$F$172</f>
        <v>1204.4765364975008</v>
      </c>
      <c r="G71" s="44">
        <f aca="true" t="shared" si="16" ref="G71:G103">(E71/$E$172)*$G$172</f>
        <v>5.1400252381381115</v>
      </c>
      <c r="H71" s="44">
        <f aca="true" t="shared" si="17" ref="H71:H103">SUM(F71:G71)</f>
        <v>1209.616561735639</v>
      </c>
      <c r="I71" s="44">
        <f aca="true" t="shared" si="18" ref="I71:I79">IF(H71&lt;1000,1000,H71)</f>
        <v>1209.616561735639</v>
      </c>
      <c r="J71" s="57">
        <f t="shared" si="13"/>
        <v>1210</v>
      </c>
      <c r="K71" s="46" t="s">
        <v>183</v>
      </c>
    </row>
    <row r="72" spans="1:11" s="16" customFormat="1" ht="12.75">
      <c r="A72" s="15" t="s">
        <v>75</v>
      </c>
      <c r="B72" s="8"/>
      <c r="C72" s="8">
        <v>165888</v>
      </c>
      <c r="D72" s="8">
        <f t="shared" si="14"/>
        <v>24535.956714215445</v>
      </c>
      <c r="E72" s="8">
        <v>44.61</v>
      </c>
      <c r="F72" s="44">
        <f t="shared" si="15"/>
        <v>20198.969236402892</v>
      </c>
      <c r="G72" s="44">
        <f t="shared" si="16"/>
        <v>76.43217529111372</v>
      </c>
      <c r="H72" s="44">
        <f t="shared" si="17"/>
        <v>20275.401411694005</v>
      </c>
      <c r="I72" s="44">
        <f t="shared" si="18"/>
        <v>20275.401411694005</v>
      </c>
      <c r="J72" s="57">
        <f t="shared" si="13"/>
        <v>20275</v>
      </c>
      <c r="K72" s="46" t="s">
        <v>183</v>
      </c>
    </row>
    <row r="73" spans="1:11" s="16" customFormat="1" ht="12.75">
      <c r="A73" s="30" t="s">
        <v>170</v>
      </c>
      <c r="B73" s="8"/>
      <c r="C73" s="8">
        <v>12820</v>
      </c>
      <c r="D73" s="8">
        <f t="shared" si="14"/>
        <v>1896.1646718041209</v>
      </c>
      <c r="E73" s="8">
        <v>181</v>
      </c>
      <c r="F73" s="44">
        <f t="shared" si="15"/>
        <v>1560.9976948946583</v>
      </c>
      <c r="G73" s="44">
        <f t="shared" si="16"/>
        <v>310.1148560343327</v>
      </c>
      <c r="H73" s="44">
        <f t="shared" si="17"/>
        <v>1871.112550928991</v>
      </c>
      <c r="I73" s="44">
        <f t="shared" si="18"/>
        <v>1871.112550928991</v>
      </c>
      <c r="J73" s="57">
        <f t="shared" si="13"/>
        <v>1871</v>
      </c>
      <c r="K73" s="46" t="s">
        <v>182</v>
      </c>
    </row>
    <row r="74" spans="1:11" s="16" customFormat="1" ht="12.75">
      <c r="A74" s="15" t="s">
        <v>76</v>
      </c>
      <c r="B74" s="8"/>
      <c r="C74" s="8">
        <v>6010</v>
      </c>
      <c r="D74" s="8">
        <f t="shared" si="14"/>
        <v>888.9196316336012</v>
      </c>
      <c r="E74" s="8">
        <v>3.28</v>
      </c>
      <c r="F74" s="44">
        <f t="shared" si="15"/>
        <v>731.7937711635645</v>
      </c>
      <c r="G74" s="44">
        <f t="shared" si="16"/>
        <v>5.619760927031002</v>
      </c>
      <c r="H74" s="44">
        <f t="shared" si="17"/>
        <v>737.4135320905956</v>
      </c>
      <c r="I74" s="44">
        <f t="shared" si="18"/>
        <v>1000</v>
      </c>
      <c r="J74" s="57">
        <f t="shared" si="13"/>
        <v>1000</v>
      </c>
      <c r="K74" s="46" t="s">
        <v>183</v>
      </c>
    </row>
    <row r="75" spans="1:11" s="16" customFormat="1" ht="12.75">
      <c r="A75" s="30" t="s">
        <v>169</v>
      </c>
      <c r="B75" s="8"/>
      <c r="C75" s="8">
        <v>9128</v>
      </c>
      <c r="D75" s="8">
        <f t="shared" si="14"/>
        <v>1350.0929114062415</v>
      </c>
      <c r="E75" s="8">
        <v>58.239</v>
      </c>
      <c r="F75" s="44">
        <f t="shared" si="15"/>
        <v>1111.4498407955102</v>
      </c>
      <c r="G75" s="44">
        <f t="shared" si="16"/>
        <v>99.78330994797516</v>
      </c>
      <c r="H75" s="44">
        <f t="shared" si="17"/>
        <v>1211.2331507434853</v>
      </c>
      <c r="I75" s="44">
        <f t="shared" si="18"/>
        <v>1211.2331507434853</v>
      </c>
      <c r="J75" s="57">
        <f t="shared" si="13"/>
        <v>1211</v>
      </c>
      <c r="K75" s="46" t="s">
        <v>182</v>
      </c>
    </row>
    <row r="76" spans="1:11" s="16" customFormat="1" ht="12.75">
      <c r="A76" s="30" t="s">
        <v>155</v>
      </c>
      <c r="B76" s="8"/>
      <c r="C76" s="8">
        <v>1070</v>
      </c>
      <c r="D76" s="8">
        <f t="shared" si="14"/>
        <v>158.26023391812865</v>
      </c>
      <c r="E76" s="8">
        <v>1</v>
      </c>
      <c r="F76" s="44">
        <f t="shared" si="15"/>
        <v>130.28607905907054</v>
      </c>
      <c r="G76" s="44">
        <f t="shared" si="16"/>
        <v>1.7133417460460372</v>
      </c>
      <c r="H76" s="44">
        <f t="shared" si="17"/>
        <v>131.99942080511659</v>
      </c>
      <c r="I76" s="44">
        <f t="shared" si="18"/>
        <v>1000</v>
      </c>
      <c r="J76" s="57">
        <f t="shared" si="13"/>
        <v>1000</v>
      </c>
      <c r="K76" s="46" t="s">
        <v>183</v>
      </c>
    </row>
    <row r="77" spans="1:11" s="16" customFormat="1" ht="12.75">
      <c r="A77" s="15" t="s">
        <v>77</v>
      </c>
      <c r="B77" s="8"/>
      <c r="C77" s="8">
        <v>3255</v>
      </c>
      <c r="D77" s="8">
        <f t="shared" si="14"/>
        <v>481.43650598458765</v>
      </c>
      <c r="E77" s="8">
        <v>1</v>
      </c>
      <c r="F77" s="44">
        <f t="shared" si="15"/>
        <v>396.33755825913516</v>
      </c>
      <c r="G77" s="44">
        <f t="shared" si="16"/>
        <v>1.7133417460460372</v>
      </c>
      <c r="H77" s="44">
        <f t="shared" si="17"/>
        <v>398.0509000051812</v>
      </c>
      <c r="I77" s="44">
        <f t="shared" si="18"/>
        <v>1000</v>
      </c>
      <c r="J77" s="57">
        <f t="shared" si="13"/>
        <v>1000</v>
      </c>
      <c r="K77" s="46" t="s">
        <v>183</v>
      </c>
    </row>
    <row r="78" spans="1:11" s="16" customFormat="1" ht="12.75">
      <c r="A78" s="30" t="s">
        <v>168</v>
      </c>
      <c r="B78" s="8"/>
      <c r="C78" s="8">
        <v>17776</v>
      </c>
      <c r="D78" s="8">
        <f t="shared" si="14"/>
        <v>2629.190577690332</v>
      </c>
      <c r="E78" s="8">
        <v>97</v>
      </c>
      <c r="F78" s="44">
        <f t="shared" si="15"/>
        <v>2164.453590050503</v>
      </c>
      <c r="G78" s="44">
        <f t="shared" si="16"/>
        <v>166.1941493664656</v>
      </c>
      <c r="H78" s="44">
        <f t="shared" si="17"/>
        <v>2330.6477394169688</v>
      </c>
      <c r="I78" s="44">
        <f t="shared" si="18"/>
        <v>2330.6477394169688</v>
      </c>
      <c r="J78" s="57">
        <f t="shared" si="13"/>
        <v>2331</v>
      </c>
      <c r="K78" s="46" t="s">
        <v>183</v>
      </c>
    </row>
    <row r="79" spans="1:11" s="16" customFormat="1" ht="12.75">
      <c r="A79" s="15" t="s">
        <v>25</v>
      </c>
      <c r="B79" s="8"/>
      <c r="C79" s="8">
        <v>60420</v>
      </c>
      <c r="D79" s="8">
        <f t="shared" si="14"/>
        <v>8936.526479750779</v>
      </c>
      <c r="E79" s="8">
        <v>16</v>
      </c>
      <c r="F79" s="44">
        <f t="shared" si="15"/>
        <v>7356.901772662656</v>
      </c>
      <c r="G79" s="44">
        <f t="shared" si="16"/>
        <v>27.413467936736595</v>
      </c>
      <c r="H79" s="44">
        <f t="shared" si="17"/>
        <v>7384.315240599392</v>
      </c>
      <c r="I79" s="44">
        <f t="shared" si="18"/>
        <v>7384.315240599392</v>
      </c>
      <c r="J79" s="57">
        <f t="shared" si="13"/>
        <v>7384</v>
      </c>
      <c r="K79" s="46" t="s">
        <v>182</v>
      </c>
    </row>
    <row r="80" spans="1:11" s="14" customFormat="1" ht="12.75">
      <c r="A80" s="17" t="s">
        <v>26</v>
      </c>
      <c r="B80" s="26">
        <v>6512</v>
      </c>
      <c r="C80" s="12"/>
      <c r="D80" s="12"/>
      <c r="E80" s="12"/>
      <c r="F80" s="10">
        <f t="shared" si="15"/>
        <v>0</v>
      </c>
      <c r="G80" s="10">
        <f t="shared" si="16"/>
        <v>0</v>
      </c>
      <c r="H80" s="10">
        <f t="shared" si="17"/>
        <v>0</v>
      </c>
      <c r="I80" s="10"/>
      <c r="J80" s="58">
        <f t="shared" si="13"/>
        <v>0</v>
      </c>
      <c r="K80" s="64"/>
    </row>
    <row r="81" spans="1:11" s="16" customFormat="1" ht="12.75">
      <c r="A81" s="15" t="s">
        <v>27</v>
      </c>
      <c r="B81" s="8"/>
      <c r="C81" s="8">
        <v>8485</v>
      </c>
      <c r="D81" s="8">
        <f aca="true" t="shared" si="19" ref="D81:D86">$B$80/47735*C81</f>
        <v>1157.5221535560909</v>
      </c>
      <c r="E81" s="8">
        <v>5</v>
      </c>
      <c r="F81" s="44">
        <f t="shared" si="15"/>
        <v>952.9179824721548</v>
      </c>
      <c r="G81" s="44">
        <f t="shared" si="16"/>
        <v>8.566708730230186</v>
      </c>
      <c r="H81" s="44">
        <f t="shared" si="17"/>
        <v>961.484691202385</v>
      </c>
      <c r="I81" s="44">
        <f aca="true" t="shared" si="20" ref="I81:I86">IF(H81&lt;1000,1000,H81)</f>
        <v>1000</v>
      </c>
      <c r="J81" s="57">
        <f t="shared" si="13"/>
        <v>1000</v>
      </c>
      <c r="K81" s="46" t="s">
        <v>183</v>
      </c>
    </row>
    <row r="82" spans="1:11" s="16" customFormat="1" ht="12" customHeight="1">
      <c r="A82" s="15" t="s">
        <v>120</v>
      </c>
      <c r="B82" s="8"/>
      <c r="C82" s="8">
        <v>22750</v>
      </c>
      <c r="D82" s="8">
        <f t="shared" si="19"/>
        <v>3103.5508536713105</v>
      </c>
      <c r="E82" s="8">
        <v>973</v>
      </c>
      <c r="F82" s="44">
        <f t="shared" si="15"/>
        <v>2554.965716115678</v>
      </c>
      <c r="G82" s="44">
        <f t="shared" si="16"/>
        <v>1667.0815189027942</v>
      </c>
      <c r="H82" s="44">
        <f t="shared" si="17"/>
        <v>4222.047235018472</v>
      </c>
      <c r="I82" s="44">
        <f t="shared" si="20"/>
        <v>4222.047235018472</v>
      </c>
      <c r="J82" s="57">
        <f t="shared" si="13"/>
        <v>4222</v>
      </c>
      <c r="K82" s="46" t="s">
        <v>182</v>
      </c>
    </row>
    <row r="83" spans="1:11" s="16" customFormat="1" ht="12.75">
      <c r="A83" s="15" t="s">
        <v>28</v>
      </c>
      <c r="B83" s="8"/>
      <c r="C83" s="8">
        <v>10190</v>
      </c>
      <c r="D83" s="8">
        <f t="shared" si="19"/>
        <v>1390.1179428092594</v>
      </c>
      <c r="E83" s="8">
        <v>8</v>
      </c>
      <c r="F83" s="44">
        <f t="shared" si="15"/>
        <v>1144.4000284491758</v>
      </c>
      <c r="G83" s="44">
        <f t="shared" si="16"/>
        <v>13.706733968368297</v>
      </c>
      <c r="H83" s="44">
        <f t="shared" si="17"/>
        <v>1158.1067624175441</v>
      </c>
      <c r="I83" s="44">
        <f t="shared" si="20"/>
        <v>1158.1067624175441</v>
      </c>
      <c r="J83" s="57">
        <f t="shared" si="13"/>
        <v>1158</v>
      </c>
      <c r="K83" s="46" t="s">
        <v>183</v>
      </c>
    </row>
    <row r="84" spans="1:11" s="16" customFormat="1" ht="12.75">
      <c r="A84" s="15" t="s">
        <v>15</v>
      </c>
      <c r="B84" s="8"/>
      <c r="C84" s="8">
        <v>3490</v>
      </c>
      <c r="D84" s="8">
        <f t="shared" si="19"/>
        <v>476.10516392584054</v>
      </c>
      <c r="E84" s="8">
        <v>2</v>
      </c>
      <c r="F84" s="44">
        <f t="shared" si="15"/>
        <v>391.94858677994347</v>
      </c>
      <c r="G84" s="44">
        <f t="shared" si="16"/>
        <v>3.4266834920920743</v>
      </c>
      <c r="H84" s="44">
        <f t="shared" si="17"/>
        <v>395.37527027203555</v>
      </c>
      <c r="I84" s="44">
        <f t="shared" si="20"/>
        <v>1000</v>
      </c>
      <c r="J84" s="57">
        <f t="shared" si="13"/>
        <v>1000</v>
      </c>
      <c r="K84" s="46" t="s">
        <v>183</v>
      </c>
    </row>
    <row r="85" spans="1:11" s="3" customFormat="1" ht="12.75">
      <c r="A85" s="15" t="s">
        <v>16</v>
      </c>
      <c r="B85" s="8"/>
      <c r="C85" s="8">
        <v>2080</v>
      </c>
      <c r="D85" s="8">
        <f t="shared" si="19"/>
        <v>283.75322090709125</v>
      </c>
      <c r="E85" s="8">
        <v>2</v>
      </c>
      <c r="F85" s="44">
        <f t="shared" si="15"/>
        <v>233.59686547343338</v>
      </c>
      <c r="G85" s="44">
        <f t="shared" si="16"/>
        <v>3.4266834920920743</v>
      </c>
      <c r="H85" s="44">
        <f t="shared" si="17"/>
        <v>237.02354896552546</v>
      </c>
      <c r="I85" s="44">
        <f t="shared" si="20"/>
        <v>1000</v>
      </c>
      <c r="J85" s="57">
        <f t="shared" si="13"/>
        <v>1000</v>
      </c>
      <c r="K85" s="46" t="s">
        <v>182</v>
      </c>
    </row>
    <row r="86" spans="1:11" s="43" customFormat="1" ht="12.75">
      <c r="A86" s="42" t="s">
        <v>17</v>
      </c>
      <c r="B86" s="8"/>
      <c r="C86" s="8">
        <v>740</v>
      </c>
      <c r="D86" s="8">
        <f t="shared" si="19"/>
        <v>100.95066513040746</v>
      </c>
      <c r="E86" s="8">
        <v>1</v>
      </c>
      <c r="F86" s="44">
        <f t="shared" si="15"/>
        <v>83.10657713958688</v>
      </c>
      <c r="G86" s="44">
        <f t="shared" si="16"/>
        <v>1.7133417460460372</v>
      </c>
      <c r="H86" s="44">
        <f t="shared" si="17"/>
        <v>84.81991888563292</v>
      </c>
      <c r="I86" s="44">
        <f t="shared" si="20"/>
        <v>1000</v>
      </c>
      <c r="J86" s="57">
        <f t="shared" si="13"/>
        <v>1000</v>
      </c>
      <c r="K86" s="46" t="s">
        <v>183</v>
      </c>
    </row>
    <row r="87" spans="1:11" s="14" customFormat="1" ht="12.75">
      <c r="A87" s="11" t="s">
        <v>18</v>
      </c>
      <c r="B87" s="26">
        <v>24487</v>
      </c>
      <c r="C87" s="12"/>
      <c r="D87" s="12"/>
      <c r="E87" s="12"/>
      <c r="F87" s="10">
        <f t="shared" si="15"/>
        <v>0</v>
      </c>
      <c r="G87" s="10">
        <f t="shared" si="16"/>
        <v>0</v>
      </c>
      <c r="H87" s="10">
        <f t="shared" si="17"/>
        <v>0</v>
      </c>
      <c r="I87" s="10"/>
      <c r="J87" s="58">
        <f t="shared" si="13"/>
        <v>0</v>
      </c>
      <c r="K87" s="64"/>
    </row>
    <row r="88" spans="1:11" s="16" customFormat="1" ht="12.75">
      <c r="A88" s="15" t="s">
        <v>19</v>
      </c>
      <c r="B88" s="8"/>
      <c r="C88" s="8">
        <v>52540</v>
      </c>
      <c r="D88" s="8">
        <f aca="true" t="shared" si="21" ref="D88:D95">$B$87/129962*C88</f>
        <v>9899.40890414121</v>
      </c>
      <c r="E88" s="8">
        <v>17.7</v>
      </c>
      <c r="F88" s="44">
        <f t="shared" si="15"/>
        <v>8149.584637858086</v>
      </c>
      <c r="G88" s="44">
        <f t="shared" si="16"/>
        <v>30.326148905014858</v>
      </c>
      <c r="H88" s="44">
        <f t="shared" si="17"/>
        <v>8179.910786763101</v>
      </c>
      <c r="I88" s="44">
        <f aca="true" t="shared" si="22" ref="I88:I95">IF(H88&lt;1000,1000,H88)</f>
        <v>8179.910786763101</v>
      </c>
      <c r="J88" s="57">
        <f t="shared" si="13"/>
        <v>8180</v>
      </c>
      <c r="K88" s="46" t="s">
        <v>182</v>
      </c>
    </row>
    <row r="89" spans="1:11" s="19" customFormat="1" ht="12.75">
      <c r="A89" s="15" t="s">
        <v>20</v>
      </c>
      <c r="B89" s="8"/>
      <c r="C89" s="8">
        <v>1700</v>
      </c>
      <c r="D89" s="8">
        <f t="shared" si="21"/>
        <v>320.308243948231</v>
      </c>
      <c r="E89" s="8">
        <v>1</v>
      </c>
      <c r="F89" s="44">
        <f t="shared" si="15"/>
        <v>263.6904051077036</v>
      </c>
      <c r="G89" s="44">
        <f t="shared" si="16"/>
        <v>1.7133417460460372</v>
      </c>
      <c r="H89" s="44">
        <f t="shared" si="17"/>
        <v>265.4037468537496</v>
      </c>
      <c r="I89" s="44">
        <f t="shared" si="22"/>
        <v>1000</v>
      </c>
      <c r="J89" s="57">
        <f t="shared" si="13"/>
        <v>1000</v>
      </c>
      <c r="K89" s="46" t="s">
        <v>183</v>
      </c>
    </row>
    <row r="90" spans="1:11" s="19" customFormat="1" ht="12.75">
      <c r="A90" s="30" t="s">
        <v>166</v>
      </c>
      <c r="B90" s="8"/>
      <c r="C90" s="8">
        <v>915</v>
      </c>
      <c r="D90" s="8">
        <f t="shared" si="21"/>
        <v>172.40120188978315</v>
      </c>
      <c r="E90" s="8">
        <v>0.56</v>
      </c>
      <c r="F90" s="44">
        <f t="shared" si="15"/>
        <v>141.92748274914635</v>
      </c>
      <c r="G90" s="44">
        <f t="shared" si="16"/>
        <v>0.9594713777857808</v>
      </c>
      <c r="H90" s="44">
        <f t="shared" si="17"/>
        <v>142.88695412693212</v>
      </c>
      <c r="I90" s="44">
        <f t="shared" si="22"/>
        <v>1000</v>
      </c>
      <c r="J90" s="57">
        <f t="shared" si="13"/>
        <v>1000</v>
      </c>
      <c r="K90" s="46" t="s">
        <v>183</v>
      </c>
    </row>
    <row r="91" spans="1:11" s="22" customFormat="1" ht="12.75">
      <c r="A91" s="15" t="s">
        <v>21</v>
      </c>
      <c r="B91" s="8"/>
      <c r="C91" s="8">
        <v>3650</v>
      </c>
      <c r="D91" s="8">
        <f t="shared" si="21"/>
        <v>687.7206414182607</v>
      </c>
      <c r="E91" s="8">
        <v>1</v>
      </c>
      <c r="F91" s="44">
        <f t="shared" si="15"/>
        <v>566.15881096654</v>
      </c>
      <c r="G91" s="44">
        <f t="shared" si="16"/>
        <v>1.7133417460460372</v>
      </c>
      <c r="H91" s="44">
        <f t="shared" si="17"/>
        <v>567.8721527125861</v>
      </c>
      <c r="I91" s="44">
        <f t="shared" si="22"/>
        <v>1000</v>
      </c>
      <c r="J91" s="57">
        <f t="shared" si="13"/>
        <v>1000</v>
      </c>
      <c r="K91" s="46" t="s">
        <v>183</v>
      </c>
    </row>
    <row r="92" spans="1:11" s="16" customFormat="1" ht="12.75">
      <c r="A92" s="7" t="s">
        <v>22</v>
      </c>
      <c r="B92" s="8"/>
      <c r="C92" s="8">
        <v>16435</v>
      </c>
      <c r="D92" s="8">
        <f t="shared" si="21"/>
        <v>3096.6270525230448</v>
      </c>
      <c r="E92" s="8">
        <v>5.25</v>
      </c>
      <c r="F92" s="44">
        <f t="shared" si="15"/>
        <v>2549.2657693794754</v>
      </c>
      <c r="G92" s="44">
        <f t="shared" si="16"/>
        <v>8.995044166741696</v>
      </c>
      <c r="H92" s="44">
        <f t="shared" si="17"/>
        <v>2558.260813546217</v>
      </c>
      <c r="I92" s="44">
        <f t="shared" si="22"/>
        <v>2558.260813546217</v>
      </c>
      <c r="J92" s="57">
        <f t="shared" si="13"/>
        <v>2558</v>
      </c>
      <c r="K92" s="46" t="s">
        <v>183</v>
      </c>
    </row>
    <row r="93" spans="1:11" s="16" customFormat="1" ht="12.75">
      <c r="A93" s="15" t="s">
        <v>23</v>
      </c>
      <c r="B93" s="8"/>
      <c r="C93" s="8">
        <v>1165</v>
      </c>
      <c r="D93" s="8">
        <f t="shared" si="21"/>
        <v>219.50535541158183</v>
      </c>
      <c r="E93" s="8">
        <v>1</v>
      </c>
      <c r="F93" s="44">
        <f t="shared" si="15"/>
        <v>180.70548350027923</v>
      </c>
      <c r="G93" s="44">
        <f t="shared" si="16"/>
        <v>1.7133417460460372</v>
      </c>
      <c r="H93" s="44">
        <f t="shared" si="17"/>
        <v>182.41882524632527</v>
      </c>
      <c r="I93" s="44">
        <f t="shared" si="22"/>
        <v>1000</v>
      </c>
      <c r="J93" s="57">
        <f t="shared" si="13"/>
        <v>1000</v>
      </c>
      <c r="K93" s="46" t="s">
        <v>182</v>
      </c>
    </row>
    <row r="94" spans="1:11" s="3" customFormat="1" ht="12.75">
      <c r="A94" s="30" t="s">
        <v>163</v>
      </c>
      <c r="B94" s="8"/>
      <c r="C94" s="8">
        <v>890</v>
      </c>
      <c r="D94" s="8">
        <f t="shared" si="21"/>
        <v>167.6907865376033</v>
      </c>
      <c r="E94" s="8">
        <v>1</v>
      </c>
      <c r="F94" s="44">
        <f t="shared" si="15"/>
        <v>138.04968267403305</v>
      </c>
      <c r="G94" s="44">
        <f t="shared" si="16"/>
        <v>1.7133417460460372</v>
      </c>
      <c r="H94" s="44">
        <f t="shared" si="17"/>
        <v>139.7630244200791</v>
      </c>
      <c r="I94" s="44">
        <f t="shared" si="22"/>
        <v>1000</v>
      </c>
      <c r="J94" s="57">
        <f t="shared" si="13"/>
        <v>1000</v>
      </c>
      <c r="K94" s="46" t="s">
        <v>183</v>
      </c>
    </row>
    <row r="95" spans="1:11" s="19" customFormat="1" ht="12.75">
      <c r="A95" s="7" t="s">
        <v>24</v>
      </c>
      <c r="B95" s="8"/>
      <c r="C95" s="8">
        <v>9090</v>
      </c>
      <c r="D95" s="8">
        <f t="shared" si="21"/>
        <v>1712.7070220525998</v>
      </c>
      <c r="E95" s="8">
        <v>6.5</v>
      </c>
      <c r="F95" s="44">
        <f t="shared" si="15"/>
        <v>1409.9681073111915</v>
      </c>
      <c r="G95" s="44">
        <f t="shared" si="16"/>
        <v>11.136721349299242</v>
      </c>
      <c r="H95" s="44">
        <f t="shared" si="17"/>
        <v>1421.1048286604907</v>
      </c>
      <c r="I95" s="44">
        <f t="shared" si="22"/>
        <v>1421.1048286604907</v>
      </c>
      <c r="J95" s="57">
        <f t="shared" si="13"/>
        <v>1421</v>
      </c>
      <c r="K95" s="46" t="s">
        <v>182</v>
      </c>
    </row>
    <row r="96" spans="1:11" s="14" customFormat="1" ht="12.75">
      <c r="A96" s="17" t="s">
        <v>92</v>
      </c>
      <c r="B96" s="26">
        <v>6460</v>
      </c>
      <c r="C96" s="12"/>
      <c r="D96" s="12"/>
      <c r="E96" s="12"/>
      <c r="F96" s="10">
        <f t="shared" si="15"/>
        <v>0</v>
      </c>
      <c r="G96" s="10">
        <f t="shared" si="16"/>
        <v>0</v>
      </c>
      <c r="H96" s="10">
        <f t="shared" si="17"/>
        <v>0</v>
      </c>
      <c r="I96" s="10"/>
      <c r="J96" s="58">
        <f t="shared" si="13"/>
        <v>0</v>
      </c>
      <c r="K96" s="64"/>
    </row>
    <row r="97" spans="1:62" s="16" customFormat="1" ht="12.75">
      <c r="A97" s="15" t="s">
        <v>93</v>
      </c>
      <c r="B97" s="8"/>
      <c r="C97" s="8">
        <v>3285</v>
      </c>
      <c r="D97" s="8">
        <f>B96/31705*C97</f>
        <v>669.3297587131367</v>
      </c>
      <c r="E97" s="8">
        <v>1</v>
      </c>
      <c r="F97" s="44">
        <f t="shared" si="15"/>
        <v>551.0187095098127</v>
      </c>
      <c r="G97" s="44">
        <f t="shared" si="16"/>
        <v>1.7133417460460372</v>
      </c>
      <c r="H97" s="44">
        <f t="shared" si="17"/>
        <v>552.7320512558587</v>
      </c>
      <c r="I97" s="44">
        <f>IF(H97&lt;1000,1000,H97)</f>
        <v>1000</v>
      </c>
      <c r="J97" s="57">
        <f t="shared" si="13"/>
        <v>1000</v>
      </c>
      <c r="K97" s="46" t="s">
        <v>182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3" customFormat="1" ht="12.75">
      <c r="A98" s="15" t="s">
        <v>124</v>
      </c>
      <c r="B98" s="8"/>
      <c r="C98" s="8">
        <v>26535</v>
      </c>
      <c r="D98" s="8">
        <f>B96/31705*C98</f>
        <v>5406.595174262735</v>
      </c>
      <c r="E98" s="8">
        <v>9926</v>
      </c>
      <c r="F98" s="44">
        <f t="shared" si="15"/>
        <v>4450.922817912597</v>
      </c>
      <c r="G98" s="44">
        <f t="shared" si="16"/>
        <v>17006.630171252964</v>
      </c>
      <c r="H98" s="44">
        <f t="shared" si="17"/>
        <v>21457.55298916556</v>
      </c>
      <c r="I98" s="44">
        <f>IF(H98&lt;1000,1000,H98)</f>
        <v>21457.55298916556</v>
      </c>
      <c r="J98" s="57">
        <f t="shared" si="13"/>
        <v>21458</v>
      </c>
      <c r="K98" s="46" t="s">
        <v>183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11" s="23" customFormat="1" ht="12.75">
      <c r="A99" s="30" t="s">
        <v>174</v>
      </c>
      <c r="B99" s="8"/>
      <c r="C99" s="8">
        <v>1885</v>
      </c>
      <c r="D99" s="8">
        <f>B96/31705*C99</f>
        <v>384.07506702412866</v>
      </c>
      <c r="E99" s="8">
        <v>1</v>
      </c>
      <c r="F99" s="44">
        <f t="shared" si="15"/>
        <v>316.18577395007514</v>
      </c>
      <c r="G99" s="44">
        <f t="shared" si="16"/>
        <v>1.7133417460460372</v>
      </c>
      <c r="H99" s="44">
        <f t="shared" si="17"/>
        <v>317.89911569612116</v>
      </c>
      <c r="I99" s="44">
        <f>IF(H99&lt;1000,1000,H99)</f>
        <v>1000</v>
      </c>
      <c r="J99" s="57">
        <f t="shared" si="13"/>
        <v>1000</v>
      </c>
      <c r="K99" s="46" t="s">
        <v>183</v>
      </c>
    </row>
    <row r="100" spans="1:11" s="36" customFormat="1" ht="12.75">
      <c r="A100" s="33" t="s">
        <v>94</v>
      </c>
      <c r="B100" s="54">
        <v>70991</v>
      </c>
      <c r="C100" s="34"/>
      <c r="D100" s="34"/>
      <c r="E100" s="34"/>
      <c r="F100" s="35">
        <f t="shared" si="15"/>
        <v>0</v>
      </c>
      <c r="G100" s="35">
        <f t="shared" si="16"/>
        <v>0</v>
      </c>
      <c r="H100" s="35">
        <f t="shared" si="17"/>
        <v>0</v>
      </c>
      <c r="I100" s="35"/>
      <c r="J100" s="58">
        <f t="shared" si="13"/>
        <v>0</v>
      </c>
      <c r="K100" s="34"/>
    </row>
    <row r="101" spans="1:11" s="16" customFormat="1" ht="12.75">
      <c r="A101" s="30" t="s">
        <v>157</v>
      </c>
      <c r="B101" s="8"/>
      <c r="C101" s="8">
        <v>182915</v>
      </c>
      <c r="D101" s="8">
        <v>38763</v>
      </c>
      <c r="E101" s="8">
        <v>2446</v>
      </c>
      <c r="F101" s="44">
        <f t="shared" si="15"/>
        <v>31911.233526795917</v>
      </c>
      <c r="G101" s="44">
        <f t="shared" si="16"/>
        <v>4190.833910828607</v>
      </c>
      <c r="H101" s="44">
        <f t="shared" si="17"/>
        <v>36102.06743762452</v>
      </c>
      <c r="I101" s="44">
        <f aca="true" t="shared" si="23" ref="I101:I109">IF(H101&lt;1000,1000,H101)</f>
        <v>36102.06743762452</v>
      </c>
      <c r="J101" s="57">
        <f t="shared" si="13"/>
        <v>36102</v>
      </c>
      <c r="K101" s="46" t="s">
        <v>183</v>
      </c>
    </row>
    <row r="102" spans="1:11" s="16" customFormat="1" ht="12.75">
      <c r="A102" s="15" t="s">
        <v>57</v>
      </c>
      <c r="B102" s="8"/>
      <c r="C102" s="8">
        <v>3195</v>
      </c>
      <c r="D102" s="8">
        <f aca="true" t="shared" si="24" ref="D102:D107">$B$100/359882*C102</f>
        <v>630.2517075041263</v>
      </c>
      <c r="E102" s="8">
        <v>1</v>
      </c>
      <c r="F102" s="44">
        <f t="shared" si="15"/>
        <v>518.8481133768297</v>
      </c>
      <c r="G102" s="44">
        <f t="shared" si="16"/>
        <v>1.7133417460460372</v>
      </c>
      <c r="H102" s="44">
        <f t="shared" si="17"/>
        <v>520.5614551228757</v>
      </c>
      <c r="I102" s="44">
        <f t="shared" si="23"/>
        <v>1000</v>
      </c>
      <c r="J102" s="57">
        <f t="shared" si="13"/>
        <v>1000</v>
      </c>
      <c r="K102" s="46" t="s">
        <v>183</v>
      </c>
    </row>
    <row r="103" spans="1:11" s="16" customFormat="1" ht="12.75">
      <c r="A103" s="15" t="s">
        <v>58</v>
      </c>
      <c r="B103" s="8"/>
      <c r="C103" s="8">
        <v>3375</v>
      </c>
      <c r="D103" s="8">
        <f t="shared" si="24"/>
        <v>665.7588459550631</v>
      </c>
      <c r="E103" s="8">
        <v>1</v>
      </c>
      <c r="F103" s="44">
        <f t="shared" si="15"/>
        <v>548.0789930036934</v>
      </c>
      <c r="G103" s="44">
        <f t="shared" si="16"/>
        <v>1.7133417460460372</v>
      </c>
      <c r="H103" s="44">
        <f t="shared" si="17"/>
        <v>549.7923347497394</v>
      </c>
      <c r="I103" s="44">
        <f t="shared" si="23"/>
        <v>1000</v>
      </c>
      <c r="J103" s="57">
        <f t="shared" si="13"/>
        <v>1000</v>
      </c>
      <c r="K103" s="46" t="s">
        <v>183</v>
      </c>
    </row>
    <row r="104" spans="1:11" s="16" customFormat="1" ht="12.75">
      <c r="A104" s="15" t="s">
        <v>59</v>
      </c>
      <c r="B104" s="8"/>
      <c r="C104" s="8">
        <v>162077</v>
      </c>
      <c r="D104" s="8">
        <f t="shared" si="24"/>
        <v>31971.613770624816</v>
      </c>
      <c r="E104" s="8">
        <v>49.13</v>
      </c>
      <c r="F104" s="44">
        <f aca="true" t="shared" si="25" ref="F104:F136">(D104/$D$172)*$F$172</f>
        <v>26320.29598490655</v>
      </c>
      <c r="G104" s="44">
        <f aca="true" t="shared" si="26" ref="G104:G136">(E104/$E$172)*$G$172</f>
        <v>84.1764799832418</v>
      </c>
      <c r="H104" s="44">
        <f aca="true" t="shared" si="27" ref="H104:H136">SUM(F104:G104)</f>
        <v>26404.47246488979</v>
      </c>
      <c r="I104" s="44">
        <f t="shared" si="23"/>
        <v>26404.47246488979</v>
      </c>
      <c r="J104" s="57">
        <f t="shared" si="13"/>
        <v>26404</v>
      </c>
      <c r="K104" s="46" t="s">
        <v>182</v>
      </c>
    </row>
    <row r="105" spans="1:11" s="16" customFormat="1" ht="12.75">
      <c r="A105" s="30" t="s">
        <v>158</v>
      </c>
      <c r="B105" s="8"/>
      <c r="C105" s="8">
        <v>19784</v>
      </c>
      <c r="D105" s="8">
        <f t="shared" si="24"/>
        <v>3902.6290395185088</v>
      </c>
      <c r="E105" s="8">
        <v>186</v>
      </c>
      <c r="F105" s="44">
        <f t="shared" si="25"/>
        <v>3212.7984585437243</v>
      </c>
      <c r="G105" s="44">
        <f t="shared" si="26"/>
        <v>318.6815647645629</v>
      </c>
      <c r="H105" s="44">
        <f t="shared" si="27"/>
        <v>3531.4800233082874</v>
      </c>
      <c r="I105" s="44">
        <f t="shared" si="23"/>
        <v>3531.4800233082874</v>
      </c>
      <c r="J105" s="57">
        <f t="shared" si="13"/>
        <v>3531</v>
      </c>
      <c r="K105" s="46" t="s">
        <v>183</v>
      </c>
    </row>
    <row r="106" spans="1:11" s="16" customFormat="1" ht="12.75">
      <c r="A106" s="15" t="s">
        <v>96</v>
      </c>
      <c r="B106" s="8"/>
      <c r="C106" s="8">
        <v>7745</v>
      </c>
      <c r="D106" s="8">
        <f t="shared" si="24"/>
        <v>1527.7932627916928</v>
      </c>
      <c r="E106" s="8">
        <v>3</v>
      </c>
      <c r="F106" s="44">
        <f t="shared" si="25"/>
        <v>1257.7397928336607</v>
      </c>
      <c r="G106" s="44">
        <f t="shared" si="26"/>
        <v>5.1400252381381115</v>
      </c>
      <c r="H106" s="44">
        <f t="shared" si="27"/>
        <v>1262.8798180717988</v>
      </c>
      <c r="I106" s="44">
        <f t="shared" si="23"/>
        <v>1262.8798180717988</v>
      </c>
      <c r="J106" s="57">
        <f t="shared" si="13"/>
        <v>1263</v>
      </c>
      <c r="K106" s="46" t="s">
        <v>183</v>
      </c>
    </row>
    <row r="107" spans="1:11" s="3" customFormat="1" ht="12.75">
      <c r="A107" s="15" t="s">
        <v>97</v>
      </c>
      <c r="B107" s="8"/>
      <c r="C107" s="8">
        <v>24795</v>
      </c>
      <c r="D107" s="8">
        <f t="shared" si="24"/>
        <v>4891.10832161653</v>
      </c>
      <c r="E107" s="8">
        <v>7.91</v>
      </c>
      <c r="F107" s="44">
        <f t="shared" si="25"/>
        <v>4026.553668600467</v>
      </c>
      <c r="G107" s="44">
        <f t="shared" si="26"/>
        <v>13.552533211224155</v>
      </c>
      <c r="H107" s="44">
        <f t="shared" si="27"/>
        <v>4040.1062018116913</v>
      </c>
      <c r="I107" s="44">
        <f t="shared" si="23"/>
        <v>4040.1062018116913</v>
      </c>
      <c r="J107" s="57">
        <f t="shared" si="13"/>
        <v>4040</v>
      </c>
      <c r="K107" s="46" t="s">
        <v>182</v>
      </c>
    </row>
    <row r="108" spans="1:11" s="14" customFormat="1" ht="12.75">
      <c r="A108" s="11" t="s">
        <v>0</v>
      </c>
      <c r="B108" s="26">
        <v>2492</v>
      </c>
      <c r="C108" s="12"/>
      <c r="D108" s="12"/>
      <c r="E108" s="12"/>
      <c r="F108" s="27">
        <f t="shared" si="25"/>
        <v>0</v>
      </c>
      <c r="G108" s="27">
        <f t="shared" si="26"/>
        <v>0</v>
      </c>
      <c r="H108" s="27">
        <f t="shared" si="27"/>
        <v>0</v>
      </c>
      <c r="I108" s="27"/>
      <c r="J108" s="58">
        <f t="shared" si="13"/>
        <v>0</v>
      </c>
      <c r="K108" s="64"/>
    </row>
    <row r="109" spans="1:11" s="16" customFormat="1" ht="12.75">
      <c r="A109" s="30" t="s">
        <v>140</v>
      </c>
      <c r="B109" s="8"/>
      <c r="C109" s="8">
        <v>886</v>
      </c>
      <c r="D109" s="8">
        <f>B108/11745*C109</f>
        <v>187.987398893146</v>
      </c>
      <c r="E109" s="8">
        <v>375</v>
      </c>
      <c r="F109" s="44">
        <f t="shared" si="25"/>
        <v>154.75865609406182</v>
      </c>
      <c r="G109" s="44">
        <f t="shared" si="26"/>
        <v>642.5031547672639</v>
      </c>
      <c r="H109" s="44">
        <f t="shared" si="27"/>
        <v>797.2618108613258</v>
      </c>
      <c r="I109" s="44">
        <f t="shared" si="23"/>
        <v>1000</v>
      </c>
      <c r="J109" s="57">
        <f t="shared" si="13"/>
        <v>1000</v>
      </c>
      <c r="K109" s="46" t="s">
        <v>183</v>
      </c>
    </row>
    <row r="110" spans="1:11" s="16" customFormat="1" ht="12.75">
      <c r="A110" s="30" t="s">
        <v>156</v>
      </c>
      <c r="B110" s="8"/>
      <c r="C110" s="8">
        <v>9972</v>
      </c>
      <c r="D110" s="8">
        <f>B108/11745*C110</f>
        <v>2115.8130268199234</v>
      </c>
      <c r="E110" s="8">
        <v>1109</v>
      </c>
      <c r="F110" s="44">
        <f t="shared" si="25"/>
        <v>1741.8209013205244</v>
      </c>
      <c r="G110" s="44">
        <f t="shared" si="26"/>
        <v>1900.0959963650553</v>
      </c>
      <c r="H110" s="44">
        <f t="shared" si="27"/>
        <v>3641.91689768558</v>
      </c>
      <c r="I110" s="44">
        <f>IF(H110&lt;1000,1000,H110)</f>
        <v>3641.91689768558</v>
      </c>
      <c r="J110" s="57">
        <f t="shared" si="13"/>
        <v>3642</v>
      </c>
      <c r="K110" s="46" t="s">
        <v>182</v>
      </c>
    </row>
    <row r="111" spans="1:11" s="14" customFormat="1" ht="12.75">
      <c r="A111" s="17" t="s">
        <v>1</v>
      </c>
      <c r="B111" s="26">
        <v>129616</v>
      </c>
      <c r="C111" s="12"/>
      <c r="D111" s="12"/>
      <c r="E111" s="12"/>
      <c r="F111" s="10">
        <f t="shared" si="25"/>
        <v>0</v>
      </c>
      <c r="G111" s="10">
        <f t="shared" si="26"/>
        <v>0</v>
      </c>
      <c r="H111" s="10">
        <f t="shared" si="27"/>
        <v>0</v>
      </c>
      <c r="I111" s="10"/>
      <c r="J111" s="58">
        <f t="shared" si="13"/>
        <v>0</v>
      </c>
      <c r="K111" s="64"/>
    </row>
    <row r="112" spans="1:11" s="16" customFormat="1" ht="12.75">
      <c r="A112" s="15" t="s">
        <v>2</v>
      </c>
      <c r="B112" s="8"/>
      <c r="C112" s="8">
        <v>788109</v>
      </c>
      <c r="D112" s="8">
        <f>B111</f>
        <v>129616</v>
      </c>
      <c r="E112" s="8">
        <v>464</v>
      </c>
      <c r="F112" s="44">
        <f t="shared" si="25"/>
        <v>106705.0136679096</v>
      </c>
      <c r="G112" s="44">
        <f t="shared" si="26"/>
        <v>794.9905701653612</v>
      </c>
      <c r="H112" s="44">
        <f t="shared" si="27"/>
        <v>107500.00423807497</v>
      </c>
      <c r="I112" s="44">
        <f>IF(H112&lt;1000,1000,H112)</f>
        <v>107500.00423807497</v>
      </c>
      <c r="J112" s="57">
        <f t="shared" si="13"/>
        <v>107500</v>
      </c>
      <c r="K112" s="46" t="s">
        <v>182</v>
      </c>
    </row>
    <row r="113" spans="1:11" s="36" customFormat="1" ht="12.75">
      <c r="A113" s="33" t="s">
        <v>3</v>
      </c>
      <c r="B113" s="54">
        <v>15636</v>
      </c>
      <c r="C113" s="34"/>
      <c r="D113" s="34"/>
      <c r="E113" s="34"/>
      <c r="F113" s="35">
        <f t="shared" si="25"/>
        <v>0</v>
      </c>
      <c r="G113" s="35">
        <f t="shared" si="26"/>
        <v>0</v>
      </c>
      <c r="H113" s="35">
        <f t="shared" si="27"/>
        <v>0</v>
      </c>
      <c r="I113" s="35"/>
      <c r="J113" s="58">
        <f t="shared" si="13"/>
        <v>0</v>
      </c>
      <c r="K113" s="34"/>
    </row>
    <row r="114" spans="1:11" s="16" customFormat="1" ht="12.75">
      <c r="A114" s="15" t="s">
        <v>4</v>
      </c>
      <c r="B114" s="8"/>
      <c r="C114" s="8">
        <v>15345</v>
      </c>
      <c r="D114" s="8">
        <f>$B$113/52929*C114</f>
        <v>4533.137221560959</v>
      </c>
      <c r="E114" s="8">
        <v>5</v>
      </c>
      <c r="F114" s="44">
        <f t="shared" si="25"/>
        <v>3731.857711896462</v>
      </c>
      <c r="G114" s="44">
        <f t="shared" si="26"/>
        <v>8.566708730230186</v>
      </c>
      <c r="H114" s="44">
        <f t="shared" si="27"/>
        <v>3740.4244206266926</v>
      </c>
      <c r="I114" s="44">
        <f>IF(H114&lt;1000,1000,H114)</f>
        <v>3740.4244206266926</v>
      </c>
      <c r="J114" s="57">
        <f t="shared" si="13"/>
        <v>3740</v>
      </c>
      <c r="K114" s="46" t="s">
        <v>182</v>
      </c>
    </row>
    <row r="115" spans="1:11" s="16" customFormat="1" ht="12.75">
      <c r="A115" s="15" t="s">
        <v>29</v>
      </c>
      <c r="B115" s="8"/>
      <c r="C115" s="8">
        <v>9250</v>
      </c>
      <c r="D115" s="8">
        <f>$B$113/52929*C115</f>
        <v>2732.585161253755</v>
      </c>
      <c r="E115" s="8">
        <v>2.99</v>
      </c>
      <c r="F115" s="44">
        <f t="shared" si="25"/>
        <v>2249.5720974286264</v>
      </c>
      <c r="G115" s="44">
        <f t="shared" si="26"/>
        <v>5.122891820677651</v>
      </c>
      <c r="H115" s="44">
        <f t="shared" si="27"/>
        <v>2254.694989249304</v>
      </c>
      <c r="I115" s="44">
        <f>IF(H115&lt;1000,1000,H115)</f>
        <v>2254.694989249304</v>
      </c>
      <c r="J115" s="57">
        <f t="shared" si="13"/>
        <v>2255</v>
      </c>
      <c r="K115" s="46" t="s">
        <v>183</v>
      </c>
    </row>
    <row r="116" spans="1:11" s="16" customFormat="1" ht="12.75">
      <c r="A116" s="15" t="s">
        <v>30</v>
      </c>
      <c r="B116" s="8"/>
      <c r="C116" s="8">
        <v>9745</v>
      </c>
      <c r="D116" s="8">
        <f>$B$113/52929*C116</f>
        <v>2878.815394207334</v>
      </c>
      <c r="E116" s="8">
        <v>2</v>
      </c>
      <c r="F116" s="44">
        <f t="shared" si="25"/>
        <v>2369.954604263996</v>
      </c>
      <c r="G116" s="44">
        <f t="shared" si="26"/>
        <v>3.4266834920920743</v>
      </c>
      <c r="H116" s="44">
        <f t="shared" si="27"/>
        <v>2373.381287756088</v>
      </c>
      <c r="I116" s="44">
        <f>IF(H116&lt;1000,1000,H116)</f>
        <v>2373.381287756088</v>
      </c>
      <c r="J116" s="57">
        <f t="shared" si="13"/>
        <v>2373</v>
      </c>
      <c r="K116" s="46" t="s">
        <v>183</v>
      </c>
    </row>
    <row r="117" spans="1:11" s="16" customFormat="1" ht="12.75">
      <c r="A117" s="15" t="s">
        <v>56</v>
      </c>
      <c r="B117" s="8"/>
      <c r="C117" s="8">
        <v>1319</v>
      </c>
      <c r="D117" s="8">
        <f>$B$113/52929*C117</f>
        <v>389.6518732641841</v>
      </c>
      <c r="E117" s="8">
        <v>1</v>
      </c>
      <c r="F117" s="44">
        <f t="shared" si="25"/>
        <v>320.77682124414684</v>
      </c>
      <c r="G117" s="44">
        <f t="shared" si="26"/>
        <v>1.7133417460460372</v>
      </c>
      <c r="H117" s="44">
        <f t="shared" si="27"/>
        <v>322.49016299019286</v>
      </c>
      <c r="I117" s="44">
        <f>IF(H117&lt;1000,1000,H117)</f>
        <v>1000</v>
      </c>
      <c r="J117" s="57">
        <f t="shared" si="13"/>
        <v>1000</v>
      </c>
      <c r="K117" s="46" t="s">
        <v>183</v>
      </c>
    </row>
    <row r="118" spans="1:11" s="14" customFormat="1" ht="12.75">
      <c r="A118" s="17" t="s">
        <v>52</v>
      </c>
      <c r="B118" s="26">
        <v>283</v>
      </c>
      <c r="C118" s="12"/>
      <c r="D118" s="12"/>
      <c r="E118" s="12"/>
      <c r="F118" s="10">
        <f t="shared" si="25"/>
        <v>0</v>
      </c>
      <c r="G118" s="10">
        <f t="shared" si="26"/>
        <v>0</v>
      </c>
      <c r="H118" s="10">
        <f t="shared" si="27"/>
        <v>0</v>
      </c>
      <c r="I118" s="10"/>
      <c r="J118" s="58">
        <f t="shared" si="13"/>
        <v>0</v>
      </c>
      <c r="K118" s="64"/>
    </row>
    <row r="119" spans="1:11" s="16" customFormat="1" ht="12.75">
      <c r="A119" s="15" t="s">
        <v>135</v>
      </c>
      <c r="B119" s="8"/>
      <c r="C119" s="8">
        <v>1795</v>
      </c>
      <c r="D119" s="8">
        <f>B118</f>
        <v>283</v>
      </c>
      <c r="E119" s="8">
        <v>831</v>
      </c>
      <c r="F119" s="44">
        <f t="shared" si="25"/>
        <v>232.9767842551723</v>
      </c>
      <c r="G119" s="44">
        <f t="shared" si="26"/>
        <v>1423.786990964257</v>
      </c>
      <c r="H119" s="44">
        <f t="shared" si="27"/>
        <v>1656.7637752194294</v>
      </c>
      <c r="I119" s="44">
        <f>IF(H119&lt;1000,1000,H119)</f>
        <v>1656.7637752194294</v>
      </c>
      <c r="J119" s="57">
        <f t="shared" si="13"/>
        <v>1657</v>
      </c>
      <c r="K119" s="46" t="s">
        <v>183</v>
      </c>
    </row>
    <row r="120" spans="1:11" s="14" customFormat="1" ht="12.75">
      <c r="A120" s="17" t="s">
        <v>53</v>
      </c>
      <c r="B120" s="26">
        <v>4248</v>
      </c>
      <c r="C120" s="12"/>
      <c r="D120" s="12"/>
      <c r="E120" s="12"/>
      <c r="F120" s="10">
        <f t="shared" si="25"/>
        <v>0</v>
      </c>
      <c r="G120" s="10">
        <f t="shared" si="26"/>
        <v>0</v>
      </c>
      <c r="H120" s="10">
        <f t="shared" si="27"/>
        <v>0</v>
      </c>
      <c r="I120" s="10"/>
      <c r="J120" s="58">
        <f t="shared" si="13"/>
        <v>0</v>
      </c>
      <c r="K120" s="64"/>
    </row>
    <row r="121" spans="1:11" s="19" customFormat="1" ht="12.75">
      <c r="A121" s="15" t="s">
        <v>45</v>
      </c>
      <c r="B121" s="8"/>
      <c r="C121" s="8">
        <v>25920</v>
      </c>
      <c r="D121" s="8">
        <f>B120</f>
        <v>4248</v>
      </c>
      <c r="E121" s="8">
        <v>1125</v>
      </c>
      <c r="F121" s="44">
        <f t="shared" si="25"/>
        <v>3497.121482388594</v>
      </c>
      <c r="G121" s="44">
        <f t="shared" si="26"/>
        <v>1927.509464301792</v>
      </c>
      <c r="H121" s="44">
        <f t="shared" si="27"/>
        <v>5424.630946690386</v>
      </c>
      <c r="I121" s="44">
        <f>IF(H121&lt;1000,1000,H121)</f>
        <v>5424.630946690386</v>
      </c>
      <c r="J121" s="57">
        <f t="shared" si="13"/>
        <v>5425</v>
      </c>
      <c r="K121" s="46" t="s">
        <v>183</v>
      </c>
    </row>
    <row r="122" spans="1:11" s="14" customFormat="1" ht="12.75">
      <c r="A122" s="17" t="s">
        <v>46</v>
      </c>
      <c r="B122" s="26">
        <v>17197</v>
      </c>
      <c r="C122" s="12"/>
      <c r="D122" s="12"/>
      <c r="E122" s="12"/>
      <c r="F122" s="10">
        <f t="shared" si="25"/>
        <v>0</v>
      </c>
      <c r="G122" s="10">
        <f t="shared" si="26"/>
        <v>0</v>
      </c>
      <c r="H122" s="10">
        <f t="shared" si="27"/>
        <v>0</v>
      </c>
      <c r="I122" s="10"/>
      <c r="J122" s="58">
        <f t="shared" si="13"/>
        <v>0</v>
      </c>
      <c r="K122" s="64"/>
    </row>
    <row r="123" spans="1:62" s="16" customFormat="1" ht="12.75">
      <c r="A123" s="18" t="s">
        <v>79</v>
      </c>
      <c r="B123" s="13"/>
      <c r="C123" s="8">
        <v>370</v>
      </c>
      <c r="D123" s="8">
        <f aca="true" t="shared" si="28" ref="D123:D135">$B$122/SUM($C$123:$C$135)*C123</f>
        <v>79.72747093023256</v>
      </c>
      <c r="E123" s="8">
        <v>1</v>
      </c>
      <c r="F123" s="44">
        <f t="shared" si="25"/>
        <v>65.63480492623079</v>
      </c>
      <c r="G123" s="44">
        <f t="shared" si="26"/>
        <v>1.7133417460460372</v>
      </c>
      <c r="H123" s="44">
        <f t="shared" si="27"/>
        <v>67.34814667227683</v>
      </c>
      <c r="I123" s="44">
        <f aca="true" t="shared" si="29" ref="I123:I135">IF(H123&lt;1000,1000,H123)</f>
        <v>1000</v>
      </c>
      <c r="J123" s="57">
        <f t="shared" si="13"/>
        <v>1000</v>
      </c>
      <c r="K123" s="46" t="s">
        <v>182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s="3" customFormat="1" ht="12.75">
      <c r="A124" s="9" t="s">
        <v>103</v>
      </c>
      <c r="B124" s="13"/>
      <c r="C124" s="8">
        <v>1170</v>
      </c>
      <c r="D124" s="8">
        <f t="shared" si="28"/>
        <v>252.1111918604651</v>
      </c>
      <c r="E124" s="8">
        <v>1</v>
      </c>
      <c r="F124" s="44">
        <f t="shared" si="25"/>
        <v>207.54789665862168</v>
      </c>
      <c r="G124" s="44">
        <f t="shared" si="26"/>
        <v>1.7133417460460372</v>
      </c>
      <c r="H124" s="44">
        <f t="shared" si="27"/>
        <v>209.26123840466772</v>
      </c>
      <c r="I124" s="44">
        <f t="shared" si="29"/>
        <v>1000</v>
      </c>
      <c r="J124" s="57">
        <f t="shared" si="13"/>
        <v>1000</v>
      </c>
      <c r="K124" s="46" t="s">
        <v>183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</row>
    <row r="125" spans="1:62" s="19" customFormat="1" ht="12.75">
      <c r="A125" s="18" t="s">
        <v>104</v>
      </c>
      <c r="B125" s="8"/>
      <c r="C125" s="8">
        <v>705</v>
      </c>
      <c r="D125" s="8">
        <f t="shared" si="28"/>
        <v>151.91315406976744</v>
      </c>
      <c r="E125" s="8">
        <v>1</v>
      </c>
      <c r="F125" s="44">
        <f t="shared" si="25"/>
        <v>125.06091208916948</v>
      </c>
      <c r="G125" s="44">
        <f t="shared" si="26"/>
        <v>1.7133417460460372</v>
      </c>
      <c r="H125" s="44">
        <f t="shared" si="27"/>
        <v>126.77425383521552</v>
      </c>
      <c r="I125" s="44">
        <f t="shared" si="29"/>
        <v>1000</v>
      </c>
      <c r="J125" s="57">
        <f t="shared" si="13"/>
        <v>1000</v>
      </c>
      <c r="K125" s="46" t="s">
        <v>183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</row>
    <row r="126" spans="1:62" s="16" customFormat="1" ht="12.75">
      <c r="A126" s="15" t="s">
        <v>35</v>
      </c>
      <c r="B126" s="8"/>
      <c r="C126" s="8">
        <v>195</v>
      </c>
      <c r="D126" s="8">
        <f t="shared" si="28"/>
        <v>42.018531976744185</v>
      </c>
      <c r="E126" s="8">
        <v>1</v>
      </c>
      <c r="F126" s="44">
        <f t="shared" si="25"/>
        <v>34.59131610977028</v>
      </c>
      <c r="G126" s="44">
        <f t="shared" si="26"/>
        <v>1.7133417460460372</v>
      </c>
      <c r="H126" s="44">
        <f t="shared" si="27"/>
        <v>36.304657855816316</v>
      </c>
      <c r="I126" s="44">
        <f t="shared" si="29"/>
        <v>1000</v>
      </c>
      <c r="J126" s="57">
        <f t="shared" si="13"/>
        <v>1000</v>
      </c>
      <c r="K126" s="46" t="s">
        <v>183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s="3" customFormat="1" ht="12.75">
      <c r="A127" s="7" t="s">
        <v>36</v>
      </c>
      <c r="B127" s="8"/>
      <c r="C127" s="8">
        <v>17730</v>
      </c>
      <c r="D127" s="8">
        <f t="shared" si="28"/>
        <v>3820.454215116279</v>
      </c>
      <c r="E127" s="8">
        <v>7.79</v>
      </c>
      <c r="F127" s="44">
        <f t="shared" si="25"/>
        <v>3145.148895519113</v>
      </c>
      <c r="G127" s="44">
        <f t="shared" si="26"/>
        <v>13.34693220169863</v>
      </c>
      <c r="H127" s="44">
        <f t="shared" si="27"/>
        <v>3158.4958277208116</v>
      </c>
      <c r="I127" s="44">
        <f t="shared" si="29"/>
        <v>3158.4958277208116</v>
      </c>
      <c r="J127" s="57">
        <f t="shared" si="13"/>
        <v>3158</v>
      </c>
      <c r="K127" s="46" t="s">
        <v>183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</row>
    <row r="128" spans="1:11" s="16" customFormat="1" ht="12.75">
      <c r="A128" s="15" t="s">
        <v>37</v>
      </c>
      <c r="B128" s="8"/>
      <c r="C128" s="8">
        <v>7070</v>
      </c>
      <c r="D128" s="8">
        <f t="shared" si="28"/>
        <v>1523.44113372093</v>
      </c>
      <c r="E128" s="8">
        <v>1.9</v>
      </c>
      <c r="F128" s="44">
        <f t="shared" si="25"/>
        <v>1254.1569481850045</v>
      </c>
      <c r="G128" s="44">
        <f t="shared" si="26"/>
        <v>3.2553493174874704</v>
      </c>
      <c r="H128" s="44">
        <f t="shared" si="27"/>
        <v>1257.412297502492</v>
      </c>
      <c r="I128" s="44">
        <f t="shared" si="29"/>
        <v>1257.412297502492</v>
      </c>
      <c r="J128" s="57">
        <f t="shared" si="13"/>
        <v>1257</v>
      </c>
      <c r="K128" s="46" t="s">
        <v>183</v>
      </c>
    </row>
    <row r="129" spans="1:11" s="16" customFormat="1" ht="12.75">
      <c r="A129" s="15" t="s">
        <v>38</v>
      </c>
      <c r="B129" s="8"/>
      <c r="C129" s="8">
        <v>16880</v>
      </c>
      <c r="D129" s="8">
        <f t="shared" si="28"/>
        <v>3637.296511627907</v>
      </c>
      <c r="E129" s="8">
        <v>11.32</v>
      </c>
      <c r="F129" s="44">
        <f t="shared" si="25"/>
        <v>2994.366235553448</v>
      </c>
      <c r="G129" s="44">
        <f t="shared" si="26"/>
        <v>19.39502856524114</v>
      </c>
      <c r="H129" s="44">
        <f t="shared" si="27"/>
        <v>3013.7612641186893</v>
      </c>
      <c r="I129" s="44">
        <f t="shared" si="29"/>
        <v>3013.7612641186893</v>
      </c>
      <c r="J129" s="57">
        <f t="shared" si="13"/>
        <v>3014</v>
      </c>
      <c r="K129" s="46" t="s">
        <v>183</v>
      </c>
    </row>
    <row r="130" spans="1:62" s="16" customFormat="1" ht="12.75">
      <c r="A130" s="15" t="s">
        <v>39</v>
      </c>
      <c r="B130" s="8"/>
      <c r="C130" s="8">
        <v>1505</v>
      </c>
      <c r="D130" s="8">
        <f t="shared" si="28"/>
        <v>324.296875</v>
      </c>
      <c r="E130" s="8">
        <v>1</v>
      </c>
      <c r="F130" s="44">
        <f t="shared" si="25"/>
        <v>266.97400382156036</v>
      </c>
      <c r="G130" s="44">
        <f t="shared" si="26"/>
        <v>1.7133417460460372</v>
      </c>
      <c r="H130" s="44">
        <f t="shared" si="27"/>
        <v>268.68734556760637</v>
      </c>
      <c r="I130" s="44">
        <f t="shared" si="29"/>
        <v>1000</v>
      </c>
      <c r="J130" s="57">
        <f t="shared" si="13"/>
        <v>1000</v>
      </c>
      <c r="K130" s="46" t="s">
        <v>183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3" customFormat="1" ht="12.75">
      <c r="A131" s="7" t="s">
        <v>40</v>
      </c>
      <c r="B131" s="8"/>
      <c r="C131" s="8">
        <v>2130</v>
      </c>
      <c r="D131" s="8">
        <f t="shared" si="28"/>
        <v>458.97165697674416</v>
      </c>
      <c r="E131" s="8">
        <v>1.75</v>
      </c>
      <c r="F131" s="44">
        <f t="shared" si="25"/>
        <v>377.84360673749075</v>
      </c>
      <c r="G131" s="44">
        <f t="shared" si="26"/>
        <v>2.998348055580565</v>
      </c>
      <c r="H131" s="44">
        <f t="shared" si="27"/>
        <v>380.8419547930713</v>
      </c>
      <c r="I131" s="44">
        <f t="shared" si="29"/>
        <v>1000</v>
      </c>
      <c r="J131" s="57">
        <f t="shared" si="13"/>
        <v>1000</v>
      </c>
      <c r="K131" s="46" t="s">
        <v>183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</row>
    <row r="132" spans="1:62" s="16" customFormat="1" ht="12.75">
      <c r="A132" s="15" t="s">
        <v>41</v>
      </c>
      <c r="B132" s="8"/>
      <c r="C132" s="8">
        <v>318</v>
      </c>
      <c r="D132" s="8">
        <f t="shared" si="28"/>
        <v>68.52252906976744</v>
      </c>
      <c r="E132" s="8">
        <v>498</v>
      </c>
      <c r="F132" s="44">
        <f t="shared" si="25"/>
        <v>56.41045396362538</v>
      </c>
      <c r="G132" s="44">
        <f t="shared" si="26"/>
        <v>853.2441895309265</v>
      </c>
      <c r="H132" s="44">
        <f t="shared" si="27"/>
        <v>909.6546434945519</v>
      </c>
      <c r="I132" s="44">
        <f t="shared" si="29"/>
        <v>1000</v>
      </c>
      <c r="J132" s="57">
        <f t="shared" si="13"/>
        <v>1000</v>
      </c>
      <c r="K132" s="46" t="s">
        <v>183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</row>
    <row r="133" spans="1:62" s="22" customFormat="1" ht="12.75">
      <c r="A133" s="15" t="s">
        <v>78</v>
      </c>
      <c r="B133" s="8"/>
      <c r="C133" s="8">
        <v>23675</v>
      </c>
      <c r="D133" s="8">
        <f t="shared" si="28"/>
        <v>5101.48074127907</v>
      </c>
      <c r="E133" s="8">
        <v>2707</v>
      </c>
      <c r="F133" s="44">
        <f t="shared" si="25"/>
        <v>4199.7405584554435</v>
      </c>
      <c r="G133" s="44">
        <f t="shared" si="26"/>
        <v>4638.016106546622</v>
      </c>
      <c r="H133" s="44">
        <f t="shared" si="27"/>
        <v>8837.756665002065</v>
      </c>
      <c r="I133" s="44">
        <f t="shared" si="29"/>
        <v>8837.756665002065</v>
      </c>
      <c r="J133" s="57">
        <f aca="true" t="shared" si="30" ref="J133:J171">ROUND(I133,0)</f>
        <v>8838</v>
      </c>
      <c r="K133" s="46" t="s">
        <v>183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</row>
    <row r="134" spans="1:11" s="19" customFormat="1" ht="12" customHeight="1">
      <c r="A134" s="7" t="s">
        <v>42</v>
      </c>
      <c r="B134" s="8"/>
      <c r="C134" s="8">
        <v>7220</v>
      </c>
      <c r="D134" s="8">
        <f t="shared" si="28"/>
        <v>1555.7630813953488</v>
      </c>
      <c r="E134" s="8">
        <v>4</v>
      </c>
      <c r="F134" s="44">
        <f t="shared" si="25"/>
        <v>1280.7656528848277</v>
      </c>
      <c r="G134" s="44">
        <f t="shared" si="26"/>
        <v>6.853366984184149</v>
      </c>
      <c r="H134" s="44">
        <f t="shared" si="27"/>
        <v>1287.6190198690117</v>
      </c>
      <c r="I134" s="44">
        <f t="shared" si="29"/>
        <v>1287.6190198690117</v>
      </c>
      <c r="J134" s="57">
        <f t="shared" si="30"/>
        <v>1288</v>
      </c>
      <c r="K134" s="46" t="s">
        <v>183</v>
      </c>
    </row>
    <row r="135" spans="1:11" s="16" customFormat="1" ht="12.75">
      <c r="A135" s="15" t="s">
        <v>43</v>
      </c>
      <c r="B135" s="8"/>
      <c r="C135" s="8">
        <v>840</v>
      </c>
      <c r="D135" s="8">
        <f t="shared" si="28"/>
        <v>181.00290697674419</v>
      </c>
      <c r="E135" s="8">
        <v>1</v>
      </c>
      <c r="F135" s="44">
        <f t="shared" si="25"/>
        <v>149.0087463190104</v>
      </c>
      <c r="G135" s="44">
        <f t="shared" si="26"/>
        <v>1.7133417460460372</v>
      </c>
      <c r="H135" s="44">
        <f t="shared" si="27"/>
        <v>150.72208806505645</v>
      </c>
      <c r="I135" s="44">
        <f t="shared" si="29"/>
        <v>1000</v>
      </c>
      <c r="J135" s="57">
        <f t="shared" si="30"/>
        <v>1000</v>
      </c>
      <c r="K135" s="46" t="s">
        <v>183</v>
      </c>
    </row>
    <row r="136" spans="1:11" s="14" customFormat="1" ht="12.75">
      <c r="A136" s="17" t="s">
        <v>44</v>
      </c>
      <c r="B136" s="26">
        <v>5030</v>
      </c>
      <c r="C136" s="12"/>
      <c r="D136" s="12"/>
      <c r="E136" s="12"/>
      <c r="F136" s="10">
        <f t="shared" si="25"/>
        <v>0</v>
      </c>
      <c r="G136" s="10">
        <f t="shared" si="26"/>
        <v>0</v>
      </c>
      <c r="H136" s="10">
        <f t="shared" si="27"/>
        <v>0</v>
      </c>
      <c r="I136" s="10"/>
      <c r="J136" s="58">
        <f t="shared" si="30"/>
        <v>0</v>
      </c>
      <c r="K136" s="64"/>
    </row>
    <row r="137" spans="1:11" s="16" customFormat="1" ht="12.75">
      <c r="A137" s="30" t="s">
        <v>164</v>
      </c>
      <c r="B137" s="8"/>
      <c r="C137" s="8">
        <v>20145</v>
      </c>
      <c r="D137" s="8">
        <f>B136/26745*C137</f>
        <v>3788.7212563095904</v>
      </c>
      <c r="E137" s="8">
        <v>1132</v>
      </c>
      <c r="F137" s="44">
        <f aca="true" t="shared" si="31" ref="F137:F171">(D137/$D$172)*$F$172</f>
        <v>3119.0250697322435</v>
      </c>
      <c r="G137" s="44">
        <f aca="true" t="shared" si="32" ref="G137:G171">(E137/$E$172)*$G$172</f>
        <v>1939.5028565241141</v>
      </c>
      <c r="H137" s="44">
        <f>SUM(F137:G137)</f>
        <v>5058.527926256358</v>
      </c>
      <c r="I137" s="44">
        <f>IF(H137&lt;1000,1000,H137)</f>
        <v>5058.527926256358</v>
      </c>
      <c r="J137" s="57">
        <f t="shared" si="30"/>
        <v>5059</v>
      </c>
      <c r="K137" s="46" t="s">
        <v>183</v>
      </c>
    </row>
    <row r="138" spans="1:11" s="16" customFormat="1" ht="12.75">
      <c r="A138" s="15" t="s">
        <v>60</v>
      </c>
      <c r="B138" s="8"/>
      <c r="C138" s="8">
        <v>2640</v>
      </c>
      <c r="D138" s="8">
        <f>B136/26745*C138</f>
        <v>496.51149747616375</v>
      </c>
      <c r="E138" s="8">
        <v>226</v>
      </c>
      <c r="F138" s="44">
        <f t="shared" si="31"/>
        <v>408.74788702373405</v>
      </c>
      <c r="G138" s="44">
        <f t="shared" si="32"/>
        <v>387.2152346064044</v>
      </c>
      <c r="H138" s="44">
        <f aca="true" t="shared" si="33" ref="H138:H168">SUM(F138:G138)</f>
        <v>795.9631216301384</v>
      </c>
      <c r="I138" s="44">
        <f>IF(H138&lt;1000,1000,H138)</f>
        <v>1000</v>
      </c>
      <c r="J138" s="57">
        <f t="shared" si="30"/>
        <v>1000</v>
      </c>
      <c r="K138" s="46" t="s">
        <v>182</v>
      </c>
    </row>
    <row r="139" spans="1:11" s="16" customFormat="1" ht="12.75">
      <c r="A139" s="15" t="s">
        <v>95</v>
      </c>
      <c r="B139" s="8"/>
      <c r="C139" s="8">
        <v>679</v>
      </c>
      <c r="D139" s="8">
        <f>B136/26745*C139</f>
        <v>127.70125257057394</v>
      </c>
      <c r="E139" s="8">
        <v>226</v>
      </c>
      <c r="F139" s="44">
        <f t="shared" si="31"/>
        <v>105.12871791254373</v>
      </c>
      <c r="G139" s="44">
        <f t="shared" si="32"/>
        <v>387.2152346064044</v>
      </c>
      <c r="H139" s="44">
        <f t="shared" si="33"/>
        <v>492.34395251894813</v>
      </c>
      <c r="I139" s="44">
        <f>IF(H139&lt;1000,1000,H139)</f>
        <v>1000</v>
      </c>
      <c r="J139" s="57">
        <f t="shared" si="30"/>
        <v>1000</v>
      </c>
      <c r="K139" s="46" t="s">
        <v>183</v>
      </c>
    </row>
    <row r="140" spans="1:11" s="19" customFormat="1" ht="12.75">
      <c r="A140" s="15" t="s">
        <v>61</v>
      </c>
      <c r="B140" s="8"/>
      <c r="C140" s="8">
        <v>3281</v>
      </c>
      <c r="D140" s="8">
        <f>B136/26745*C140</f>
        <v>617.0659936436717</v>
      </c>
      <c r="E140" s="8">
        <v>453</v>
      </c>
      <c r="F140" s="44">
        <f t="shared" si="31"/>
        <v>507.99311262305736</v>
      </c>
      <c r="G140" s="44">
        <f t="shared" si="32"/>
        <v>776.1438109588548</v>
      </c>
      <c r="H140" s="44">
        <f t="shared" si="33"/>
        <v>1284.1369235819122</v>
      </c>
      <c r="I140" s="44">
        <f>IF(H140&lt;1000,1000,H140)</f>
        <v>1284.1369235819122</v>
      </c>
      <c r="J140" s="57">
        <f t="shared" si="30"/>
        <v>1284</v>
      </c>
      <c r="K140" s="46" t="s">
        <v>183</v>
      </c>
    </row>
    <row r="141" spans="1:11" s="14" customFormat="1" ht="12.75">
      <c r="A141" s="17" t="s">
        <v>62</v>
      </c>
      <c r="B141" s="26">
        <v>1179</v>
      </c>
      <c r="C141" s="12"/>
      <c r="D141" s="12"/>
      <c r="E141" s="12"/>
      <c r="F141" s="10">
        <f t="shared" si="31"/>
        <v>0</v>
      </c>
      <c r="G141" s="10">
        <f t="shared" si="32"/>
        <v>0</v>
      </c>
      <c r="H141" s="10">
        <f t="shared" si="33"/>
        <v>0</v>
      </c>
      <c r="I141" s="10"/>
      <c r="J141" s="58">
        <f t="shared" si="30"/>
        <v>0</v>
      </c>
      <c r="K141" s="64"/>
    </row>
    <row r="142" spans="1:11" s="16" customFormat="1" ht="12.75">
      <c r="A142" s="15" t="s">
        <v>64</v>
      </c>
      <c r="B142" s="8"/>
      <c r="C142" s="8">
        <v>1985</v>
      </c>
      <c r="D142" s="8">
        <f>$B$141/SUM($C$142:$C$145)*C142</f>
        <v>327.77521008403363</v>
      </c>
      <c r="E142" s="8">
        <v>2</v>
      </c>
      <c r="F142" s="44">
        <f t="shared" si="31"/>
        <v>269.8375067277091</v>
      </c>
      <c r="G142" s="44">
        <f t="shared" si="32"/>
        <v>3.4266834920920743</v>
      </c>
      <c r="H142" s="44">
        <f t="shared" si="33"/>
        <v>273.2641902198012</v>
      </c>
      <c r="I142" s="44">
        <f>IF(H142&lt;1000,1000,H142)</f>
        <v>1000</v>
      </c>
      <c r="J142" s="57">
        <f t="shared" si="30"/>
        <v>1000</v>
      </c>
      <c r="K142" s="46" t="s">
        <v>183</v>
      </c>
    </row>
    <row r="143" spans="1:62" s="16" customFormat="1" ht="12.75">
      <c r="A143" s="15" t="s">
        <v>65</v>
      </c>
      <c r="B143" s="8"/>
      <c r="C143" s="8">
        <v>1100</v>
      </c>
      <c r="D143" s="8">
        <f>$B$141/SUM($C$142:$C$145)*C143</f>
        <v>181.63865546218486</v>
      </c>
      <c r="E143" s="8">
        <v>1</v>
      </c>
      <c r="F143" s="44">
        <f t="shared" si="31"/>
        <v>149.53211959721915</v>
      </c>
      <c r="G143" s="44">
        <f t="shared" si="32"/>
        <v>1.7133417460460372</v>
      </c>
      <c r="H143" s="44">
        <f t="shared" si="33"/>
        <v>151.2454613432652</v>
      </c>
      <c r="I143" s="44">
        <f>IF(H143&lt;1000,1000,H143)</f>
        <v>1000</v>
      </c>
      <c r="J143" s="57">
        <f t="shared" si="30"/>
        <v>1000</v>
      </c>
      <c r="K143" s="46" t="s">
        <v>182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3" customFormat="1" ht="12.75">
      <c r="A144" s="15" t="s">
        <v>63</v>
      </c>
      <c r="B144" s="8"/>
      <c r="C144" s="8">
        <v>3250</v>
      </c>
      <c r="D144" s="8">
        <f>$B$141/SUM($C$142:$C$145)*C144</f>
        <v>536.6596638655462</v>
      </c>
      <c r="E144" s="8">
        <v>3149</v>
      </c>
      <c r="F144" s="44">
        <f t="shared" si="31"/>
        <v>441.7994442645112</v>
      </c>
      <c r="G144" s="44">
        <f t="shared" si="32"/>
        <v>5395.313158298971</v>
      </c>
      <c r="H144" s="44">
        <f t="shared" si="33"/>
        <v>5837.112602563482</v>
      </c>
      <c r="I144" s="44">
        <f>IF(H144&lt;1000,1000,H144)</f>
        <v>5837.112602563482</v>
      </c>
      <c r="J144" s="57">
        <f t="shared" si="30"/>
        <v>5837</v>
      </c>
      <c r="K144" s="46" t="s">
        <v>183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</row>
    <row r="145" spans="1:11" s="21" customFormat="1" ht="12.75">
      <c r="A145" s="7" t="s">
        <v>66</v>
      </c>
      <c r="B145" s="8"/>
      <c r="C145" s="8">
        <v>805</v>
      </c>
      <c r="D145" s="8">
        <f>$B$141/SUM($C$142:$C$145)*C145</f>
        <v>132.9264705882353</v>
      </c>
      <c r="E145" s="8">
        <v>1</v>
      </c>
      <c r="F145" s="44">
        <f t="shared" si="31"/>
        <v>109.43032388705585</v>
      </c>
      <c r="G145" s="44">
        <f t="shared" si="32"/>
        <v>1.7133417460460372</v>
      </c>
      <c r="H145" s="44">
        <f t="shared" si="33"/>
        <v>111.14366563310189</v>
      </c>
      <c r="I145" s="44">
        <f>IF(H145&lt;1000,1000,H145)</f>
        <v>1000</v>
      </c>
      <c r="J145" s="57">
        <f t="shared" si="30"/>
        <v>1000</v>
      </c>
      <c r="K145" s="46" t="s">
        <v>183</v>
      </c>
    </row>
    <row r="146" spans="1:11" s="14" customFormat="1" ht="14.25" customHeight="1">
      <c r="A146" s="17" t="s">
        <v>67</v>
      </c>
      <c r="B146" s="26">
        <v>4846</v>
      </c>
      <c r="C146" s="12"/>
      <c r="D146" s="12"/>
      <c r="E146" s="12"/>
      <c r="F146" s="10">
        <f t="shared" si="31"/>
        <v>0</v>
      </c>
      <c r="G146" s="10">
        <f t="shared" si="32"/>
        <v>0</v>
      </c>
      <c r="H146" s="10">
        <f t="shared" si="33"/>
        <v>0</v>
      </c>
      <c r="I146" s="10"/>
      <c r="J146" s="58">
        <f t="shared" si="30"/>
        <v>0</v>
      </c>
      <c r="K146" s="64"/>
    </row>
    <row r="147" spans="1:11" s="16" customFormat="1" ht="15" customHeight="1">
      <c r="A147" s="15" t="s">
        <v>123</v>
      </c>
      <c r="B147" s="8"/>
      <c r="C147" s="8">
        <v>2030</v>
      </c>
      <c r="D147" s="8">
        <f>$B$146/26700*C147</f>
        <v>368.44119850187263</v>
      </c>
      <c r="E147" s="8">
        <v>499</v>
      </c>
      <c r="F147" s="44">
        <f t="shared" si="31"/>
        <v>303.31535552681237</v>
      </c>
      <c r="G147" s="44">
        <f t="shared" si="32"/>
        <v>854.9575312769725</v>
      </c>
      <c r="H147" s="44">
        <f t="shared" si="33"/>
        <v>1158.2728868037848</v>
      </c>
      <c r="I147" s="44">
        <f>IF(H147&lt;1000,1000,H147)</f>
        <v>1158.2728868037848</v>
      </c>
      <c r="J147" s="57">
        <f t="shared" si="30"/>
        <v>1158</v>
      </c>
      <c r="K147" s="46" t="s">
        <v>182</v>
      </c>
    </row>
    <row r="148" spans="1:11" s="16" customFormat="1" ht="15" customHeight="1">
      <c r="A148" s="42" t="s">
        <v>162</v>
      </c>
      <c r="B148" s="8"/>
      <c r="C148" s="8">
        <v>2638</v>
      </c>
      <c r="D148" s="8">
        <f>$B$146/26700*C148</f>
        <v>478.7920599250936</v>
      </c>
      <c r="E148" s="8">
        <v>940</v>
      </c>
      <c r="F148" s="44">
        <f t="shared" si="31"/>
        <v>394.1605457535621</v>
      </c>
      <c r="G148" s="44">
        <f t="shared" si="32"/>
        <v>1610.541241283275</v>
      </c>
      <c r="H148" s="44">
        <f t="shared" si="33"/>
        <v>2004.701787036837</v>
      </c>
      <c r="I148" s="44">
        <f>IF(H148&lt;1000,1000,H148)</f>
        <v>2004.701787036837</v>
      </c>
      <c r="J148" s="57">
        <f t="shared" si="30"/>
        <v>2005</v>
      </c>
      <c r="K148" s="46" t="s">
        <v>182</v>
      </c>
    </row>
    <row r="149" spans="1:11" s="16" customFormat="1" ht="15" customHeight="1">
      <c r="A149" s="30" t="s">
        <v>136</v>
      </c>
      <c r="B149" s="8"/>
      <c r="C149" s="8">
        <v>14625</v>
      </c>
      <c r="D149" s="8">
        <f>$B$146/26700*C149</f>
        <v>2654.4101123595506</v>
      </c>
      <c r="E149" s="8">
        <v>7</v>
      </c>
      <c r="F149" s="44">
        <f t="shared" si="31"/>
        <v>2185.215307674695</v>
      </c>
      <c r="G149" s="44">
        <f t="shared" si="32"/>
        <v>11.99339222232226</v>
      </c>
      <c r="H149" s="44">
        <f t="shared" si="33"/>
        <v>2197.208699897017</v>
      </c>
      <c r="I149" s="44">
        <f>IF(H149&lt;1000,1000,H149)</f>
        <v>2197.208699897017</v>
      </c>
      <c r="J149" s="57">
        <f t="shared" si="30"/>
        <v>2197</v>
      </c>
      <c r="K149" s="46" t="s">
        <v>183</v>
      </c>
    </row>
    <row r="150" spans="1:11" s="16" customFormat="1" ht="15" customHeight="1">
      <c r="A150" s="15" t="s">
        <v>121</v>
      </c>
      <c r="B150" s="8"/>
      <c r="C150" s="8">
        <v>6222</v>
      </c>
      <c r="D150" s="8">
        <f>$B$146/26700*C150</f>
        <v>1129.2813483146067</v>
      </c>
      <c r="E150" s="8">
        <v>200</v>
      </c>
      <c r="F150" s="44">
        <f t="shared" si="31"/>
        <v>929.6690355112446</v>
      </c>
      <c r="G150" s="44">
        <f t="shared" si="32"/>
        <v>342.66834920920746</v>
      </c>
      <c r="H150" s="44">
        <f t="shared" si="33"/>
        <v>1272.337384720452</v>
      </c>
      <c r="I150" s="44">
        <f>IF(H150&lt;1000,1000,H150)</f>
        <v>1272.337384720452</v>
      </c>
      <c r="J150" s="57">
        <f t="shared" si="30"/>
        <v>1272</v>
      </c>
      <c r="K150" s="46" t="s">
        <v>183</v>
      </c>
    </row>
    <row r="151" spans="1:11" s="36" customFormat="1" ht="12.75">
      <c r="A151" s="33" t="s">
        <v>5</v>
      </c>
      <c r="B151" s="54">
        <v>117859</v>
      </c>
      <c r="C151" s="34"/>
      <c r="D151" s="34"/>
      <c r="E151" s="34"/>
      <c r="F151" s="35">
        <f t="shared" si="31"/>
        <v>0</v>
      </c>
      <c r="G151" s="35">
        <f t="shared" si="32"/>
        <v>0</v>
      </c>
      <c r="H151" s="35">
        <f t="shared" si="33"/>
        <v>0</v>
      </c>
      <c r="I151" s="35"/>
      <c r="J151" s="58">
        <f t="shared" si="30"/>
        <v>0</v>
      </c>
      <c r="K151" s="34"/>
    </row>
    <row r="152" spans="1:11" s="16" customFormat="1" ht="12.75">
      <c r="A152" s="15" t="s">
        <v>6</v>
      </c>
      <c r="B152" s="8"/>
      <c r="C152" s="8">
        <v>1775</v>
      </c>
      <c r="D152" s="8">
        <f aca="true" t="shared" si="34" ref="D152:D161">$B$151/SUM($C$152:$C$161)*C152</f>
        <v>360.0026931403221</v>
      </c>
      <c r="E152" s="8">
        <v>1</v>
      </c>
      <c r="F152" s="44">
        <f t="shared" si="31"/>
        <v>296.3684444206142</v>
      </c>
      <c r="G152" s="44">
        <f t="shared" si="32"/>
        <v>1.7133417460460372</v>
      </c>
      <c r="H152" s="44">
        <f t="shared" si="33"/>
        <v>298.0817861666602</v>
      </c>
      <c r="I152" s="44">
        <f aca="true" t="shared" si="35" ref="I152:I161">IF(H152&lt;1000,1000,H152)</f>
        <v>1000</v>
      </c>
      <c r="J152" s="57">
        <f t="shared" si="30"/>
        <v>1000</v>
      </c>
      <c r="K152" s="46" t="s">
        <v>182</v>
      </c>
    </row>
    <row r="153" spans="1:11" s="16" customFormat="1" ht="12.75">
      <c r="A153" s="15" t="s">
        <v>7</v>
      </c>
      <c r="B153" s="8"/>
      <c r="C153" s="8">
        <v>95385</v>
      </c>
      <c r="D153" s="8">
        <f t="shared" si="34"/>
        <v>19345.83486489556</v>
      </c>
      <c r="E153" s="8">
        <v>19.6</v>
      </c>
      <c r="F153" s="44">
        <f t="shared" si="31"/>
        <v>15926.25581468185</v>
      </c>
      <c r="G153" s="44">
        <f t="shared" si="32"/>
        <v>33.58149822250233</v>
      </c>
      <c r="H153" s="44">
        <f t="shared" si="33"/>
        <v>15959.837312904352</v>
      </c>
      <c r="I153" s="44">
        <f t="shared" si="35"/>
        <v>15959.837312904352</v>
      </c>
      <c r="J153" s="57">
        <f t="shared" si="30"/>
        <v>15960</v>
      </c>
      <c r="K153" s="46" t="s">
        <v>183</v>
      </c>
    </row>
    <row r="154" spans="1:11" s="16" customFormat="1" ht="12.75">
      <c r="A154" s="15" t="s">
        <v>8</v>
      </c>
      <c r="B154" s="8"/>
      <c r="C154" s="8">
        <v>11915</v>
      </c>
      <c r="D154" s="8">
        <f t="shared" si="34"/>
        <v>2416.5814584602467</v>
      </c>
      <c r="E154" s="8">
        <v>2</v>
      </c>
      <c r="F154" s="44">
        <f t="shared" si="31"/>
        <v>1989.4253607164048</v>
      </c>
      <c r="G154" s="44">
        <f t="shared" si="32"/>
        <v>3.4266834920920743</v>
      </c>
      <c r="H154" s="44">
        <f t="shared" si="33"/>
        <v>1992.8520442084969</v>
      </c>
      <c r="I154" s="44">
        <f t="shared" si="35"/>
        <v>1992.8520442084969</v>
      </c>
      <c r="J154" s="57">
        <f t="shared" si="30"/>
        <v>1993</v>
      </c>
      <c r="K154" s="46" t="s">
        <v>182</v>
      </c>
    </row>
    <row r="155" spans="1:11" s="16" customFormat="1" ht="12.75">
      <c r="A155" s="15" t="s">
        <v>9</v>
      </c>
      <c r="B155" s="8"/>
      <c r="C155" s="8">
        <v>23375</v>
      </c>
      <c r="D155" s="8">
        <f t="shared" si="34"/>
        <v>4740.8805364253685</v>
      </c>
      <c r="E155" s="8">
        <v>6</v>
      </c>
      <c r="F155" s="44">
        <f t="shared" si="31"/>
        <v>3902.8802187785113</v>
      </c>
      <c r="G155" s="44">
        <f t="shared" si="32"/>
        <v>10.280050476276223</v>
      </c>
      <c r="H155" s="44">
        <f t="shared" si="33"/>
        <v>3913.1602692547876</v>
      </c>
      <c r="I155" s="44">
        <f t="shared" si="35"/>
        <v>3913.1602692547876</v>
      </c>
      <c r="J155" s="57">
        <f t="shared" si="30"/>
        <v>3913</v>
      </c>
      <c r="K155" s="46" t="s">
        <v>183</v>
      </c>
    </row>
    <row r="156" spans="1:11" s="16" customFormat="1" ht="12.75">
      <c r="A156" s="15" t="s">
        <v>10</v>
      </c>
      <c r="B156" s="8"/>
      <c r="C156" s="8">
        <v>99340</v>
      </c>
      <c r="D156" s="8">
        <f t="shared" si="34"/>
        <v>20147.9817107378</v>
      </c>
      <c r="E156" s="8">
        <v>23.96</v>
      </c>
      <c r="F156" s="44">
        <f t="shared" si="31"/>
        <v>16586.61479929229</v>
      </c>
      <c r="G156" s="44">
        <f t="shared" si="32"/>
        <v>41.05166823526305</v>
      </c>
      <c r="H156" s="44">
        <f t="shared" si="33"/>
        <v>16627.666467527553</v>
      </c>
      <c r="I156" s="44">
        <f t="shared" si="35"/>
        <v>16627.666467527553</v>
      </c>
      <c r="J156" s="57">
        <f t="shared" si="30"/>
        <v>16628</v>
      </c>
      <c r="K156" s="46" t="s">
        <v>182</v>
      </c>
    </row>
    <row r="157" spans="1:11" s="16" customFormat="1" ht="12.75">
      <c r="A157" s="15" t="s">
        <v>119</v>
      </c>
      <c r="B157" s="8"/>
      <c r="C157" s="8">
        <v>2015</v>
      </c>
      <c r="D157" s="8">
        <f t="shared" si="34"/>
        <v>408.67911362126705</v>
      </c>
      <c r="E157" s="8">
        <v>1</v>
      </c>
      <c r="F157" s="44">
        <f t="shared" si="31"/>
        <v>336.44079746903526</v>
      </c>
      <c r="G157" s="44">
        <f t="shared" si="32"/>
        <v>1.7133417460460372</v>
      </c>
      <c r="H157" s="44">
        <f t="shared" si="33"/>
        <v>338.1541392150813</v>
      </c>
      <c r="I157" s="44">
        <f t="shared" si="35"/>
        <v>1000</v>
      </c>
      <c r="J157" s="57">
        <f t="shared" si="30"/>
        <v>1000</v>
      </c>
      <c r="K157" s="46" t="s">
        <v>183</v>
      </c>
    </row>
    <row r="158" spans="1:62" s="16" customFormat="1" ht="12.75">
      <c r="A158" s="15" t="s">
        <v>11</v>
      </c>
      <c r="B158" s="8"/>
      <c r="C158" s="8">
        <v>19145</v>
      </c>
      <c r="D158" s="8">
        <f t="shared" si="34"/>
        <v>3882.9586254487135</v>
      </c>
      <c r="E158" s="8">
        <v>4</v>
      </c>
      <c r="F158" s="44">
        <f t="shared" si="31"/>
        <v>3196.6049963000896</v>
      </c>
      <c r="G158" s="44">
        <f t="shared" si="32"/>
        <v>6.853366984184149</v>
      </c>
      <c r="H158" s="44">
        <f t="shared" si="33"/>
        <v>3203.4583632842737</v>
      </c>
      <c r="I158" s="44">
        <f t="shared" si="35"/>
        <v>3203.4583632842737</v>
      </c>
      <c r="J158" s="57">
        <f t="shared" si="30"/>
        <v>3203</v>
      </c>
      <c r="K158" s="46" t="s">
        <v>182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s="3" customFormat="1" ht="12.75">
      <c r="A159" s="7" t="s">
        <v>12</v>
      </c>
      <c r="B159" s="8"/>
      <c r="C159" s="8">
        <v>49745</v>
      </c>
      <c r="D159" s="8">
        <f t="shared" si="34"/>
        <v>10089.202236769195</v>
      </c>
      <c r="E159" s="8">
        <v>11.82</v>
      </c>
      <c r="F159" s="44">
        <f t="shared" si="31"/>
        <v>8305.830009973777</v>
      </c>
      <c r="G159" s="44">
        <f t="shared" si="32"/>
        <v>20.25169943826416</v>
      </c>
      <c r="H159" s="44">
        <f t="shared" si="33"/>
        <v>8326.081709412041</v>
      </c>
      <c r="I159" s="44">
        <f t="shared" si="35"/>
        <v>8326.081709412041</v>
      </c>
      <c r="J159" s="57">
        <f t="shared" si="30"/>
        <v>8326</v>
      </c>
      <c r="K159" s="46" t="s">
        <v>182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</row>
    <row r="160" spans="1:11" s="16" customFormat="1" ht="12.75">
      <c r="A160" s="15" t="s">
        <v>13</v>
      </c>
      <c r="B160" s="8"/>
      <c r="C160" s="8">
        <v>26840</v>
      </c>
      <c r="D160" s="8">
        <f t="shared" si="34"/>
        <v>5443.646357119011</v>
      </c>
      <c r="E160" s="8">
        <v>8</v>
      </c>
      <c r="F160" s="44">
        <f t="shared" si="31"/>
        <v>4481.424815915089</v>
      </c>
      <c r="G160" s="44">
        <f t="shared" si="32"/>
        <v>13.706733968368297</v>
      </c>
      <c r="H160" s="44">
        <f t="shared" si="33"/>
        <v>4495.131549883457</v>
      </c>
      <c r="I160" s="44">
        <f t="shared" si="35"/>
        <v>4495.131549883457</v>
      </c>
      <c r="J160" s="57">
        <f t="shared" si="30"/>
        <v>4495</v>
      </c>
      <c r="K160" s="46" t="s">
        <v>182</v>
      </c>
    </row>
    <row r="161" spans="1:11" s="16" customFormat="1" ht="12.75">
      <c r="A161" s="30" t="s">
        <v>161</v>
      </c>
      <c r="B161" s="8"/>
      <c r="C161" s="8">
        <v>251571</v>
      </c>
      <c r="D161" s="8">
        <f t="shared" si="34"/>
        <v>51023.23240338251</v>
      </c>
      <c r="E161" s="8">
        <v>649</v>
      </c>
      <c r="F161" s="44">
        <f t="shared" si="31"/>
        <v>42004.34136976807</v>
      </c>
      <c r="G161" s="44">
        <f t="shared" si="32"/>
        <v>1111.958793183878</v>
      </c>
      <c r="H161" s="44">
        <f t="shared" si="33"/>
        <v>43116.30016295195</v>
      </c>
      <c r="I161" s="44">
        <f t="shared" si="35"/>
        <v>43116.30016295195</v>
      </c>
      <c r="J161" s="57">
        <f t="shared" si="30"/>
        <v>43116</v>
      </c>
      <c r="K161" s="46" t="s">
        <v>183</v>
      </c>
    </row>
    <row r="162" spans="1:11" s="28" customFormat="1" ht="12.75">
      <c r="A162" s="25" t="s">
        <v>31</v>
      </c>
      <c r="B162" s="26">
        <v>204</v>
      </c>
      <c r="C162" s="26"/>
      <c r="D162" s="26"/>
      <c r="E162" s="26"/>
      <c r="F162" s="27">
        <f t="shared" si="31"/>
        <v>0</v>
      </c>
      <c r="G162" s="27">
        <f t="shared" si="32"/>
        <v>0</v>
      </c>
      <c r="H162" s="27">
        <f t="shared" si="33"/>
        <v>0</v>
      </c>
      <c r="I162" s="27"/>
      <c r="J162" s="58">
        <f t="shared" si="30"/>
        <v>0</v>
      </c>
      <c r="K162" s="66"/>
    </row>
    <row r="163" spans="1:11" s="43" customFormat="1" ht="12.75">
      <c r="A163" s="42" t="s">
        <v>32</v>
      </c>
      <c r="B163" s="8"/>
      <c r="C163" s="8">
        <v>475</v>
      </c>
      <c r="D163" s="8">
        <f>B162/1465*C163</f>
        <v>66.14334470989762</v>
      </c>
      <c r="E163" s="8">
        <v>1</v>
      </c>
      <c r="F163" s="44">
        <f t="shared" si="31"/>
        <v>54.45181537241453</v>
      </c>
      <c r="G163" s="44">
        <f t="shared" si="32"/>
        <v>1.7133417460460372</v>
      </c>
      <c r="H163" s="44">
        <f t="shared" si="33"/>
        <v>56.16515711846057</v>
      </c>
      <c r="I163" s="44">
        <f>IF(H163&lt;1000,1000,H163)</f>
        <v>1000</v>
      </c>
      <c r="J163" s="57">
        <f t="shared" si="30"/>
        <v>1000</v>
      </c>
      <c r="K163" s="46" t="s">
        <v>183</v>
      </c>
    </row>
    <row r="164" spans="1:11" s="3" customFormat="1" ht="12.75">
      <c r="A164" s="30" t="s">
        <v>160</v>
      </c>
      <c r="B164" s="8"/>
      <c r="C164" s="8">
        <v>416</v>
      </c>
      <c r="D164" s="8">
        <f>B162/1465*C164</f>
        <v>57.927645051194546</v>
      </c>
      <c r="E164" s="8">
        <v>605</v>
      </c>
      <c r="F164" s="44">
        <f t="shared" si="31"/>
        <v>47.688326726156724</v>
      </c>
      <c r="G164" s="44">
        <f t="shared" si="32"/>
        <v>1036.5717563578526</v>
      </c>
      <c r="H164" s="44">
        <f t="shared" si="33"/>
        <v>1084.2600830840092</v>
      </c>
      <c r="I164" s="44">
        <f>IF(H164&lt;1000,1000,H164)</f>
        <v>1084.2600830840092</v>
      </c>
      <c r="J164" s="57">
        <f t="shared" si="30"/>
        <v>1084</v>
      </c>
      <c r="K164" s="46" t="s">
        <v>183</v>
      </c>
    </row>
    <row r="165" spans="1:12" s="36" customFormat="1" ht="12.75">
      <c r="A165" s="33" t="s">
        <v>33</v>
      </c>
      <c r="B165" s="54">
        <v>20603</v>
      </c>
      <c r="C165" s="34"/>
      <c r="D165" s="34"/>
      <c r="E165" s="34"/>
      <c r="F165" s="35">
        <f t="shared" si="31"/>
        <v>0</v>
      </c>
      <c r="G165" s="35">
        <f t="shared" si="32"/>
        <v>0</v>
      </c>
      <c r="H165" s="35">
        <f t="shared" si="33"/>
        <v>0</v>
      </c>
      <c r="I165" s="35"/>
      <c r="J165" s="58">
        <f t="shared" si="30"/>
        <v>0</v>
      </c>
      <c r="K165" s="34"/>
      <c r="L165" s="37"/>
    </row>
    <row r="166" spans="1:12" s="24" customFormat="1" ht="12.75">
      <c r="A166" s="15" t="s">
        <v>34</v>
      </c>
      <c r="B166" s="8"/>
      <c r="C166" s="8">
        <v>1620</v>
      </c>
      <c r="D166" s="8">
        <f aca="true" t="shared" si="36" ref="D166:D171">$B$165/105859*C166</f>
        <v>315.29544016096884</v>
      </c>
      <c r="E166" s="8">
        <v>1</v>
      </c>
      <c r="F166" s="44">
        <f t="shared" si="31"/>
        <v>259.5636669223379</v>
      </c>
      <c r="G166" s="44">
        <f t="shared" si="32"/>
        <v>1.7133417460460372</v>
      </c>
      <c r="H166" s="44">
        <f t="shared" si="33"/>
        <v>261.2770086683839</v>
      </c>
      <c r="I166" s="44">
        <f aca="true" t="shared" si="37" ref="I166:I171">IF(H166&lt;1000,1000,H166)</f>
        <v>1000</v>
      </c>
      <c r="J166" s="57">
        <f t="shared" si="30"/>
        <v>1000</v>
      </c>
      <c r="K166" s="46" t="s">
        <v>183</v>
      </c>
      <c r="L166" s="29"/>
    </row>
    <row r="167" spans="1:12" s="16" customFormat="1" ht="12.75">
      <c r="A167" s="30" t="s">
        <v>139</v>
      </c>
      <c r="B167" s="8"/>
      <c r="C167" s="8">
        <v>2635</v>
      </c>
      <c r="D167" s="8">
        <f t="shared" si="36"/>
        <v>512.8416572988598</v>
      </c>
      <c r="E167" s="8">
        <v>1</v>
      </c>
      <c r="F167" s="44">
        <f t="shared" si="31"/>
        <v>422.19151996318544</v>
      </c>
      <c r="G167" s="44">
        <f t="shared" si="32"/>
        <v>1.7133417460460372</v>
      </c>
      <c r="H167" s="44">
        <f t="shared" si="33"/>
        <v>423.90486170923145</v>
      </c>
      <c r="I167" s="44">
        <f t="shared" si="37"/>
        <v>1000</v>
      </c>
      <c r="J167" s="57">
        <f t="shared" si="30"/>
        <v>1000</v>
      </c>
      <c r="K167" s="46" t="s">
        <v>183</v>
      </c>
      <c r="L167" s="19"/>
    </row>
    <row r="168" spans="1:12" s="16" customFormat="1" ht="12.75">
      <c r="A168" s="15" t="s">
        <v>68</v>
      </c>
      <c r="B168" s="8"/>
      <c r="C168" s="8">
        <v>33405</v>
      </c>
      <c r="D168" s="8">
        <f t="shared" si="36"/>
        <v>6501.508752208126</v>
      </c>
      <c r="E168" s="8">
        <v>5</v>
      </c>
      <c r="F168" s="44">
        <f t="shared" si="31"/>
        <v>5352.2989466300605</v>
      </c>
      <c r="G168" s="44">
        <f t="shared" si="32"/>
        <v>8.566708730230186</v>
      </c>
      <c r="H168" s="44">
        <f t="shared" si="33"/>
        <v>5360.8656553602905</v>
      </c>
      <c r="I168" s="44">
        <f t="shared" si="37"/>
        <v>5360.8656553602905</v>
      </c>
      <c r="J168" s="57">
        <f t="shared" si="30"/>
        <v>5361</v>
      </c>
      <c r="K168" s="46" t="s">
        <v>183</v>
      </c>
      <c r="L168" s="19"/>
    </row>
    <row r="169" spans="1:12" s="16" customFormat="1" ht="12.75">
      <c r="A169" s="15" t="s">
        <v>69</v>
      </c>
      <c r="B169" s="8"/>
      <c r="C169" s="8">
        <v>23465</v>
      </c>
      <c r="D169" s="8">
        <f t="shared" si="36"/>
        <v>4566.918211961194</v>
      </c>
      <c r="E169" s="8">
        <v>5.82</v>
      </c>
      <c r="F169" s="44">
        <f t="shared" si="31"/>
        <v>3759.667558230037</v>
      </c>
      <c r="G169" s="44">
        <f t="shared" si="32"/>
        <v>9.971648961987936</v>
      </c>
      <c r="H169" s="44">
        <f>SUM(F169:G169)</f>
        <v>3769.6392071920245</v>
      </c>
      <c r="I169" s="44">
        <f t="shared" si="37"/>
        <v>3769.6392071920245</v>
      </c>
      <c r="J169" s="57">
        <f t="shared" si="30"/>
        <v>3770</v>
      </c>
      <c r="K169" s="46" t="s">
        <v>183</v>
      </c>
      <c r="L169" s="19"/>
    </row>
    <row r="170" spans="1:12" s="16" customFormat="1" ht="12.75">
      <c r="A170" s="15" t="s">
        <v>70</v>
      </c>
      <c r="B170" s="8"/>
      <c r="C170" s="8">
        <v>6115</v>
      </c>
      <c r="D170" s="8">
        <f t="shared" si="36"/>
        <v>1190.1429732002002</v>
      </c>
      <c r="E170" s="8">
        <v>1</v>
      </c>
      <c r="F170" s="44">
        <f t="shared" si="31"/>
        <v>979.7727303889484</v>
      </c>
      <c r="G170" s="44">
        <f t="shared" si="32"/>
        <v>1.7133417460460372</v>
      </c>
      <c r="H170" s="44">
        <f>SUM(F170:G170)</f>
        <v>981.4860721349944</v>
      </c>
      <c r="I170" s="44">
        <f t="shared" si="37"/>
        <v>1000</v>
      </c>
      <c r="J170" s="57">
        <f t="shared" si="30"/>
        <v>1000</v>
      </c>
      <c r="K170" s="46" t="s">
        <v>183</v>
      </c>
      <c r="L170" s="19"/>
    </row>
    <row r="171" spans="1:12" s="16" customFormat="1" ht="12.75">
      <c r="A171" s="15" t="s">
        <v>71</v>
      </c>
      <c r="B171" s="8"/>
      <c r="C171" s="8">
        <v>1939</v>
      </c>
      <c r="D171" s="8">
        <f t="shared" si="36"/>
        <v>377.38139411859174</v>
      </c>
      <c r="E171" s="8">
        <v>1</v>
      </c>
      <c r="F171" s="44">
        <f t="shared" si="31"/>
        <v>310.67527787803283</v>
      </c>
      <c r="G171" s="44">
        <f t="shared" si="32"/>
        <v>1.7133417460460372</v>
      </c>
      <c r="H171" s="44">
        <f>SUM(F171:G171)</f>
        <v>312.38861962407884</v>
      </c>
      <c r="I171" s="44">
        <f t="shared" si="37"/>
        <v>1000</v>
      </c>
      <c r="J171" s="57">
        <f t="shared" si="30"/>
        <v>1000</v>
      </c>
      <c r="K171" s="46" t="s">
        <v>183</v>
      </c>
      <c r="L171" s="19"/>
    </row>
    <row r="172" spans="1:12" s="48" customFormat="1" ht="12.75">
      <c r="A172" s="49" t="s">
        <v>14</v>
      </c>
      <c r="B172" s="50">
        <f>SUM(B2:B171)</f>
        <v>721760</v>
      </c>
      <c r="C172" s="51">
        <f>SUM(C2:C171)</f>
        <v>3773969</v>
      </c>
      <c r="D172" s="50">
        <f>SUM(D2:D171)</f>
        <v>681720.4302470062</v>
      </c>
      <c r="E172" s="50">
        <f>SUM(E2:E171)</f>
        <v>81889.55900000002</v>
      </c>
      <c r="F172" s="52">
        <f>H172*0.8</f>
        <v>561219.2000000001</v>
      </c>
      <c r="G172" s="52">
        <f>H172*0.2</f>
        <v>140304.80000000002</v>
      </c>
      <c r="H172" s="53">
        <v>701524</v>
      </c>
      <c r="I172" s="53">
        <f>SUM(I2:I171)</f>
        <v>732507.4654195551</v>
      </c>
      <c r="J172" s="53">
        <f>SUM(J2:J171)</f>
        <v>731506</v>
      </c>
      <c r="K172" s="47"/>
      <c r="L172" s="47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spans="1:62" s="1" customFormat="1" ht="12.75">
      <c r="A204" s="4"/>
      <c r="B204" s="2"/>
      <c r="C204" s="2"/>
      <c r="D204" s="2"/>
      <c r="E204" s="43"/>
      <c r="F204" s="5"/>
      <c r="G204" s="5"/>
      <c r="H204" s="5"/>
      <c r="I204" s="31"/>
      <c r="J204" s="5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Header>&amp;C&amp;"Helvetica,Italic"Proposed Ready to Read  Grants for 2018</oddHeader>
    <oddFooter>&amp;L&amp;D&amp;R&amp;P</oddFooter>
  </headerFooter>
  <rowBreaks count="3" manualBreakCount="3">
    <brk id="37" max="255" man="1"/>
    <brk id="110" max="255" man="1"/>
    <brk id="145" max="255" man="1"/>
  </rowBreaks>
  <ignoredErrors>
    <ignoredError sqref="D47" formula="1"/>
    <ignoredError sqref="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OREGON STATE LIBRARY</dc:creator>
  <cp:keywords/>
  <dc:description/>
  <cp:lastModifiedBy>Katie Anderson</cp:lastModifiedBy>
  <cp:lastPrinted>2017-07-24T21:02:24Z</cp:lastPrinted>
  <dcterms:created xsi:type="dcterms:W3CDTF">1999-05-05T19:59:42Z</dcterms:created>
  <dcterms:modified xsi:type="dcterms:W3CDTF">2017-09-18T22:46:21Z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Greta Bergquist</vt:lpwstr>
  </property>
  <property fmtid="{D5CDD505-2E9C-101B-9397-08002B2CF9AE}" pid="4" name="display_urn:schemas-microsoft-com:office:office#Auth">
    <vt:lpwstr>Greta Bergquist</vt:lpwstr>
  </property>
</Properties>
</file>