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6" yWindow="65404" windowWidth="18252" windowHeight="13176" activeTab="1"/>
  </bookViews>
  <sheets>
    <sheet name="TO_PRINT" sheetId="1" r:id="rId1"/>
    <sheet name="RAILDL_CALCS" sheetId="2" r:id="rId2"/>
  </sheets>
  <definedNames>
    <definedName name="ACwvu.FULL._.RAIL._.DATA." localSheetId="1" hidden="1">'RAILDL_CALCS'!#REF!</definedName>
    <definedName name="ACwvu.RAIL._.WEIGHT._.SUMMARY." localSheetId="1" hidden="1">'RAILDL_CALCS'!$B$159:$B$165</definedName>
    <definedName name="Alum">'RAILDL_CALCS'!$I$2</definedName>
    <definedName name="body">'RAILDL_CALCS'!$A$75:$J$478</definedName>
    <definedName name="Conc">'RAILDL_CALCS'!$H$2</definedName>
    <definedName name="FULLBODY">'RAILDL_CALCS'!$A$3:$J$827</definedName>
    <definedName name="_xlnm.Print_Area" localSheetId="1">'RAILDL_CALCS'!$A$3:$J$827</definedName>
    <definedName name="_xlnm.Print_Area" localSheetId="0">'TO_PRINT'!$A$1:$D$207</definedName>
    <definedName name="_xlnm.Print_Titles" localSheetId="1">'RAILDL_CALCS'!$3:$5</definedName>
    <definedName name="_xlnm.Print_Titles" localSheetId="0">'TO_PRINT'!$2:$5</definedName>
    <definedName name="Rwvu.RAIL._.WEIGHT._.SUMMARY." localSheetId="1" hidden="1">'RAILDL_CALCS'!$D:$J</definedName>
    <definedName name="Steel">'RAILDL_CALCS'!$G$2</definedName>
    <definedName name="SUMMARY_BODY">'RAILDL_CALCS'!$A$75:$J$434</definedName>
    <definedName name="Swvu.FULL._.RAIL._.DATA." localSheetId="1" hidden="1">'RAILDL_CALCS'!#REF!</definedName>
    <definedName name="Swvu.RAIL._.WEIGHT._.SUMMARY." localSheetId="1" hidden="1">'RAILDL_CALCS'!$B$159:$B$165</definedName>
    <definedName name="Tmbr">'RAILDL_CALCS'!$J$2</definedName>
    <definedName name="wvu.FULL._.RAIL._.DATA." localSheetId="1" hidden="1">{TRUE,TRUE,1.75,4.75,479.25,278.25,FALSE,TRUE,TRUE,TRUE,5,1,2,2,6,1,4,4,TRUE,TRUE,1,TRUE,2,FALSE,100,"Swvu.FULL._.RAIL._.DATA.","ACwvu.FULL._.RAIL._.DATA.",1,FALSE,FALSE,1.25,1.17,0.8,0.58,1,"&amp;C&amp;12&amp;BSUMMARY OF STANDARD RAIL WEIGHTS","",TRUE,TRUE,FALSE,TRUE,1,#N/A,1,#N/A,"=R6C1:R185C9","=R3:R5",#N/A,#N/A,FALSE,FALSE}</definedName>
    <definedName name="wvu.RAIL._.WEIGHT._.SUMMARY." localSheetId="1" hidden="1">{TRUE,TRUE,1.75,4.75,479.25,278.25,FALSE,TRUE,TRUE,TRUE,5,1,#N/A,6,#N/A,12.984375,18.11764705882353,1,FALSE,FALSE,1,TRUE,2,FALSE,100,"Swvu.RAIL._.WEIGHT._.SUMMARY.","ACwvu.RAIL._.WEIGHT._.SUMMARY.",1,FALSE,FALSE,1.25,1.17,1,1,1,"","",TRUE,FALSE,FALSE,FALSE,1,#N/A,1,#N/A,"=R6C1:R184C10","=R3:R5","Rwvu.RAIL._.WEIGHT._.SUMMARY.",#N/A,FALSE,FALSE}</definedName>
    <definedName name="Z_2DB3EB24_1CC4_11D5_A186_0000F6DC5995_.wvu.PrintArea" localSheetId="1" hidden="1">'RAILDL_CALCS'!$A$75:$I$282</definedName>
    <definedName name="Z_2DB3EB24_1CC4_11D5_A186_0000F6DC5995_.wvu.PrintTitles" localSheetId="1" hidden="1">'RAILDL_CALCS'!$3:$5</definedName>
    <definedName name="Z_2DB3EB25_1CC4_11D5_A186_0000F6DC5995_.wvu.Cols" localSheetId="1" hidden="1">'RAILDL_CALCS'!$D:$J</definedName>
    <definedName name="Z_2DB3EB25_1CC4_11D5_A186_0000F6DC5995_.wvu.PrintArea" localSheetId="1" hidden="1">'RAILDL_CALCS'!$A$75:$J$281</definedName>
    <definedName name="Z_2DB3EB25_1CC4_11D5_A186_0000F6DC5995_.wvu.PrintTitles" localSheetId="1" hidden="1">'RAILDL_CALCS'!$3:$5</definedName>
    <definedName name="Z_527A0B19_1CA7_11D5_A185_0000F6DC5995_.wvu.PrintArea" localSheetId="1" hidden="1">'RAILDL_CALCS'!$A$75:$I$282</definedName>
    <definedName name="Z_527A0B19_1CA7_11D5_A185_0000F6DC5995_.wvu.PrintTitles" localSheetId="1" hidden="1">'RAILDL_CALCS'!$3:$5</definedName>
    <definedName name="Z_527A0B1A_1CA7_11D5_A185_0000F6DC5995_.wvu.Cols" localSheetId="1" hidden="1">'RAILDL_CALCS'!$D:$J</definedName>
    <definedName name="Z_527A0B1A_1CA7_11D5_A185_0000F6DC5995_.wvu.PrintArea" localSheetId="1" hidden="1">'RAILDL_CALCS'!$A$75:$J$281</definedName>
    <definedName name="Z_527A0B1A_1CA7_11D5_A185_0000F6DC5995_.wvu.PrintTitles" localSheetId="1" hidden="1">'RAILDL_CALCS'!$3:$5</definedName>
    <definedName name="Z_AEC6B718_099C_11D4_B4C6_0000F67400D0_.wvu.PrintArea" localSheetId="1" hidden="1">'RAILDL_CALCS'!$A$75:$I$282</definedName>
    <definedName name="Z_AEC6B718_099C_11D4_B4C6_0000F67400D0_.wvu.PrintTitles" localSheetId="1" hidden="1">'RAILDL_CALCS'!$3:$5</definedName>
    <definedName name="Z_AEC6B719_099C_11D4_B4C6_0000F67400D0_.wvu.Cols" localSheetId="1" hidden="1">'RAILDL_CALCS'!$D:$J</definedName>
    <definedName name="Z_AEC6B719_099C_11D4_B4C6_0000F67400D0_.wvu.PrintArea" localSheetId="1" hidden="1">'RAILDL_CALCS'!$A$75:$J$281</definedName>
    <definedName name="Z_AEC6B719_099C_11D4_B4C6_0000F67400D0_.wvu.PrintTitles" localSheetId="1" hidden="1">'RAILDL_CALCS'!$3:$5</definedName>
    <definedName name="Z_F54732E4_0CCD_11D4_B4CA_0000F67400D0_.wvu.PrintArea" localSheetId="1" hidden="1">'RAILDL_CALCS'!$A$75:$I$282</definedName>
    <definedName name="Z_F54732E4_0CCD_11D4_B4CA_0000F67400D0_.wvu.PrintTitles" localSheetId="1" hidden="1">'RAILDL_CALCS'!$3:$5</definedName>
    <definedName name="Z_F54732E5_0CCD_11D4_B4CA_0000F67400D0_.wvu.Cols" localSheetId="1" hidden="1">'RAILDL_CALCS'!$D:$J</definedName>
    <definedName name="Z_F54732E5_0CCD_11D4_B4CA_0000F67400D0_.wvu.PrintArea" localSheetId="1" hidden="1">'RAILDL_CALCS'!$A$75:$J$281</definedName>
    <definedName name="Z_F54732E5_0CCD_11D4_B4CA_0000F67400D0_.wvu.PrintTitles" localSheetId="1" hidden="1">'RAILDL_CALCS'!$3:$5</definedName>
  </definedNames>
  <calcPr fullCalcOnLoad="1"/>
</workbook>
</file>

<file path=xl/sharedStrings.xml><?xml version="1.0" encoding="utf-8"?>
<sst xmlns="http://schemas.openxmlformats.org/spreadsheetml/2006/main" count="1862" uniqueCount="715">
  <si>
    <t>SUMMARY OF ODOT STANDARD RAIL WEIGHTS</t>
  </si>
  <si>
    <t>Dwg.</t>
  </si>
  <si>
    <t>Wt, k/ft</t>
  </si>
  <si>
    <t>Description:</t>
  </si>
  <si>
    <t>Comment:</t>
  </si>
  <si>
    <t>50810</t>
  </si>
  <si>
    <t>Protective Fencing, type "B" section, w/curb</t>
  </si>
  <si>
    <t>includes curb, not sidewalk</t>
  </si>
  <si>
    <t>Protective Fencing, type "A" section, no curb</t>
  </si>
  <si>
    <t>50508</t>
  </si>
  <si>
    <t>Flush Mounted Combination Rail, 3'-6" high</t>
  </si>
  <si>
    <t>Flush Mounted Combination Rail, 4'-6" high</t>
  </si>
  <si>
    <t>50507</t>
  </si>
  <si>
    <t>Sidewalk Mounted Combination Rail, 3'-6" high</t>
  </si>
  <si>
    <t>Sidewalk Mounted Combination Rail, 4'-6" high</t>
  </si>
  <si>
    <t>50494</t>
  </si>
  <si>
    <t>2-tube Side Mount Rail</t>
  </si>
  <si>
    <t>50030</t>
  </si>
  <si>
    <t>Retrofit for Standard Steel Handrail with Sidewalk</t>
  </si>
  <si>
    <t>excludes existing rail &amp; curb</t>
  </si>
  <si>
    <t>49061</t>
  </si>
  <si>
    <t>Type "F" Conc. Rail Retrofit of Exist. Parapet w/3" curb proj.</t>
  </si>
  <si>
    <t>excludes existing parapet &amp; curb</t>
  </si>
  <si>
    <t>Type "F" Conc. Rail Retrofit of Exist. Parapet w/6" curb proj.</t>
  </si>
  <si>
    <t>Type "F" Conc. Rail Retrofit of Exist. Parapet w/1'-6" curb proj.</t>
  </si>
  <si>
    <t>47646</t>
  </si>
  <si>
    <t>Thrie-Beam Rail Retrofit for Curb &amp; Parapet Rail</t>
  </si>
  <si>
    <t>excludes existing curb &amp; parapet</t>
  </si>
  <si>
    <t>47204</t>
  </si>
  <si>
    <t>Chain Link Fencing on Parapet</t>
  </si>
  <si>
    <t>47168</t>
  </si>
  <si>
    <t>Pedestrian Rail on Type "F" Concrete Rail</t>
  </si>
  <si>
    <t>46610</t>
  </si>
  <si>
    <t>Pedestrian Rail on  Concrete Parapet</t>
  </si>
  <si>
    <t>43855</t>
  </si>
  <si>
    <t>Chain Link Fencing on Type "F" Conc. Rail</t>
  </si>
  <si>
    <t>43542</t>
  </si>
  <si>
    <t>Thrie-Beam Rail</t>
  </si>
  <si>
    <t>43498</t>
  </si>
  <si>
    <t>3-tube Curb Mount Rail</t>
  </si>
  <si>
    <t>43497</t>
  </si>
  <si>
    <t>2-tube Curb Mount Rail</t>
  </si>
  <si>
    <t>43495</t>
  </si>
  <si>
    <t>Concrete Bridge Rail Type F</t>
  </si>
  <si>
    <t>43444</t>
  </si>
  <si>
    <t>Metal Rail with Tubing (side-mounted)</t>
  </si>
  <si>
    <t>42807</t>
  </si>
  <si>
    <t>Concrete Median Barrier</t>
  </si>
  <si>
    <t>includes 1" grout</t>
  </si>
  <si>
    <t>40790</t>
  </si>
  <si>
    <t>34959</t>
  </si>
  <si>
    <t>Pedestrian Rail</t>
  </si>
  <si>
    <t>"HISTORIC" STANDARD BRIDGE RAILS...</t>
  </si>
  <si>
    <t>42724</t>
  </si>
  <si>
    <t>42563</t>
  </si>
  <si>
    <t>42562</t>
  </si>
  <si>
    <t>Concrete Parapet with Chain Link Fencing</t>
  </si>
  <si>
    <t>42561</t>
  </si>
  <si>
    <t>Concrete Parapet with Metal Railing</t>
  </si>
  <si>
    <t>39854</t>
  </si>
  <si>
    <t>Details for Permanent Pile Trestle Bridges</t>
  </si>
  <si>
    <t>38640</t>
  </si>
  <si>
    <t>Concrete Bridge Rail</t>
  </si>
  <si>
    <t>35269</t>
  </si>
  <si>
    <t>35268</t>
  </si>
  <si>
    <t>Side mount 5" Str. Tubing Rail (2 tubes)</t>
  </si>
  <si>
    <t>34610</t>
  </si>
  <si>
    <t>5" Struct. Tubing Rail (2 tubes), Slab Mounted</t>
  </si>
  <si>
    <t>5" Struct. Tubing Rail (2 tubes), Curb Mount</t>
  </si>
  <si>
    <t>33500</t>
  </si>
  <si>
    <t>Metal Rail with Tubing 2'-4.5" Mount Height</t>
  </si>
  <si>
    <t>33258</t>
  </si>
  <si>
    <t>Metal Rail with Tubing 1'-9" Mounting Height</t>
  </si>
  <si>
    <t>33053</t>
  </si>
  <si>
    <t>4-Tube Square Tubing Rail for Side Mounting</t>
  </si>
  <si>
    <t>31896</t>
  </si>
  <si>
    <t>4-Tube Square Tubing Rail, Metric</t>
  </si>
  <si>
    <t>31755</t>
  </si>
  <si>
    <t>Curbed 3-tube Rectangular Tubing Rail</t>
  </si>
  <si>
    <t>31754</t>
  </si>
  <si>
    <t>Curbed 3-Tube Oblong Tubing Rail</t>
  </si>
  <si>
    <t>30276</t>
  </si>
  <si>
    <t>3-tube Square Tubing Rail for Side Mounting</t>
  </si>
  <si>
    <t>30069</t>
  </si>
  <si>
    <t>3-tube Square Tubing Rail for Top Mounting</t>
  </si>
  <si>
    <t>28610</t>
  </si>
  <si>
    <t>2-tube Rectangular Tubing Rail</t>
  </si>
  <si>
    <t>27214</t>
  </si>
  <si>
    <t>27155</t>
  </si>
  <si>
    <t>Parapet Rail Type G</t>
  </si>
  <si>
    <t>26047</t>
  </si>
  <si>
    <t>Std. Median Barrier on Structure</t>
  </si>
  <si>
    <t>24992</t>
  </si>
  <si>
    <t>Pedestrian Handrail</t>
  </si>
  <si>
    <t>24719</t>
  </si>
  <si>
    <t>3-tube Aluminum Pedestrian Handrail</t>
  </si>
  <si>
    <t>24293/4</t>
  </si>
  <si>
    <t>1-pipe Parapet Rail Type G (assume steel)</t>
  </si>
  <si>
    <t>23937/8</t>
  </si>
  <si>
    <t>23670</t>
  </si>
  <si>
    <t>3-tube Rectangular Tubing Rail</t>
  </si>
  <si>
    <t>23653</t>
  </si>
  <si>
    <t>3-tube Oblong Tubing Rail (no curb)</t>
  </si>
  <si>
    <t>23610</t>
  </si>
  <si>
    <t>23603</t>
  </si>
  <si>
    <t>2-tube Oblong Tubing Rail</t>
  </si>
  <si>
    <t>23279</t>
  </si>
  <si>
    <t>23185</t>
  </si>
  <si>
    <t>1-pipe Parapet Rail Type "C" (assume steel)</t>
  </si>
  <si>
    <t>excludes wide curb/sidewalk</t>
  </si>
  <si>
    <t>1-pipe Parapet Rail Type "D" (assume steel)</t>
  </si>
  <si>
    <t>includes brush curb</t>
  </si>
  <si>
    <t>23018</t>
  </si>
  <si>
    <t>2-pipe Parapet Rail (assume steel)</t>
  </si>
  <si>
    <t>22856</t>
  </si>
  <si>
    <t>Aluminum Pedestrian Rail</t>
  </si>
  <si>
    <t>22702</t>
  </si>
  <si>
    <t>22701</t>
  </si>
  <si>
    <t>22638</t>
  </si>
  <si>
    <t>Rectangular Tube Pedestrian Handrail</t>
  </si>
  <si>
    <t>22593</t>
  </si>
  <si>
    <t>22436</t>
  </si>
  <si>
    <t>22431</t>
  </si>
  <si>
    <t>22150</t>
  </si>
  <si>
    <t>21976</t>
  </si>
  <si>
    <t>20653</t>
  </si>
  <si>
    <t>Concrete Curb &amp; Parapet</t>
  </si>
  <si>
    <t>20343</t>
  </si>
  <si>
    <t>20342</t>
  </si>
  <si>
    <t>20341</t>
  </si>
  <si>
    <t>20340</t>
  </si>
  <si>
    <t>Concrete Parapet Rail Type "A"</t>
  </si>
  <si>
    <t>Concrete Parapet Rail Type "B"</t>
  </si>
  <si>
    <t>20301</t>
  </si>
  <si>
    <t>1-pipe Parapet Rail (assume steel) Type "C"</t>
  </si>
  <si>
    <t>19478</t>
  </si>
  <si>
    <t>2-pipe Parapet Rail (assume steel) Type "A"</t>
  </si>
  <si>
    <t>excludes curb/sidewalk</t>
  </si>
  <si>
    <t>2-pipe Parapet Rail (assume steel) Type "B"</t>
  </si>
  <si>
    <t>includes safety curb</t>
  </si>
  <si>
    <t>19477</t>
  </si>
  <si>
    <t>Single Pipe Parapet Rail Plan "A" (with safety curb)</t>
  </si>
  <si>
    <t>Single Pipe Parapet Rail Plan "B" (with brush curb)</t>
  </si>
  <si>
    <t>19476</t>
  </si>
  <si>
    <t>Concrete Parapet Rail Plan "A"" (with safety curb)</t>
  </si>
  <si>
    <t>Concrete Parapet Rail Plan "B" (with brush curb)</t>
  </si>
  <si>
    <t>18814</t>
  </si>
  <si>
    <t>18657</t>
  </si>
  <si>
    <t>2-pipe Parapet Rail Type "A" (assume steel)</t>
  </si>
  <si>
    <t>2-pipe Parapet Rail Type "B" (assume steel)</t>
  </si>
  <si>
    <t>18542</t>
  </si>
  <si>
    <t>Steel Handrail</t>
  </si>
  <si>
    <t>includes curb</t>
  </si>
  <si>
    <t>17368</t>
  </si>
  <si>
    <t>17363</t>
  </si>
  <si>
    <t>Pipe Parapet Handrail</t>
  </si>
  <si>
    <t>16127</t>
  </si>
  <si>
    <t>15599</t>
  </si>
  <si>
    <t>Conc. Parapet for Precast Slabs, Section D-D</t>
  </si>
  <si>
    <t>Wood Post Rail for Precast Slabs, Section F-F</t>
  </si>
  <si>
    <t>15287</t>
  </si>
  <si>
    <t>Concrete Handrail</t>
  </si>
  <si>
    <t>15250</t>
  </si>
  <si>
    <t>14657</t>
  </si>
  <si>
    <t>14656</t>
  </si>
  <si>
    <t>Concrete Handrail Solid Type</t>
  </si>
  <si>
    <t>14654</t>
  </si>
  <si>
    <t>Steel Handrail for Br's w/o Sidewalks</t>
  </si>
  <si>
    <t>Steel Handrail for Br's w/ Sidewalks</t>
  </si>
  <si>
    <t>includes small toe curb</t>
  </si>
  <si>
    <t>13722</t>
  </si>
  <si>
    <t xml:space="preserve">Concrete Handrail </t>
  </si>
  <si>
    <t>13610</t>
  </si>
  <si>
    <t>Concrete Handrail without Curb</t>
  </si>
  <si>
    <t>13103</t>
  </si>
  <si>
    <t>Pipe Parapet Handrail (assume steel)</t>
  </si>
  <si>
    <t>12763</t>
  </si>
  <si>
    <t>Conc. Parapet for Std. Precast Beams</t>
  </si>
  <si>
    <t>12457</t>
  </si>
  <si>
    <t>Aluminum Handrail for Br's w/o Sidewalks</t>
  </si>
  <si>
    <t>Aluminum Handrail for Br's w/ Sidewalks</t>
  </si>
  <si>
    <t>12085</t>
  </si>
  <si>
    <t>11917</t>
  </si>
  <si>
    <t>Concrete Handrail, Solid Type</t>
  </si>
  <si>
    <t>11207</t>
  </si>
  <si>
    <t>10734</t>
  </si>
  <si>
    <t>10664</t>
  </si>
  <si>
    <t>10555</t>
  </si>
  <si>
    <t>Conc. Rail for Standard 40' Rigid Frame</t>
  </si>
  <si>
    <t>10429</t>
  </si>
  <si>
    <t>10219</t>
  </si>
  <si>
    <t>excludes sidewalk</t>
  </si>
  <si>
    <t>10169</t>
  </si>
  <si>
    <t>B914</t>
  </si>
  <si>
    <t>Metal Rail on Timber Structures</t>
  </si>
  <si>
    <t>includes timber curb</t>
  </si>
  <si>
    <t>9402</t>
  </si>
  <si>
    <t>Steel Replacement Rails for Composite Handrail</t>
  </si>
  <si>
    <t>9233</t>
  </si>
  <si>
    <t>8956</t>
  </si>
  <si>
    <t>Steel Handrail (angles) for Br's w/o Sidewalks</t>
  </si>
  <si>
    <t>Steel Handrail (angles) for Br's w Sidewalks</t>
  </si>
  <si>
    <t>8840</t>
  </si>
  <si>
    <t>Concrete Handrail, Low Type</t>
  </si>
  <si>
    <t>8417</t>
  </si>
  <si>
    <t>8186</t>
  </si>
  <si>
    <t>includes double curb</t>
  </si>
  <si>
    <t>8064</t>
  </si>
  <si>
    <t>Rail for Standard Pile Trestle</t>
  </si>
  <si>
    <t>8018</t>
  </si>
  <si>
    <t>Intermediate Curb</t>
  </si>
  <si>
    <t>7600</t>
  </si>
  <si>
    <t>Timber Handrail for Br's w/o Sidewalks</t>
  </si>
  <si>
    <t>Timber Handrail for Br's w/ Sidewalks</t>
  </si>
  <si>
    <t>7044</t>
  </si>
  <si>
    <t>Steel Handrail for Br's w Sidewalks</t>
  </si>
  <si>
    <t>7000</t>
  </si>
  <si>
    <t>6818</t>
  </si>
  <si>
    <t>includes toe curb</t>
  </si>
  <si>
    <t>6535</t>
  </si>
  <si>
    <t>Concrete Handrail (Rail Type) for Br's w/ Sidewalks</t>
  </si>
  <si>
    <t>Concrete Handrail (Rail Type) for Br's w/o Sidewalks</t>
  </si>
  <si>
    <t>6534</t>
  </si>
  <si>
    <t>6517</t>
  </si>
  <si>
    <t>Steel Handrail Type LB</t>
  </si>
  <si>
    <t>6481</t>
  </si>
  <si>
    <t>Steel Handrail Type LA</t>
  </si>
  <si>
    <t>includes toe curb, excludes sidewalk</t>
  </si>
  <si>
    <t>6436</t>
  </si>
  <si>
    <t>Steel Handrail Type KY for Br's w/o Sidewalks</t>
  </si>
  <si>
    <t>Steel Handrail Type KY for Br's w/ Sidewalks</t>
  </si>
  <si>
    <t>6416</t>
  </si>
  <si>
    <t>6313</t>
  </si>
  <si>
    <t>Concrete Rail (w/ P/C spindles) for Br's w/ Sidewalk</t>
  </si>
  <si>
    <t>Concrete Rail (w/ P/C spindles) for Br's w/o Sidewalk</t>
  </si>
  <si>
    <t>5903</t>
  </si>
  <si>
    <t>Concrete Handrail (Gothic Arches) (Br's w/sidewalks)</t>
  </si>
  <si>
    <t>5735</t>
  </si>
  <si>
    <t>5155</t>
  </si>
  <si>
    <t>5032</t>
  </si>
  <si>
    <t>Concrete Handrail (Gothic Arches) (Br's w/sidewalk)</t>
  </si>
  <si>
    <t>4997</t>
  </si>
  <si>
    <t>Concrete Handrail (Gothic Arches) (Br's w/o sidewalk)</t>
  </si>
  <si>
    <t>4788</t>
  </si>
  <si>
    <t>Movable Span Handrail</t>
  </si>
  <si>
    <t>4519</t>
  </si>
  <si>
    <t>Concrete &amp; Timber Handrail</t>
  </si>
  <si>
    <t>4441</t>
  </si>
  <si>
    <t>Timber Handrail  (with spindles)</t>
  </si>
  <si>
    <t>4220</t>
  </si>
  <si>
    <t>Conc. Handrail Type D (Roman Arches) (Br's w/o sdwk.)</t>
  </si>
  <si>
    <t>4210</t>
  </si>
  <si>
    <t>Conc. Handrail Type D (Roman Arches) (Br's w/ sdwk.)</t>
  </si>
  <si>
    <t>4050</t>
  </si>
  <si>
    <t>3813</t>
  </si>
  <si>
    <t>Conc. Handrail Type C (Roman Arches) (Br's w/ sdwk.)</t>
  </si>
  <si>
    <t>3802</t>
  </si>
  <si>
    <t>Conc. Handrail Type B (Roman Arches) (Br's w/o sdwk.)</t>
  </si>
  <si>
    <t>1532</t>
  </si>
  <si>
    <t>Handrail - B (Concrete with precast "webs")</t>
  </si>
  <si>
    <t>Concrete=</t>
  </si>
  <si>
    <t>Aluminum=</t>
  </si>
  <si>
    <t>Timber=</t>
  </si>
  <si>
    <t>Area</t>
  </si>
  <si>
    <t>Density</t>
  </si>
  <si>
    <t>Vert. Length</t>
  </si>
  <si>
    <t>Hor. Spacing</t>
  </si>
  <si>
    <t>Member</t>
  </si>
  <si>
    <t>Total</t>
  </si>
  <si>
    <t>Standard</t>
  </si>
  <si>
    <t>A</t>
  </si>
  <si>
    <t>g</t>
  </si>
  <si>
    <t>h</t>
  </si>
  <si>
    <t>s</t>
  </si>
  <si>
    <t>Unif. Load</t>
  </si>
  <si>
    <t>Drawing:</t>
  </si>
  <si>
    <t>Comments</t>
  </si>
  <si>
    <r>
      <t>in</t>
    </r>
    <r>
      <rPr>
        <vertAlign val="superscript"/>
        <sz val="10"/>
        <rFont val="Arial"/>
        <family val="2"/>
      </rPr>
      <t>2</t>
    </r>
  </si>
  <si>
    <r>
      <t>k/in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/ft</t>
    </r>
  </si>
  <si>
    <t>ft</t>
  </si>
  <si>
    <t>k/ft</t>
  </si>
  <si>
    <t>Chain Link Fence 8' high</t>
  </si>
  <si>
    <t>---</t>
  </si>
  <si>
    <t>Curb (Detail "B")</t>
  </si>
  <si>
    <t>Chain Link Fence 10' high</t>
  </si>
  <si>
    <t>TS 4x3x0.25 rail</t>
  </si>
  <si>
    <t>TS 4x4x0.1875 posts @ 6'-8"</t>
  </si>
  <si>
    <t>Base Plates</t>
  </si>
  <si>
    <t>1-1/2" grout</t>
  </si>
  <si>
    <t>Conc. Parapet</t>
  </si>
  <si>
    <t>TS 3x2x0.25 rail</t>
  </si>
  <si>
    <t>W6x25 posts @ 6'-3"</t>
  </si>
  <si>
    <t>2 - L6x4x0.75x6" brackets</t>
  </si>
  <si>
    <t>Type "F" Concrete Rail Retrofit of Existing Parapet Rail</t>
  </si>
  <si>
    <t>Conc. rectangle 5-3/4"x22"</t>
  </si>
  <si>
    <t>w/3" curb projection</t>
  </si>
  <si>
    <t>Conc. triangle 2-3/8"x22"</t>
  </si>
  <si>
    <t>Conc. rectangle 8-1/8"x1"</t>
  </si>
  <si>
    <t>Conc. rectangle 5-1/8"x9"</t>
  </si>
  <si>
    <t>Conc. triangle 4-7/8"x7"</t>
  </si>
  <si>
    <t>Conc. rectangle 4-7/8"x3"</t>
  </si>
  <si>
    <t>w/6" curb projection</t>
  </si>
  <si>
    <t>Conc. rectangle 10-3/4"x22"</t>
  </si>
  <si>
    <t>w/1'-6" curb projection</t>
  </si>
  <si>
    <t>Conc. rectangle 13-1/8"x1"</t>
  </si>
  <si>
    <t>Conc. rectangle 4-1/8"x9"</t>
  </si>
  <si>
    <t>Removed Conc. rectangle 9"x9"</t>
  </si>
  <si>
    <t>Double-thick thrie-beam rail (12-ga.)</t>
  </si>
  <si>
    <t>W8x24 posts @ 6'-3"</t>
  </si>
  <si>
    <t>2" grout</t>
  </si>
  <si>
    <t>Chain Link Fence  2' high</t>
  </si>
  <si>
    <t>Conc. parapet 9"x2'-8"</t>
  </si>
  <si>
    <t>Type F conc. barrier section</t>
  </si>
  <si>
    <t>2 - TS 2.5x1x0.12 rails</t>
  </si>
  <si>
    <t>TS 2.5x1x0.12 interm. posts</t>
  </si>
  <si>
    <t>TS 2.5x1x0.12 anchor posts</t>
  </si>
  <si>
    <t>TS 5x3x0.1875 rail</t>
  </si>
  <si>
    <t>W8x24 posts @ 11'-2"</t>
  </si>
  <si>
    <t>Base plates</t>
  </si>
  <si>
    <t>Conc. Curb 1'-5.5"x6"</t>
  </si>
  <si>
    <t>2 - TS 5x5x0.1875 rails</t>
  </si>
  <si>
    <t>Conc. Curb 1'-7"x7"</t>
  </si>
  <si>
    <t>Guard rail section (12-ga.)</t>
  </si>
  <si>
    <t>TS 3.5x3.5x0.1875 rail</t>
  </si>
  <si>
    <t>Std. conc. median section (Dwg. 2127)</t>
  </si>
  <si>
    <t>Type F conc. barrier section, 7.5" top</t>
  </si>
  <si>
    <t>Type F conc. barrier section, 8.75" top</t>
  </si>
  <si>
    <t>Concrete parapet 9" x 2'-8"</t>
  </si>
  <si>
    <t>Chain Link Fence 6' high</t>
  </si>
  <si>
    <t>1/2" dia. Std. Pipe verticals @6"</t>
  </si>
  <si>
    <t>TS 2.5x1x0.12 Posts @3'</t>
  </si>
  <si>
    <t>Flex-beam rail</t>
  </si>
  <si>
    <t>3x8 S4S Timber rail</t>
  </si>
  <si>
    <t>6x6 S4S Timber curb</t>
  </si>
  <si>
    <t>8x8 S4S Timber Posts @6'-3"</t>
  </si>
  <si>
    <t>Older conc. barrier section</t>
  </si>
  <si>
    <t>Conc. Curb 1'-7" x 6"</t>
  </si>
  <si>
    <t>2 - TS 2x1x0.12 rails</t>
  </si>
  <si>
    <t>TS 2x1x0.12 intermed. posts</t>
  </si>
  <si>
    <t>TS 2x1x0.12 anchor posts</t>
  </si>
  <si>
    <t>2 - TS 5x5x0.1875</t>
  </si>
  <si>
    <t>4 - TS 3.5x3.5x0.1875</t>
  </si>
  <si>
    <t>W8x28 posts @ 7'-10"</t>
  </si>
  <si>
    <t>2 - TS 4x3x0.25 rails</t>
  </si>
  <si>
    <t>TS 6x3x0.1875 rail</t>
  </si>
  <si>
    <t>Cut W10x29 posts at 8'-6"</t>
  </si>
  <si>
    <t>Conc. Curb 1'-1.5" x 6"</t>
  </si>
  <si>
    <t>2 - TS 6x3.5x0.25 obround</t>
  </si>
  <si>
    <t>TS 4.5x2x0.125 obround</t>
  </si>
  <si>
    <t>Cast aluminum posts @ 8'</t>
  </si>
  <si>
    <t>3 - TS 3.5x3.5x0.1875 rails</t>
  </si>
  <si>
    <t>W8x28 posts @ 6'-3"</t>
  </si>
  <si>
    <t>Cut W10x29 posts at 9'-6"</t>
  </si>
  <si>
    <t>Conc. Curb 1'-5"x10.5"</t>
  </si>
  <si>
    <t>Type G Conc. Barrier Section</t>
  </si>
  <si>
    <t>Std. Median Barrier</t>
  </si>
  <si>
    <t>2.5" dia. Std. Pipe rail</t>
  </si>
  <si>
    <t>2 - 1.5" dia.  Std. Pipe rails</t>
  </si>
  <si>
    <t>3/4" dia. Std. Pipe verticals</t>
  </si>
  <si>
    <t>TS 4x3x0.1875 posts @ 8'-6"</t>
  </si>
  <si>
    <t>TS 3.5x2x0.125 obround rail</t>
  </si>
  <si>
    <t>2 - 2" O.D. x 0.125 pipe rails</t>
  </si>
  <si>
    <t>Conc. Curb 12"  x 5.5"</t>
  </si>
  <si>
    <t>5" O.D. x 1/4" Steel Tube rail</t>
  </si>
  <si>
    <t>Cast steel posts @8'-6"</t>
  </si>
  <si>
    <t>Type G Barrier Curb 2'-4.5" high</t>
  </si>
  <si>
    <t>Cut W10x29 posts @ 9'-6"</t>
  </si>
  <si>
    <t>TS 6x3.5x0.25 obround</t>
  </si>
  <si>
    <t>Conc. Curb 1'-5" x 10.5."</t>
  </si>
  <si>
    <t>Conc. Parapet 10.5" x 1'-6"</t>
  </si>
  <si>
    <t>Conc. Curb 1'-6" x 10.5"</t>
  </si>
  <si>
    <t>4" O.D. x 0.1875" Steel Tube rail</t>
  </si>
  <si>
    <t>5" O.D. x 0.25" Steel Tube rail</t>
  </si>
  <si>
    <t>TS 4x3x0.1875 Alum. rail</t>
  </si>
  <si>
    <t>2 - TS 3x2x0.1875 Alum. rails</t>
  </si>
  <si>
    <t>Alum. Wire Mesh Verts. 0.25" sq. x@ 2"</t>
  </si>
  <si>
    <t>Alum. Wire Mesh Horiz. 0.25" sq. x@ 2"</t>
  </si>
  <si>
    <t>2 - Alum. Screen Frame Verts @ 9'-6"</t>
  </si>
  <si>
    <t>2 - Alum. Screen Frame Horiz.</t>
  </si>
  <si>
    <t>W10x7.30 Alum. Posts @ 9'-6"</t>
  </si>
  <si>
    <t>3x1.5 tube rail</t>
  </si>
  <si>
    <t>2 - 2.5x1.5 tube rails</t>
  </si>
  <si>
    <t>1.25x0.25 bars (intermed. posts)  @ 6"</t>
  </si>
  <si>
    <t>8B10 anchor posts @ 9'-6"</t>
  </si>
  <si>
    <t>Conc. Parapet 10.5x1'-9"</t>
  </si>
  <si>
    <t>Recesses e.f. 3.5"x12"x0.75" @ 10.5"</t>
  </si>
  <si>
    <t>Conc. Curb 1'-8"x11"</t>
  </si>
  <si>
    <t>2.5" Std. Pipe rail (steel)</t>
  </si>
  <si>
    <t>C2.5x0.78 channel rail</t>
  </si>
  <si>
    <t>C3x4.1 channel rail</t>
  </si>
  <si>
    <t>3/4" Extra Strong Pipe verts @ 6".</t>
  </si>
  <si>
    <t xml:space="preserve">TS 4x4x0.1875 posts @ 9' </t>
  </si>
  <si>
    <t>Parapet 10.5" x 1'-9"</t>
  </si>
  <si>
    <t>2 - 4" O.D. x 0.1875" Steel Tube rail</t>
  </si>
  <si>
    <t>Cast steel posts @7' min.</t>
  </si>
  <si>
    <t>Conc. Parapet  10.5"x1'-6"</t>
  </si>
  <si>
    <t>Conc. Curb 3'-0" x 9.5"</t>
  </si>
  <si>
    <t>Conc. Curb 1'-3"x9.5"</t>
  </si>
  <si>
    <t>Conc. Parapet 8.5" x 1'-9"</t>
  </si>
  <si>
    <t>Conc. Curb 2'-10" x 9.5"</t>
  </si>
  <si>
    <t>Conc. Curb 1'-1" x 9"</t>
  </si>
  <si>
    <t>Conc. Curb 2'-6" x 9.5"</t>
  </si>
  <si>
    <t>Conc. Parapet 10.5"x1'-6"</t>
  </si>
  <si>
    <t>Conc. Curb 2'-6"x9"</t>
  </si>
  <si>
    <t>3.5" E.S. Pipe top rail</t>
  </si>
  <si>
    <t>C3x7.1 top rail (3x1.875)</t>
  </si>
  <si>
    <t>C2x1.86 middle rail (2x9/16x3/16)</t>
  </si>
  <si>
    <t>C3x5.0 bot. rail</t>
  </si>
  <si>
    <t>Vert. bars 3/4"sq.x8.5" long @6"</t>
  </si>
  <si>
    <t>Vert. bars 3/4"sq.x1'-11.5" long @6"</t>
  </si>
  <si>
    <t>W6x20 Posts @6' min.</t>
  </si>
  <si>
    <t>Conc. Curb 2'-6"x8"</t>
  </si>
  <si>
    <t>3.5" O.D. x 0.1875" Steel Tube rail</t>
  </si>
  <si>
    <t>Conc. Parapet 11"x1'-6"</t>
  </si>
  <si>
    <t>Conc. Parapet  8.5"x1'-9"</t>
  </si>
  <si>
    <t>Conc. Curb 2'-10"x9"</t>
  </si>
  <si>
    <t>3x10 S4S rail</t>
  </si>
  <si>
    <t>8x8x4'-0" Posts @ (say) 4'</t>
  </si>
  <si>
    <t>Conc. Curb 2'-1.5"x10.25"</t>
  </si>
  <si>
    <t>Conc. Parapet 8.5"x1'-9"</t>
  </si>
  <si>
    <t>Conc. Curb 2'-4"x9"</t>
  </si>
  <si>
    <t>Conc. Curb 1'-3"x9"</t>
  </si>
  <si>
    <t>Conc. Curb 2'-5"x9"</t>
  </si>
  <si>
    <t>2.5" E.S. Pipe top rail</t>
  </si>
  <si>
    <t>C2x2.32 top rail (2x1x3/16)</t>
  </si>
  <si>
    <t>Vert. bars 3/4"sq.x2'-0.75" long @6"</t>
  </si>
  <si>
    <t>12" sq. Conc. Posts @7' min.</t>
  </si>
  <si>
    <t>Conc. Curb 2'-6"x12"</t>
  </si>
  <si>
    <t>Conc. Curb 9"x6"</t>
  </si>
  <si>
    <t>Conc. Curb 1'-1"x9"</t>
  </si>
  <si>
    <t>Recesses o.f. 3.5"x12"x0.75" @ 10.5"</t>
  </si>
  <si>
    <t>Pilasters 11"x12"  @ (say) 8'</t>
  </si>
  <si>
    <t>3.5" dia. Schedule 80 Pipe top rail</t>
  </si>
  <si>
    <t>3/8"x2.5" bar (middle rail)</t>
  </si>
  <si>
    <t>C4x3.32 bot. rail</t>
  </si>
  <si>
    <t>3/4" Sched. 40 Pipe Vert. 8" long @ 6.5"</t>
  </si>
  <si>
    <t>3/4" Sched. 40 Pipe Vert. 2' long @ 6.5"</t>
  </si>
  <si>
    <t>W4x13 Posts @8'</t>
  </si>
  <si>
    <t>Conc. Parapet 8.5"x1'-7"</t>
  </si>
  <si>
    <t>Conc. Curb 2'-4" x 9"</t>
  </si>
  <si>
    <t>Conc. Parapet 9" x 1'-9"</t>
  </si>
  <si>
    <t>Recesses e.f. 2"x10"x0.75" @ 10"</t>
  </si>
  <si>
    <t>Conc. Curb 2'-4.5" x 10.5"</t>
  </si>
  <si>
    <t>Recesses o.f. 3.625"x12"x0.75" @ 10.625"</t>
  </si>
  <si>
    <t>12"x13" Conc. Posts @8' min.</t>
  </si>
  <si>
    <t>Conc. Curb 10"x6"</t>
  </si>
  <si>
    <t>Double thickness flexbeam element</t>
  </si>
  <si>
    <t>Timber blocks, say 2-6x12 @ 6'-3"</t>
  </si>
  <si>
    <t>W8x24 Posts @6'-3"</t>
  </si>
  <si>
    <t>Timber curb, say 8"x14"</t>
  </si>
  <si>
    <t>Timber blocks at bot., say  6x12 @ 6'-3"</t>
  </si>
  <si>
    <t>Concrete Rail Cap. say 1'-2"x6"</t>
  </si>
  <si>
    <t>C3x5.0 Top Rail</t>
  </si>
  <si>
    <t>C2x1.86 Middle Rail</t>
  </si>
  <si>
    <t>C3x5.0 Bottom Rail</t>
  </si>
  <si>
    <t>Conc.  Curb, say 1'-2"x9"</t>
  </si>
  <si>
    <t>Conc. Rail Posts, say 1'-2"x1'-6" @9.5'</t>
  </si>
  <si>
    <t>Vert. bars 3/4"sq.x1'-11.875" long @6"</t>
  </si>
  <si>
    <t>2 - L4x4x3/8 rails</t>
  </si>
  <si>
    <t>9"x9" Conc. Posts</t>
  </si>
  <si>
    <t>Conc. Curb 2'-0" x 9"</t>
  </si>
  <si>
    <t>Conc. Curb 8"x6"</t>
  </si>
  <si>
    <t>Conc. Cap 1'-0"x7"</t>
  </si>
  <si>
    <t>Top portion of Conc. Arches 9"x3"</t>
  </si>
  <si>
    <t>Conc. Posts 1'-6"x9" @5.5'</t>
  </si>
  <si>
    <t>Conc. Curb 2'-0"x9"</t>
  </si>
  <si>
    <t>Conc. Parapet 9"x1'-1"</t>
  </si>
  <si>
    <t>Recesses e.f. 1.5"x7.5"x0.75"(avg) @ 7"</t>
  </si>
  <si>
    <t xml:space="preserve">Conc. Step Curb 1'-5.75"x1'-3" </t>
  </si>
  <si>
    <t>Conc. Curb 2'-2.25"x9"</t>
  </si>
  <si>
    <t>2 - 3x8 S4S Timber Rails</t>
  </si>
  <si>
    <t>2x12 S4S Dripboard</t>
  </si>
  <si>
    <t>6x8 S4S Felloe Guard</t>
  </si>
  <si>
    <t>6x8 S4S Posts @ say 4'</t>
  </si>
  <si>
    <t xml:space="preserve">Conc. Top Curb </t>
  </si>
  <si>
    <t>Conc. Bottom Curb</t>
  </si>
  <si>
    <t>4x8 Top Rail</t>
  </si>
  <si>
    <t>2 - 1.0625x2 Keeper Rails</t>
  </si>
  <si>
    <t>2 - 2x4 S4S Bottom Rails</t>
  </si>
  <si>
    <t>2x2 S4S Spindles @ 6"</t>
  </si>
  <si>
    <t>12"x12" Conc. Posts @7' min.</t>
  </si>
  <si>
    <t>Conc. Curb 1'-6"x9"</t>
  </si>
  <si>
    <t>C2x2.28 middle rail (2x9/16x3/16)</t>
  </si>
  <si>
    <t>2 - 6"x6" Conc. Rails</t>
  </si>
  <si>
    <t>1'-3"x1'-2" Conc. Posts @ say 8'</t>
  </si>
  <si>
    <t>Vert. bars 3/4"sq.x2'-1" long @6"</t>
  </si>
  <si>
    <t>1'-0"x1'-3" Conc. Posts @9' min.</t>
  </si>
  <si>
    <t>Conc. Curb 9"x8"</t>
  </si>
  <si>
    <t>Conc. Curb 1'-8"x9"</t>
  </si>
  <si>
    <t>2 - C3x5 Rails</t>
  </si>
  <si>
    <t>2 - Hor. 1/2"x3/4" Bars</t>
  </si>
  <si>
    <t>Vert. 1/2"x3/4" Bars @ 2' min.</t>
  </si>
  <si>
    <t>2 - Vert. 1/2"x1.5" Bars @ 2' min.</t>
  </si>
  <si>
    <t>2 - Diag. 1/2"x3/4" Bars</t>
  </si>
  <si>
    <t>S4x13.8 (I-beam) Posts @ 7.083' min.</t>
  </si>
  <si>
    <t>2 - 2.5" Std. Pipe Rails (top &amp; bot.)</t>
  </si>
  <si>
    <t>2 - C2x2.32 rails (2x1x3/16)  (top &amp; bot.)</t>
  </si>
  <si>
    <t xml:space="preserve">2 - 3/8" Diag. Cross Bars </t>
  </si>
  <si>
    <t>1/2"x2" Bar below X-bars</t>
  </si>
  <si>
    <t>1/2"x1" Verts. @5"</t>
  </si>
  <si>
    <t>Vert. Bars 3"x1/2" @ 2.36'</t>
  </si>
  <si>
    <t>Conc. Curb 10"x8"</t>
  </si>
  <si>
    <t>2.5" Std. Pipe Top Rail</t>
  </si>
  <si>
    <t xml:space="preserve">C2x2.32 Top Rail (2x1x3/16) </t>
  </si>
  <si>
    <t>1/2" sq. Bar Middle Rail</t>
  </si>
  <si>
    <t>C5x11.5 Bottom Rail</t>
  </si>
  <si>
    <t>1/2"x1" Vert. Bars @ 5"</t>
  </si>
  <si>
    <t>10"x12" Conc. posts @ say 8'</t>
  </si>
  <si>
    <t>Conc. Curb 1'-4"x9"</t>
  </si>
  <si>
    <t>2"x1/2" Bar Middle Rail</t>
  </si>
  <si>
    <t>1'-0"x1'-3" Conc. Posts @ 12'</t>
  </si>
  <si>
    <t>3"x3" Precast Rail Spindles @ 9"</t>
  </si>
  <si>
    <t xml:space="preserve">Conc. Curb 1'-8"x9" </t>
  </si>
  <si>
    <t>Conc. Cap Section</t>
  </si>
  <si>
    <t>Web Section above arches, say 4" high</t>
  </si>
  <si>
    <t>Straight portion of Posts @ 1'-3"</t>
  </si>
  <si>
    <t>1st layer addition to e.f. of Posts</t>
  </si>
  <si>
    <t>2nd layer addition to e.f. of Posts</t>
  </si>
  <si>
    <t>Layer of addition to Posts into voids</t>
  </si>
  <si>
    <t>Curved portion of Posts @ 1'-3"</t>
  </si>
  <si>
    <t>Conc. Curb 1'-2"x6"</t>
  </si>
  <si>
    <t>Conc. Intermediate Posts 1'-1"x1'-4" @ 30'</t>
  </si>
  <si>
    <t>Conc. Main Posts 1'-4.5"x1'-10" @ 30'</t>
  </si>
  <si>
    <t>Conc. Main Posts 1'-2"x1'-9" @ 15'</t>
  </si>
  <si>
    <t>Layer addition to e.f. of Posts</t>
  </si>
  <si>
    <t>3.5: dia. E.S. Pipe Rail</t>
  </si>
  <si>
    <t>2 - 3C5.0 Rails</t>
  </si>
  <si>
    <t>3" dia. E.S. Pipe Rail</t>
  </si>
  <si>
    <t>3 - 3/4"x1" Vert. Bars @ 11" full height</t>
  </si>
  <si>
    <t>2 - 3/4"x1" Vert. Bars @ 11" short ends</t>
  </si>
  <si>
    <t>4x6 S4S in Timber Curb</t>
  </si>
  <si>
    <t>2x12 S4S in Timber Curb</t>
  </si>
  <si>
    <t>C6x15.3 Posts @ 9'</t>
  </si>
  <si>
    <t>1'-2" wide Conc. Rail at Top</t>
  </si>
  <si>
    <t>Wood "pickets"</t>
  </si>
  <si>
    <t>1'-2" wide Conc. Curb at Top of Sdwk</t>
  </si>
  <si>
    <t>Intermediate Conc.Posts</t>
  </si>
  <si>
    <t>Main Conc. Posts (ends of spans)</t>
  </si>
  <si>
    <t>2 - 6x6 S4S Timber Rails</t>
  </si>
  <si>
    <t>5 - 3x3 S4S Timber Spindles @ say 8'</t>
  </si>
  <si>
    <t>1'-6"x12" Conc. Posts @ say 8'</t>
  </si>
  <si>
    <t>Conc. Curb 1'-6"x11"</t>
  </si>
  <si>
    <t>Web Section above arches, 1.5" high</t>
  </si>
  <si>
    <t>Straight portion of Posts @ 1'-5"</t>
  </si>
  <si>
    <t>Ornamental Rings around Posts</t>
  </si>
  <si>
    <t>Curved portion of Posts @ 1'-5"</t>
  </si>
  <si>
    <t>Web Section above arches, 2" high</t>
  </si>
  <si>
    <t>Precast "Web" Sections (solid)</t>
  </si>
  <si>
    <t>6" Obround Voids in "Web" Sect. @ 12"</t>
  </si>
  <si>
    <t>Conc. Curb 1'-7"x11"</t>
  </si>
  <si>
    <t>Conc. Pilasters say 1'-3"x2' @ 10'</t>
  </si>
  <si>
    <t>Combination Conc. Parapet &amp; Steel Rail</t>
  </si>
  <si>
    <t>with Restraininng Grate (gorilla cage)</t>
  </si>
  <si>
    <t>C3x5.0 channel at bottom</t>
  </si>
  <si>
    <t>3/4" square long verts at 6" ctrs</t>
  </si>
  <si>
    <t>3/4" square short verts at 6" ctrs</t>
  </si>
  <si>
    <t>Conc parapet behind ornamental rail</t>
  </si>
  <si>
    <t>Conc curb below ornamental rail</t>
  </si>
  <si>
    <t>1" square verts @ 4"</t>
  </si>
  <si>
    <t>2.5" Diam E.S. Pipe rail</t>
  </si>
  <si>
    <t>C2.5x2.32 channel welded to pipe rail</t>
  </si>
  <si>
    <t>C2x1.86 horiz. channel below pipe</t>
  </si>
  <si>
    <t>C4x5.4 horiz. channel near top</t>
  </si>
  <si>
    <t>C4x5.4 horiz. channel near bottom</t>
  </si>
  <si>
    <t>37650</t>
  </si>
  <si>
    <t>TS 5x5x1/4 posts @ 10 ft</t>
  </si>
  <si>
    <t>Conc posts @ 10 ft</t>
  </si>
  <si>
    <t>BR200</t>
  </si>
  <si>
    <t>Same as Dwg 49061</t>
  </si>
  <si>
    <t>BR206</t>
  </si>
  <si>
    <t>Same as Dwg 50494</t>
  </si>
  <si>
    <t>BR216</t>
  </si>
  <si>
    <t>BR220</t>
  </si>
  <si>
    <t>BR226</t>
  </si>
  <si>
    <t>BR233</t>
  </si>
  <si>
    <t>Same as Dwg 43542</t>
  </si>
  <si>
    <t>BR240</t>
  </si>
  <si>
    <t>Same as Dwg 50810</t>
  </si>
  <si>
    <t>Protective Fencing, type "B" section, w/small curb</t>
  </si>
  <si>
    <t>Protective Fencing, type "A" section, w/curb</t>
  </si>
  <si>
    <t>Protective Fencing, type "C" section, w/type F rail</t>
  </si>
  <si>
    <t>Curb (Detail "A")</t>
  </si>
  <si>
    <t>Protective Fencing, type "A" section, w/comb. Rail</t>
  </si>
  <si>
    <t>Std. Type F section</t>
  </si>
  <si>
    <t>BR246</t>
  </si>
  <si>
    <t>Same as Dwg 46610</t>
  </si>
  <si>
    <t>BR250</t>
  </si>
  <si>
    <t>Pedestrian Rail on Concrete Parapet</t>
  </si>
  <si>
    <t>BR253</t>
  </si>
  <si>
    <t>Same as Dwg 47204</t>
  </si>
  <si>
    <t>BR256</t>
  </si>
  <si>
    <t>Same as Dwg 47168</t>
  </si>
  <si>
    <t>Same as Dwg 43855</t>
  </si>
  <si>
    <t>BR260</t>
  </si>
  <si>
    <t>Chain Link Fencing on Type F Concrete Rail</t>
  </si>
  <si>
    <t>Chain Link Fencing on Concrete Parapet</t>
  </si>
  <si>
    <t>Pedestrian Rail on Type F Concrete Rail</t>
  </si>
  <si>
    <t xml:space="preserve">Same as Dwg 42807 </t>
  </si>
  <si>
    <t>BR263</t>
  </si>
  <si>
    <t>Same as Dwg 47646</t>
  </si>
  <si>
    <t>BR283</t>
  </si>
  <si>
    <t>BR286</t>
  </si>
  <si>
    <t>Same as Dwg 50030</t>
  </si>
  <si>
    <t>Same as Dwg 43495</t>
  </si>
  <si>
    <t>BR290</t>
  </si>
  <si>
    <t>3'-6" Type "F" Concrete Bridge Rail</t>
  </si>
  <si>
    <t>61118</t>
  </si>
  <si>
    <t>Tall concrete "F" Rail</t>
  </si>
  <si>
    <t>Conc. Triangle 3.425"x31.693"</t>
  </si>
  <si>
    <t>Conc. Triangle 4.921"x7.087"</t>
  </si>
  <si>
    <t>Conc. Rectangle 6.417"x31.693"</t>
  </si>
  <si>
    <t>Conc. Rectangle 9.843"x7.087"</t>
  </si>
  <si>
    <t>Conc. Rectangle 14.764"x2.953"</t>
  </si>
  <si>
    <t>BR280</t>
  </si>
  <si>
    <t>Type "F" Concrete Rail Repl. of Existing Parapet Rail</t>
  </si>
  <si>
    <t>RECENT STANDARD BRIDGE RAILS...</t>
  </si>
  <si>
    <t>Conc. Rectangle 7.5"x32"</t>
  </si>
  <si>
    <t>Conc. Triangle 2.375"x22"x0.5</t>
  </si>
  <si>
    <t>Conc. Rectangle 2.375"x10"</t>
  </si>
  <si>
    <t>Conc. Triangle 4.875"x7"x0.5</t>
  </si>
  <si>
    <t>Conc. Rectangle 4.875"x3"</t>
  </si>
  <si>
    <t>W 8x24 posts @ 11'-2"</t>
  </si>
  <si>
    <t>Varies</t>
  </si>
  <si>
    <t>2 - HSS 5x5x5/16 rails</t>
  </si>
  <si>
    <t xml:space="preserve">  Steel=</t>
  </si>
  <si>
    <t>Densities  (k/in2/ft)</t>
  </si>
  <si>
    <t>W 8x24 posts @ 10'</t>
  </si>
  <si>
    <t>2 - HSS 7x7x0.25 rails</t>
  </si>
  <si>
    <t>HSS 7x4x0.25 rail</t>
  </si>
  <si>
    <t>W8x24 posts @ 10'</t>
  </si>
  <si>
    <t>Conc. Rectangle 9"x42"</t>
  </si>
  <si>
    <t>Conc. Triangle 3.375"x32"x0.5</t>
  </si>
  <si>
    <t>Conc. Rectangle 3.375"x10"</t>
  </si>
  <si>
    <t>k/post</t>
  </si>
  <si>
    <t>TS 5x3x0.25 rail</t>
  </si>
  <si>
    <t>BR208</t>
  </si>
  <si>
    <t>Conc. Curb 1'-7.5"x7"</t>
  </si>
  <si>
    <t>BR212</t>
  </si>
  <si>
    <t>Concrete Post and Beam Bridge Rail</t>
  </si>
  <si>
    <t>BR214</t>
  </si>
  <si>
    <t>Concrete Parapet with Steel Post</t>
  </si>
  <si>
    <t>Flush Mounted Combination Rail, 3'-6 1/2" high</t>
  </si>
  <si>
    <t>HSS 4x4x0.1875 posts @ 6'-8"</t>
  </si>
  <si>
    <t>HSS 4x3x0.25 rail</t>
  </si>
  <si>
    <t>2 - HSS 4x3x0.25 rail</t>
  </si>
  <si>
    <t>Same as Dwg BR216</t>
  </si>
  <si>
    <t>BR221</t>
  </si>
  <si>
    <t>32" Vertical Concrete Rail</t>
  </si>
  <si>
    <t>HSS 8x4x0.3125 rail</t>
  </si>
  <si>
    <t>HSS 6x4x0.25 rail</t>
  </si>
  <si>
    <t>HSS 6x4x0.25x4" bracket @ 6'-3"</t>
  </si>
  <si>
    <t>HSS 6x3x0.25x3.5" bracket @ 6'-3"</t>
  </si>
  <si>
    <t>2 - HSS 3x2x0.25 spacers</t>
  </si>
  <si>
    <t>Protective Fencing, type "D" section, w/2-rube rail</t>
  </si>
  <si>
    <t>includes fence and rail</t>
  </si>
  <si>
    <t>Sidewalk Mounted Concrte Parapet with Chain Link Fence</t>
  </si>
  <si>
    <t>2 - HSS 2.5x1x0.12 rails</t>
  </si>
  <si>
    <t>HSS 2.5x1.5x0.25 anchor posts</t>
  </si>
  <si>
    <t>HSS 2.5x1x0.12 intermediate rails</t>
  </si>
  <si>
    <t>Chain Link Fence 10'-7" high curved</t>
  </si>
  <si>
    <t>Combo. Rail (Detail "A")</t>
  </si>
  <si>
    <t>Protective Fencing, type "A" section, w/combo. Rail</t>
  </si>
  <si>
    <t>Same as BR206</t>
  </si>
  <si>
    <t>Protective Fencing, type "D" section, w/2 Tube rail</t>
  </si>
  <si>
    <t>2-Tube metal rail and curb</t>
  </si>
  <si>
    <t>Same as 43497</t>
  </si>
  <si>
    <t>2-tube curb mount rail</t>
  </si>
  <si>
    <t>HSS 2.5x1x0.12 anchor posts</t>
  </si>
  <si>
    <t>HSS 2.5x1x0.12 interm. posts</t>
  </si>
  <si>
    <t xml:space="preserve">              CURRENT STANDARD BRIDGE RAILS (ENGLISH SYSTEM)...</t>
  </si>
  <si>
    <t xml:space="preserve">              RECENT STANDARD BRIDGE RAILS (ENGLISH SYSTEM)...</t>
  </si>
  <si>
    <t xml:space="preserve">              "HISTORIC" STANDARD BRIDGE RAILS...</t>
  </si>
  <si>
    <t>Last Updated</t>
  </si>
  <si>
    <t>Rail Transition from Flex Beam Rail to Curb &amp; Parapet Rail</t>
  </si>
  <si>
    <t>BR273</t>
  </si>
  <si>
    <t>Same as BR200</t>
  </si>
  <si>
    <t>Same as Dwg 49060 &amp; BR200 plus anchor rods weight</t>
  </si>
  <si>
    <t>Conc. rectangle 7-3/4"x22"</t>
  </si>
  <si>
    <t>Conc. rectangle 10-1/8"x1"</t>
  </si>
  <si>
    <t>Type "F" Conc. Rail Retrofit of Existing Parapet Rail, 3" curb</t>
  </si>
  <si>
    <t>Type "F" Conc. Rail Retrofit of Existing Parapet Rail, 6" curb</t>
  </si>
  <si>
    <t>Type "F" Conc. Rail Retrofit of Existing Parapet Rail, 18" curb</t>
  </si>
  <si>
    <t>2 - HSS 5x5x0.3125 rails</t>
  </si>
  <si>
    <t>2 - connecting PL 5x11x1/4, @ approx. 8'-0"</t>
  </si>
  <si>
    <t>2 - connecting PL 5x11x1/4, say @ 8'-0"</t>
  </si>
  <si>
    <t>BR245</t>
  </si>
  <si>
    <t>Protective Fencing, w/spash-board</t>
  </si>
  <si>
    <t>Chain Link Fence 5' high</t>
  </si>
  <si>
    <t>Std. Type F Rail</t>
  </si>
  <si>
    <t>Aluminum Splash Guard</t>
  </si>
  <si>
    <t>Conc. Rectangle 12"x12"</t>
  </si>
  <si>
    <t>Conc. Rectangle 23"x9"</t>
  </si>
  <si>
    <t>Conc. Triangle 22"x4"</t>
  </si>
  <si>
    <t>Conc. Curb 9"x21"</t>
  </si>
  <si>
    <t>Conc. Curb</t>
  </si>
  <si>
    <t>HSS 10x4x0.25 rail</t>
  </si>
  <si>
    <t>Sidewalk Mounted Combination Bridge Rail - Short</t>
  </si>
  <si>
    <t>Sidewalk Mounted Combination Bridge Rail - Tall</t>
  </si>
  <si>
    <t>Flush Mounted Combination Bridge Rail - Short</t>
  </si>
  <si>
    <t>Flush Mounted Combination Bridge Rail - Tall</t>
  </si>
  <si>
    <t xml:space="preserve">  Concrete Post and Beam Bridge Rail</t>
  </si>
  <si>
    <t xml:space="preserve">  Concrete Parapet with Steel Post</t>
  </si>
  <si>
    <t xml:space="preserve">  32" Vertical Concrete Rail</t>
  </si>
  <si>
    <t xml:space="preserve">  Protective Fencing, type "D" section, w/2-rube rail</t>
  </si>
  <si>
    <t xml:space="preserve">  Protective Fencing, with splash board</t>
  </si>
  <si>
    <t>Type "F" Conc. Rail Retrofit of Existing Parapet Rail, w/3" curb</t>
  </si>
  <si>
    <t>Type "F" Conc. Rail Retrofit of Existing Parapet Rail, w/6" curb</t>
  </si>
  <si>
    <t>Type "F" Conc. Rail Retrofit of Existing Parapet Rail, w/18" curb</t>
  </si>
  <si>
    <t>CURRENT STANDARD BRIDGE RAILS (ENGLISH SYSTEM)...</t>
  </si>
  <si>
    <t>Rev. 10/2014</t>
  </si>
  <si>
    <t>E. Maurer</t>
  </si>
  <si>
    <t>Sidewalk Mounted Combination Rail, 3'-6 1/2" high</t>
  </si>
  <si>
    <t>HSS 7x5x0.3125 post @ 8'</t>
  </si>
  <si>
    <t xml:space="preserve">Conservatively measured post height to top of rail to compensate for plates. </t>
  </si>
  <si>
    <t>12/2014, E.Maurer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</si>
</sst>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\ \ @"/>
    <numFmt numFmtId="168" formatCode="m/d/yy\ \ "/>
  </numFmts>
  <fonts count="51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name val="Symbol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E02B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AD8A1"/>
        <bgColor indexed="64"/>
      </patternFill>
    </fill>
    <fill>
      <patternFill patternType="solid">
        <fgColor theme="3" tint="0.799979984760284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ck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double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double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ck"/>
      <right style="thick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</borders>
  <cellStyleXfs count="63">
    <xf numFmtId="164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3">
    <xf numFmtId="164" fontId="0" fillId="0" borderId="0" xfId="0" applyAlignment="1">
      <alignment horizontal="right"/>
    </xf>
    <xf numFmtId="164" fontId="0" fillId="0" borderId="0" xfId="0" applyAlignment="1" quotePrefix="1">
      <alignment horizontal="left"/>
    </xf>
    <xf numFmtId="164" fontId="0" fillId="0" borderId="0" xfId="0" applyAlignment="1" quotePrefix="1">
      <alignment horizontal="center"/>
    </xf>
    <xf numFmtId="164" fontId="0" fillId="0" borderId="0" xfId="0" applyBorder="1" applyAlignment="1" quotePrefix="1">
      <alignment horizontal="center"/>
    </xf>
    <xf numFmtId="164" fontId="0" fillId="0" borderId="10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left"/>
    </xf>
    <xf numFmtId="164" fontId="0" fillId="0" borderId="10" xfId="0" applyBorder="1" applyAlignment="1" quotePrefix="1">
      <alignment horizontal="left"/>
    </xf>
    <xf numFmtId="165" fontId="0" fillId="0" borderId="0" xfId="0" applyNumberFormat="1" applyAlignment="1">
      <alignment horizontal="right"/>
    </xf>
    <xf numFmtId="164" fontId="0" fillId="0" borderId="10" xfId="0" applyBorder="1" applyAlignment="1">
      <alignment horizontal="left"/>
    </xf>
    <xf numFmtId="164" fontId="0" fillId="0" borderId="10" xfId="0" applyBorder="1" applyAlignment="1" quotePrefix="1">
      <alignment horizontal="center"/>
    </xf>
    <xf numFmtId="164" fontId="0" fillId="0" borderId="0" xfId="0" applyBorder="1" applyAlignment="1">
      <alignment horizontal="left"/>
    </xf>
    <xf numFmtId="164" fontId="0" fillId="0" borderId="11" xfId="0" applyBorder="1" applyAlignment="1">
      <alignment horizontal="right"/>
    </xf>
    <xf numFmtId="164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4" fontId="0" fillId="0" borderId="10" xfId="0" applyBorder="1" applyAlignment="1">
      <alignment horizontal="right"/>
    </xf>
    <xf numFmtId="164" fontId="0" fillId="0" borderId="12" xfId="0" applyBorder="1" applyAlignment="1">
      <alignment horizontal="right"/>
    </xf>
    <xf numFmtId="164" fontId="0" fillId="0" borderId="13" xfId="0" applyBorder="1" applyAlignment="1">
      <alignment horizontal="right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right"/>
    </xf>
    <xf numFmtId="164" fontId="0" fillId="0" borderId="0" xfId="0" applyBorder="1" applyAlignment="1" quotePrefix="1">
      <alignment horizontal="lef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0" xfId="0" applyNumberFormat="1" applyBorder="1" applyAlignment="1" quotePrefix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13" xfId="0" applyBorder="1" applyAlignment="1">
      <alignment horizontal="left"/>
    </xf>
    <xf numFmtId="164" fontId="0" fillId="0" borderId="0" xfId="0" applyBorder="1" applyAlignment="1">
      <alignment horizontal="right"/>
    </xf>
    <xf numFmtId="164" fontId="0" fillId="0" borderId="0" xfId="0" applyAlignment="1">
      <alignment horizontal="right"/>
    </xf>
    <xf numFmtId="164" fontId="0" fillId="0" borderId="0" xfId="0" applyAlignment="1" quotePrefix="1">
      <alignment horizontal="right"/>
    </xf>
    <xf numFmtId="164" fontId="0" fillId="0" borderId="10" xfId="0" applyBorder="1" applyAlignment="1" quotePrefix="1">
      <alignment horizontal="right"/>
    </xf>
    <xf numFmtId="165" fontId="0" fillId="0" borderId="0" xfId="0" applyNumberFormat="1" applyBorder="1" applyAlignment="1">
      <alignment horizontal="right"/>
    </xf>
    <xf numFmtId="164" fontId="0" fillId="0" borderId="0" xfId="0" applyBorder="1" applyAlignment="1">
      <alignment horizontal="right"/>
    </xf>
    <xf numFmtId="164" fontId="0" fillId="0" borderId="0" xfId="0" applyBorder="1" applyAlignment="1" quotePrefix="1">
      <alignment horizontal="right"/>
    </xf>
    <xf numFmtId="164" fontId="0" fillId="0" borderId="13" xfId="0" applyBorder="1" applyAlignment="1" quotePrefix="1">
      <alignment horizontal="left"/>
    </xf>
    <xf numFmtId="164" fontId="0" fillId="0" borderId="14" xfId="0" applyBorder="1" applyAlignment="1" quotePrefix="1">
      <alignment horizontal="left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4" xfId="0" applyBorder="1" applyAlignment="1">
      <alignment horizontal="left"/>
    </xf>
    <xf numFmtId="164" fontId="0" fillId="0" borderId="10" xfId="0" applyNumberFormat="1" applyBorder="1" applyAlignment="1">
      <alignment horizontal="right"/>
    </xf>
    <xf numFmtId="164" fontId="0" fillId="0" borderId="13" xfId="0" applyFont="1" applyBorder="1" applyAlignment="1" quotePrefix="1">
      <alignment horizontal="left"/>
    </xf>
    <xf numFmtId="164" fontId="0" fillId="0" borderId="15" xfId="0" applyBorder="1" applyAlignment="1" quotePrefix="1">
      <alignment horizontal="lef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5" xfId="0" applyBorder="1" applyAlignment="1">
      <alignment horizontal="right"/>
    </xf>
    <xf numFmtId="164" fontId="0" fillId="0" borderId="0" xfId="0" applyNumberFormat="1" applyBorder="1" applyAlignment="1" quotePrefix="1">
      <alignment horizontal="right"/>
    </xf>
    <xf numFmtId="164" fontId="0" fillId="0" borderId="14" xfId="0" applyFont="1" applyBorder="1" applyAlignment="1" quotePrefix="1">
      <alignment horizontal="left"/>
    </xf>
    <xf numFmtId="164" fontId="0" fillId="0" borderId="16" xfId="0" applyBorder="1" applyAlignment="1" quotePrefix="1">
      <alignment horizontal="left"/>
    </xf>
    <xf numFmtId="165" fontId="0" fillId="0" borderId="15" xfId="0" applyNumberFormat="1" applyBorder="1" applyAlignment="1">
      <alignment horizontal="right"/>
    </xf>
    <xf numFmtId="164" fontId="0" fillId="0" borderId="0" xfId="0" applyBorder="1" applyAlignment="1">
      <alignment horizontal="centerContinuous"/>
    </xf>
    <xf numFmtId="164" fontId="0" fillId="0" borderId="0" xfId="0" applyFont="1" applyBorder="1" applyAlignment="1" quotePrefix="1">
      <alignment horizontal="left"/>
    </xf>
    <xf numFmtId="164" fontId="0" fillId="0" borderId="10" xfId="0" applyFont="1" applyBorder="1" applyAlignment="1" quotePrefix="1">
      <alignment horizontal="left"/>
    </xf>
    <xf numFmtId="164" fontId="6" fillId="0" borderId="13" xfId="0" applyFont="1" applyBorder="1" applyAlignment="1" quotePrefix="1">
      <alignment horizontal="centerContinuous"/>
    </xf>
    <xf numFmtId="164" fontId="0" fillId="0" borderId="14" xfId="0" applyFont="1" applyFill="1" applyBorder="1" applyAlignment="1" quotePrefix="1">
      <alignment horizontal="center"/>
    </xf>
    <xf numFmtId="164" fontId="0" fillId="0" borderId="14" xfId="0" applyBorder="1" applyAlignment="1" quotePrefix="1">
      <alignment horizontal="center"/>
    </xf>
    <xf numFmtId="164" fontId="0" fillId="0" borderId="0" xfId="0" applyAlignment="1">
      <alignment horizontal="center"/>
    </xf>
    <xf numFmtId="164" fontId="0" fillId="0" borderId="17" xfId="0" applyFont="1" applyFill="1" applyBorder="1" applyAlignment="1" quotePrefix="1">
      <alignment horizontal="center"/>
    </xf>
    <xf numFmtId="164" fontId="0" fillId="0" borderId="12" xfId="0" applyFont="1" applyFill="1" applyBorder="1" applyAlignment="1" quotePrefix="1">
      <alignment horizontal="center"/>
    </xf>
    <xf numFmtId="164" fontId="0" fillId="0" borderId="12" xfId="0" applyBorder="1" applyAlignment="1" quotePrefix="1">
      <alignment horizontal="center"/>
    </xf>
    <xf numFmtId="164" fontId="0" fillId="0" borderId="11" xfId="0" applyBorder="1" applyAlignment="1">
      <alignment horizontal="center"/>
    </xf>
    <xf numFmtId="167" fontId="0" fillId="0" borderId="0" xfId="0" applyNumberFormat="1" applyBorder="1" applyAlignment="1">
      <alignment horizontal="right"/>
    </xf>
    <xf numFmtId="167" fontId="0" fillId="0" borderId="13" xfId="0" applyNumberFormat="1" applyBorder="1" applyAlignment="1">
      <alignment horizontal="centerContinuous"/>
    </xf>
    <xf numFmtId="167" fontId="0" fillId="0" borderId="13" xfId="0" applyNumberFormat="1" applyBorder="1" applyAlignment="1">
      <alignment horizontal="right"/>
    </xf>
    <xf numFmtId="164" fontId="0" fillId="0" borderId="18" xfId="0" applyBorder="1" applyAlignment="1" quotePrefix="1">
      <alignment horizontal="left"/>
    </xf>
    <xf numFmtId="164" fontId="0" fillId="0" borderId="19" xfId="0" applyBorder="1" applyAlignment="1" quotePrefix="1">
      <alignment horizontal="center"/>
    </xf>
    <xf numFmtId="164" fontId="0" fillId="0" borderId="20" xfId="0" applyFont="1" applyFill="1" applyBorder="1" applyAlignment="1" quotePrefix="1">
      <alignment horizontal="center"/>
    </xf>
    <xf numFmtId="164" fontId="0" fillId="0" borderId="21" xfId="0" applyFont="1" applyFill="1" applyBorder="1" applyAlignment="1" quotePrefix="1">
      <alignment horizontal="center"/>
    </xf>
    <xf numFmtId="164" fontId="0" fillId="0" borderId="20" xfId="0" applyBorder="1" applyAlignment="1" quotePrefix="1">
      <alignment horizontal="center"/>
    </xf>
    <xf numFmtId="164" fontId="0" fillId="0" borderId="21" xfId="0" applyBorder="1" applyAlignment="1" quotePrefix="1">
      <alignment horizontal="center"/>
    </xf>
    <xf numFmtId="164" fontId="0" fillId="0" borderId="22" xfId="0" applyBorder="1" applyAlignment="1" quotePrefix="1">
      <alignment horizontal="center"/>
    </xf>
    <xf numFmtId="164" fontId="0" fillId="0" borderId="23" xfId="0" applyBorder="1" applyAlignment="1" quotePrefix="1">
      <alignment horizontal="center"/>
    </xf>
    <xf numFmtId="164" fontId="0" fillId="0" borderId="24" xfId="0" applyBorder="1" applyAlignment="1" quotePrefix="1">
      <alignment horizontal="center"/>
    </xf>
    <xf numFmtId="164" fontId="0" fillId="0" borderId="25" xfId="0" applyBorder="1" applyAlignment="1" quotePrefix="1">
      <alignment horizontal="center"/>
    </xf>
    <xf numFmtId="164" fontId="0" fillId="0" borderId="18" xfId="0" applyBorder="1" applyAlignment="1" quotePrefix="1">
      <alignment horizontal="center"/>
    </xf>
    <xf numFmtId="164" fontId="8" fillId="0" borderId="26" xfId="0" applyFont="1" applyFill="1" applyBorder="1" applyAlignment="1">
      <alignment horizontal="center"/>
    </xf>
    <xf numFmtId="164" fontId="9" fillId="0" borderId="11" xfId="0" applyFont="1" applyBorder="1" applyAlignment="1" quotePrefix="1">
      <alignment horizontal="centerContinuous"/>
    </xf>
    <xf numFmtId="164" fontId="9" fillId="0" borderId="0" xfId="0" applyFont="1" applyBorder="1" applyAlignment="1" quotePrefix="1">
      <alignment horizontal="centerContinuous"/>
    </xf>
    <xf numFmtId="164" fontId="6" fillId="0" borderId="0" xfId="0" applyFont="1" applyBorder="1" applyAlignment="1" quotePrefix="1">
      <alignment horizontal="centerContinuous"/>
    </xf>
    <xf numFmtId="167" fontId="0" fillId="0" borderId="0" xfId="0" applyNumberFormat="1" applyBorder="1" applyAlignment="1">
      <alignment horizontal="centerContinuous"/>
    </xf>
    <xf numFmtId="168" fontId="0" fillId="0" borderId="0" xfId="0" applyNumberFormat="1" applyBorder="1" applyAlignment="1">
      <alignment horizontal="right"/>
    </xf>
    <xf numFmtId="164" fontId="0" fillId="0" borderId="18" xfId="0" applyBorder="1" applyAlignment="1">
      <alignment horizontal="left"/>
    </xf>
    <xf numFmtId="164" fontId="0" fillId="0" borderId="16" xfId="0" applyBorder="1" applyAlignment="1">
      <alignment horizontal="left"/>
    </xf>
    <xf numFmtId="164" fontId="0" fillId="0" borderId="15" xfId="0" applyBorder="1" applyAlignment="1">
      <alignment horizontal="left"/>
    </xf>
    <xf numFmtId="164" fontId="0" fillId="0" borderId="15" xfId="0" applyBorder="1" applyAlignment="1">
      <alignment horizontal="right"/>
    </xf>
    <xf numFmtId="164" fontId="0" fillId="0" borderId="15" xfId="0" applyBorder="1" applyAlignment="1" quotePrefix="1">
      <alignment horizontal="center"/>
    </xf>
    <xf numFmtId="164" fontId="0" fillId="0" borderId="15" xfId="0" applyBorder="1" applyAlignment="1" quotePrefix="1">
      <alignment horizontal="right"/>
    </xf>
    <xf numFmtId="164" fontId="0" fillId="0" borderId="18" xfId="0" applyBorder="1" applyAlignment="1">
      <alignment horizontal="center"/>
    </xf>
    <xf numFmtId="165" fontId="0" fillId="0" borderId="18" xfId="0" applyNumberFormat="1" applyBorder="1" applyAlignment="1" quotePrefix="1">
      <alignment horizontal="center"/>
    </xf>
    <xf numFmtId="164" fontId="0" fillId="0" borderId="19" xfId="0" applyBorder="1" applyAlignment="1">
      <alignment horizontal="left"/>
    </xf>
    <xf numFmtId="164" fontId="0" fillId="0" borderId="27" xfId="0" applyFont="1" applyFill="1" applyBorder="1" applyAlignment="1">
      <alignment horizontal="center"/>
    </xf>
    <xf numFmtId="164" fontId="0" fillId="0" borderId="28" xfId="0" applyFont="1" applyFill="1" applyBorder="1" applyAlignment="1" quotePrefix="1">
      <alignment horizontal="center"/>
    </xf>
    <xf numFmtId="164" fontId="0" fillId="0" borderId="29" xfId="0" applyBorder="1" applyAlignment="1">
      <alignment horizontal="center"/>
    </xf>
    <xf numFmtId="164" fontId="0" fillId="0" borderId="11" xfId="0" applyBorder="1" applyAlignment="1">
      <alignment horizontal="right"/>
    </xf>
    <xf numFmtId="164" fontId="0" fillId="0" borderId="12" xfId="0" applyBorder="1" applyAlignment="1">
      <alignment horizontal="right"/>
    </xf>
    <xf numFmtId="164" fontId="0" fillId="0" borderId="30" xfId="0" applyBorder="1" applyAlignment="1">
      <alignment horizontal="right"/>
    </xf>
    <xf numFmtId="164" fontId="0" fillId="0" borderId="17" xfId="0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30" xfId="0" applyNumberFormat="1" applyBorder="1" applyAlignment="1">
      <alignment horizontal="right"/>
    </xf>
    <xf numFmtId="164" fontId="0" fillId="0" borderId="0" xfId="0" applyFill="1" applyBorder="1" applyAlignment="1">
      <alignment horizontal="right"/>
    </xf>
    <xf numFmtId="164" fontId="49" fillId="0" borderId="0" xfId="0" applyFont="1" applyAlignment="1">
      <alignment horizontal="left"/>
    </xf>
    <xf numFmtId="164" fontId="0" fillId="0" borderId="0" xfId="0" applyFont="1" applyAlignment="1" quotePrefix="1">
      <alignment horizontal="left"/>
    </xf>
    <xf numFmtId="164" fontId="0" fillId="0" borderId="31" xfId="0" applyBorder="1" applyAlignment="1">
      <alignment horizontal="center"/>
    </xf>
    <xf numFmtId="165" fontId="0" fillId="0" borderId="0" xfId="0" applyNumberFormat="1" applyBorder="1" applyAlignment="1" quotePrefix="1">
      <alignment horizontal="right"/>
    </xf>
    <xf numFmtId="164" fontId="0" fillId="0" borderId="11" xfId="0" applyBorder="1" applyAlignment="1" quotePrefix="1">
      <alignment horizontal="right"/>
    </xf>
    <xf numFmtId="165" fontId="0" fillId="0" borderId="22" xfId="0" applyNumberForma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164" fontId="0" fillId="33" borderId="13" xfId="0" applyFill="1" applyBorder="1" applyAlignment="1" quotePrefix="1">
      <alignment horizontal="left"/>
    </xf>
    <xf numFmtId="164" fontId="0" fillId="33" borderId="15" xfId="0" applyFill="1" applyBorder="1" applyAlignment="1" quotePrefix="1">
      <alignment horizontal="left"/>
    </xf>
    <xf numFmtId="164" fontId="0" fillId="33" borderId="0" xfId="0" applyFont="1" applyFill="1" applyAlignment="1" quotePrefix="1">
      <alignment horizontal="left"/>
    </xf>
    <xf numFmtId="164" fontId="0" fillId="33" borderId="0" xfId="0" applyFill="1" applyAlignment="1">
      <alignment horizontal="right"/>
    </xf>
    <xf numFmtId="165" fontId="0" fillId="33" borderId="0" xfId="0" applyNumberFormat="1" applyFill="1" applyAlignment="1">
      <alignment horizontal="right"/>
    </xf>
    <xf numFmtId="164" fontId="0" fillId="33" borderId="0" xfId="0" applyFill="1" applyAlignment="1">
      <alignment horizontal="right"/>
    </xf>
    <xf numFmtId="164" fontId="0" fillId="33" borderId="11" xfId="0" applyFill="1" applyBorder="1" applyAlignment="1">
      <alignment horizontal="right"/>
    </xf>
    <xf numFmtId="164" fontId="0" fillId="33" borderId="0" xfId="0" applyFill="1" applyBorder="1" applyAlignment="1" quotePrefix="1">
      <alignment horizontal="left"/>
    </xf>
    <xf numFmtId="164" fontId="0" fillId="33" borderId="0" xfId="0" applyFill="1" applyAlignment="1">
      <alignment horizontal="left"/>
    </xf>
    <xf numFmtId="164" fontId="0" fillId="33" borderId="14" xfId="0" applyFill="1" applyBorder="1" applyAlignment="1" quotePrefix="1">
      <alignment horizontal="left"/>
    </xf>
    <xf numFmtId="164" fontId="0" fillId="33" borderId="10" xfId="0" applyFill="1" applyBorder="1" applyAlignment="1" quotePrefix="1">
      <alignment horizontal="left"/>
    </xf>
    <xf numFmtId="164" fontId="0" fillId="33" borderId="10" xfId="0" applyFill="1" applyBorder="1" applyAlignment="1">
      <alignment horizontal="left"/>
    </xf>
    <xf numFmtId="164" fontId="0" fillId="33" borderId="10" xfId="0" applyFill="1" applyBorder="1" applyAlignment="1">
      <alignment horizontal="right"/>
    </xf>
    <xf numFmtId="165" fontId="0" fillId="33" borderId="0" xfId="0" applyNumberFormat="1" applyFill="1" applyBorder="1" applyAlignment="1">
      <alignment horizontal="right"/>
    </xf>
    <xf numFmtId="164" fontId="0" fillId="33" borderId="10" xfId="0" applyFill="1" applyBorder="1" applyAlignment="1">
      <alignment horizontal="right"/>
    </xf>
    <xf numFmtId="164" fontId="0" fillId="33" borderId="12" xfId="0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0" fillId="33" borderId="16" xfId="0" applyFill="1" applyBorder="1" applyAlignment="1" quotePrefix="1">
      <alignment horizontal="left"/>
    </xf>
    <xf numFmtId="164" fontId="0" fillId="33" borderId="0" xfId="0" applyFill="1" applyBorder="1" applyAlignment="1">
      <alignment horizontal="left"/>
    </xf>
    <xf numFmtId="164" fontId="0" fillId="33" borderId="0" xfId="0" applyFill="1" applyBorder="1" applyAlignment="1">
      <alignment horizontal="right"/>
    </xf>
    <xf numFmtId="164" fontId="0" fillId="33" borderId="0" xfId="0" applyFill="1" applyBorder="1" applyAlignment="1">
      <alignment horizontal="right"/>
    </xf>
    <xf numFmtId="165" fontId="0" fillId="33" borderId="10" xfId="0" applyNumberFormat="1" applyFill="1" applyBorder="1" applyAlignment="1">
      <alignment horizontal="right"/>
    </xf>
    <xf numFmtId="164" fontId="0" fillId="0" borderId="13" xfId="0" applyFill="1" applyBorder="1" applyAlignment="1">
      <alignment horizontal="left"/>
    </xf>
    <xf numFmtId="164" fontId="0" fillId="0" borderId="15" xfId="0" applyFill="1" applyBorder="1" applyAlignment="1" quotePrefix="1">
      <alignment horizontal="left"/>
    </xf>
    <xf numFmtId="164" fontId="0" fillId="0" borderId="0" xfId="0" applyFill="1" applyBorder="1" applyAlignment="1">
      <alignment horizontal="left"/>
    </xf>
    <xf numFmtId="164" fontId="0" fillId="0" borderId="15" xfId="0" applyFill="1" applyBorder="1" applyAlignment="1">
      <alignment horizontal="right"/>
    </xf>
    <xf numFmtId="165" fontId="0" fillId="0" borderId="15" xfId="0" applyNumberFormat="1" applyFill="1" applyBorder="1" applyAlignment="1">
      <alignment horizontal="right"/>
    </xf>
    <xf numFmtId="164" fontId="0" fillId="0" borderId="15" xfId="0" applyFill="1" applyBorder="1" applyAlignment="1">
      <alignment horizontal="right"/>
    </xf>
    <xf numFmtId="164" fontId="0" fillId="0" borderId="13" xfId="0" applyFill="1" applyBorder="1" applyAlignment="1" quotePrefix="1">
      <alignment horizontal="left"/>
    </xf>
    <xf numFmtId="164" fontId="0" fillId="0" borderId="0" xfId="0" applyFill="1" applyBorder="1" applyAlignment="1" quotePrefix="1">
      <alignment horizontal="left"/>
    </xf>
    <xf numFmtId="165" fontId="0" fillId="0" borderId="0" xfId="0" applyNumberFormat="1" applyFill="1" applyBorder="1" applyAlignment="1">
      <alignment horizontal="right"/>
    </xf>
    <xf numFmtId="164" fontId="0" fillId="0" borderId="0" xfId="0" applyFill="1" applyBorder="1" applyAlignment="1">
      <alignment horizontal="right"/>
    </xf>
    <xf numFmtId="164" fontId="0" fillId="0" borderId="30" xfId="0" applyFill="1" applyBorder="1" applyAlignment="1">
      <alignment horizontal="right"/>
    </xf>
    <xf numFmtId="164" fontId="0" fillId="0" borderId="11" xfId="0" applyFill="1" applyBorder="1" applyAlignment="1">
      <alignment horizontal="right"/>
    </xf>
    <xf numFmtId="164" fontId="6" fillId="33" borderId="0" xfId="0" applyFont="1" applyFill="1" applyBorder="1" applyAlignment="1">
      <alignment horizontal="left"/>
    </xf>
    <xf numFmtId="165" fontId="0" fillId="33" borderId="0" xfId="0" applyNumberFormat="1" applyFill="1" applyBorder="1" applyAlignment="1">
      <alignment horizontal="right"/>
    </xf>
    <xf numFmtId="164" fontId="0" fillId="33" borderId="0" xfId="0" applyFill="1" applyAlignment="1" quotePrefix="1">
      <alignment horizontal="right"/>
    </xf>
    <xf numFmtId="164" fontId="0" fillId="33" borderId="11" xfId="0" applyFill="1" applyBorder="1" applyAlignment="1">
      <alignment horizontal="right"/>
    </xf>
    <xf numFmtId="164" fontId="10" fillId="33" borderId="13" xfId="0" applyFont="1" applyFill="1" applyBorder="1" applyAlignment="1" quotePrefix="1">
      <alignment horizontal="left"/>
    </xf>
    <xf numFmtId="164" fontId="6" fillId="33" borderId="0" xfId="0" applyFont="1" applyFill="1" applyBorder="1" applyAlignment="1" quotePrefix="1">
      <alignment horizontal="left"/>
    </xf>
    <xf numFmtId="164" fontId="6" fillId="33" borderId="14" xfId="0" applyFont="1" applyFill="1" applyBorder="1" applyAlignment="1" quotePrefix="1">
      <alignment horizontal="left"/>
    </xf>
    <xf numFmtId="164" fontId="6" fillId="33" borderId="10" xfId="0" applyFont="1" applyFill="1" applyBorder="1" applyAlignment="1" quotePrefix="1">
      <alignment horizontal="left"/>
    </xf>
    <xf numFmtId="164" fontId="0" fillId="33" borderId="12" xfId="0" applyFill="1" applyBorder="1" applyAlignment="1">
      <alignment horizontal="right"/>
    </xf>
    <xf numFmtId="164" fontId="0" fillId="33" borderId="13" xfId="0" applyFont="1" applyFill="1" applyBorder="1" applyAlignment="1" quotePrefix="1">
      <alignment horizontal="left"/>
    </xf>
    <xf numFmtId="164" fontId="0" fillId="33" borderId="13" xfId="0" applyFill="1" applyBorder="1" applyAlignment="1">
      <alignment horizontal="right"/>
    </xf>
    <xf numFmtId="164" fontId="0" fillId="33" borderId="0" xfId="0" applyFont="1" applyFill="1" applyBorder="1" applyAlignment="1" quotePrefix="1">
      <alignment horizontal="left"/>
    </xf>
    <xf numFmtId="164" fontId="0" fillId="33" borderId="14" xfId="0" applyFont="1" applyFill="1" applyBorder="1" applyAlignment="1" quotePrefix="1">
      <alignment horizontal="left"/>
    </xf>
    <xf numFmtId="164" fontId="0" fillId="33" borderId="10" xfId="0" applyFont="1" applyFill="1" applyBorder="1" applyAlignment="1" quotePrefix="1">
      <alignment horizontal="left"/>
    </xf>
    <xf numFmtId="164" fontId="0" fillId="0" borderId="10" xfId="0" applyFont="1" applyBorder="1" applyAlignment="1">
      <alignment horizontal="left"/>
    </xf>
    <xf numFmtId="164" fontId="0" fillId="0" borderId="13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33" borderId="13" xfId="0" applyFill="1" applyBorder="1" applyAlignment="1">
      <alignment horizontal="left"/>
    </xf>
    <xf numFmtId="164" fontId="0" fillId="33" borderId="0" xfId="0" applyFill="1" applyBorder="1" applyAlignment="1" quotePrefix="1">
      <alignment horizontal="right"/>
    </xf>
    <xf numFmtId="164" fontId="0" fillId="33" borderId="10" xfId="0" applyFill="1" applyBorder="1" applyAlignment="1" quotePrefix="1">
      <alignment horizontal="right"/>
    </xf>
    <xf numFmtId="164" fontId="0" fillId="0" borderId="18" xfId="0" applyFont="1" applyBorder="1" applyAlignment="1" quotePrefix="1">
      <alignment horizontal="left"/>
    </xf>
    <xf numFmtId="164" fontId="0" fillId="0" borderId="18" xfId="0" applyFont="1" applyBorder="1" applyAlignment="1">
      <alignment horizontal="left"/>
    </xf>
    <xf numFmtId="164" fontId="0" fillId="0" borderId="18" xfId="0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4" fontId="0" fillId="0" borderId="18" xfId="0" applyBorder="1" applyAlignment="1" quotePrefix="1">
      <alignment horizontal="right"/>
    </xf>
    <xf numFmtId="164" fontId="0" fillId="0" borderId="29" xfId="0" applyBorder="1" applyAlignment="1">
      <alignment horizontal="right"/>
    </xf>
    <xf numFmtId="165" fontId="0" fillId="0" borderId="10" xfId="0" applyNumberFormat="1" applyBorder="1" applyAlignment="1" quotePrefix="1">
      <alignment horizontal="center"/>
    </xf>
    <xf numFmtId="164" fontId="0" fillId="0" borderId="32" xfId="0" applyBorder="1" applyAlignment="1">
      <alignment horizontal="center"/>
    </xf>
    <xf numFmtId="164" fontId="0" fillId="0" borderId="19" xfId="0" applyFont="1" applyBorder="1" applyAlignment="1">
      <alignment horizontal="left"/>
    </xf>
    <xf numFmtId="164" fontId="0" fillId="0" borderId="0" xfId="0" applyFont="1" applyAlignment="1" quotePrefix="1">
      <alignment horizontal="left"/>
    </xf>
    <xf numFmtId="164" fontId="0" fillId="0" borderId="33" xfId="0" applyBorder="1" applyAlignment="1">
      <alignment horizontal="right"/>
    </xf>
    <xf numFmtId="164" fontId="0" fillId="0" borderId="34" xfId="0" applyBorder="1" applyAlignment="1">
      <alignment horizontal="right"/>
    </xf>
    <xf numFmtId="164" fontId="0" fillId="0" borderId="32" xfId="0" applyBorder="1" applyAlignment="1">
      <alignment horizontal="right"/>
    </xf>
    <xf numFmtId="164" fontId="0" fillId="0" borderId="34" xfId="0" applyNumberFormat="1" applyBorder="1" applyAlignment="1">
      <alignment horizontal="right"/>
    </xf>
    <xf numFmtId="165" fontId="0" fillId="0" borderId="18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4" fontId="50" fillId="0" borderId="18" xfId="0" applyFont="1" applyBorder="1" applyAlignment="1">
      <alignment horizontal="center"/>
    </xf>
    <xf numFmtId="164" fontId="50" fillId="0" borderId="0" xfId="0" applyFont="1" applyAlignment="1">
      <alignment horizontal="left"/>
    </xf>
    <xf numFmtId="164" fontId="0" fillId="0" borderId="35" xfId="0" applyBorder="1" applyAlignment="1">
      <alignment horizontal="right"/>
    </xf>
    <xf numFmtId="164" fontId="0" fillId="33" borderId="0" xfId="0" applyFill="1" applyAlignment="1" quotePrefix="1">
      <alignment horizontal="left"/>
    </xf>
    <xf numFmtId="164" fontId="0" fillId="33" borderId="36" xfId="0" applyFill="1" applyBorder="1" applyAlignment="1">
      <alignment horizontal="left"/>
    </xf>
    <xf numFmtId="164" fontId="0" fillId="33" borderId="37" xfId="0" applyFill="1" applyBorder="1" applyAlignment="1">
      <alignment horizontal="left"/>
    </xf>
    <xf numFmtId="164" fontId="0" fillId="33" borderId="37" xfId="0" applyFill="1" applyBorder="1" applyAlignment="1" quotePrefix="1">
      <alignment horizontal="left"/>
    </xf>
    <xf numFmtId="164" fontId="0" fillId="33" borderId="37" xfId="0" applyFill="1" applyBorder="1" applyAlignment="1">
      <alignment horizontal="right"/>
    </xf>
    <xf numFmtId="165" fontId="0" fillId="33" borderId="37" xfId="0" applyNumberFormat="1" applyFill="1" applyBorder="1" applyAlignment="1">
      <alignment horizontal="right"/>
    </xf>
    <xf numFmtId="164" fontId="0" fillId="33" borderId="37" xfId="0" applyFill="1" applyBorder="1" applyAlignment="1">
      <alignment horizontal="right"/>
    </xf>
    <xf numFmtId="164" fontId="0" fillId="33" borderId="38" xfId="0" applyFill="1" applyBorder="1" applyAlignment="1">
      <alignment horizontal="right"/>
    </xf>
    <xf numFmtId="164" fontId="0" fillId="0" borderId="10" xfId="0" applyFont="1" applyBorder="1" applyAlignment="1">
      <alignment horizontal="left"/>
    </xf>
    <xf numFmtId="164" fontId="0" fillId="0" borderId="15" xfId="0" applyFont="1" applyBorder="1" applyAlignment="1">
      <alignment horizontal="left"/>
    </xf>
    <xf numFmtId="165" fontId="0" fillId="0" borderId="18" xfId="0" applyNumberFormat="1" applyBorder="1" applyAlignment="1" quotePrefix="1">
      <alignment horizontal="right"/>
    </xf>
    <xf numFmtId="164" fontId="0" fillId="33" borderId="15" xfId="0" applyFill="1" applyBorder="1" applyAlignment="1" quotePrefix="1">
      <alignment horizontal="center"/>
    </xf>
    <xf numFmtId="165" fontId="0" fillId="33" borderId="15" xfId="0" applyNumberFormat="1" applyFill="1" applyBorder="1" applyAlignment="1">
      <alignment horizontal="right"/>
    </xf>
    <xf numFmtId="164" fontId="0" fillId="33" borderId="15" xfId="0" applyFill="1" applyBorder="1" applyAlignment="1" quotePrefix="1">
      <alignment horizontal="right"/>
    </xf>
    <xf numFmtId="164" fontId="0" fillId="33" borderId="15" xfId="0" applyFill="1" applyBorder="1" applyAlignment="1">
      <alignment horizontal="right"/>
    </xf>
    <xf numFmtId="164" fontId="0" fillId="33" borderId="30" xfId="0" applyFill="1" applyBorder="1" applyAlignment="1">
      <alignment horizontal="right"/>
    </xf>
    <xf numFmtId="164" fontId="0" fillId="0" borderId="16" xfId="0" applyFont="1" applyBorder="1" applyAlignment="1" quotePrefix="1">
      <alignment horizontal="left"/>
    </xf>
    <xf numFmtId="164" fontId="0" fillId="0" borderId="39" xfId="0" applyBorder="1" applyAlignment="1">
      <alignment horizontal="right"/>
    </xf>
    <xf numFmtId="164" fontId="0" fillId="0" borderId="33" xfId="0" applyBorder="1" applyAlignment="1">
      <alignment horizontal="right"/>
    </xf>
    <xf numFmtId="164" fontId="0" fillId="0" borderId="32" xfId="0" applyBorder="1" applyAlignment="1">
      <alignment horizontal="right"/>
    </xf>
    <xf numFmtId="164" fontId="0" fillId="0" borderId="32" xfId="0" applyBorder="1" applyAlignment="1">
      <alignment/>
    </xf>
    <xf numFmtId="164" fontId="0" fillId="0" borderId="30" xfId="0" applyFill="1" applyBorder="1" applyAlignment="1">
      <alignment horizontal="right"/>
    </xf>
    <xf numFmtId="164" fontId="0" fillId="0" borderId="11" xfId="0" applyFill="1" applyBorder="1" applyAlignment="1">
      <alignment horizontal="right"/>
    </xf>
    <xf numFmtId="165" fontId="0" fillId="0" borderId="15" xfId="0" applyNumberFormat="1" applyBorder="1" applyAlignment="1" quotePrefix="1">
      <alignment horizontal="right"/>
    </xf>
    <xf numFmtId="165" fontId="0" fillId="0" borderId="10" xfId="0" applyNumberFormat="1" applyFont="1" applyBorder="1" applyAlignment="1" quotePrefix="1">
      <alignment horizontal="right"/>
    </xf>
    <xf numFmtId="164" fontId="0" fillId="33" borderId="16" xfId="0" applyFont="1" applyFill="1" applyBorder="1" applyAlignment="1" quotePrefix="1">
      <alignment horizontal="left"/>
    </xf>
    <xf numFmtId="164" fontId="0" fillId="33" borderId="10" xfId="0" applyFont="1" applyFill="1" applyBorder="1" applyAlignment="1">
      <alignment horizontal="left"/>
    </xf>
    <xf numFmtId="164" fontId="0" fillId="0" borderId="0" xfId="0" applyFont="1" applyAlignment="1">
      <alignment horizontal="left"/>
    </xf>
    <xf numFmtId="164" fontId="0" fillId="0" borderId="33" xfId="0" applyFill="1" applyBorder="1" applyAlignment="1">
      <alignment horizontal="right"/>
    </xf>
    <xf numFmtId="164" fontId="0" fillId="0" borderId="34" xfId="0" applyFill="1" applyBorder="1" applyAlignment="1">
      <alignment horizontal="right"/>
    </xf>
    <xf numFmtId="164" fontId="0" fillId="0" borderId="40" xfId="0" applyFill="1" applyBorder="1" applyAlignment="1">
      <alignment horizontal="right"/>
    </xf>
    <xf numFmtId="164" fontId="0" fillId="0" borderId="17" xfId="0" applyFill="1" applyBorder="1" applyAlignment="1">
      <alignment horizontal="right"/>
    </xf>
    <xf numFmtId="165" fontId="0" fillId="33" borderId="10" xfId="0" applyNumberFormat="1" applyFill="1" applyBorder="1" applyAlignment="1">
      <alignment horizontal="right"/>
    </xf>
    <xf numFmtId="164" fontId="0" fillId="0" borderId="41" xfId="0" applyFont="1" applyFill="1" applyBorder="1" applyAlignment="1">
      <alignment horizontal="center"/>
    </xf>
    <xf numFmtId="164" fontId="0" fillId="0" borderId="42" xfId="0" applyBorder="1" applyAlignment="1">
      <alignment horizontal="center"/>
    </xf>
    <xf numFmtId="164" fontId="0" fillId="0" borderId="43" xfId="0" applyBorder="1" applyAlignment="1">
      <alignment horizontal="center"/>
    </xf>
    <xf numFmtId="164" fontId="0" fillId="0" borderId="43" xfId="0" applyFont="1" applyFill="1" applyBorder="1" applyAlignment="1">
      <alignment horizontal="center"/>
    </xf>
    <xf numFmtId="164" fontId="0" fillId="0" borderId="44" xfId="0" applyFont="1" applyFill="1" applyBorder="1" applyAlignment="1">
      <alignment horizontal="center"/>
    </xf>
    <xf numFmtId="164" fontId="0" fillId="0" borderId="43" xfId="0" applyBorder="1" applyAlignment="1" quotePrefix="1">
      <alignment horizontal="center"/>
    </xf>
    <xf numFmtId="164" fontId="0" fillId="0" borderId="41" xfId="0" applyBorder="1" applyAlignment="1" quotePrefix="1">
      <alignment horizontal="center"/>
    </xf>
    <xf numFmtId="164" fontId="0" fillId="0" borderId="45" xfId="0" applyFont="1" applyFill="1" applyBorder="1" applyAlignment="1">
      <alignment horizontal="center"/>
    </xf>
    <xf numFmtId="164" fontId="0" fillId="0" borderId="45" xfId="0" applyFont="1" applyFill="1" applyBorder="1" applyAlignment="1" quotePrefix="1">
      <alignment horizontal="center" vertical="top"/>
    </xf>
    <xf numFmtId="164" fontId="0" fillId="0" borderId="45" xfId="0" applyFont="1" applyFill="1" applyBorder="1" applyAlignment="1">
      <alignment horizontal="center"/>
    </xf>
    <xf numFmtId="164" fontId="0" fillId="33" borderId="43" xfId="0" applyFont="1" applyFill="1" applyBorder="1" applyAlignment="1">
      <alignment horizontal="center"/>
    </xf>
    <xf numFmtId="0" fontId="0" fillId="33" borderId="43" xfId="0" applyNumberFormat="1" applyFill="1" applyBorder="1" applyAlignment="1" quotePrefix="1">
      <alignment horizontal="center"/>
    </xf>
    <xf numFmtId="164" fontId="0" fillId="33" borderId="41" xfId="0" applyFont="1" applyFill="1" applyBorder="1" applyAlignment="1" quotePrefix="1">
      <alignment horizontal="center"/>
    </xf>
    <xf numFmtId="164" fontId="0" fillId="33" borderId="43" xfId="0" applyFont="1" applyFill="1" applyBorder="1" applyAlignment="1" quotePrefix="1">
      <alignment horizontal="center"/>
    </xf>
    <xf numFmtId="164" fontId="0" fillId="33" borderId="46" xfId="0" applyFill="1" applyBorder="1" applyAlignment="1" quotePrefix="1">
      <alignment horizontal="center"/>
    </xf>
    <xf numFmtId="164" fontId="0" fillId="33" borderId="43" xfId="0" applyFill="1" applyBorder="1" applyAlignment="1" quotePrefix="1">
      <alignment horizontal="center"/>
    </xf>
    <xf numFmtId="164" fontId="0" fillId="33" borderId="47" xfId="0" applyFill="1" applyBorder="1" applyAlignment="1" quotePrefix="1">
      <alignment horizontal="center"/>
    </xf>
    <xf numFmtId="164" fontId="0" fillId="33" borderId="41" xfId="0" applyFill="1" applyBorder="1" applyAlignment="1" quotePrefix="1">
      <alignment horizontal="center"/>
    </xf>
    <xf numFmtId="164" fontId="0" fillId="0" borderId="44" xfId="0" applyBorder="1" applyAlignment="1" quotePrefix="1">
      <alignment horizontal="center"/>
    </xf>
    <xf numFmtId="164" fontId="0" fillId="0" borderId="46" xfId="0" applyBorder="1" applyAlignment="1" quotePrefix="1">
      <alignment horizontal="center"/>
    </xf>
    <xf numFmtId="164" fontId="0" fillId="0" borderId="41" xfId="0" applyBorder="1" applyAlignment="1">
      <alignment horizontal="center"/>
    </xf>
    <xf numFmtId="164" fontId="0" fillId="0" borderId="48" xfId="0" applyBorder="1" applyAlignment="1">
      <alignment horizontal="center"/>
    </xf>
    <xf numFmtId="164" fontId="0" fillId="0" borderId="26" xfId="0" applyBorder="1" applyAlignment="1">
      <alignment horizontal="right"/>
    </xf>
    <xf numFmtId="164" fontId="0" fillId="0" borderId="49" xfId="0" applyBorder="1" applyAlignment="1">
      <alignment horizontal="right"/>
    </xf>
    <xf numFmtId="164" fontId="0" fillId="0" borderId="49" xfId="0" applyBorder="1" applyAlignment="1" quotePrefix="1">
      <alignment horizontal="left"/>
    </xf>
    <xf numFmtId="164" fontId="0" fillId="0" borderId="49" xfId="0" applyNumberFormat="1" applyBorder="1" applyAlignment="1">
      <alignment horizontal="right"/>
    </xf>
    <xf numFmtId="165" fontId="0" fillId="0" borderId="49" xfId="0" applyNumberFormat="1" applyBorder="1" applyAlignment="1">
      <alignment horizontal="right"/>
    </xf>
    <xf numFmtId="164" fontId="0" fillId="0" borderId="50" xfId="0" applyNumberFormat="1" applyBorder="1" applyAlignment="1">
      <alignment horizontal="right"/>
    </xf>
    <xf numFmtId="164" fontId="0" fillId="0" borderId="51" xfId="0" applyBorder="1" applyAlignment="1">
      <alignment horizontal="right"/>
    </xf>
    <xf numFmtId="164" fontId="0" fillId="0" borderId="34" xfId="0" applyBorder="1" applyAlignment="1">
      <alignment horizontal="right"/>
    </xf>
    <xf numFmtId="165" fontId="0" fillId="0" borderId="10" xfId="0" applyNumberFormat="1" applyBorder="1" applyAlignment="1" quotePrefix="1">
      <alignment horizontal="right"/>
    </xf>
    <xf numFmtId="164" fontId="0" fillId="0" borderId="35" xfId="0" applyFill="1" applyBorder="1" applyAlignment="1">
      <alignment horizontal="right"/>
    </xf>
    <xf numFmtId="164" fontId="0" fillId="0" borderId="15" xfId="0" applyFont="1" applyBorder="1" applyAlignment="1" quotePrefix="1">
      <alignment horizontal="left"/>
    </xf>
    <xf numFmtId="164" fontId="0" fillId="34" borderId="16" xfId="0" applyFill="1" applyBorder="1" applyAlignment="1" quotePrefix="1">
      <alignment horizontal="left"/>
    </xf>
    <xf numFmtId="164" fontId="0" fillId="34" borderId="15" xfId="0" applyFill="1" applyBorder="1" applyAlignment="1" quotePrefix="1">
      <alignment horizontal="left"/>
    </xf>
    <xf numFmtId="164" fontId="0" fillId="34" borderId="15" xfId="0" applyFont="1" applyFill="1" applyBorder="1" applyAlignment="1" quotePrefix="1">
      <alignment horizontal="left"/>
    </xf>
    <xf numFmtId="164" fontId="0" fillId="34" borderId="15" xfId="0" applyFill="1" applyBorder="1" applyAlignment="1" quotePrefix="1">
      <alignment horizontal="center"/>
    </xf>
    <xf numFmtId="165" fontId="0" fillId="34" borderId="15" xfId="0" applyNumberFormat="1" applyFill="1" applyBorder="1" applyAlignment="1">
      <alignment horizontal="right"/>
    </xf>
    <xf numFmtId="164" fontId="0" fillId="34" borderId="15" xfId="0" applyFill="1" applyBorder="1" applyAlignment="1" quotePrefix="1">
      <alignment horizontal="right"/>
    </xf>
    <xf numFmtId="164" fontId="0" fillId="34" borderId="15" xfId="0" applyFill="1" applyBorder="1" applyAlignment="1">
      <alignment horizontal="right"/>
    </xf>
    <xf numFmtId="164" fontId="0" fillId="34" borderId="30" xfId="0" applyFill="1" applyBorder="1" applyAlignment="1">
      <alignment horizontal="right"/>
    </xf>
    <xf numFmtId="164" fontId="0" fillId="34" borderId="14" xfId="0" applyFill="1" applyBorder="1" applyAlignment="1" quotePrefix="1">
      <alignment horizontal="left"/>
    </xf>
    <xf numFmtId="164" fontId="0" fillId="34" borderId="10" xfId="0" applyFill="1" applyBorder="1" applyAlignment="1" quotePrefix="1">
      <alignment horizontal="left"/>
    </xf>
    <xf numFmtId="164" fontId="0" fillId="34" borderId="10" xfId="0" applyFill="1" applyBorder="1" applyAlignment="1">
      <alignment horizontal="left"/>
    </xf>
    <xf numFmtId="164" fontId="0" fillId="34" borderId="10" xfId="0" applyFill="1" applyBorder="1" applyAlignment="1">
      <alignment horizontal="right"/>
    </xf>
    <xf numFmtId="165" fontId="0" fillId="34" borderId="10" xfId="0" applyNumberFormat="1" applyFill="1" applyBorder="1" applyAlignment="1">
      <alignment horizontal="right"/>
    </xf>
    <xf numFmtId="164" fontId="0" fillId="34" borderId="10" xfId="0" applyFill="1" applyBorder="1" applyAlignment="1">
      <alignment horizontal="right"/>
    </xf>
    <xf numFmtId="164" fontId="0" fillId="34" borderId="12" xfId="0" applyFill="1" applyBorder="1" applyAlignment="1">
      <alignment horizontal="right"/>
    </xf>
    <xf numFmtId="164" fontId="0" fillId="34" borderId="12" xfId="0" applyFill="1" applyBorder="1" applyAlignment="1">
      <alignment horizontal="right"/>
    </xf>
    <xf numFmtId="164" fontId="0" fillId="34" borderId="17" xfId="0" applyFill="1" applyBorder="1" applyAlignment="1">
      <alignment horizontal="right"/>
    </xf>
    <xf numFmtId="164" fontId="0" fillId="34" borderId="46" xfId="0" applyFont="1" applyFill="1" applyBorder="1" applyAlignment="1" quotePrefix="1">
      <alignment horizontal="center"/>
    </xf>
    <xf numFmtId="164" fontId="0" fillId="34" borderId="13" xfId="0" applyFill="1" applyBorder="1" applyAlignment="1" quotePrefix="1">
      <alignment horizontal="left"/>
    </xf>
    <xf numFmtId="164" fontId="0" fillId="34" borderId="0" xfId="0" applyFill="1" applyBorder="1" applyAlignment="1" quotePrefix="1">
      <alignment horizontal="left"/>
    </xf>
    <xf numFmtId="164" fontId="0" fillId="34" borderId="0" xfId="0" applyFont="1" applyFill="1" applyBorder="1" applyAlignment="1">
      <alignment horizontal="left"/>
    </xf>
    <xf numFmtId="164" fontId="0" fillId="34" borderId="0" xfId="0" applyFill="1" applyBorder="1" applyAlignment="1">
      <alignment horizontal="right"/>
    </xf>
    <xf numFmtId="165" fontId="0" fillId="34" borderId="0" xfId="0" applyNumberFormat="1" applyFill="1" applyBorder="1" applyAlignment="1">
      <alignment horizontal="right"/>
    </xf>
    <xf numFmtId="164" fontId="0" fillId="34" borderId="0" xfId="0" applyFill="1" applyBorder="1" applyAlignment="1">
      <alignment horizontal="right"/>
    </xf>
    <xf numFmtId="164" fontId="0" fillId="34" borderId="11" xfId="0" applyFill="1" applyBorder="1" applyAlignment="1">
      <alignment horizontal="center"/>
    </xf>
    <xf numFmtId="164" fontId="0" fillId="34" borderId="43" xfId="0" applyFont="1" applyFill="1" applyBorder="1" applyAlignment="1" quotePrefix="1">
      <alignment horizontal="center"/>
    </xf>
    <xf numFmtId="164" fontId="0" fillId="34" borderId="0" xfId="0" applyFill="1" applyBorder="1" applyAlignment="1">
      <alignment horizontal="left"/>
    </xf>
    <xf numFmtId="164" fontId="0" fillId="34" borderId="0" xfId="0" applyNumberFormat="1" applyFill="1" applyBorder="1" applyAlignment="1">
      <alignment horizontal="right"/>
    </xf>
    <xf numFmtId="164" fontId="0" fillId="34" borderId="41" xfId="0" applyFont="1" applyFill="1" applyBorder="1" applyAlignment="1" quotePrefix="1">
      <alignment horizontal="center"/>
    </xf>
    <xf numFmtId="165" fontId="0" fillId="34" borderId="10" xfId="0" applyNumberFormat="1" applyFill="1" applyBorder="1" applyAlignment="1">
      <alignment horizontal="right"/>
    </xf>
    <xf numFmtId="164" fontId="0" fillId="34" borderId="13" xfId="0" applyFill="1" applyBorder="1" applyAlignment="1">
      <alignment horizontal="left"/>
    </xf>
    <xf numFmtId="164" fontId="0" fillId="34" borderId="11" xfId="0" applyFill="1" applyBorder="1" applyAlignment="1">
      <alignment horizontal="right"/>
    </xf>
    <xf numFmtId="164" fontId="0" fillId="34" borderId="30" xfId="0" applyFill="1" applyBorder="1" applyAlignment="1">
      <alignment horizontal="right"/>
    </xf>
    <xf numFmtId="164" fontId="0" fillId="34" borderId="0" xfId="0" applyFill="1" applyAlignment="1" quotePrefix="1">
      <alignment horizontal="left"/>
    </xf>
    <xf numFmtId="164" fontId="0" fillId="34" borderId="0" xfId="0" applyFill="1" applyAlignment="1">
      <alignment horizontal="right"/>
    </xf>
    <xf numFmtId="165" fontId="0" fillId="34" borderId="0" xfId="0" applyNumberFormat="1" applyFill="1" applyAlignment="1">
      <alignment horizontal="right"/>
    </xf>
    <xf numFmtId="164" fontId="0" fillId="34" borderId="0" xfId="0" applyFill="1" applyAlignment="1">
      <alignment horizontal="right"/>
    </xf>
    <xf numFmtId="164" fontId="0" fillId="34" borderId="11" xfId="0" applyFill="1" applyBorder="1" applyAlignment="1">
      <alignment horizontal="right"/>
    </xf>
    <xf numFmtId="165" fontId="0" fillId="34" borderId="0" xfId="0" applyNumberFormat="1" applyFill="1" applyBorder="1" applyAlignment="1">
      <alignment horizontal="right"/>
    </xf>
    <xf numFmtId="164" fontId="0" fillId="34" borderId="43" xfId="0" applyFill="1" applyBorder="1" applyAlignment="1" quotePrefix="1">
      <alignment horizontal="center"/>
    </xf>
    <xf numFmtId="164" fontId="0" fillId="34" borderId="0" xfId="0" applyFill="1" applyAlignment="1">
      <alignment horizontal="left"/>
    </xf>
    <xf numFmtId="164" fontId="0" fillId="34" borderId="0" xfId="0" applyFill="1" applyAlignment="1" quotePrefix="1">
      <alignment horizontal="center"/>
    </xf>
    <xf numFmtId="164" fontId="0" fillId="34" borderId="0" xfId="0" applyFill="1" applyAlignment="1" quotePrefix="1">
      <alignment horizontal="right"/>
    </xf>
    <xf numFmtId="164" fontId="0" fillId="34" borderId="41" xfId="0" applyFill="1" applyBorder="1" applyAlignment="1" quotePrefix="1">
      <alignment horizontal="center"/>
    </xf>
    <xf numFmtId="164" fontId="0" fillId="34" borderId="14" xfId="0" applyFill="1" applyBorder="1" applyAlignment="1">
      <alignment horizontal="left"/>
    </xf>
    <xf numFmtId="164" fontId="0" fillId="34" borderId="46" xfId="0" applyFill="1" applyBorder="1" applyAlignment="1" quotePrefix="1">
      <alignment horizontal="center"/>
    </xf>
    <xf numFmtId="164" fontId="0" fillId="34" borderId="0" xfId="0" applyFont="1" applyFill="1" applyAlignment="1" quotePrefix="1">
      <alignment horizontal="left"/>
    </xf>
    <xf numFmtId="164" fontId="0" fillId="34" borderId="0" xfId="0" applyFont="1" applyFill="1" applyBorder="1" applyAlignment="1" quotePrefix="1">
      <alignment horizontal="left"/>
    </xf>
    <xf numFmtId="164" fontId="0" fillId="34" borderId="14" xfId="0" applyFill="1" applyBorder="1" applyAlignment="1">
      <alignment horizontal="right"/>
    </xf>
    <xf numFmtId="164" fontId="0" fillId="34" borderId="41" xfId="0" applyFill="1" applyBorder="1" applyAlignment="1">
      <alignment horizontal="center"/>
    </xf>
    <xf numFmtId="164" fontId="0" fillId="34" borderId="15" xfId="0" applyFill="1" applyBorder="1" applyAlignment="1">
      <alignment horizontal="right"/>
    </xf>
    <xf numFmtId="164" fontId="0" fillId="0" borderId="52" xfId="0" applyBorder="1" applyAlignment="1">
      <alignment horizontal="center"/>
    </xf>
    <xf numFmtId="164" fontId="0" fillId="0" borderId="53" xfId="0" applyBorder="1" applyAlignment="1" quotePrefix="1">
      <alignment horizontal="center" vertical="center"/>
    </xf>
    <xf numFmtId="164" fontId="0" fillId="0" borderId="54" xfId="0" applyBorder="1" applyAlignment="1" quotePrefix="1">
      <alignment horizontal="center" vertical="center"/>
    </xf>
    <xf numFmtId="164" fontId="0" fillId="0" borderId="55" xfId="0" applyBorder="1" applyAlignment="1" quotePrefix="1">
      <alignment horizontal="center"/>
    </xf>
    <xf numFmtId="164" fontId="0" fillId="0" borderId="56" xfId="0" applyFont="1" applyFill="1" applyBorder="1" applyAlignment="1" quotePrefix="1">
      <alignment horizontal="center"/>
    </xf>
    <xf numFmtId="164" fontId="0" fillId="0" borderId="57" xfId="0" applyBorder="1" applyAlignment="1">
      <alignment horizontal="center"/>
    </xf>
    <xf numFmtId="165" fontId="0" fillId="0" borderId="55" xfId="0" applyNumberFormat="1" applyBorder="1" applyAlignment="1" quotePrefix="1">
      <alignment horizontal="center"/>
    </xf>
    <xf numFmtId="165" fontId="5" fillId="0" borderId="56" xfId="0" applyNumberFormat="1" applyFont="1" applyBorder="1" applyAlignment="1" quotePrefix="1">
      <alignment horizontal="center"/>
    </xf>
    <xf numFmtId="165" fontId="0" fillId="0" borderId="57" xfId="0" applyNumberFormat="1" applyBorder="1" applyAlignment="1" quotePrefix="1">
      <alignment horizontal="center"/>
    </xf>
    <xf numFmtId="164" fontId="0" fillId="0" borderId="56" xfId="0" applyBorder="1" applyAlignment="1" quotePrefix="1">
      <alignment horizontal="center"/>
    </xf>
    <xf numFmtId="164" fontId="0" fillId="0" borderId="57" xfId="0" applyBorder="1" applyAlignment="1" quotePrefix="1">
      <alignment horizontal="center"/>
    </xf>
    <xf numFmtId="164" fontId="0" fillId="0" borderId="55" xfId="0" applyBorder="1" applyAlignment="1">
      <alignment horizontal="center"/>
    </xf>
    <xf numFmtId="164" fontId="0" fillId="0" borderId="56" xfId="0" applyBorder="1" applyAlignment="1">
      <alignment horizontal="center"/>
    </xf>
    <xf numFmtId="164" fontId="0" fillId="0" borderId="13" xfId="0" applyFont="1" applyFill="1" applyBorder="1" applyAlignment="1" quotePrefix="1">
      <alignment horizontal="center"/>
    </xf>
    <xf numFmtId="164" fontId="0" fillId="0" borderId="19" xfId="0" applyFont="1" applyFill="1" applyBorder="1" applyAlignment="1" quotePrefix="1">
      <alignment horizontal="center"/>
    </xf>
    <xf numFmtId="164" fontId="0" fillId="0" borderId="58" xfId="0" applyFont="1" applyFill="1" applyBorder="1" applyAlignment="1" quotePrefix="1">
      <alignment horizontal="center"/>
    </xf>
    <xf numFmtId="164" fontId="0" fillId="0" borderId="59" xfId="0" applyFont="1" applyFill="1" applyBorder="1" applyAlignment="1" quotePrefix="1">
      <alignment horizontal="center"/>
    </xf>
    <xf numFmtId="164" fontId="0" fillId="0" borderId="60" xfId="0" applyFont="1" applyFill="1" applyBorder="1" applyAlignment="1" quotePrefix="1">
      <alignment horizontal="center"/>
    </xf>
    <xf numFmtId="164" fontId="0" fillId="0" borderId="41" xfId="0" applyFont="1" applyFill="1" applyBorder="1" applyAlignment="1" quotePrefix="1">
      <alignment horizontal="center"/>
    </xf>
    <xf numFmtId="164" fontId="0" fillId="0" borderId="45" xfId="0" applyFont="1" applyFill="1" applyBorder="1" applyAlignment="1" quotePrefix="1">
      <alignment horizontal="center"/>
    </xf>
    <xf numFmtId="164" fontId="0" fillId="0" borderId="12" xfId="0" applyBorder="1" applyAlignment="1" quotePrefix="1">
      <alignment horizontal="left"/>
    </xf>
    <xf numFmtId="164" fontId="0" fillId="0" borderId="59" xfId="0" applyBorder="1" applyAlignment="1" quotePrefix="1">
      <alignment horizontal="left"/>
    </xf>
    <xf numFmtId="164" fontId="0" fillId="0" borderId="11" xfId="0" applyBorder="1" applyAlignment="1" quotePrefix="1">
      <alignment horizontal="left"/>
    </xf>
    <xf numFmtId="164" fontId="0" fillId="0" borderId="17" xfId="0" applyBorder="1" applyAlignment="1" quotePrefix="1">
      <alignment horizontal="left"/>
    </xf>
    <xf numFmtId="164" fontId="0" fillId="0" borderId="11" xfId="0" applyBorder="1" applyAlignment="1">
      <alignment horizontal="left"/>
    </xf>
    <xf numFmtId="164" fontId="0" fillId="0" borderId="17" xfId="0" applyBorder="1" applyAlignment="1">
      <alignment horizontal="left"/>
    </xf>
    <xf numFmtId="164" fontId="0" fillId="0" borderId="12" xfId="0" applyBorder="1" applyAlignment="1">
      <alignment horizontal="left"/>
    </xf>
    <xf numFmtId="164" fontId="0" fillId="0" borderId="23" xfId="0" applyBorder="1" applyAlignment="1">
      <alignment horizontal="left"/>
    </xf>
    <xf numFmtId="164" fontId="0" fillId="0" borderId="20" xfId="0" applyBorder="1" applyAlignment="1">
      <alignment horizontal="left"/>
    </xf>
    <xf numFmtId="164" fontId="0" fillId="0" borderId="59" xfId="0" applyBorder="1" applyAlignment="1">
      <alignment horizontal="left"/>
    </xf>
    <xf numFmtId="164" fontId="0" fillId="0" borderId="20" xfId="0" applyBorder="1" applyAlignment="1" quotePrefix="1">
      <alignment horizontal="left"/>
    </xf>
    <xf numFmtId="164" fontId="0" fillId="0" borderId="61" xfId="0" applyBorder="1" applyAlignment="1" quotePrefix="1">
      <alignment horizontal="center"/>
    </xf>
    <xf numFmtId="164" fontId="0" fillId="0" borderId="62" xfId="0" applyBorder="1" applyAlignment="1" quotePrefix="1">
      <alignment horizontal="center"/>
    </xf>
    <xf numFmtId="164" fontId="8" fillId="35" borderId="63" xfId="0" applyFont="1" applyFill="1" applyBorder="1" applyAlignment="1" quotePrefix="1">
      <alignment horizontal="left"/>
    </xf>
    <xf numFmtId="164" fontId="6" fillId="35" borderId="11" xfId="0" applyFont="1" applyFill="1" applyBorder="1" applyAlignment="1" quotePrefix="1">
      <alignment horizontal="left"/>
    </xf>
    <xf numFmtId="164" fontId="6" fillId="35" borderId="20" xfId="0" applyFont="1" applyFill="1" applyBorder="1" applyAlignment="1" quotePrefix="1">
      <alignment horizontal="left"/>
    </xf>
    <xf numFmtId="164" fontId="8" fillId="0" borderId="64" xfId="0" applyFont="1" applyFill="1" applyBorder="1" applyAlignment="1">
      <alignment horizontal="center"/>
    </xf>
    <xf numFmtId="167" fontId="0" fillId="0" borderId="49" xfId="0" applyNumberFormat="1" applyBorder="1" applyAlignment="1">
      <alignment horizontal="right"/>
    </xf>
    <xf numFmtId="164" fontId="8" fillId="0" borderId="65" xfId="0" applyFont="1" applyBorder="1" applyAlignment="1" quotePrefix="1">
      <alignment horizontal="left"/>
    </xf>
    <xf numFmtId="167" fontId="8" fillId="0" borderId="66" xfId="0" applyNumberFormat="1" applyFont="1" applyBorder="1" applyAlignment="1" quotePrefix="1">
      <alignment horizontal="left"/>
    </xf>
    <xf numFmtId="167" fontId="0" fillId="0" borderId="67" xfId="0" applyNumberFormat="1" applyBorder="1" applyAlignment="1" quotePrefix="1">
      <alignment horizontal="left"/>
    </xf>
    <xf numFmtId="167" fontId="0" fillId="0" borderId="41" xfId="0" applyNumberFormat="1" applyBorder="1" applyAlignment="1" quotePrefix="1">
      <alignment horizontal="left"/>
    </xf>
    <xf numFmtId="164" fontId="0" fillId="0" borderId="45" xfId="0" applyFont="1" applyBorder="1" applyAlignment="1" quotePrefix="1">
      <alignment horizontal="left"/>
    </xf>
    <xf numFmtId="164" fontId="0" fillId="0" borderId="58" xfId="0" applyFont="1" applyBorder="1" applyAlignment="1" quotePrefix="1">
      <alignment horizontal="left"/>
    </xf>
    <xf numFmtId="167" fontId="0" fillId="0" borderId="41" xfId="0" applyNumberFormat="1" applyBorder="1" applyAlignment="1">
      <alignment horizontal="left"/>
    </xf>
    <xf numFmtId="167" fontId="0" fillId="0" borderId="45" xfId="0" applyNumberFormat="1" applyBorder="1" applyAlignment="1">
      <alignment horizontal="left"/>
    </xf>
    <xf numFmtId="164" fontId="0" fillId="0" borderId="68" xfId="0" applyFont="1" applyBorder="1" applyAlignment="1">
      <alignment horizontal="left"/>
    </xf>
    <xf numFmtId="164" fontId="0" fillId="0" borderId="46" xfId="0" applyFont="1" applyBorder="1" applyAlignment="1" quotePrefix="1">
      <alignment horizontal="left"/>
    </xf>
    <xf numFmtId="167" fontId="0" fillId="0" borderId="43" xfId="0" applyNumberFormat="1" applyBorder="1" applyAlignment="1">
      <alignment horizontal="left"/>
    </xf>
    <xf numFmtId="167" fontId="0" fillId="0" borderId="68" xfId="0" applyNumberFormat="1" applyBorder="1" applyAlignment="1">
      <alignment horizontal="left"/>
    </xf>
    <xf numFmtId="167" fontId="0" fillId="0" borderId="41" xfId="0" applyNumberFormat="1" applyFont="1" applyBorder="1" applyAlignment="1" quotePrefix="1">
      <alignment horizontal="left"/>
    </xf>
    <xf numFmtId="167" fontId="0" fillId="0" borderId="68" xfId="0" applyNumberFormat="1" applyBorder="1" applyAlignment="1" quotePrefix="1">
      <alignment horizontal="left"/>
    </xf>
    <xf numFmtId="167" fontId="0" fillId="0" borderId="69" xfId="0" applyNumberFormat="1" applyFont="1" applyBorder="1" applyAlignment="1">
      <alignment horizontal="left"/>
    </xf>
    <xf numFmtId="164" fontId="0" fillId="0" borderId="69" xfId="0" applyFont="1" applyBorder="1" applyAlignment="1" quotePrefix="1">
      <alignment horizontal="left"/>
    </xf>
    <xf numFmtId="164" fontId="0" fillId="0" borderId="41" xfId="0" applyBorder="1" applyAlignment="1" quotePrefix="1">
      <alignment horizontal="left"/>
    </xf>
    <xf numFmtId="164" fontId="0" fillId="0" borderId="68" xfId="0" applyBorder="1" applyAlignment="1" quotePrefix="1">
      <alignment horizontal="left"/>
    </xf>
    <xf numFmtId="164" fontId="0" fillId="0" borderId="68" xfId="0" applyBorder="1" applyAlignment="1">
      <alignment horizontal="left"/>
    </xf>
    <xf numFmtId="164" fontId="0" fillId="0" borderId="41" xfId="0" applyBorder="1" applyAlignment="1">
      <alignment horizontal="left"/>
    </xf>
    <xf numFmtId="164" fontId="0" fillId="0" borderId="45" xfId="0" applyBorder="1" applyAlignment="1">
      <alignment horizontal="left"/>
    </xf>
    <xf numFmtId="164" fontId="0" fillId="0" borderId="45" xfId="0" applyBorder="1" applyAlignment="1" quotePrefix="1">
      <alignment horizontal="left"/>
    </xf>
    <xf numFmtId="164" fontId="0" fillId="0" borderId="58" xfId="0" applyBorder="1" applyAlignment="1">
      <alignment horizontal="left"/>
    </xf>
    <xf numFmtId="164" fontId="0" fillId="0" borderId="23" xfId="0" applyBorder="1" applyAlignment="1" quotePrefix="1">
      <alignment horizontal="left"/>
    </xf>
    <xf numFmtId="164" fontId="0" fillId="35" borderId="0" xfId="0" applyFont="1" applyFill="1" applyBorder="1" applyAlignment="1">
      <alignment horizontal="center"/>
    </xf>
    <xf numFmtId="164" fontId="0" fillId="35" borderId="22" xfId="0" applyFont="1" applyFill="1" applyBorder="1" applyAlignment="1">
      <alignment horizontal="center"/>
    </xf>
    <xf numFmtId="164" fontId="8" fillId="35" borderId="70" xfId="0" applyFont="1" applyFill="1" applyBorder="1" applyAlignment="1">
      <alignment horizontal="center"/>
    </xf>
    <xf numFmtId="167" fontId="8" fillId="35" borderId="0" xfId="0" applyNumberFormat="1" applyFont="1" applyFill="1" applyBorder="1" applyAlignment="1" quotePrefix="1">
      <alignment horizontal="left"/>
    </xf>
    <xf numFmtId="167" fontId="6" fillId="35" borderId="22" xfId="0" applyNumberFormat="1" applyFont="1" applyFill="1" applyBorder="1" applyAlignment="1" quotePrefix="1">
      <alignment horizontal="left"/>
    </xf>
    <xf numFmtId="164" fontId="0" fillId="35" borderId="71" xfId="0" applyFill="1" applyBorder="1" applyAlignment="1">
      <alignment horizontal="center"/>
    </xf>
    <xf numFmtId="167" fontId="0" fillId="35" borderId="0" xfId="0" applyNumberFormat="1" applyFill="1" applyBorder="1" applyAlignment="1">
      <alignment horizontal="left"/>
    </xf>
    <xf numFmtId="164" fontId="0" fillId="35" borderId="31" xfId="0" applyFill="1" applyBorder="1" applyAlignment="1">
      <alignment horizontal="left"/>
    </xf>
    <xf numFmtId="164" fontId="0" fillId="35" borderId="0" xfId="0" applyFill="1" applyBorder="1" applyAlignment="1">
      <alignment horizontal="center"/>
    </xf>
    <xf numFmtId="164" fontId="0" fillId="35" borderId="22" xfId="0" applyFill="1" applyBorder="1" applyAlignment="1">
      <alignment horizontal="center"/>
    </xf>
    <xf numFmtId="167" fontId="0" fillId="35" borderId="22" xfId="0" applyNumberFormat="1" applyFill="1" applyBorder="1" applyAlignment="1">
      <alignment horizontal="left"/>
    </xf>
    <xf numFmtId="164" fontId="0" fillId="35" borderId="20" xfId="0" applyFill="1" applyBorder="1" applyAlignment="1">
      <alignment horizontal="left"/>
    </xf>
    <xf numFmtId="164" fontId="0" fillId="35" borderId="71" xfId="0" applyFill="1" applyBorder="1" applyAlignment="1" quotePrefix="1">
      <alignment horizontal="center"/>
    </xf>
    <xf numFmtId="167" fontId="0" fillId="35" borderId="71" xfId="0" applyNumberFormat="1" applyFill="1" applyBorder="1" applyAlignment="1">
      <alignment horizontal="right"/>
    </xf>
    <xf numFmtId="164" fontId="0" fillId="35" borderId="31" xfId="0" applyFill="1" applyBorder="1" applyAlignment="1">
      <alignment horizontal="right"/>
    </xf>
    <xf numFmtId="164" fontId="0" fillId="0" borderId="0" xfId="0" applyFont="1" applyAlignment="1">
      <alignment horizontal="left"/>
    </xf>
    <xf numFmtId="164" fontId="13" fillId="0" borderId="0" xfId="0" applyFont="1" applyAlignment="1">
      <alignment horizontal="left"/>
    </xf>
    <xf numFmtId="164" fontId="0" fillId="0" borderId="30" xfId="0" applyBorder="1" applyAlignment="1" quotePrefix="1">
      <alignment horizontal="center" vertical="center"/>
    </xf>
    <xf numFmtId="164" fontId="0" fillId="0" borderId="11" xfId="0" applyBorder="1" applyAlignment="1" quotePrefix="1">
      <alignment horizontal="center" vertical="center"/>
    </xf>
    <xf numFmtId="164" fontId="0" fillId="0" borderId="12" xfId="0" applyBorder="1" applyAlignment="1" quotePrefix="1">
      <alignment horizontal="center" vertical="center"/>
    </xf>
    <xf numFmtId="164" fontId="0" fillId="0" borderId="11" xfId="0" applyFont="1" applyFill="1" applyBorder="1" applyAlignment="1" quotePrefix="1">
      <alignment horizontal="center" vertical="center"/>
    </xf>
    <xf numFmtId="164" fontId="0" fillId="0" borderId="30" xfId="0" applyFont="1" applyFill="1" applyBorder="1" applyAlignment="1" quotePrefix="1">
      <alignment horizontal="center" vertical="center"/>
    </xf>
    <xf numFmtId="164" fontId="0" fillId="0" borderId="12" xfId="0" applyFont="1" applyFill="1" applyBorder="1" applyAlignment="1" quotePrefix="1">
      <alignment horizontal="center" vertical="center"/>
    </xf>
    <xf numFmtId="164" fontId="0" fillId="0" borderId="30" xfId="0" applyBorder="1" applyAlignment="1" quotePrefix="1">
      <alignment horizontal="center" vertical="top"/>
    </xf>
    <xf numFmtId="164" fontId="0" fillId="0" borderId="11" xfId="0" applyBorder="1" applyAlignment="1" quotePrefix="1">
      <alignment horizontal="center" vertical="top"/>
    </xf>
    <xf numFmtId="164" fontId="0" fillId="0" borderId="12" xfId="0" applyBorder="1" applyAlignment="1" quotePrefix="1">
      <alignment horizontal="center" vertical="top"/>
    </xf>
    <xf numFmtId="164" fontId="0" fillId="0" borderId="46" xfId="0" applyFont="1" applyFill="1" applyBorder="1" applyAlignment="1" quotePrefix="1">
      <alignment horizontal="center" vertical="top"/>
    </xf>
    <xf numFmtId="164" fontId="0" fillId="0" borderId="43" xfId="0" applyFont="1" applyFill="1" applyBorder="1" applyAlignment="1" quotePrefix="1">
      <alignment horizontal="center" vertical="top"/>
    </xf>
    <xf numFmtId="164" fontId="0" fillId="0" borderId="41" xfId="0" applyFont="1" applyFill="1" applyBorder="1" applyAlignment="1" quotePrefix="1">
      <alignment horizontal="center" vertical="top"/>
    </xf>
    <xf numFmtId="164" fontId="0" fillId="0" borderId="46" xfId="0" applyFont="1" applyFill="1" applyBorder="1" applyAlignment="1" quotePrefix="1">
      <alignment horizontal="center" vertical="top"/>
    </xf>
    <xf numFmtId="164" fontId="0" fillId="0" borderId="46" xfId="0" applyFont="1" applyFill="1" applyBorder="1" applyAlignment="1">
      <alignment horizontal="center" vertical="top"/>
    </xf>
    <xf numFmtId="164" fontId="0" fillId="0" borderId="43" xfId="0" applyFont="1" applyFill="1" applyBorder="1" applyAlignment="1">
      <alignment horizontal="center" vertical="top"/>
    </xf>
    <xf numFmtId="164" fontId="0" fillId="0" borderId="41" xfId="0" applyFont="1" applyFill="1" applyBorder="1" applyAlignment="1">
      <alignment horizontal="center" vertical="top"/>
    </xf>
    <xf numFmtId="164" fontId="0" fillId="0" borderId="46" xfId="0" applyFont="1" applyFill="1" applyBorder="1" applyAlignment="1">
      <alignment horizontal="center" vertical="top"/>
    </xf>
    <xf numFmtId="164" fontId="0" fillId="0" borderId="43" xfId="0" applyFont="1" applyFill="1" applyBorder="1" applyAlignment="1">
      <alignment horizontal="center" vertical="top"/>
    </xf>
    <xf numFmtId="164" fontId="0" fillId="0" borderId="41" xfId="0" applyFont="1" applyFill="1" applyBorder="1" applyAlignment="1">
      <alignment horizontal="center" vertical="top"/>
    </xf>
    <xf numFmtId="164" fontId="0" fillId="0" borderId="47" xfId="0" applyFont="1" applyFill="1" applyBorder="1" applyAlignment="1">
      <alignment horizontal="center" vertical="top"/>
    </xf>
    <xf numFmtId="164" fontId="0" fillId="34" borderId="46" xfId="0" applyFont="1" applyFill="1" applyBorder="1" applyAlignment="1" quotePrefix="1">
      <alignment horizontal="center" vertical="top"/>
    </xf>
    <xf numFmtId="164" fontId="0" fillId="34" borderId="43" xfId="0" applyFont="1" applyFill="1" applyBorder="1" applyAlignment="1" quotePrefix="1">
      <alignment horizontal="center" vertical="top"/>
    </xf>
    <xf numFmtId="164" fontId="0" fillId="34" borderId="41" xfId="0" applyFont="1" applyFill="1" applyBorder="1" applyAlignment="1" quotePrefix="1">
      <alignment horizontal="center" vertical="top"/>
    </xf>
    <xf numFmtId="164" fontId="8" fillId="35" borderId="72" xfId="0" applyFont="1" applyFill="1" applyBorder="1" applyAlignment="1" quotePrefix="1">
      <alignment horizontal="left" vertical="center"/>
    </xf>
    <xf numFmtId="164" fontId="8" fillId="35" borderId="73" xfId="0" applyFont="1" applyFill="1" applyBorder="1" applyAlignment="1" quotePrefix="1">
      <alignment horizontal="left" vertical="center"/>
    </xf>
    <xf numFmtId="164" fontId="8" fillId="35" borderId="74" xfId="0" applyFont="1" applyFill="1" applyBorder="1" applyAlignment="1" quotePrefix="1">
      <alignment horizontal="left" vertical="center"/>
    </xf>
    <xf numFmtId="164" fontId="8" fillId="35" borderId="75" xfId="0" applyFont="1" applyFill="1" applyBorder="1" applyAlignment="1" quotePrefix="1">
      <alignment horizontal="left" vertical="center"/>
    </xf>
    <xf numFmtId="164" fontId="8" fillId="35" borderId="0" xfId="0" applyFont="1" applyFill="1" applyBorder="1" applyAlignment="1" quotePrefix="1">
      <alignment horizontal="left" vertical="center"/>
    </xf>
    <xf numFmtId="164" fontId="8" fillId="35" borderId="11" xfId="0" applyFont="1" applyFill="1" applyBorder="1" applyAlignment="1" quotePrefix="1">
      <alignment horizontal="left" vertical="center"/>
    </xf>
    <xf numFmtId="164" fontId="8" fillId="35" borderId="76" xfId="0" applyFont="1" applyFill="1" applyBorder="1" applyAlignment="1" quotePrefix="1">
      <alignment horizontal="left" vertical="center"/>
    </xf>
    <xf numFmtId="164" fontId="8" fillId="35" borderId="37" xfId="0" applyFont="1" applyFill="1" applyBorder="1" applyAlignment="1" quotePrefix="1">
      <alignment horizontal="left" vertical="center"/>
    </xf>
    <xf numFmtId="164" fontId="8" fillId="35" borderId="38" xfId="0" applyFont="1" applyFill="1" applyBorder="1" applyAlignment="1" quotePrefix="1">
      <alignment horizontal="left" vertical="center"/>
    </xf>
    <xf numFmtId="164" fontId="0" fillId="0" borderId="55" xfId="0" applyBorder="1" applyAlignment="1" quotePrefix="1">
      <alignment horizontal="center" vertical="center"/>
    </xf>
    <xf numFmtId="164" fontId="0" fillId="0" borderId="56" xfId="0" applyBorder="1" applyAlignment="1" quotePrefix="1">
      <alignment horizontal="center" vertical="center"/>
    </xf>
    <xf numFmtId="164" fontId="0" fillId="0" borderId="57" xfId="0" applyBorder="1" applyAlignment="1" quotePrefix="1">
      <alignment horizontal="center" vertical="center"/>
    </xf>
    <xf numFmtId="164" fontId="0" fillId="0" borderId="77" xfId="0" applyBorder="1" applyAlignment="1">
      <alignment horizontal="center" vertical="center"/>
    </xf>
    <xf numFmtId="164" fontId="0" fillId="0" borderId="34" xfId="0" applyBorder="1" applyAlignment="1">
      <alignment horizontal="center" vertical="center"/>
    </xf>
    <xf numFmtId="164" fontId="0" fillId="0" borderId="40" xfId="0" applyBorder="1" applyAlignment="1">
      <alignment horizontal="center" vertical="center"/>
    </xf>
    <xf numFmtId="164" fontId="0" fillId="33" borderId="46" xfId="0" applyFont="1" applyFill="1" applyBorder="1" applyAlignment="1" quotePrefix="1">
      <alignment horizontal="center" vertical="top"/>
    </xf>
    <xf numFmtId="164" fontId="0" fillId="33" borderId="43" xfId="0" applyFont="1" applyFill="1" applyBorder="1" applyAlignment="1" quotePrefix="1">
      <alignment horizontal="center" vertical="top"/>
    </xf>
    <xf numFmtId="164" fontId="0" fillId="33" borderId="41" xfId="0" applyFont="1" applyFill="1" applyBorder="1" applyAlignment="1" quotePrefix="1">
      <alignment horizontal="center" vertical="top"/>
    </xf>
    <xf numFmtId="164" fontId="8" fillId="35" borderId="78" xfId="0" applyFont="1" applyFill="1" applyBorder="1" applyAlignment="1" quotePrefix="1">
      <alignment horizontal="left" vertical="center"/>
    </xf>
    <xf numFmtId="164" fontId="8" fillId="35" borderId="13" xfId="0" applyFont="1" applyFill="1" applyBorder="1" applyAlignment="1" quotePrefix="1">
      <alignment horizontal="left" vertical="center"/>
    </xf>
    <xf numFmtId="164" fontId="8" fillId="35" borderId="36" xfId="0" applyFont="1" applyFill="1" applyBorder="1" applyAlignment="1" quotePrefix="1">
      <alignment horizontal="left" vertical="center"/>
    </xf>
    <xf numFmtId="164" fontId="9" fillId="35" borderId="13" xfId="0" applyFont="1" applyFill="1" applyBorder="1" applyAlignment="1" quotePrefix="1">
      <alignment horizontal="center" vertical="center"/>
    </xf>
    <xf numFmtId="164" fontId="9" fillId="35" borderId="0" xfId="0" applyFont="1" applyFill="1" applyBorder="1" applyAlignment="1" quotePrefix="1">
      <alignment horizontal="center" vertical="center"/>
    </xf>
    <xf numFmtId="164" fontId="9" fillId="35" borderId="21" xfId="0" applyFont="1" applyFill="1" applyBorder="1" applyAlignment="1" quotePrefix="1">
      <alignment horizontal="center" vertical="center"/>
    </xf>
    <xf numFmtId="164" fontId="9" fillId="35" borderId="22" xfId="0" applyFont="1" applyFill="1" applyBorder="1" applyAlignment="1" quotePrefix="1">
      <alignment horizontal="center" vertical="center"/>
    </xf>
    <xf numFmtId="164" fontId="0" fillId="0" borderId="46" xfId="0" applyFont="1" applyBorder="1" applyAlignment="1" quotePrefix="1">
      <alignment horizontal="center" vertical="top"/>
    </xf>
    <xf numFmtId="164" fontId="0" fillId="0" borderId="43" xfId="0" applyFont="1" applyBorder="1" applyAlignment="1" quotePrefix="1">
      <alignment horizontal="center" vertical="top"/>
    </xf>
    <xf numFmtId="164" fontId="0" fillId="0" borderId="41" xfId="0" applyFont="1" applyBorder="1" applyAlignment="1" quotePrefix="1">
      <alignment horizontal="center" vertical="top"/>
    </xf>
    <xf numFmtId="164" fontId="0" fillId="0" borderId="46" xfId="0" applyBorder="1" applyAlignment="1" quotePrefix="1">
      <alignment horizontal="center" vertical="top"/>
    </xf>
    <xf numFmtId="164" fontId="0" fillId="0" borderId="43" xfId="0" applyBorder="1" applyAlignment="1" quotePrefix="1">
      <alignment horizontal="center" vertical="top"/>
    </xf>
    <xf numFmtId="164" fontId="0" fillId="0" borderId="41" xfId="0" applyBorder="1" applyAlignment="1" quotePrefix="1">
      <alignment horizontal="center" vertical="top"/>
    </xf>
    <xf numFmtId="164" fontId="0" fillId="0" borderId="0" xfId="0" applyFont="1" applyBorder="1" applyAlignment="1" quotePrefix="1">
      <alignment horizontal="center" vertical="center" wrapText="1"/>
    </xf>
    <xf numFmtId="164" fontId="0" fillId="0" borderId="22" xfId="0" applyFont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781"/>
  <sheetViews>
    <sheetView zoomScalePageLayoutView="0" workbookViewId="0" topLeftCell="A25">
      <selection activeCell="H11" sqref="H11"/>
    </sheetView>
  </sheetViews>
  <sheetFormatPr defaultColWidth="9.140625" defaultRowHeight="12.75"/>
  <cols>
    <col min="1" max="1" width="8.57421875" style="56" customWidth="1"/>
    <col min="2" max="2" width="9.7109375" style="18" customWidth="1"/>
    <col min="3" max="3" width="53.421875" style="63" customWidth="1"/>
    <col min="4" max="4" width="31.421875" style="28" customWidth="1"/>
  </cols>
  <sheetData>
    <row r="1" spans="2:3" ht="12.75">
      <c r="B1" s="5"/>
      <c r="C1" s="61"/>
    </row>
    <row r="2" spans="1:4" ht="17.25">
      <c r="A2" s="76" t="s">
        <v>0</v>
      </c>
      <c r="B2" s="53"/>
      <c r="C2" s="62"/>
      <c r="D2" s="50"/>
    </row>
    <row r="3" spans="1:4" ht="12.75" customHeight="1">
      <c r="A3" s="77"/>
      <c r="B3" s="78"/>
      <c r="C3" s="79"/>
      <c r="D3" s="80" t="s">
        <v>709</v>
      </c>
    </row>
    <row r="4" spans="2:4" ht="13.5" thickBot="1">
      <c r="B4" s="237"/>
      <c r="C4" s="335"/>
      <c r="D4" s="33" t="s">
        <v>710</v>
      </c>
    </row>
    <row r="5" spans="1:5" ht="16.5" thickBot="1" thickTop="1">
      <c r="A5" s="334" t="s">
        <v>1</v>
      </c>
      <c r="B5" s="75" t="s">
        <v>2</v>
      </c>
      <c r="C5" s="337" t="s">
        <v>3</v>
      </c>
      <c r="D5" s="336" t="s">
        <v>4</v>
      </c>
      <c r="E5" s="17"/>
    </row>
    <row r="6" spans="1:4" ht="15.75" thickTop="1">
      <c r="A6" s="362"/>
      <c r="B6" s="362"/>
      <c r="C6" s="363"/>
      <c r="D6" s="331"/>
    </row>
    <row r="7" spans="1:180" s="13" customFormat="1" ht="15">
      <c r="A7" s="360"/>
      <c r="B7" s="360"/>
      <c r="C7" s="363" t="s">
        <v>708</v>
      </c>
      <c r="D7" s="332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</row>
    <row r="8" spans="1:180" s="13" customFormat="1" ht="13.5" thickBot="1">
      <c r="A8" s="361"/>
      <c r="B8" s="361"/>
      <c r="C8" s="364"/>
      <c r="D8" s="333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</row>
    <row r="9" spans="1:180" s="13" customFormat="1" ht="12.75">
      <c r="A9" s="58" t="s">
        <v>567</v>
      </c>
      <c r="B9" s="54">
        <f>RAILDL_CALCS!J9</f>
        <v>0.3349609375</v>
      </c>
      <c r="C9" s="338" t="s">
        <v>43</v>
      </c>
      <c r="D9" s="318" t="s">
        <v>603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</row>
    <row r="10" spans="1:180" s="13" customFormat="1" ht="12.75">
      <c r="A10" s="57" t="s">
        <v>569</v>
      </c>
      <c r="B10" s="54">
        <f>RAILDL_CALCS!J14</f>
        <v>0.18521272062499997</v>
      </c>
      <c r="C10" s="339" t="s">
        <v>41</v>
      </c>
      <c r="D10" s="318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</row>
    <row r="11" spans="1:180" s="13" customFormat="1" ht="12.75">
      <c r="A11" s="58" t="s">
        <v>635</v>
      </c>
      <c r="B11" s="54">
        <f>RAILDL_CALCS!J20</f>
        <v>0.21308078812500003</v>
      </c>
      <c r="C11" s="339" t="s">
        <v>39</v>
      </c>
      <c r="D11" s="318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</row>
    <row r="12" spans="1:180" s="13" customFormat="1" ht="12.75">
      <c r="A12" s="58" t="s">
        <v>637</v>
      </c>
      <c r="B12" s="312">
        <f>RAILDL_CALCS!J24</f>
        <v>0.3924679487179487</v>
      </c>
      <c r="C12" s="340" t="s">
        <v>700</v>
      </c>
      <c r="D12" s="318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</row>
    <row r="13" spans="1:180" s="13" customFormat="1" ht="13.5" thickBot="1">
      <c r="A13" s="314" t="s">
        <v>639</v>
      </c>
      <c r="B13" s="315">
        <f>RAILDL_CALCS!J30</f>
        <v>0.04593206586154513</v>
      </c>
      <c r="C13" s="341" t="s">
        <v>701</v>
      </c>
      <c r="D13" s="319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</row>
    <row r="14" spans="1:180" s="13" customFormat="1" ht="12.75">
      <c r="A14" s="380" t="s">
        <v>571</v>
      </c>
      <c r="B14" s="54">
        <f>RAILDL_CALCS!J35</f>
        <v>0.35723615111034723</v>
      </c>
      <c r="C14" s="342" t="s">
        <v>696</v>
      </c>
      <c r="D14" s="318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</row>
    <row r="15" spans="1:180" s="13" customFormat="1" ht="12.75">
      <c r="A15" s="380"/>
      <c r="B15" s="311">
        <f>RAILDL_CALCS!J40</f>
        <v>0.36889956721508366</v>
      </c>
      <c r="C15" s="342" t="s">
        <v>697</v>
      </c>
      <c r="D15" s="320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</row>
    <row r="16" spans="1:180" s="13" customFormat="1" ht="12.75">
      <c r="A16" s="381" t="s">
        <v>572</v>
      </c>
      <c r="B16" s="317">
        <f>B14</f>
        <v>0.35723615111034723</v>
      </c>
      <c r="C16" s="343" t="s">
        <v>698</v>
      </c>
      <c r="D16" s="321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</row>
    <row r="17" spans="1:180" s="13" customFormat="1" ht="12.75">
      <c r="A17" s="380"/>
      <c r="B17" s="316">
        <f>B16</f>
        <v>0.35723615111034723</v>
      </c>
      <c r="C17" s="342" t="s">
        <v>699</v>
      </c>
      <c r="D17" s="320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</row>
    <row r="18" spans="1:180" s="13" customFormat="1" ht="13.5" thickBot="1">
      <c r="A18" s="314" t="s">
        <v>646</v>
      </c>
      <c r="B18" s="67">
        <f>RAILDL_CALCS!J43</f>
        <v>0.3</v>
      </c>
      <c r="C18" s="344" t="s">
        <v>702</v>
      </c>
      <c r="D18" s="319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</row>
    <row r="19" spans="1:180" s="13" customFormat="1" ht="12.75">
      <c r="A19" s="58" t="s">
        <v>573</v>
      </c>
      <c r="B19" s="54">
        <f>RAILDL_CALCS!J44</f>
        <v>0.057946534787037034</v>
      </c>
      <c r="C19" s="342" t="s">
        <v>16</v>
      </c>
      <c r="D19" s="318" t="s">
        <v>570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</row>
    <row r="20" spans="1:180" s="13" customFormat="1" ht="12.75">
      <c r="A20" s="58" t="s">
        <v>574</v>
      </c>
      <c r="B20" s="54">
        <f>RAILDL_CALCS!J45</f>
        <v>0.0374299688</v>
      </c>
      <c r="C20" s="342" t="s">
        <v>37</v>
      </c>
      <c r="D20" s="318" t="s">
        <v>575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</row>
    <row r="21" spans="1:180" s="13" customFormat="1" ht="12.75">
      <c r="A21" s="381" t="s">
        <v>576</v>
      </c>
      <c r="B21" s="54">
        <f>RAILDL_CALCS!J47</f>
        <v>0.36022909999999997</v>
      </c>
      <c r="C21" s="339" t="s">
        <v>582</v>
      </c>
      <c r="D21" s="318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</row>
    <row r="22" spans="1:180" s="13" customFormat="1" ht="12.75">
      <c r="A22" s="380"/>
      <c r="B22" s="317">
        <f>RAILDL_CALCS!J48</f>
        <v>0.0925625</v>
      </c>
      <c r="C22" s="343" t="s">
        <v>578</v>
      </c>
      <c r="D22" s="322" t="s">
        <v>577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</row>
    <row r="23" spans="1:180" s="13" customFormat="1" ht="12.75">
      <c r="A23" s="380"/>
      <c r="B23" s="54">
        <f>RAILDL_CALCS!J49</f>
        <v>0.3469609375</v>
      </c>
      <c r="C23" s="342" t="s">
        <v>580</v>
      </c>
      <c r="D23" s="323" t="s">
        <v>577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</row>
    <row r="24" spans="1:180" s="13" customFormat="1" ht="12.75">
      <c r="A24" s="382"/>
      <c r="B24" s="54">
        <f>RAILDL_CALCS!J51</f>
        <v>0.20121272062499995</v>
      </c>
      <c r="C24" s="345" t="s">
        <v>703</v>
      </c>
      <c r="D24" s="3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</row>
    <row r="25" spans="1:180" s="13" customFormat="1" ht="13.5" thickBot="1">
      <c r="A25" s="314" t="s">
        <v>685</v>
      </c>
      <c r="B25" s="313">
        <f>RAILDL_CALCS!J54</f>
        <v>0.3492578125</v>
      </c>
      <c r="C25" s="341" t="s">
        <v>704</v>
      </c>
      <c r="D25" s="322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</row>
    <row r="26" spans="1:180" s="13" customFormat="1" ht="12.75">
      <c r="A26" s="58" t="s">
        <v>584</v>
      </c>
      <c r="B26" s="54">
        <f>RAILDL_CALCS!J57</f>
        <v>0.02996946776308334</v>
      </c>
      <c r="C26" s="342" t="s">
        <v>51</v>
      </c>
      <c r="D26" s="325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</row>
    <row r="27" spans="1:180" s="13" customFormat="1" ht="12.75">
      <c r="A27" s="58" t="s">
        <v>586</v>
      </c>
      <c r="B27" s="54">
        <f>RAILDL_CALCS!J58</f>
        <v>0.3144211497111111</v>
      </c>
      <c r="C27" s="342" t="s">
        <v>587</v>
      </c>
      <c r="D27" s="324" t="s">
        <v>585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</row>
    <row r="28" spans="1:180" s="13" customFormat="1" ht="12.75">
      <c r="A28" s="57" t="s">
        <v>588</v>
      </c>
      <c r="B28" s="317">
        <f>RAILDL_CALCS!J59</f>
        <v>0.304</v>
      </c>
      <c r="C28" s="343" t="s">
        <v>595</v>
      </c>
      <c r="D28" s="323" t="s">
        <v>589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</row>
    <row r="29" spans="1:180" s="13" customFormat="1" ht="12.75">
      <c r="A29" s="59" t="s">
        <v>590</v>
      </c>
      <c r="B29" s="55">
        <f>RAILDL_CALCS!J60</f>
        <v>0.34938208721111114</v>
      </c>
      <c r="C29" s="342" t="s">
        <v>596</v>
      </c>
      <c r="D29" s="324" t="s">
        <v>591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</row>
    <row r="30" spans="1:180" s="13" customFormat="1" ht="13.5" thickBot="1">
      <c r="A30" s="330" t="s">
        <v>593</v>
      </c>
      <c r="B30" s="329">
        <f>RAILDL_CALCS!J61</f>
        <v>0.3389609375</v>
      </c>
      <c r="C30" s="346" t="s">
        <v>594</v>
      </c>
      <c r="D30" s="327" t="s">
        <v>592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</row>
    <row r="31" spans="1:180" s="13" customFormat="1" ht="12.75">
      <c r="A31" s="59" t="s">
        <v>598</v>
      </c>
      <c r="B31" s="55">
        <f>RAILDL_CALCS!J62</f>
        <v>0.5115885416666667</v>
      </c>
      <c r="C31" s="338" t="s">
        <v>47</v>
      </c>
      <c r="D31" s="318" t="s">
        <v>597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</row>
    <row r="32" spans="1:180" s="13" customFormat="1" ht="13.5" thickBot="1">
      <c r="A32" s="68" t="s">
        <v>674</v>
      </c>
      <c r="B32" s="69">
        <f>RAILDL_CALCS!J63</f>
        <v>0.04100939111111111</v>
      </c>
      <c r="C32" s="347" t="s">
        <v>26</v>
      </c>
      <c r="D32" s="327" t="s">
        <v>599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</row>
    <row r="33" spans="1:180" s="13" customFormat="1" ht="12.75">
      <c r="A33" s="59" t="s">
        <v>613</v>
      </c>
      <c r="B33" s="55">
        <f>RAILDL_CALCS!J64</f>
        <v>0.3379609375</v>
      </c>
      <c r="C33" s="339" t="s">
        <v>614</v>
      </c>
      <c r="D33" s="318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</row>
    <row r="34" spans="1:180" s="13" customFormat="1" ht="12.75">
      <c r="A34" s="377" t="s">
        <v>600</v>
      </c>
      <c r="B34" s="55">
        <f>RAILDL_CALCS!J65</f>
        <v>0.24850260416666667</v>
      </c>
      <c r="C34" s="348" t="s">
        <v>705</v>
      </c>
      <c r="D34" s="318" t="s">
        <v>568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</row>
    <row r="35" spans="1:180" s="13" customFormat="1" ht="12.75">
      <c r="A35" s="378"/>
      <c r="B35" s="55">
        <f>RAILDL_CALCS!J66</f>
        <v>0.2870442708333334</v>
      </c>
      <c r="C35" s="348" t="s">
        <v>706</v>
      </c>
      <c r="D35" s="318" t="s">
        <v>568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</row>
    <row r="36" spans="1:180" s="13" customFormat="1" ht="12.75">
      <c r="A36" s="379"/>
      <c r="B36" s="55">
        <f>RAILDL_CALCS!J67</f>
        <v>0.2745442708333333</v>
      </c>
      <c r="C36" s="348" t="s">
        <v>707</v>
      </c>
      <c r="D36" s="318" t="s">
        <v>568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</row>
    <row r="37" spans="1:180" s="13" customFormat="1" ht="12.75">
      <c r="A37" s="59" t="s">
        <v>601</v>
      </c>
      <c r="B37" s="55">
        <f>RAILDL_CALCS!J69</f>
        <v>0.10469576266203702</v>
      </c>
      <c r="C37" s="339" t="s">
        <v>18</v>
      </c>
      <c r="D37" s="318" t="s">
        <v>602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</row>
    <row r="38" spans="1:180" s="13" customFormat="1" ht="13.5" thickBot="1">
      <c r="A38" s="68" t="s">
        <v>604</v>
      </c>
      <c r="B38" s="69">
        <f>RAILDL_CALCS!J74</f>
        <v>0.5181640625</v>
      </c>
      <c r="C38" s="349" t="s">
        <v>605</v>
      </c>
      <c r="D38" s="32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</row>
    <row r="39" spans="1:180" s="13" customFormat="1" ht="12.75">
      <c r="A39" s="372"/>
      <c r="B39" s="372"/>
      <c r="C39" s="373"/>
      <c r="D39" s="374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</row>
    <row r="40" spans="1:180" s="13" customFormat="1" ht="15">
      <c r="A40" s="360"/>
      <c r="B40" s="360"/>
      <c r="C40" s="363" t="s">
        <v>615</v>
      </c>
      <c r="D40" s="332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</row>
    <row r="41" spans="1:180" s="13" customFormat="1" ht="13.5" thickBot="1">
      <c r="A41" s="361"/>
      <c r="B41" s="361"/>
      <c r="C41" s="364"/>
      <c r="D41" s="333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</row>
    <row r="42" spans="1:180" s="13" customFormat="1" ht="13.5" thickBot="1">
      <c r="A42" s="91" t="s">
        <v>606</v>
      </c>
      <c r="B42" s="90">
        <f>RAILDL_CALCS!J82</f>
        <v>0.4046262916666667</v>
      </c>
      <c r="C42" s="350" t="s">
        <v>607</v>
      </c>
      <c r="D42" s="351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</row>
    <row r="43" spans="1:180" s="13" customFormat="1" ht="12.75">
      <c r="A43" s="58" t="s">
        <v>5</v>
      </c>
      <c r="B43" s="54">
        <f>RAILDL_CALCS!J86</f>
        <v>0.0925625</v>
      </c>
      <c r="C43" s="339" t="s">
        <v>6</v>
      </c>
      <c r="D43" s="352" t="s">
        <v>7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</row>
    <row r="44" spans="1:180" s="13" customFormat="1" ht="12.75">
      <c r="A44" s="57" t="s">
        <v>5</v>
      </c>
      <c r="B44" s="54">
        <f>RAILDL_CALCS!J84</f>
        <v>0.2785</v>
      </c>
      <c r="C44" s="339" t="s">
        <v>8</v>
      </c>
      <c r="D44" s="352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</row>
    <row r="45" spans="1:180" s="13" customFormat="1" ht="12.75">
      <c r="A45" s="58" t="s">
        <v>9</v>
      </c>
      <c r="B45" s="54">
        <f>RAILDL_CALCS!J95</f>
        <v>0.2804618419795156</v>
      </c>
      <c r="C45" s="342" t="s">
        <v>10</v>
      </c>
      <c r="D45" s="352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</row>
    <row r="46" spans="1:180" s="13" customFormat="1" ht="13.5" thickBot="1">
      <c r="A46" s="66" t="s">
        <v>9</v>
      </c>
      <c r="B46" s="67">
        <f>RAILDL_CALCS!J101</f>
        <v>0.2895774916657813</v>
      </c>
      <c r="C46" s="347" t="s">
        <v>11</v>
      </c>
      <c r="D46" s="353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</row>
    <row r="47" spans="1:180" s="13" customFormat="1" ht="12.75">
      <c r="A47" s="58" t="s">
        <v>12</v>
      </c>
      <c r="B47" s="54">
        <f>RAILDL_CALCS!J106</f>
        <v>0.2804618419795156</v>
      </c>
      <c r="C47" s="342" t="s">
        <v>13</v>
      </c>
      <c r="D47" s="352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</row>
    <row r="48" spans="1:180" s="13" customFormat="1" ht="12.75">
      <c r="A48" s="58" t="s">
        <v>12</v>
      </c>
      <c r="B48" s="54">
        <f>RAILDL_CALCS!J112</f>
        <v>0.2895774916657813</v>
      </c>
      <c r="C48" s="342" t="s">
        <v>14</v>
      </c>
      <c r="D48" s="352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</row>
    <row r="49" spans="1:180" s="13" customFormat="1" ht="12.75">
      <c r="A49" s="58" t="s">
        <v>15</v>
      </c>
      <c r="B49" s="54">
        <f>RAILDL_CALCS!J118</f>
        <v>0.057946534787037034</v>
      </c>
      <c r="C49" s="339" t="s">
        <v>16</v>
      </c>
      <c r="D49" s="352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</row>
    <row r="50" spans="1:180" s="13" customFormat="1" ht="13.5" thickBot="1">
      <c r="A50" s="66" t="s">
        <v>17</v>
      </c>
      <c r="B50" s="67">
        <f>RAILDL_CALCS!J120</f>
        <v>0.09832609953703703</v>
      </c>
      <c r="C50" s="347" t="s">
        <v>18</v>
      </c>
      <c r="D50" s="354" t="s">
        <v>19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</row>
    <row r="51" spans="1:180" s="13" customFormat="1" ht="12.75">
      <c r="A51" s="58" t="s">
        <v>20</v>
      </c>
      <c r="B51" s="54">
        <f>RAILDL_CALCS!J126</f>
        <v>0.24850260416666667</v>
      </c>
      <c r="C51" s="342" t="s">
        <v>21</v>
      </c>
      <c r="D51" s="355" t="s">
        <v>22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</row>
    <row r="52" spans="1:180" s="13" customFormat="1" ht="12.75">
      <c r="A52" s="58" t="s">
        <v>20</v>
      </c>
      <c r="B52" s="54">
        <f>RAILDL_CALCS!J132</f>
        <v>0.2870442708333334</v>
      </c>
      <c r="C52" s="342" t="s">
        <v>23</v>
      </c>
      <c r="D52" s="355" t="s">
        <v>22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</row>
    <row r="53" spans="1:180" s="13" customFormat="1" ht="12.75">
      <c r="A53" s="58" t="s">
        <v>20</v>
      </c>
      <c r="B53" s="54">
        <f>RAILDL_CALCS!J139</f>
        <v>0.2745442708333333</v>
      </c>
      <c r="C53" s="342" t="s">
        <v>24</v>
      </c>
      <c r="D53" s="355" t="s">
        <v>22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</row>
    <row r="54" spans="1:180" s="13" customFormat="1" ht="13.5" thickBot="1">
      <c r="A54" s="66" t="s">
        <v>25</v>
      </c>
      <c r="B54" s="67">
        <f>RAILDL_CALCS!J143</f>
        <v>0.04100939111111111</v>
      </c>
      <c r="C54" s="347" t="s">
        <v>26</v>
      </c>
      <c r="D54" s="354" t="s">
        <v>27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</row>
    <row r="55" spans="1:180" s="13" customFormat="1" ht="12.75">
      <c r="A55" s="59" t="s">
        <v>28</v>
      </c>
      <c r="B55" s="55">
        <f>RAILDL_CALCS!J145</f>
        <v>0.304</v>
      </c>
      <c r="C55" s="342" t="s">
        <v>29</v>
      </c>
      <c r="D55" s="356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</row>
    <row r="56" spans="1:180" s="13" customFormat="1" ht="12.75">
      <c r="A56" s="59" t="s">
        <v>30</v>
      </c>
      <c r="B56" s="55">
        <f>RAILDL_CALCS!J149</f>
        <v>0.34938208721111114</v>
      </c>
      <c r="C56" s="342" t="s">
        <v>31</v>
      </c>
      <c r="D56" s="355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</row>
    <row r="57" spans="1:180" s="13" customFormat="1" ht="12.75">
      <c r="A57" s="59" t="s">
        <v>32</v>
      </c>
      <c r="B57" s="55">
        <f>RAILDL_CALCS!J153</f>
        <v>0.3144211497111111</v>
      </c>
      <c r="C57" s="339" t="s">
        <v>33</v>
      </c>
      <c r="D57" s="3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</row>
    <row r="58" spans="1:180" s="13" customFormat="1" ht="13.5" thickBot="1">
      <c r="A58" s="68" t="s">
        <v>34</v>
      </c>
      <c r="B58" s="69">
        <f>RAILDL_CALCS!J155</f>
        <v>0.3389609375</v>
      </c>
      <c r="C58" s="347" t="s">
        <v>35</v>
      </c>
      <c r="D58" s="3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</row>
    <row r="59" spans="1:180" s="13" customFormat="1" ht="12.75">
      <c r="A59" s="59" t="s">
        <v>36</v>
      </c>
      <c r="B59" s="55">
        <f>RAILDL_CALCS!J158</f>
        <v>0.0374299688</v>
      </c>
      <c r="C59" s="339" t="s">
        <v>37</v>
      </c>
      <c r="D59" s="352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</row>
    <row r="60" spans="1:180" s="13" customFormat="1" ht="12.75">
      <c r="A60" s="59" t="s">
        <v>38</v>
      </c>
      <c r="B60" s="55">
        <f>RAILDL_CALCS!J164</f>
        <v>0.15286236680668114</v>
      </c>
      <c r="C60" s="348" t="s">
        <v>39</v>
      </c>
      <c r="D60" s="352" t="s">
        <v>7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</row>
    <row r="61" spans="1:180" s="13" customFormat="1" ht="12.75">
      <c r="A61" s="59" t="s">
        <v>40</v>
      </c>
      <c r="B61" s="55">
        <f>RAILDL_CALCS!J169</f>
        <v>0.1625138703622525</v>
      </c>
      <c r="C61" s="339" t="s">
        <v>41</v>
      </c>
      <c r="D61" s="352" t="s">
        <v>7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</row>
    <row r="62" spans="1:180" s="13" customFormat="1" ht="13.5" thickBot="1">
      <c r="A62" s="68" t="s">
        <v>42</v>
      </c>
      <c r="B62" s="69">
        <f>RAILDL_CALCS!J174</f>
        <v>0.3349609375</v>
      </c>
      <c r="C62" s="349" t="s">
        <v>43</v>
      </c>
      <c r="D62" s="353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</row>
    <row r="63" spans="1:180" s="13" customFormat="1" ht="12.75">
      <c r="A63" s="59" t="s">
        <v>44</v>
      </c>
      <c r="B63" s="55">
        <f>RAILDL_CALCS!J177</f>
        <v>0.028975176597222225</v>
      </c>
      <c r="C63" s="339" t="s">
        <v>45</v>
      </c>
      <c r="D63" s="352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</row>
    <row r="64" spans="1:180" s="13" customFormat="1" ht="12.75">
      <c r="A64" s="59" t="s">
        <v>46</v>
      </c>
      <c r="B64" s="55">
        <f>RAILDL_CALCS!J178</f>
        <v>0.5115885416666667</v>
      </c>
      <c r="C64" s="342" t="s">
        <v>47</v>
      </c>
      <c r="D64" s="355" t="s">
        <v>48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</row>
    <row r="65" spans="1:180" s="13" customFormat="1" ht="12.75">
      <c r="A65" s="59" t="s">
        <v>49</v>
      </c>
      <c r="B65" s="55">
        <f>RAILDL_CALCS!J180</f>
        <v>0.0581875</v>
      </c>
      <c r="C65" s="339" t="s">
        <v>6</v>
      </c>
      <c r="D65" s="352" t="s">
        <v>7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</row>
    <row r="66" spans="1:180" s="13" customFormat="1" ht="12.75">
      <c r="A66" s="59" t="s">
        <v>49</v>
      </c>
      <c r="B66" s="55">
        <f>RAILDL_CALCS!J181</f>
        <v>0.02</v>
      </c>
      <c r="C66" s="339" t="s">
        <v>8</v>
      </c>
      <c r="D66" s="352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</row>
    <row r="67" spans="1:180" s="13" customFormat="1" ht="13.5" thickBot="1">
      <c r="A67" s="68" t="s">
        <v>50</v>
      </c>
      <c r="B67" s="69">
        <f>RAILDL_CALCS!J184</f>
        <v>0.027954500000000007</v>
      </c>
      <c r="C67" s="347" t="s">
        <v>51</v>
      </c>
      <c r="D67" s="354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</row>
    <row r="68" spans="1:4" ht="12.75">
      <c r="A68" s="365"/>
      <c r="B68" s="365"/>
      <c r="C68" s="366"/>
      <c r="D68" s="367"/>
    </row>
    <row r="69" spans="1:4" ht="15">
      <c r="A69" s="368"/>
      <c r="B69" s="368"/>
      <c r="C69" s="363" t="s">
        <v>52</v>
      </c>
      <c r="D69" s="332"/>
    </row>
    <row r="70" spans="1:4" ht="13.5" thickBot="1">
      <c r="A70" s="369"/>
      <c r="B70" s="369"/>
      <c r="C70" s="370"/>
      <c r="D70" s="371"/>
    </row>
    <row r="71" spans="1:180" s="13" customFormat="1" ht="12.75">
      <c r="A71" s="59" t="s">
        <v>53</v>
      </c>
      <c r="B71" s="55">
        <v>0.3349609375</v>
      </c>
      <c r="C71" s="338" t="s">
        <v>43</v>
      </c>
      <c r="D71" s="318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</row>
    <row r="72" spans="1:180" s="13" customFormat="1" ht="12.75">
      <c r="A72" s="59" t="s">
        <v>54</v>
      </c>
      <c r="B72" s="55">
        <v>0.3766276041666667</v>
      </c>
      <c r="C72" s="339" t="s">
        <v>43</v>
      </c>
      <c r="D72" s="318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</row>
    <row r="73" spans="1:180" s="13" customFormat="1" ht="15" customHeight="1">
      <c r="A73" s="59" t="s">
        <v>55</v>
      </c>
      <c r="B73" s="55">
        <v>0.312</v>
      </c>
      <c r="C73" s="342" t="s">
        <v>56</v>
      </c>
      <c r="D73" s="324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</row>
    <row r="74" spans="1:180" s="13" customFormat="1" ht="13.5" thickBot="1">
      <c r="A74" s="68" t="s">
        <v>57</v>
      </c>
      <c r="B74" s="69">
        <v>0.30966332175925926</v>
      </c>
      <c r="C74" s="347" t="s">
        <v>58</v>
      </c>
      <c r="D74" s="326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</row>
    <row r="75" spans="1:180" s="13" customFormat="1" ht="12.75">
      <c r="A75" s="59" t="s">
        <v>59</v>
      </c>
      <c r="B75" s="55">
        <v>0.0312526875</v>
      </c>
      <c r="C75" s="339" t="s">
        <v>60</v>
      </c>
      <c r="D75" s="318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</row>
    <row r="76" spans="1:180" s="13" customFormat="1" ht="12.75">
      <c r="A76" s="59" t="s">
        <v>61</v>
      </c>
      <c r="B76" s="55">
        <v>0.3286458333333333</v>
      </c>
      <c r="C76" s="342" t="s">
        <v>62</v>
      </c>
      <c r="D76" s="324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</row>
    <row r="77" spans="1:180" s="13" customFormat="1" ht="12.75">
      <c r="A77" s="59" t="s">
        <v>63</v>
      </c>
      <c r="B77" s="55">
        <v>0.16490145705771841</v>
      </c>
      <c r="C77" s="348" t="s">
        <v>39</v>
      </c>
      <c r="D77" s="318" t="s">
        <v>7</v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</row>
    <row r="78" spans="1:180" s="13" customFormat="1" ht="13.5" thickBot="1">
      <c r="A78" s="68" t="s">
        <v>64</v>
      </c>
      <c r="B78" s="69">
        <v>0.03342920908610937</v>
      </c>
      <c r="C78" s="349" t="s">
        <v>65</v>
      </c>
      <c r="D78" s="32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</row>
    <row r="79" spans="1:180" s="13" customFormat="1" ht="12.75">
      <c r="A79" s="59" t="s">
        <v>50</v>
      </c>
      <c r="B79" s="55">
        <v>0.021289029999999994</v>
      </c>
      <c r="C79" s="342" t="s">
        <v>51</v>
      </c>
      <c r="D79" s="324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</row>
    <row r="80" spans="1:180" s="13" customFormat="1" ht="12.75">
      <c r="A80" s="59" t="s">
        <v>66</v>
      </c>
      <c r="B80" s="55">
        <v>0.035972458727911105</v>
      </c>
      <c r="C80" s="339" t="s">
        <v>67</v>
      </c>
      <c r="D80" s="318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</row>
    <row r="81" spans="1:180" s="13" customFormat="1" ht="12.75">
      <c r="A81" s="59" t="s">
        <v>66</v>
      </c>
      <c r="B81" s="55">
        <v>0.17281196725004477</v>
      </c>
      <c r="C81" s="339" t="s">
        <v>68</v>
      </c>
      <c r="D81" s="318" t="s">
        <v>7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</row>
    <row r="82" spans="1:180" s="13" customFormat="1" ht="13.5" thickBot="1">
      <c r="A82" s="68" t="s">
        <v>69</v>
      </c>
      <c r="B82" s="69">
        <v>0.027340793370751373</v>
      </c>
      <c r="C82" s="349" t="s">
        <v>70</v>
      </c>
      <c r="D82" s="328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</row>
    <row r="83" spans="1:180" s="13" customFormat="1" ht="12.75">
      <c r="A83" s="59" t="s">
        <v>71</v>
      </c>
      <c r="B83" s="55">
        <v>0.025997549885482276</v>
      </c>
      <c r="C83" s="339" t="s">
        <v>72</v>
      </c>
      <c r="D83" s="318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</row>
    <row r="84" spans="1:180" s="13" customFormat="1" ht="12.75">
      <c r="A84" s="59" t="s">
        <v>73</v>
      </c>
      <c r="B84" s="55">
        <v>0.05153807110142984</v>
      </c>
      <c r="C84" s="339" t="s">
        <v>74</v>
      </c>
      <c r="D84" s="318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</row>
    <row r="85" spans="1:180" s="13" customFormat="1" ht="12.75">
      <c r="A85" s="59" t="s">
        <v>75</v>
      </c>
      <c r="B85" s="55">
        <v>0.05153807110142984</v>
      </c>
      <c r="C85" s="339" t="s">
        <v>76</v>
      </c>
      <c r="D85" s="318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</row>
    <row r="86" spans="1:180" s="13" customFormat="1" ht="13.5" thickBot="1">
      <c r="A86" s="68" t="s">
        <v>77</v>
      </c>
      <c r="B86" s="69">
        <v>0.13384457390522878</v>
      </c>
      <c r="C86" s="347" t="s">
        <v>78</v>
      </c>
      <c r="D86" s="328" t="s">
        <v>7</v>
      </c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</row>
    <row r="87" spans="1:180" s="13" customFormat="1" ht="12.75">
      <c r="A87" s="59" t="s">
        <v>79</v>
      </c>
      <c r="B87" s="55">
        <v>0.10011065042718972</v>
      </c>
      <c r="C87" s="339" t="s">
        <v>80</v>
      </c>
      <c r="D87" s="318" t="s">
        <v>7</v>
      </c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</row>
    <row r="88" spans="1:180" s="13" customFormat="1" ht="12.75">
      <c r="A88" s="59" t="s">
        <v>81</v>
      </c>
      <c r="B88" s="55">
        <v>0.043469488125</v>
      </c>
      <c r="C88" s="339" t="s">
        <v>82</v>
      </c>
      <c r="D88" s="31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</row>
    <row r="89" spans="1:180" s="13" customFormat="1" ht="12.75">
      <c r="A89" s="59" t="s">
        <v>83</v>
      </c>
      <c r="B89" s="55">
        <v>0.042428848125</v>
      </c>
      <c r="C89" s="339" t="s">
        <v>84</v>
      </c>
      <c r="D89" s="318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</row>
    <row r="90" spans="1:180" s="13" customFormat="1" ht="13.5" thickBot="1">
      <c r="A90" s="68" t="s">
        <v>85</v>
      </c>
      <c r="B90" s="69">
        <v>0.2089587325475146</v>
      </c>
      <c r="C90" s="349" t="s">
        <v>86</v>
      </c>
      <c r="D90" s="328" t="s">
        <v>7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</row>
    <row r="91" spans="1:180" s="13" customFormat="1" ht="12.75">
      <c r="A91" s="59" t="s">
        <v>87</v>
      </c>
      <c r="B91" s="55">
        <v>0.021289029999999994</v>
      </c>
      <c r="C91" s="342" t="s">
        <v>51</v>
      </c>
      <c r="D91" s="324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</row>
    <row r="92" spans="1:180" s="13" customFormat="1" ht="12.75">
      <c r="A92" s="59" t="s">
        <v>88</v>
      </c>
      <c r="B92" s="55">
        <v>0.4453125</v>
      </c>
      <c r="C92" s="339" t="s">
        <v>89</v>
      </c>
      <c r="D92" s="318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</row>
    <row r="93" spans="1:180" s="13" customFormat="1" ht="12.75">
      <c r="A93" s="59" t="s">
        <v>90</v>
      </c>
      <c r="B93" s="55">
        <v>0.45729166666666665</v>
      </c>
      <c r="C93" s="342" t="s">
        <v>91</v>
      </c>
      <c r="D93" s="324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</row>
    <row r="94" spans="1:180" s="13" customFormat="1" ht="13.5" thickBot="1">
      <c r="A94" s="68" t="s">
        <v>92</v>
      </c>
      <c r="B94" s="69">
        <v>0.02145680066482843</v>
      </c>
      <c r="C94" s="347" t="s">
        <v>93</v>
      </c>
      <c r="D94" s="326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</row>
    <row r="95" spans="1:180" s="13" customFormat="1" ht="12.75">
      <c r="A95" s="71" t="s">
        <v>94</v>
      </c>
      <c r="B95" s="72">
        <v>0.07226825816737618</v>
      </c>
      <c r="C95" s="338" t="s">
        <v>95</v>
      </c>
      <c r="D95" s="359" t="s">
        <v>7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</row>
    <row r="96" spans="1:180" s="13" customFormat="1" ht="12.75">
      <c r="A96" s="59" t="s">
        <v>96</v>
      </c>
      <c r="B96" s="55">
        <v>0.439357235909111</v>
      </c>
      <c r="C96" s="339" t="s">
        <v>97</v>
      </c>
      <c r="D96" s="318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</row>
    <row r="97" spans="1:180" s="13" customFormat="1" ht="12.75">
      <c r="A97" s="59" t="s">
        <v>98</v>
      </c>
      <c r="B97" s="55">
        <v>0.4205421317424443</v>
      </c>
      <c r="C97" s="339" t="s">
        <v>97</v>
      </c>
      <c r="D97" s="318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</row>
    <row r="98" spans="1:180" s="13" customFormat="1" ht="13.5" thickBot="1">
      <c r="A98" s="68" t="s">
        <v>99</v>
      </c>
      <c r="B98" s="69">
        <v>0.04772386339546783</v>
      </c>
      <c r="C98" s="349" t="s">
        <v>100</v>
      </c>
      <c r="D98" s="32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</row>
    <row r="99" spans="1:180" s="13" customFormat="1" ht="12.75">
      <c r="A99" s="59" t="s">
        <v>101</v>
      </c>
      <c r="B99" s="55">
        <v>0.015735650427189725</v>
      </c>
      <c r="C99" s="339" t="s">
        <v>102</v>
      </c>
      <c r="D99" s="318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</row>
    <row r="100" spans="1:180" s="13" customFormat="1" ht="12.75">
      <c r="A100" s="59" t="s">
        <v>103</v>
      </c>
      <c r="B100" s="55">
        <v>0.2089587325475146</v>
      </c>
      <c r="C100" s="339" t="s">
        <v>86</v>
      </c>
      <c r="D100" s="318" t="s">
        <v>7</v>
      </c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</row>
    <row r="101" spans="1:180" s="13" customFormat="1" ht="12.75">
      <c r="A101" s="59" t="s">
        <v>104</v>
      </c>
      <c r="B101" s="55">
        <v>0.18525121501732278</v>
      </c>
      <c r="C101" s="339" t="s">
        <v>105</v>
      </c>
      <c r="D101" s="318" t="s">
        <v>7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</row>
    <row r="102" spans="1:180" s="13" customFormat="1" ht="13.5" thickBot="1">
      <c r="A102" s="68" t="s">
        <v>106</v>
      </c>
      <c r="B102" s="69">
        <v>0.4205421317424443</v>
      </c>
      <c r="C102" s="349" t="s">
        <v>97</v>
      </c>
      <c r="D102" s="328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</row>
    <row r="103" spans="1:180" s="13" customFormat="1" ht="12.75">
      <c r="A103" s="59" t="s">
        <v>107</v>
      </c>
      <c r="B103" s="55">
        <v>0.21461765257577767</v>
      </c>
      <c r="C103" s="339" t="s">
        <v>108</v>
      </c>
      <c r="D103" s="318" t="s">
        <v>109</v>
      </c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</row>
    <row r="104" spans="1:180" s="13" customFormat="1" ht="12.75">
      <c r="A104" s="59" t="s">
        <v>107</v>
      </c>
      <c r="B104" s="55">
        <v>0.41149265257577766</v>
      </c>
      <c r="C104" s="339" t="s">
        <v>110</v>
      </c>
      <c r="D104" s="318" t="s">
        <v>111</v>
      </c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</row>
    <row r="105" spans="1:180" s="13" customFormat="1" ht="12.75">
      <c r="A105" s="59" t="s">
        <v>112</v>
      </c>
      <c r="B105" s="55">
        <v>0.22522637402320503</v>
      </c>
      <c r="C105" s="339" t="s">
        <v>113</v>
      </c>
      <c r="D105" s="318" t="s">
        <v>109</v>
      </c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</row>
    <row r="106" spans="1:180" s="13" customFormat="1" ht="13.5" thickBot="1">
      <c r="A106" s="68" t="s">
        <v>114</v>
      </c>
      <c r="B106" s="69">
        <v>0.015198300624983585</v>
      </c>
      <c r="C106" s="347" t="s">
        <v>115</v>
      </c>
      <c r="D106" s="32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</row>
    <row r="107" spans="1:180" s="13" customFormat="1" ht="12.75">
      <c r="A107" s="59" t="s">
        <v>116</v>
      </c>
      <c r="B107" s="55">
        <v>0.04772386339546783</v>
      </c>
      <c r="C107" s="339" t="s">
        <v>100</v>
      </c>
      <c r="D107" s="318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</row>
    <row r="108" spans="1:180" s="13" customFormat="1" ht="12.75">
      <c r="A108" s="59" t="s">
        <v>117</v>
      </c>
      <c r="B108" s="55">
        <v>0.20950051982821638</v>
      </c>
      <c r="C108" s="339" t="s">
        <v>86</v>
      </c>
      <c r="D108" s="318" t="s">
        <v>7</v>
      </c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</row>
    <row r="109" spans="1:180" s="13" customFormat="1" ht="12.75">
      <c r="A109" s="59" t="s">
        <v>118</v>
      </c>
      <c r="B109" s="55">
        <v>0.019555824013157894</v>
      </c>
      <c r="C109" s="339" t="s">
        <v>119</v>
      </c>
      <c r="D109" s="318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</row>
    <row r="110" spans="1:180" s="13" customFormat="1" ht="13.5" thickBot="1">
      <c r="A110" s="68" t="s">
        <v>120</v>
      </c>
      <c r="B110" s="69">
        <v>0.20950051982821638</v>
      </c>
      <c r="C110" s="349" t="s">
        <v>86</v>
      </c>
      <c r="D110" s="328" t="s">
        <v>7</v>
      </c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</row>
    <row r="111" spans="1:180" s="13" customFormat="1" ht="12.75">
      <c r="A111" s="59" t="s">
        <v>121</v>
      </c>
      <c r="B111" s="55">
        <v>0.439357235909111</v>
      </c>
      <c r="C111" s="339" t="s">
        <v>97</v>
      </c>
      <c r="D111" s="318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</row>
    <row r="112" spans="1:180" s="13" customFormat="1" ht="12.75">
      <c r="A112" s="59" t="s">
        <v>122</v>
      </c>
      <c r="B112" s="55">
        <v>0.439357235909111</v>
      </c>
      <c r="C112" s="339" t="s">
        <v>97</v>
      </c>
      <c r="D112" s="318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</row>
    <row r="113" spans="1:180" s="13" customFormat="1" ht="12.75">
      <c r="A113" s="59" t="s">
        <v>123</v>
      </c>
      <c r="B113" s="55">
        <v>0.04772386339546783</v>
      </c>
      <c r="C113" s="339" t="s">
        <v>100</v>
      </c>
      <c r="D113" s="318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</row>
    <row r="114" spans="1:180" s="13" customFormat="1" ht="13.5" thickBot="1">
      <c r="A114" s="68" t="s">
        <v>124</v>
      </c>
      <c r="B114" s="69">
        <v>0.22522637402320503</v>
      </c>
      <c r="C114" s="349" t="s">
        <v>113</v>
      </c>
      <c r="D114" s="328" t="s">
        <v>109</v>
      </c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</row>
    <row r="115" spans="1:180" s="13" customFormat="1" ht="12.75">
      <c r="A115" s="59" t="s">
        <v>125</v>
      </c>
      <c r="B115" s="55">
        <v>0.45260416666666664</v>
      </c>
      <c r="C115" s="342" t="s">
        <v>126</v>
      </c>
      <c r="D115" s="324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</row>
    <row r="116" spans="1:180" s="13" customFormat="1" ht="12.75">
      <c r="A116" s="59" t="s">
        <v>127</v>
      </c>
      <c r="B116" s="55">
        <v>0.03836343127025462</v>
      </c>
      <c r="C116" s="342" t="s">
        <v>93</v>
      </c>
      <c r="D116" s="324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</row>
    <row r="117" spans="1:180" s="13" customFormat="1" ht="12.75">
      <c r="A117" s="59" t="s">
        <v>128</v>
      </c>
      <c r="B117" s="55">
        <v>0.22522637402320503</v>
      </c>
      <c r="C117" s="339" t="s">
        <v>113</v>
      </c>
      <c r="D117" s="318" t="s">
        <v>109</v>
      </c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</row>
    <row r="118" spans="1:180" s="13" customFormat="1" ht="13.5" thickBot="1">
      <c r="A118" s="68" t="s">
        <v>129</v>
      </c>
      <c r="B118" s="69">
        <v>0.21461765257577767</v>
      </c>
      <c r="C118" s="349" t="s">
        <v>108</v>
      </c>
      <c r="D118" s="328" t="s">
        <v>109</v>
      </c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</row>
    <row r="119" spans="1:180" s="13" customFormat="1" ht="12.75">
      <c r="A119" s="59" t="s">
        <v>129</v>
      </c>
      <c r="B119" s="55">
        <v>0.41149265257577766</v>
      </c>
      <c r="C119" s="339" t="s">
        <v>110</v>
      </c>
      <c r="D119" s="318" t="s">
        <v>111</v>
      </c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</row>
    <row r="120" spans="1:180" s="13" customFormat="1" ht="12.75">
      <c r="A120" s="59" t="s">
        <v>130</v>
      </c>
      <c r="B120" s="55">
        <v>0.2234375</v>
      </c>
      <c r="C120" s="339" t="s">
        <v>131</v>
      </c>
      <c r="D120" s="318" t="s">
        <v>109</v>
      </c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</row>
    <row r="121" spans="1:180" s="13" customFormat="1" ht="12.75">
      <c r="A121" s="59" t="s">
        <v>130</v>
      </c>
      <c r="B121" s="55">
        <v>0.4203125</v>
      </c>
      <c r="C121" s="339" t="s">
        <v>132</v>
      </c>
      <c r="D121" s="318" t="s">
        <v>111</v>
      </c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</row>
    <row r="122" spans="1:180" s="13" customFormat="1" ht="13.5" thickBot="1">
      <c r="A122" s="68" t="s">
        <v>133</v>
      </c>
      <c r="B122" s="69">
        <v>0.21461625143198682</v>
      </c>
      <c r="C122" s="349" t="s">
        <v>134</v>
      </c>
      <c r="D122" s="328" t="s">
        <v>109</v>
      </c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</row>
    <row r="123" spans="1:180" s="13" customFormat="1" ht="12.75">
      <c r="A123" s="59" t="s">
        <v>135</v>
      </c>
      <c r="B123" s="55">
        <v>0.22156906666936454</v>
      </c>
      <c r="C123" s="339" t="s">
        <v>136</v>
      </c>
      <c r="D123" s="318" t="s">
        <v>137</v>
      </c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</row>
    <row r="124" spans="1:180" s="13" customFormat="1" ht="12.75">
      <c r="A124" s="59" t="s">
        <v>135</v>
      </c>
      <c r="B124" s="55">
        <v>0.5612175041693646</v>
      </c>
      <c r="C124" s="339" t="s">
        <v>138</v>
      </c>
      <c r="D124" s="318" t="s">
        <v>139</v>
      </c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</row>
    <row r="125" spans="1:180" s="13" customFormat="1" ht="12.75">
      <c r="A125" s="59" t="s">
        <v>140</v>
      </c>
      <c r="B125" s="55">
        <v>0.5491590993069045</v>
      </c>
      <c r="C125" s="339" t="s">
        <v>141</v>
      </c>
      <c r="D125" s="318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</row>
    <row r="126" spans="1:180" s="13" customFormat="1" ht="13.5" thickBot="1">
      <c r="A126" s="68" t="s">
        <v>140</v>
      </c>
      <c r="B126" s="69">
        <v>0.3540419118069045</v>
      </c>
      <c r="C126" s="349" t="s">
        <v>142</v>
      </c>
      <c r="D126" s="328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</row>
    <row r="127" spans="1:180" s="13" customFormat="1" ht="12.75">
      <c r="A127" s="59" t="s">
        <v>143</v>
      </c>
      <c r="B127" s="55">
        <v>0.5063151041666667</v>
      </c>
      <c r="C127" s="339" t="s">
        <v>144</v>
      </c>
      <c r="D127" s="318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</row>
    <row r="128" spans="1:180" s="13" customFormat="1" ht="12.75">
      <c r="A128" s="59" t="s">
        <v>143</v>
      </c>
      <c r="B128" s="55">
        <v>0.3078125</v>
      </c>
      <c r="C128" s="339" t="s">
        <v>145</v>
      </c>
      <c r="D128" s="31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</row>
    <row r="129" spans="1:180" s="13" customFormat="1" ht="12.75">
      <c r="A129" s="59" t="s">
        <v>146</v>
      </c>
      <c r="B129" s="55">
        <v>0.49110354375134896</v>
      </c>
      <c r="C129" s="339" t="s">
        <v>141</v>
      </c>
      <c r="D129" s="318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</row>
    <row r="130" spans="1:180" s="13" customFormat="1" ht="13.5" thickBot="1">
      <c r="A130" s="68" t="s">
        <v>146</v>
      </c>
      <c r="B130" s="69">
        <v>0.35379885625134894</v>
      </c>
      <c r="C130" s="349" t="s">
        <v>142</v>
      </c>
      <c r="D130" s="328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</row>
    <row r="131" spans="1:180" s="13" customFormat="1" ht="12.75">
      <c r="A131" s="59" t="s">
        <v>147</v>
      </c>
      <c r="B131" s="55">
        <v>0.22065760833603124</v>
      </c>
      <c r="C131" s="339" t="s">
        <v>148</v>
      </c>
      <c r="D131" s="318" t="s">
        <v>109</v>
      </c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</row>
    <row r="132" spans="1:180" s="13" customFormat="1" ht="12.75">
      <c r="A132" s="59" t="s">
        <v>147</v>
      </c>
      <c r="B132" s="55">
        <v>0.4948763583360313</v>
      </c>
      <c r="C132" s="339" t="s">
        <v>149</v>
      </c>
      <c r="D132" s="318" t="s">
        <v>139</v>
      </c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</row>
    <row r="133" spans="1:180" s="13" customFormat="1" ht="12.75">
      <c r="A133" s="10" t="s">
        <v>150</v>
      </c>
      <c r="B133" s="55">
        <v>0.2954392795138889</v>
      </c>
      <c r="C133" s="339" t="s">
        <v>151</v>
      </c>
      <c r="D133" s="318" t="s">
        <v>152</v>
      </c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</row>
    <row r="134" spans="1:180" s="13" customFormat="1" ht="13.5" thickBot="1">
      <c r="A134" s="70" t="s">
        <v>153</v>
      </c>
      <c r="B134" s="69">
        <v>0.22065760833603124</v>
      </c>
      <c r="C134" s="349" t="s">
        <v>148</v>
      </c>
      <c r="D134" s="328" t="s">
        <v>109</v>
      </c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</row>
    <row r="135" spans="1:180" s="13" customFormat="1" ht="12.75">
      <c r="A135" s="10" t="s">
        <v>153</v>
      </c>
      <c r="B135" s="55">
        <v>0.4948763583360313</v>
      </c>
      <c r="C135" s="339" t="s">
        <v>149</v>
      </c>
      <c r="D135" s="318" t="s">
        <v>139</v>
      </c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</row>
    <row r="136" spans="1:180" s="13" customFormat="1" ht="12.75">
      <c r="A136" s="10" t="s">
        <v>154</v>
      </c>
      <c r="B136" s="55">
        <v>0.48348635625134895</v>
      </c>
      <c r="C136" s="339" t="s">
        <v>155</v>
      </c>
      <c r="D136" s="318" t="s">
        <v>139</v>
      </c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</row>
    <row r="137" spans="1:180" s="13" customFormat="1" ht="12.75">
      <c r="A137" s="10" t="s">
        <v>156</v>
      </c>
      <c r="B137" s="55">
        <v>0.22584030338794595</v>
      </c>
      <c r="C137" s="339" t="s">
        <v>148</v>
      </c>
      <c r="D137" s="318" t="s">
        <v>109</v>
      </c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</row>
    <row r="138" spans="1:180" s="13" customFormat="1" ht="13.5" thickBot="1">
      <c r="A138" s="70" t="s">
        <v>156</v>
      </c>
      <c r="B138" s="69">
        <v>0.5061788450546126</v>
      </c>
      <c r="C138" s="349" t="s">
        <v>149</v>
      </c>
      <c r="D138" s="328" t="s">
        <v>139</v>
      </c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</row>
    <row r="139" spans="1:180" s="13" customFormat="1" ht="12.75">
      <c r="A139" s="10" t="s">
        <v>157</v>
      </c>
      <c r="B139" s="55">
        <v>0.49140625</v>
      </c>
      <c r="C139" s="339" t="s">
        <v>158</v>
      </c>
      <c r="D139" s="318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</row>
    <row r="140" spans="1:180" s="13" customFormat="1" ht="12.75">
      <c r="A140" s="10" t="s">
        <v>157</v>
      </c>
      <c r="B140" s="55">
        <v>0.2820355902777778</v>
      </c>
      <c r="C140" s="339" t="s">
        <v>159</v>
      </c>
      <c r="D140" s="318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</row>
    <row r="141" spans="1:180" s="13" customFormat="1" ht="12.75">
      <c r="A141" s="10" t="s">
        <v>160</v>
      </c>
      <c r="B141" s="55">
        <v>0.43515625</v>
      </c>
      <c r="C141" s="342" t="s">
        <v>161</v>
      </c>
      <c r="D141" s="324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</row>
    <row r="142" spans="1:180" s="13" customFormat="1" ht="13.5" thickBot="1">
      <c r="A142" s="70" t="s">
        <v>162</v>
      </c>
      <c r="B142" s="69">
        <v>0.34989260625134894</v>
      </c>
      <c r="C142" s="349" t="s">
        <v>155</v>
      </c>
      <c r="D142" s="328" t="s">
        <v>139</v>
      </c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</row>
    <row r="143" spans="1:180" s="13" customFormat="1" ht="12.75">
      <c r="A143" s="59" t="s">
        <v>163</v>
      </c>
      <c r="B143" s="55">
        <v>0.48348635625134895</v>
      </c>
      <c r="C143" s="339" t="s">
        <v>155</v>
      </c>
      <c r="D143" s="318" t="s">
        <v>139</v>
      </c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</row>
    <row r="144" spans="1:180" s="13" customFormat="1" ht="12.75">
      <c r="A144" s="10" t="s">
        <v>164</v>
      </c>
      <c r="B144" s="55">
        <v>0.44453125</v>
      </c>
      <c r="C144" s="339" t="s">
        <v>165</v>
      </c>
      <c r="D144" s="318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</row>
    <row r="145" spans="1:180" s="13" customFormat="1" ht="12.75">
      <c r="A145" s="10" t="s">
        <v>166</v>
      </c>
      <c r="B145" s="55">
        <v>0.45825406063988094</v>
      </c>
      <c r="C145" s="339" t="s">
        <v>167</v>
      </c>
      <c r="D145" s="318" t="s">
        <v>139</v>
      </c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</row>
    <row r="146" spans="1:180" s="13" customFormat="1" ht="13.5" thickBot="1">
      <c r="A146" s="70" t="s">
        <v>166</v>
      </c>
      <c r="B146" s="69">
        <v>0.14887906063988093</v>
      </c>
      <c r="C146" s="349" t="s">
        <v>168</v>
      </c>
      <c r="D146" s="328" t="s">
        <v>169</v>
      </c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</row>
    <row r="147" spans="1:180" s="13" customFormat="1" ht="12.75">
      <c r="A147" s="10" t="s">
        <v>170</v>
      </c>
      <c r="B147" s="55">
        <v>0.3015625</v>
      </c>
      <c r="C147" s="339" t="s">
        <v>171</v>
      </c>
      <c r="D147" s="318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</row>
    <row r="148" spans="1:180" s="13" customFormat="1" ht="12.75">
      <c r="A148" s="10" t="s">
        <v>172</v>
      </c>
      <c r="B148" s="55">
        <v>0.29716796875</v>
      </c>
      <c r="C148" s="339" t="s">
        <v>173</v>
      </c>
      <c r="D148" s="31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</row>
    <row r="149" spans="1:180" s="13" customFormat="1" ht="12.75">
      <c r="A149" s="10" t="s">
        <v>174</v>
      </c>
      <c r="B149" s="55">
        <v>0.48333577031384894</v>
      </c>
      <c r="C149" s="339" t="s">
        <v>175</v>
      </c>
      <c r="D149" s="318" t="s">
        <v>139</v>
      </c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</row>
    <row r="150" spans="1:180" s="13" customFormat="1" ht="13.5" thickBot="1">
      <c r="A150" s="70" t="s">
        <v>176</v>
      </c>
      <c r="B150" s="69">
        <v>0.7092244140625</v>
      </c>
      <c r="C150" s="349" t="s">
        <v>177</v>
      </c>
      <c r="D150" s="328" t="s">
        <v>139</v>
      </c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</row>
    <row r="151" spans="1:180" s="13" customFormat="1" ht="12.75">
      <c r="A151" s="73" t="s">
        <v>178</v>
      </c>
      <c r="B151" s="72">
        <v>0.4550879304029304</v>
      </c>
      <c r="C151" s="338" t="s">
        <v>179</v>
      </c>
      <c r="D151" s="359" t="s">
        <v>139</v>
      </c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</row>
    <row r="152" spans="1:180" s="13" customFormat="1" ht="12.75">
      <c r="A152" s="74" t="s">
        <v>178</v>
      </c>
      <c r="B152" s="65">
        <v>0.1457129304029304</v>
      </c>
      <c r="C152" s="339" t="s">
        <v>180</v>
      </c>
      <c r="D152" s="318" t="s">
        <v>169</v>
      </c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</row>
    <row r="153" spans="1:180" s="13" customFormat="1" ht="12.75">
      <c r="A153" s="10" t="s">
        <v>181</v>
      </c>
      <c r="B153" s="55">
        <v>0.4103092013888889</v>
      </c>
      <c r="C153" s="339" t="s">
        <v>161</v>
      </c>
      <c r="D153" s="318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</row>
    <row r="154" spans="1:180" s="13" customFormat="1" ht="13.5" thickBot="1">
      <c r="A154" s="70" t="s">
        <v>182</v>
      </c>
      <c r="B154" s="69">
        <v>0.4184895833333333</v>
      </c>
      <c r="C154" s="349" t="s">
        <v>183</v>
      </c>
      <c r="D154" s="328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</row>
    <row r="155" spans="1:180" s="13" customFormat="1" ht="12.75">
      <c r="A155" s="10" t="s">
        <v>184</v>
      </c>
      <c r="B155" s="55">
        <v>0.4184895833333333</v>
      </c>
      <c r="C155" s="339" t="s">
        <v>183</v>
      </c>
      <c r="D155" s="318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</row>
    <row r="156" spans="1:180" s="13" customFormat="1" ht="12.75">
      <c r="A156" s="10" t="s">
        <v>185</v>
      </c>
      <c r="B156" s="55">
        <v>0.42161458333333335</v>
      </c>
      <c r="C156" s="339" t="s">
        <v>183</v>
      </c>
      <c r="D156" s="318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</row>
    <row r="157" spans="1:180" s="13" customFormat="1" ht="12.75">
      <c r="A157" s="10" t="s">
        <v>186</v>
      </c>
      <c r="B157" s="55">
        <v>0.40520833333333334</v>
      </c>
      <c r="C157" s="339" t="s">
        <v>183</v>
      </c>
      <c r="D157" s="318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</row>
    <row r="158" spans="1:180" s="13" customFormat="1" ht="13.5" thickBot="1">
      <c r="A158" s="70" t="s">
        <v>187</v>
      </c>
      <c r="B158" s="69">
        <v>0.4968191964285714</v>
      </c>
      <c r="C158" s="347" t="s">
        <v>188</v>
      </c>
      <c r="D158" s="326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</row>
    <row r="159" spans="1:180" s="13" customFormat="1" ht="12.75">
      <c r="A159" s="10" t="s">
        <v>189</v>
      </c>
      <c r="B159" s="55">
        <v>0.40513480392156864</v>
      </c>
      <c r="C159" s="339" t="s">
        <v>183</v>
      </c>
      <c r="D159" s="318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</row>
    <row r="160" spans="1:180" s="13" customFormat="1" ht="12.75">
      <c r="A160" s="10" t="s">
        <v>190</v>
      </c>
      <c r="B160" s="55">
        <v>0.16189022135416667</v>
      </c>
      <c r="C160" s="339" t="s">
        <v>151</v>
      </c>
      <c r="D160" s="318" t="s">
        <v>191</v>
      </c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</row>
    <row r="161" spans="1:180" s="13" customFormat="1" ht="12.75">
      <c r="A161" s="10" t="s">
        <v>192</v>
      </c>
      <c r="B161" s="55">
        <v>0.40513480392156864</v>
      </c>
      <c r="C161" s="339" t="s">
        <v>183</v>
      </c>
      <c r="D161" s="318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</row>
    <row r="162" spans="1:180" s="13" customFormat="1" ht="13.5" thickBot="1">
      <c r="A162" s="70" t="s">
        <v>193</v>
      </c>
      <c r="B162" s="69">
        <v>0.06398306789137381</v>
      </c>
      <c r="C162" s="347" t="s">
        <v>194</v>
      </c>
      <c r="D162" s="328" t="s">
        <v>195</v>
      </c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</row>
    <row r="163" spans="1:180" s="13" customFormat="1" ht="12.75">
      <c r="A163" s="10" t="s">
        <v>196</v>
      </c>
      <c r="B163" s="55">
        <v>0.6262263068804824</v>
      </c>
      <c r="C163" s="342" t="s">
        <v>197</v>
      </c>
      <c r="D163" s="324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</row>
    <row r="164" spans="1:180" s="13" customFormat="1" ht="12.75">
      <c r="A164" s="10" t="s">
        <v>198</v>
      </c>
      <c r="B164" s="55">
        <v>0.3665686765252976</v>
      </c>
      <c r="C164" s="339" t="s">
        <v>167</v>
      </c>
      <c r="D164" s="318" t="s">
        <v>139</v>
      </c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</row>
    <row r="165" spans="1:180" s="13" customFormat="1" ht="12.75">
      <c r="A165" s="10" t="s">
        <v>198</v>
      </c>
      <c r="B165" s="55">
        <v>0.1485999265252976</v>
      </c>
      <c r="C165" s="339" t="s">
        <v>168</v>
      </c>
      <c r="D165" s="318" t="s">
        <v>169</v>
      </c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</row>
    <row r="166" spans="1:180" s="13" customFormat="1" ht="13.5" thickBot="1">
      <c r="A166" s="70" t="s">
        <v>199</v>
      </c>
      <c r="B166" s="69">
        <v>0.2629244357638889</v>
      </c>
      <c r="C166" s="349" t="s">
        <v>200</v>
      </c>
      <c r="D166" s="328" t="s">
        <v>139</v>
      </c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</row>
    <row r="167" spans="1:180" s="13" customFormat="1" ht="12.75">
      <c r="A167" s="10" t="s">
        <v>199</v>
      </c>
      <c r="B167" s="55">
        <v>0.0949556857638889</v>
      </c>
      <c r="C167" s="339" t="s">
        <v>201</v>
      </c>
      <c r="D167" s="318" t="s">
        <v>169</v>
      </c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</row>
    <row r="168" spans="1:180" s="13" customFormat="1" ht="12.75">
      <c r="A168" s="10" t="s">
        <v>202</v>
      </c>
      <c r="B168" s="55">
        <v>0.36427556818181817</v>
      </c>
      <c r="C168" s="342" t="s">
        <v>203</v>
      </c>
      <c r="D168" s="318" t="s">
        <v>139</v>
      </c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</row>
    <row r="169" spans="1:180" s="13" customFormat="1" ht="12.75">
      <c r="A169" s="10" t="s">
        <v>204</v>
      </c>
      <c r="B169" s="55">
        <v>0.3668478106398809</v>
      </c>
      <c r="C169" s="339" t="s">
        <v>167</v>
      </c>
      <c r="D169" s="318" t="s">
        <v>139</v>
      </c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</row>
    <row r="170" spans="1:180" s="13" customFormat="1" ht="13.5" thickBot="1">
      <c r="A170" s="70" t="s">
        <v>204</v>
      </c>
      <c r="B170" s="69">
        <v>0.14887906063988093</v>
      </c>
      <c r="C170" s="349" t="s">
        <v>168</v>
      </c>
      <c r="D170" s="328" t="s">
        <v>169</v>
      </c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</row>
    <row r="171" spans="1:180" s="13" customFormat="1" ht="12.75">
      <c r="A171" s="10" t="s">
        <v>205</v>
      </c>
      <c r="B171" s="55">
        <v>0.3668478106398809</v>
      </c>
      <c r="C171" s="339" t="s">
        <v>151</v>
      </c>
      <c r="D171" s="318" t="s">
        <v>139</v>
      </c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</row>
    <row r="172" spans="1:180" s="13" customFormat="1" ht="12.75">
      <c r="A172" s="10" t="s">
        <v>205</v>
      </c>
      <c r="B172" s="55">
        <v>0.627956153516295</v>
      </c>
      <c r="C172" s="342" t="s">
        <v>161</v>
      </c>
      <c r="D172" s="318" t="s">
        <v>206</v>
      </c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</row>
    <row r="173" spans="1:180" s="13" customFormat="1" ht="12.75">
      <c r="A173" s="10" t="s">
        <v>207</v>
      </c>
      <c r="B173" s="55">
        <v>0.033347656249999996</v>
      </c>
      <c r="C173" s="339" t="s">
        <v>208</v>
      </c>
      <c r="D173" s="318" t="s">
        <v>191</v>
      </c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</row>
    <row r="174" spans="1:180" s="13" customFormat="1" ht="13.5" thickBot="1">
      <c r="A174" s="70" t="s">
        <v>209</v>
      </c>
      <c r="B174" s="69">
        <v>0.627956153516295</v>
      </c>
      <c r="C174" s="347" t="s">
        <v>161</v>
      </c>
      <c r="D174" s="328" t="s">
        <v>206</v>
      </c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</row>
    <row r="175" spans="1:180" s="13" customFormat="1" ht="12.75">
      <c r="A175" s="10" t="s">
        <v>209</v>
      </c>
      <c r="B175" s="55">
        <v>0.14375</v>
      </c>
      <c r="C175" s="342" t="s">
        <v>210</v>
      </c>
      <c r="D175" s="324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</row>
    <row r="176" spans="1:180" s="13" customFormat="1" ht="12.75">
      <c r="A176" s="10" t="s">
        <v>211</v>
      </c>
      <c r="B176" s="55">
        <v>0.24001556448412698</v>
      </c>
      <c r="C176" s="339" t="s">
        <v>212</v>
      </c>
      <c r="D176" s="318" t="s">
        <v>139</v>
      </c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</row>
    <row r="177" spans="1:180" s="13" customFormat="1" ht="12.75">
      <c r="A177" s="10" t="s">
        <v>211</v>
      </c>
      <c r="B177" s="55">
        <v>0.13454681448412698</v>
      </c>
      <c r="C177" s="339" t="s">
        <v>213</v>
      </c>
      <c r="D177" s="318" t="s">
        <v>169</v>
      </c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</row>
    <row r="178" spans="1:180" s="13" customFormat="1" ht="13.5" thickBot="1">
      <c r="A178" s="70" t="s">
        <v>214</v>
      </c>
      <c r="B178" s="69">
        <v>0.14929906063988094</v>
      </c>
      <c r="C178" s="349" t="s">
        <v>215</v>
      </c>
      <c r="D178" s="328" t="s">
        <v>169</v>
      </c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</row>
    <row r="179" spans="1:180" s="13" customFormat="1" ht="12.75">
      <c r="A179" s="10" t="s">
        <v>214</v>
      </c>
      <c r="B179" s="55">
        <v>0.25476781063988096</v>
      </c>
      <c r="C179" s="339" t="s">
        <v>167</v>
      </c>
      <c r="D179" s="318" t="s">
        <v>139</v>
      </c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</row>
    <row r="180" spans="1:180" s="13" customFormat="1" ht="12.75">
      <c r="A180" s="10" t="s">
        <v>216</v>
      </c>
      <c r="B180" s="55">
        <v>0.22580468750000002</v>
      </c>
      <c r="C180" s="339" t="s">
        <v>161</v>
      </c>
      <c r="D180" s="318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</row>
    <row r="181" spans="1:180" s="13" customFormat="1" ht="12.75">
      <c r="A181" s="10" t="s">
        <v>217</v>
      </c>
      <c r="B181" s="55">
        <v>0.16544182291666665</v>
      </c>
      <c r="C181" s="339" t="s">
        <v>151</v>
      </c>
      <c r="D181" s="318" t="s">
        <v>218</v>
      </c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</row>
    <row r="182" spans="1:180" s="13" customFormat="1" ht="13.5" thickBot="1">
      <c r="A182" s="70" t="s">
        <v>219</v>
      </c>
      <c r="B182" s="69">
        <v>0.22580468750000002</v>
      </c>
      <c r="C182" s="349" t="s">
        <v>220</v>
      </c>
      <c r="D182" s="328" t="s">
        <v>169</v>
      </c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</row>
    <row r="183" spans="1:180" s="13" customFormat="1" ht="12.75">
      <c r="A183" s="10" t="s">
        <v>219</v>
      </c>
      <c r="B183" s="55">
        <v>0.35363671875</v>
      </c>
      <c r="C183" s="339" t="s">
        <v>221</v>
      </c>
      <c r="D183" s="318" t="s">
        <v>139</v>
      </c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</row>
    <row r="184" spans="1:180" s="13" customFormat="1" ht="12.75">
      <c r="A184" s="10" t="s">
        <v>222</v>
      </c>
      <c r="B184" s="55">
        <v>0.22238671875000002</v>
      </c>
      <c r="C184" s="339" t="s">
        <v>220</v>
      </c>
      <c r="D184" s="318" t="s">
        <v>169</v>
      </c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</row>
    <row r="185" spans="1:180" s="13" customFormat="1" ht="12.75">
      <c r="A185" s="10" t="s">
        <v>222</v>
      </c>
      <c r="B185" s="55">
        <v>0.35363671875</v>
      </c>
      <c r="C185" s="339" t="s">
        <v>221</v>
      </c>
      <c r="D185" s="318" t="s">
        <v>139</v>
      </c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</row>
    <row r="186" spans="1:180" s="13" customFormat="1" ht="13.5" thickBot="1">
      <c r="A186" s="70" t="s">
        <v>223</v>
      </c>
      <c r="B186" s="69">
        <v>0.029360081930326132</v>
      </c>
      <c r="C186" s="349" t="s">
        <v>224</v>
      </c>
      <c r="D186" s="328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</row>
    <row r="187" spans="1:180" s="13" customFormat="1" ht="12.75">
      <c r="A187" s="10" t="s">
        <v>225</v>
      </c>
      <c r="B187" s="55">
        <v>0.11390029126919156</v>
      </c>
      <c r="C187" s="339" t="s">
        <v>226</v>
      </c>
      <c r="D187" s="318" t="s">
        <v>227</v>
      </c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</row>
    <row r="188" spans="1:180" s="13" customFormat="1" ht="12.75">
      <c r="A188" s="10" t="s">
        <v>228</v>
      </c>
      <c r="B188" s="55">
        <v>0.20769878447242207</v>
      </c>
      <c r="C188" s="339" t="s">
        <v>229</v>
      </c>
      <c r="D188" s="318" t="s">
        <v>139</v>
      </c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</row>
    <row r="189" spans="1:180" s="13" customFormat="1" ht="12.75">
      <c r="A189" s="10" t="s">
        <v>228</v>
      </c>
      <c r="B189" s="55">
        <v>0.12723003447242207</v>
      </c>
      <c r="C189" s="339" t="s">
        <v>230</v>
      </c>
      <c r="D189" s="318" t="s">
        <v>169</v>
      </c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</row>
    <row r="190" spans="1:180" s="13" customFormat="1" ht="13.5" thickBot="1">
      <c r="A190" s="70" t="s">
        <v>231</v>
      </c>
      <c r="B190" s="69">
        <v>0.15927293402777776</v>
      </c>
      <c r="C190" s="349" t="s">
        <v>151</v>
      </c>
      <c r="D190" s="328" t="s">
        <v>218</v>
      </c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</row>
    <row r="191" spans="1:180" s="13" customFormat="1" ht="12.75">
      <c r="A191" s="10" t="s">
        <v>232</v>
      </c>
      <c r="B191" s="55">
        <v>0.3594359375</v>
      </c>
      <c r="C191" s="339" t="s">
        <v>233</v>
      </c>
      <c r="D191" s="318" t="s">
        <v>139</v>
      </c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</row>
    <row r="192" spans="1:180" s="13" customFormat="1" ht="12.75">
      <c r="A192" s="10" t="s">
        <v>232</v>
      </c>
      <c r="B192" s="55">
        <v>0.2372921875</v>
      </c>
      <c r="C192" s="339" t="s">
        <v>234</v>
      </c>
      <c r="D192" s="318" t="s">
        <v>169</v>
      </c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</row>
    <row r="193" spans="1:180" s="13" customFormat="1" ht="12.75">
      <c r="A193" s="10" t="s">
        <v>235</v>
      </c>
      <c r="B193" s="55">
        <v>0.2612629139083332</v>
      </c>
      <c r="C193" s="339" t="s">
        <v>236</v>
      </c>
      <c r="D193" s="318" t="s">
        <v>191</v>
      </c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</row>
    <row r="194" spans="1:180" s="13" customFormat="1" ht="13.5" thickBot="1">
      <c r="A194" s="70" t="s">
        <v>237</v>
      </c>
      <c r="B194" s="69">
        <v>0.22580468750000002</v>
      </c>
      <c r="C194" s="349" t="s">
        <v>220</v>
      </c>
      <c r="D194" s="328" t="s">
        <v>169</v>
      </c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</row>
    <row r="195" spans="1:180" s="13" customFormat="1" ht="12.75">
      <c r="A195" s="10" t="s">
        <v>237</v>
      </c>
      <c r="B195" s="55">
        <v>0.34660546875000003</v>
      </c>
      <c r="C195" s="339" t="s">
        <v>221</v>
      </c>
      <c r="D195" s="318" t="s">
        <v>139</v>
      </c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</row>
    <row r="196" spans="1:180" s="13" customFormat="1" ht="12.75">
      <c r="A196" s="10" t="s">
        <v>238</v>
      </c>
      <c r="B196" s="55">
        <v>0.02381640625</v>
      </c>
      <c r="C196" s="339" t="s">
        <v>208</v>
      </c>
      <c r="D196" s="318" t="s">
        <v>191</v>
      </c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</row>
    <row r="197" spans="1:180" s="13" customFormat="1" ht="12.75">
      <c r="A197" s="10" t="s">
        <v>239</v>
      </c>
      <c r="B197" s="55">
        <v>0.28375772702184404</v>
      </c>
      <c r="C197" s="339" t="s">
        <v>240</v>
      </c>
      <c r="D197" s="318" t="s">
        <v>191</v>
      </c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</row>
    <row r="198" spans="1:180" s="13" customFormat="1" ht="13.5" thickBot="1">
      <c r="A198" s="70" t="s">
        <v>241</v>
      </c>
      <c r="B198" s="69">
        <v>0.4090973844497503</v>
      </c>
      <c r="C198" s="349" t="s">
        <v>242</v>
      </c>
      <c r="D198" s="328" t="s">
        <v>139</v>
      </c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</row>
    <row r="199" spans="1:180" s="13" customFormat="1" ht="12.75">
      <c r="A199" s="10" t="s">
        <v>243</v>
      </c>
      <c r="B199" s="55">
        <v>0.07276728838383838</v>
      </c>
      <c r="C199" s="339" t="s">
        <v>244</v>
      </c>
      <c r="D199" s="318" t="s">
        <v>191</v>
      </c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</row>
    <row r="200" spans="1:180" s="13" customFormat="1" ht="12.75">
      <c r="A200" s="10" t="s">
        <v>245</v>
      </c>
      <c r="B200" s="55">
        <v>0.297</v>
      </c>
      <c r="C200" s="339" t="s">
        <v>246</v>
      </c>
      <c r="D200" s="318" t="s">
        <v>191</v>
      </c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</row>
    <row r="201" spans="1:180" s="13" customFormat="1" ht="12.75">
      <c r="A201" s="10" t="s">
        <v>247</v>
      </c>
      <c r="B201" s="55">
        <v>0.3046212315538194</v>
      </c>
      <c r="C201" s="339" t="s">
        <v>248</v>
      </c>
      <c r="D201" s="318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</row>
    <row r="202" spans="1:180" s="13" customFormat="1" ht="12.75">
      <c r="A202" s="10" t="s">
        <v>249</v>
      </c>
      <c r="B202" s="55">
        <v>0.39631279597277813</v>
      </c>
      <c r="C202" s="339" t="s">
        <v>250</v>
      </c>
      <c r="D202" s="318" t="s">
        <v>139</v>
      </c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</row>
    <row r="203" spans="1:180" s="13" customFormat="1" ht="13.5" thickBot="1">
      <c r="A203" s="70" t="s">
        <v>251</v>
      </c>
      <c r="B203" s="69">
        <v>0.2789671621675794</v>
      </c>
      <c r="C203" s="349" t="s">
        <v>252</v>
      </c>
      <c r="D203" s="328" t="s">
        <v>191</v>
      </c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</row>
    <row r="204" spans="1:180" s="13" customFormat="1" ht="12.75">
      <c r="A204" s="10" t="s">
        <v>253</v>
      </c>
      <c r="B204" s="55">
        <v>0.26910018233930366</v>
      </c>
      <c r="C204" s="339" t="s">
        <v>252</v>
      </c>
      <c r="D204" s="318" t="s">
        <v>191</v>
      </c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</row>
    <row r="205" spans="1:180" s="13" customFormat="1" ht="12.75">
      <c r="A205" s="10" t="s">
        <v>254</v>
      </c>
      <c r="B205" s="55">
        <v>0.26374298616011915</v>
      </c>
      <c r="C205" s="339" t="s">
        <v>255</v>
      </c>
      <c r="D205" s="318" t="s">
        <v>191</v>
      </c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</row>
    <row r="206" spans="1:180" s="13" customFormat="1" ht="12.75">
      <c r="A206" s="10" t="s">
        <v>256</v>
      </c>
      <c r="B206" s="55">
        <v>0.39012635595546147</v>
      </c>
      <c r="C206" s="339" t="s">
        <v>257</v>
      </c>
      <c r="D206" s="318" t="s">
        <v>139</v>
      </c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</row>
    <row r="207" spans="1:180" s="13" customFormat="1" ht="13.5" thickBot="1">
      <c r="A207" s="70" t="s">
        <v>258</v>
      </c>
      <c r="B207" s="69">
        <v>0.3544671875</v>
      </c>
      <c r="C207" s="349" t="s">
        <v>259</v>
      </c>
      <c r="D207" s="328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</row>
    <row r="208" spans="1:4" ht="12.75">
      <c r="A208"/>
      <c r="B208"/>
      <c r="C208"/>
      <c r="D208"/>
    </row>
    <row r="209" spans="1:4" ht="12.75">
      <c r="A209"/>
      <c r="B209"/>
      <c r="C209"/>
      <c r="D209"/>
    </row>
    <row r="210" spans="1:4" ht="12.75">
      <c r="A210"/>
      <c r="B210"/>
      <c r="C210"/>
      <c r="D210"/>
    </row>
    <row r="211" spans="1:4" ht="12.75">
      <c r="A211"/>
      <c r="B211"/>
      <c r="C211"/>
      <c r="D211"/>
    </row>
    <row r="212" spans="1:4" ht="12.75">
      <c r="A212"/>
      <c r="B212"/>
      <c r="C212"/>
      <c r="D212"/>
    </row>
    <row r="213" spans="1:4" ht="12.75">
      <c r="A213"/>
      <c r="B213"/>
      <c r="C213"/>
      <c r="D213"/>
    </row>
    <row r="214" spans="1:4" ht="12.75">
      <c r="A214"/>
      <c r="B214"/>
      <c r="C214"/>
      <c r="D214"/>
    </row>
    <row r="215" spans="1:4" ht="12.75">
      <c r="A215"/>
      <c r="B215"/>
      <c r="C215"/>
      <c r="D215"/>
    </row>
    <row r="216" spans="1:4" ht="12.75">
      <c r="A216"/>
      <c r="B216"/>
      <c r="C216"/>
      <c r="D216"/>
    </row>
    <row r="217" spans="1:4" ht="12.75">
      <c r="A217"/>
      <c r="B217"/>
      <c r="C217"/>
      <c r="D217"/>
    </row>
    <row r="218" spans="1:4" ht="12.75">
      <c r="A218"/>
      <c r="B218"/>
      <c r="C218"/>
      <c r="D218"/>
    </row>
    <row r="219" spans="1:4" ht="12.75">
      <c r="A219"/>
      <c r="B219"/>
      <c r="C219"/>
      <c r="D219"/>
    </row>
    <row r="220" spans="1:4" ht="12.75">
      <c r="A220"/>
      <c r="B220"/>
      <c r="C220"/>
      <c r="D220"/>
    </row>
    <row r="221" spans="1:4" ht="12.75">
      <c r="A221"/>
      <c r="B221"/>
      <c r="C221"/>
      <c r="D221"/>
    </row>
    <row r="222" spans="1:4" ht="12.75">
      <c r="A222"/>
      <c r="B222"/>
      <c r="C222"/>
      <c r="D222"/>
    </row>
    <row r="223" spans="1:4" ht="12.75">
      <c r="A223"/>
      <c r="B223"/>
      <c r="C223"/>
      <c r="D223"/>
    </row>
    <row r="224" spans="1:4" ht="12.75">
      <c r="A224"/>
      <c r="B224"/>
      <c r="C224"/>
      <c r="D224"/>
    </row>
    <row r="225" spans="1:4" ht="12.75">
      <c r="A225"/>
      <c r="B225"/>
      <c r="C225"/>
      <c r="D225"/>
    </row>
    <row r="226" spans="1:4" ht="12.75">
      <c r="A226"/>
      <c r="B226"/>
      <c r="C226"/>
      <c r="D226"/>
    </row>
    <row r="227" spans="1:4" ht="12.75">
      <c r="A227"/>
      <c r="B227"/>
      <c r="C227"/>
      <c r="D227"/>
    </row>
    <row r="228" spans="1:4" ht="12.75">
      <c r="A228"/>
      <c r="B228"/>
      <c r="C228"/>
      <c r="D228"/>
    </row>
    <row r="229" spans="1:4" ht="12.75">
      <c r="A229"/>
      <c r="B229"/>
      <c r="C229"/>
      <c r="D229"/>
    </row>
    <row r="230" spans="1:4" ht="12.75">
      <c r="A230"/>
      <c r="B230"/>
      <c r="C230"/>
      <c r="D230"/>
    </row>
    <row r="231" spans="1:4" ht="12.75">
      <c r="A231"/>
      <c r="B231"/>
      <c r="C231"/>
      <c r="D231"/>
    </row>
    <row r="232" spans="1:4" ht="12.75">
      <c r="A232"/>
      <c r="B232"/>
      <c r="C232"/>
      <c r="D232"/>
    </row>
    <row r="233" spans="1:4" ht="12.75">
      <c r="A233"/>
      <c r="B233"/>
      <c r="C233"/>
      <c r="D233"/>
    </row>
    <row r="234" spans="1:4" ht="12.75">
      <c r="A234"/>
      <c r="B234"/>
      <c r="C234"/>
      <c r="D234"/>
    </row>
    <row r="235" spans="1:4" ht="12.75">
      <c r="A235"/>
      <c r="B235"/>
      <c r="C235"/>
      <c r="D235"/>
    </row>
    <row r="236" spans="1:4" ht="12.75">
      <c r="A236"/>
      <c r="B236"/>
      <c r="C236"/>
      <c r="D236"/>
    </row>
    <row r="237" spans="1:4" ht="12.75">
      <c r="A237"/>
      <c r="B237"/>
      <c r="C237"/>
      <c r="D237"/>
    </row>
    <row r="238" spans="1:4" ht="12.75">
      <c r="A238"/>
      <c r="B238"/>
      <c r="C238"/>
      <c r="D238"/>
    </row>
    <row r="239" spans="1:4" ht="12.75">
      <c r="A239"/>
      <c r="B239"/>
      <c r="C239"/>
      <c r="D239"/>
    </row>
    <row r="240" spans="1:4" ht="12.75">
      <c r="A240"/>
      <c r="B240"/>
      <c r="C240"/>
      <c r="D240"/>
    </row>
    <row r="241" spans="1:4" ht="12.75">
      <c r="A241"/>
      <c r="B241"/>
      <c r="C241"/>
      <c r="D241"/>
    </row>
    <row r="242" spans="1:4" ht="12.75">
      <c r="A242"/>
      <c r="B242"/>
      <c r="C242"/>
      <c r="D242"/>
    </row>
    <row r="243" spans="1:4" ht="12.75">
      <c r="A243"/>
      <c r="B243"/>
      <c r="C243"/>
      <c r="D243"/>
    </row>
    <row r="244" spans="1:4" ht="12.75">
      <c r="A244"/>
      <c r="B244"/>
      <c r="C244"/>
      <c r="D244"/>
    </row>
    <row r="245" spans="1:4" ht="12.75">
      <c r="A245"/>
      <c r="B245"/>
      <c r="C245"/>
      <c r="D245"/>
    </row>
    <row r="246" spans="1:4" ht="12.75">
      <c r="A246"/>
      <c r="B246"/>
      <c r="C246"/>
      <c r="D246"/>
    </row>
    <row r="247" spans="1:4" ht="12.75">
      <c r="A247"/>
      <c r="B247"/>
      <c r="C247"/>
      <c r="D247"/>
    </row>
    <row r="248" spans="1:4" ht="12.75">
      <c r="A248"/>
      <c r="B248"/>
      <c r="C248"/>
      <c r="D248"/>
    </row>
    <row r="249" spans="1:4" ht="12.75">
      <c r="A249"/>
      <c r="B249"/>
      <c r="C249"/>
      <c r="D249"/>
    </row>
    <row r="250" spans="1:4" ht="12.75">
      <c r="A250"/>
      <c r="B250"/>
      <c r="C250"/>
      <c r="D250"/>
    </row>
    <row r="251" spans="1:4" ht="12.75">
      <c r="A251"/>
      <c r="B251"/>
      <c r="C251"/>
      <c r="D251"/>
    </row>
    <row r="252" spans="1:4" ht="12.75">
      <c r="A252"/>
      <c r="B252"/>
      <c r="C252"/>
      <c r="D252"/>
    </row>
    <row r="253" spans="1:4" ht="12.75">
      <c r="A253"/>
      <c r="B253"/>
      <c r="C253"/>
      <c r="D253"/>
    </row>
    <row r="254" spans="1:4" ht="12.75">
      <c r="A254"/>
      <c r="B254"/>
      <c r="C254"/>
      <c r="D254"/>
    </row>
    <row r="255" spans="1:4" ht="12.75">
      <c r="A255"/>
      <c r="B255"/>
      <c r="C255"/>
      <c r="D255"/>
    </row>
    <row r="256" spans="1:4" ht="12.75">
      <c r="A256"/>
      <c r="B256"/>
      <c r="C256"/>
      <c r="D256"/>
    </row>
    <row r="257" spans="1:4" ht="12.75">
      <c r="A257"/>
      <c r="B257"/>
      <c r="C257"/>
      <c r="D257"/>
    </row>
    <row r="258" spans="1:4" ht="12.75">
      <c r="A258"/>
      <c r="B258"/>
      <c r="C258"/>
      <c r="D258"/>
    </row>
    <row r="259" spans="1:4" ht="12.75">
      <c r="A259"/>
      <c r="B259"/>
      <c r="C259"/>
      <c r="D259"/>
    </row>
    <row r="260" spans="1:4" ht="12.75">
      <c r="A260"/>
      <c r="B260"/>
      <c r="C260"/>
      <c r="D260"/>
    </row>
    <row r="261" spans="1:4" ht="12.75">
      <c r="A261"/>
      <c r="B261"/>
      <c r="C261"/>
      <c r="D261"/>
    </row>
    <row r="262" spans="1:4" ht="12.75">
      <c r="A262"/>
      <c r="B262"/>
      <c r="C262"/>
      <c r="D262"/>
    </row>
    <row r="263" spans="1:4" ht="12.75">
      <c r="A263"/>
      <c r="B263"/>
      <c r="C263"/>
      <c r="D263"/>
    </row>
    <row r="264" spans="1:4" ht="12.75">
      <c r="A264"/>
      <c r="B264"/>
      <c r="C264"/>
      <c r="D264"/>
    </row>
    <row r="265" spans="1:4" ht="12.75">
      <c r="A265"/>
      <c r="B265"/>
      <c r="C265"/>
      <c r="D265"/>
    </row>
    <row r="266" spans="1:4" ht="12.75">
      <c r="A266"/>
      <c r="B266"/>
      <c r="C266"/>
      <c r="D266"/>
    </row>
    <row r="267" spans="1:4" ht="12.75">
      <c r="A267"/>
      <c r="B267"/>
      <c r="C267"/>
      <c r="D267"/>
    </row>
    <row r="268" spans="1:4" ht="12.75">
      <c r="A268"/>
      <c r="B268"/>
      <c r="C268"/>
      <c r="D268"/>
    </row>
    <row r="269" spans="1:4" ht="12.75">
      <c r="A269"/>
      <c r="B269"/>
      <c r="C269"/>
      <c r="D269"/>
    </row>
    <row r="270" spans="1:4" ht="12.75">
      <c r="A270"/>
      <c r="B270"/>
      <c r="C270"/>
      <c r="D270"/>
    </row>
    <row r="271" spans="1:4" ht="12.75">
      <c r="A271"/>
      <c r="B271"/>
      <c r="C271"/>
      <c r="D271"/>
    </row>
    <row r="272" spans="1:4" ht="12.75">
      <c r="A272"/>
      <c r="B272"/>
      <c r="C272"/>
      <c r="D272"/>
    </row>
    <row r="273" spans="1:4" ht="12.75">
      <c r="A273"/>
      <c r="B273"/>
      <c r="C273"/>
      <c r="D273"/>
    </row>
    <row r="274" spans="1:4" ht="12.75">
      <c r="A274"/>
      <c r="B274"/>
      <c r="C274"/>
      <c r="D274"/>
    </row>
    <row r="275" spans="1:4" ht="12.75">
      <c r="A275"/>
      <c r="B275"/>
      <c r="C275"/>
      <c r="D275"/>
    </row>
    <row r="276" spans="1:4" ht="12.75">
      <c r="A276"/>
      <c r="B276"/>
      <c r="C276"/>
      <c r="D276"/>
    </row>
    <row r="277" spans="1:4" ht="12.75">
      <c r="A277"/>
      <c r="B277"/>
      <c r="C277"/>
      <c r="D277"/>
    </row>
    <row r="278" spans="1:4" ht="12.75">
      <c r="A278"/>
      <c r="B278"/>
      <c r="C278"/>
      <c r="D278"/>
    </row>
    <row r="279" spans="1:4" ht="12.75">
      <c r="A279"/>
      <c r="B279"/>
      <c r="C279"/>
      <c r="D279"/>
    </row>
    <row r="280" spans="1:4" ht="12.75">
      <c r="A280"/>
      <c r="B280"/>
      <c r="C280"/>
      <c r="D280"/>
    </row>
    <row r="281" spans="1:4" ht="12.75">
      <c r="A281"/>
      <c r="B281"/>
      <c r="C281"/>
      <c r="D281"/>
    </row>
    <row r="282" spans="1:4" ht="12.75">
      <c r="A282"/>
      <c r="B282"/>
      <c r="C282"/>
      <c r="D282"/>
    </row>
    <row r="283" spans="1:4" ht="12.75">
      <c r="A283"/>
      <c r="B283"/>
      <c r="C283"/>
      <c r="D283"/>
    </row>
    <row r="284" spans="1:4" ht="12.75">
      <c r="A284"/>
      <c r="B284"/>
      <c r="C284"/>
      <c r="D284"/>
    </row>
    <row r="285" spans="1:4" ht="12.75">
      <c r="A285"/>
      <c r="B285"/>
      <c r="C285"/>
      <c r="D285"/>
    </row>
    <row r="286" spans="1:4" ht="12.75">
      <c r="A286"/>
      <c r="B286"/>
      <c r="C286"/>
      <c r="D286"/>
    </row>
    <row r="287" spans="1:4" ht="12.75">
      <c r="A287"/>
      <c r="B287"/>
      <c r="C287"/>
      <c r="D287"/>
    </row>
    <row r="288" spans="1:4" ht="12.75">
      <c r="A288"/>
      <c r="B288"/>
      <c r="C288"/>
      <c r="D288"/>
    </row>
    <row r="289" spans="1:4" ht="12.75">
      <c r="A289"/>
      <c r="B289"/>
      <c r="C289"/>
      <c r="D289"/>
    </row>
    <row r="290" spans="1:4" ht="12.75">
      <c r="A290"/>
      <c r="B290"/>
      <c r="C290"/>
      <c r="D290"/>
    </row>
    <row r="291" spans="1:4" ht="12.75">
      <c r="A291"/>
      <c r="B291"/>
      <c r="C291"/>
      <c r="D291"/>
    </row>
    <row r="292" spans="1:4" ht="12.75">
      <c r="A292"/>
      <c r="B292"/>
      <c r="C292"/>
      <c r="D292"/>
    </row>
    <row r="293" spans="1:4" ht="12.75">
      <c r="A293"/>
      <c r="B293"/>
      <c r="C293"/>
      <c r="D293"/>
    </row>
    <row r="294" spans="1:4" ht="12.75">
      <c r="A294"/>
      <c r="B294"/>
      <c r="C294"/>
      <c r="D294"/>
    </row>
    <row r="295" spans="1:4" ht="12.75">
      <c r="A295"/>
      <c r="B295"/>
      <c r="C295"/>
      <c r="D295"/>
    </row>
    <row r="296" spans="1:4" ht="12.75">
      <c r="A296"/>
      <c r="B296"/>
      <c r="C296"/>
      <c r="D296"/>
    </row>
    <row r="297" spans="1:4" ht="12.75">
      <c r="A297"/>
      <c r="B297"/>
      <c r="C297"/>
      <c r="D297"/>
    </row>
    <row r="298" spans="1:4" ht="12.75">
      <c r="A298"/>
      <c r="B298"/>
      <c r="C298"/>
      <c r="D298"/>
    </row>
    <row r="299" spans="1:4" ht="12.75">
      <c r="A299"/>
      <c r="B299"/>
      <c r="C299"/>
      <c r="D299"/>
    </row>
    <row r="300" spans="1:4" ht="12.75">
      <c r="A300"/>
      <c r="B300"/>
      <c r="C300"/>
      <c r="D300"/>
    </row>
    <row r="301" spans="1:4" ht="12.75">
      <c r="A301"/>
      <c r="B301"/>
      <c r="C301"/>
      <c r="D301"/>
    </row>
    <row r="302" spans="1:4" ht="12.75">
      <c r="A302"/>
      <c r="B302"/>
      <c r="C302"/>
      <c r="D302"/>
    </row>
    <row r="303" spans="1:4" ht="12.75">
      <c r="A303"/>
      <c r="B303"/>
      <c r="C303"/>
      <c r="D303"/>
    </row>
    <row r="304" spans="1:4" ht="12.75">
      <c r="A304"/>
      <c r="B304"/>
      <c r="C304"/>
      <c r="D304"/>
    </row>
    <row r="305" spans="1:4" ht="12.75">
      <c r="A305"/>
      <c r="B305"/>
      <c r="C305"/>
      <c r="D305"/>
    </row>
    <row r="306" spans="1:4" ht="12.75">
      <c r="A306"/>
      <c r="B306"/>
      <c r="C306"/>
      <c r="D306"/>
    </row>
    <row r="307" spans="1:4" ht="12.75">
      <c r="A307"/>
      <c r="B307"/>
      <c r="C307"/>
      <c r="D307"/>
    </row>
    <row r="308" spans="1:4" ht="12.75">
      <c r="A308"/>
      <c r="B308"/>
      <c r="C308"/>
      <c r="D308"/>
    </row>
    <row r="309" spans="1:4" ht="12.75">
      <c r="A309"/>
      <c r="B309"/>
      <c r="C309"/>
      <c r="D309"/>
    </row>
    <row r="310" spans="1:4" ht="12.75">
      <c r="A310"/>
      <c r="B310"/>
      <c r="C310"/>
      <c r="D310"/>
    </row>
    <row r="311" spans="1:4" ht="12.75">
      <c r="A311"/>
      <c r="B311"/>
      <c r="C311"/>
      <c r="D311"/>
    </row>
    <row r="312" spans="1:4" ht="12.75">
      <c r="A312"/>
      <c r="B312"/>
      <c r="C312"/>
      <c r="D312"/>
    </row>
    <row r="313" spans="1:4" ht="12.75">
      <c r="A313"/>
      <c r="B313"/>
      <c r="C313"/>
      <c r="D313"/>
    </row>
    <row r="314" spans="1:4" ht="12.75">
      <c r="A314"/>
      <c r="B314"/>
      <c r="C314"/>
      <c r="D314"/>
    </row>
    <row r="315" spans="1:4" ht="12.75">
      <c r="A315"/>
      <c r="B315"/>
      <c r="C315"/>
      <c r="D315"/>
    </row>
    <row r="316" spans="1:4" ht="12.75">
      <c r="A316"/>
      <c r="B316"/>
      <c r="C316"/>
      <c r="D316"/>
    </row>
    <row r="317" spans="1:4" ht="12.75">
      <c r="A317"/>
      <c r="B317"/>
      <c r="C317"/>
      <c r="D317"/>
    </row>
    <row r="318" spans="1:4" ht="12.75">
      <c r="A318"/>
      <c r="B318"/>
      <c r="C318"/>
      <c r="D318"/>
    </row>
    <row r="319" spans="1:4" ht="12.75">
      <c r="A319"/>
      <c r="B319"/>
      <c r="C319"/>
      <c r="D319"/>
    </row>
    <row r="320" spans="1:4" ht="12.75">
      <c r="A320"/>
      <c r="B320"/>
      <c r="C320"/>
      <c r="D320"/>
    </row>
    <row r="321" spans="1:4" ht="12.75">
      <c r="A321"/>
      <c r="B321"/>
      <c r="C321"/>
      <c r="D321"/>
    </row>
    <row r="322" spans="1:4" ht="12.75">
      <c r="A322"/>
      <c r="B322"/>
      <c r="C322"/>
      <c r="D322"/>
    </row>
    <row r="323" spans="1:4" ht="12.75">
      <c r="A323"/>
      <c r="B323"/>
      <c r="C323"/>
      <c r="D323"/>
    </row>
    <row r="324" spans="1:4" ht="12.75">
      <c r="A324"/>
      <c r="B324"/>
      <c r="C324"/>
      <c r="D324"/>
    </row>
    <row r="325" spans="1:4" ht="12.75">
      <c r="A325"/>
      <c r="B325"/>
      <c r="C325"/>
      <c r="D325"/>
    </row>
    <row r="326" spans="1:4" ht="12.75">
      <c r="A326"/>
      <c r="B326"/>
      <c r="C326"/>
      <c r="D326"/>
    </row>
    <row r="327" spans="1:4" ht="12.75">
      <c r="A327"/>
      <c r="B327"/>
      <c r="C327"/>
      <c r="D327"/>
    </row>
    <row r="328" spans="1:4" ht="12.75">
      <c r="A328"/>
      <c r="B328"/>
      <c r="C328"/>
      <c r="D328"/>
    </row>
    <row r="329" spans="1:4" ht="12.75">
      <c r="A329"/>
      <c r="B329"/>
      <c r="C329"/>
      <c r="D329"/>
    </row>
    <row r="330" spans="1:4" ht="12.75">
      <c r="A330"/>
      <c r="B330"/>
      <c r="C330"/>
      <c r="D330"/>
    </row>
    <row r="331" spans="1:4" ht="12.75">
      <c r="A331"/>
      <c r="B331"/>
      <c r="C331"/>
      <c r="D331"/>
    </row>
    <row r="332" spans="1:4" ht="12.75">
      <c r="A332"/>
      <c r="B332"/>
      <c r="C332"/>
      <c r="D332"/>
    </row>
    <row r="333" spans="1:4" ht="12.75">
      <c r="A333"/>
      <c r="B333"/>
      <c r="C333"/>
      <c r="D333"/>
    </row>
    <row r="334" spans="1:4" ht="12.75">
      <c r="A334"/>
      <c r="B334"/>
      <c r="C334"/>
      <c r="D334"/>
    </row>
    <row r="335" spans="1:4" ht="12.75">
      <c r="A335"/>
      <c r="B335"/>
      <c r="C335"/>
      <c r="D335"/>
    </row>
    <row r="336" spans="1:4" ht="12.75">
      <c r="A336"/>
      <c r="B336"/>
      <c r="C336"/>
      <c r="D336"/>
    </row>
    <row r="337" spans="1:4" ht="12.75">
      <c r="A337"/>
      <c r="B337"/>
      <c r="C337"/>
      <c r="D337"/>
    </row>
    <row r="338" spans="1:4" ht="12.75">
      <c r="A338"/>
      <c r="B338"/>
      <c r="C338"/>
      <c r="D338"/>
    </row>
    <row r="339" spans="1:4" ht="12.75">
      <c r="A339"/>
      <c r="B339"/>
      <c r="C339"/>
      <c r="D339"/>
    </row>
    <row r="340" spans="1:4" ht="12.75">
      <c r="A340"/>
      <c r="B340"/>
      <c r="C340"/>
      <c r="D340"/>
    </row>
    <row r="341" spans="1:4" ht="12.75">
      <c r="A341"/>
      <c r="B341"/>
      <c r="C341"/>
      <c r="D341"/>
    </row>
    <row r="342" spans="1:4" ht="12.75">
      <c r="A342"/>
      <c r="B342"/>
      <c r="C342"/>
      <c r="D342"/>
    </row>
    <row r="343" spans="1:4" ht="12.75">
      <c r="A343"/>
      <c r="B343"/>
      <c r="C343"/>
      <c r="D343"/>
    </row>
    <row r="344" spans="1:4" ht="12.75">
      <c r="A344"/>
      <c r="B344"/>
      <c r="C344"/>
      <c r="D344"/>
    </row>
    <row r="345" spans="1:4" ht="12.75">
      <c r="A345"/>
      <c r="B345"/>
      <c r="C345"/>
      <c r="D345"/>
    </row>
    <row r="346" spans="1:4" ht="12.75">
      <c r="A346"/>
      <c r="B346"/>
      <c r="C346"/>
      <c r="D346"/>
    </row>
    <row r="347" spans="1:4" ht="12.75">
      <c r="A347"/>
      <c r="B347"/>
      <c r="C347"/>
      <c r="D347"/>
    </row>
    <row r="348" spans="1:4" ht="12.75">
      <c r="A348"/>
      <c r="B348"/>
      <c r="C348"/>
      <c r="D348"/>
    </row>
    <row r="349" spans="1:4" ht="12.75">
      <c r="A349"/>
      <c r="B349"/>
      <c r="C349"/>
      <c r="D349"/>
    </row>
    <row r="350" spans="1:4" ht="12.75">
      <c r="A350"/>
      <c r="B350"/>
      <c r="C350"/>
      <c r="D350"/>
    </row>
    <row r="351" spans="1:4" ht="12.75">
      <c r="A351"/>
      <c r="B351"/>
      <c r="C351"/>
      <c r="D351"/>
    </row>
    <row r="352" spans="1:4" ht="12.75">
      <c r="A352"/>
      <c r="B352"/>
      <c r="C352"/>
      <c r="D352"/>
    </row>
    <row r="353" spans="1:4" ht="12.75">
      <c r="A353"/>
      <c r="B353"/>
      <c r="C353"/>
      <c r="D353"/>
    </row>
    <row r="354" spans="1:4" ht="12.75">
      <c r="A354"/>
      <c r="B354"/>
      <c r="C354"/>
      <c r="D354"/>
    </row>
    <row r="355" spans="1:4" ht="12.75">
      <c r="A355"/>
      <c r="B355"/>
      <c r="C355"/>
      <c r="D355"/>
    </row>
    <row r="356" spans="1:4" ht="12.75">
      <c r="A356"/>
      <c r="B356"/>
      <c r="C356"/>
      <c r="D356"/>
    </row>
    <row r="357" spans="1:4" ht="12.75">
      <c r="A357"/>
      <c r="B357"/>
      <c r="C357"/>
      <c r="D357"/>
    </row>
    <row r="358" spans="1:4" ht="12.75">
      <c r="A358"/>
      <c r="B358"/>
      <c r="C358"/>
      <c r="D358"/>
    </row>
    <row r="359" spans="1:4" ht="12.75">
      <c r="A359"/>
      <c r="B359"/>
      <c r="C359"/>
      <c r="D359"/>
    </row>
    <row r="360" spans="1:4" ht="12.75">
      <c r="A360"/>
      <c r="B360"/>
      <c r="C360"/>
      <c r="D360"/>
    </row>
    <row r="361" spans="1:4" ht="12.75">
      <c r="A361"/>
      <c r="B361"/>
      <c r="C361"/>
      <c r="D361"/>
    </row>
    <row r="362" spans="1:4" ht="12.75">
      <c r="A362"/>
      <c r="B362"/>
      <c r="C362"/>
      <c r="D362"/>
    </row>
    <row r="363" spans="1:4" ht="12.75">
      <c r="A363"/>
      <c r="B363"/>
      <c r="C363"/>
      <c r="D363"/>
    </row>
    <row r="364" spans="1:4" ht="12.75">
      <c r="A364"/>
      <c r="B364"/>
      <c r="C364"/>
      <c r="D364"/>
    </row>
    <row r="365" spans="1:4" ht="12.75">
      <c r="A365"/>
      <c r="B365"/>
      <c r="C365"/>
      <c r="D365"/>
    </row>
    <row r="366" spans="1:4" ht="12.75">
      <c r="A366"/>
      <c r="B366"/>
      <c r="C366"/>
      <c r="D366"/>
    </row>
    <row r="367" spans="1:4" ht="12.75">
      <c r="A367"/>
      <c r="B367"/>
      <c r="C367"/>
      <c r="D367"/>
    </row>
    <row r="368" spans="1:4" ht="12.75">
      <c r="A368"/>
      <c r="B368"/>
      <c r="C368"/>
      <c r="D368"/>
    </row>
    <row r="369" spans="1:4" ht="12.75">
      <c r="A369"/>
      <c r="B369"/>
      <c r="C369"/>
      <c r="D369"/>
    </row>
    <row r="370" spans="1:4" ht="12.75">
      <c r="A370"/>
      <c r="B370"/>
      <c r="C370"/>
      <c r="D370"/>
    </row>
    <row r="371" spans="1:4" ht="12.75">
      <c r="A371"/>
      <c r="B371"/>
      <c r="C371"/>
      <c r="D371"/>
    </row>
    <row r="372" spans="1:4" ht="12.75">
      <c r="A372"/>
      <c r="B372"/>
      <c r="C372"/>
      <c r="D372"/>
    </row>
    <row r="373" spans="1:4" ht="12.75">
      <c r="A373"/>
      <c r="B373"/>
      <c r="C373"/>
      <c r="D373"/>
    </row>
    <row r="374" spans="1:4" ht="12.75">
      <c r="A374"/>
      <c r="B374"/>
      <c r="C374"/>
      <c r="D374"/>
    </row>
    <row r="375" spans="1:4" ht="12.75">
      <c r="A375"/>
      <c r="B375"/>
      <c r="C375"/>
      <c r="D375"/>
    </row>
    <row r="376" spans="1:4" ht="12.75">
      <c r="A376"/>
      <c r="B376"/>
      <c r="C376"/>
      <c r="D376"/>
    </row>
    <row r="377" spans="1:4" ht="12.75">
      <c r="A377"/>
      <c r="B377"/>
      <c r="C377"/>
      <c r="D377"/>
    </row>
    <row r="378" spans="1:4" ht="12.75">
      <c r="A378"/>
      <c r="B378"/>
      <c r="C378"/>
      <c r="D378"/>
    </row>
    <row r="379" spans="1:4" ht="12.75">
      <c r="A379"/>
      <c r="B379"/>
      <c r="C379"/>
      <c r="D379"/>
    </row>
    <row r="380" spans="1:4" ht="12.75">
      <c r="A380"/>
      <c r="B380"/>
      <c r="C380"/>
      <c r="D380"/>
    </row>
    <row r="381" spans="1:4" ht="12.75">
      <c r="A381"/>
      <c r="B381"/>
      <c r="C381"/>
      <c r="D381"/>
    </row>
    <row r="382" spans="1:4" ht="12.75">
      <c r="A382"/>
      <c r="B382"/>
      <c r="C382"/>
      <c r="D382"/>
    </row>
    <row r="383" spans="1:4" ht="12.75">
      <c r="A383"/>
      <c r="B383"/>
      <c r="C383"/>
      <c r="D383"/>
    </row>
    <row r="384" spans="1:4" ht="12.75">
      <c r="A384"/>
      <c r="B384"/>
      <c r="C384"/>
      <c r="D384"/>
    </row>
    <row r="385" spans="1:4" ht="12.75">
      <c r="A385"/>
      <c r="B385"/>
      <c r="C385"/>
      <c r="D385"/>
    </row>
    <row r="386" spans="1:4" ht="12.75">
      <c r="A386"/>
      <c r="B386"/>
      <c r="C386"/>
      <c r="D386"/>
    </row>
    <row r="387" spans="1:4" ht="12.75">
      <c r="A387"/>
      <c r="B387"/>
      <c r="C387"/>
      <c r="D387"/>
    </row>
    <row r="388" spans="1:4" ht="12.75">
      <c r="A388"/>
      <c r="B388"/>
      <c r="C388"/>
      <c r="D388"/>
    </row>
    <row r="389" spans="1:4" ht="12.75">
      <c r="A389"/>
      <c r="B389"/>
      <c r="C389"/>
      <c r="D389"/>
    </row>
    <row r="390" spans="1:4" ht="12.75">
      <c r="A390"/>
      <c r="B390"/>
      <c r="C390"/>
      <c r="D390"/>
    </row>
    <row r="391" spans="1:4" ht="12.75">
      <c r="A391"/>
      <c r="B391"/>
      <c r="C391"/>
      <c r="D391"/>
    </row>
    <row r="392" spans="1:4" ht="12.75">
      <c r="A392"/>
      <c r="B392"/>
      <c r="C392"/>
      <c r="D392"/>
    </row>
    <row r="393" spans="1:4" ht="12.75">
      <c r="A393"/>
      <c r="B393"/>
      <c r="C393"/>
      <c r="D393"/>
    </row>
    <row r="394" spans="1:4" ht="12.75">
      <c r="A394"/>
      <c r="B394"/>
      <c r="C394"/>
      <c r="D394"/>
    </row>
    <row r="395" spans="1:4" ht="12.75">
      <c r="A395"/>
      <c r="B395"/>
      <c r="C395"/>
      <c r="D395"/>
    </row>
    <row r="396" spans="1:4" ht="12.75">
      <c r="A396"/>
      <c r="B396"/>
      <c r="C396"/>
      <c r="D396"/>
    </row>
    <row r="397" spans="1:4" ht="12.75">
      <c r="A397"/>
      <c r="B397"/>
      <c r="C397"/>
      <c r="D397"/>
    </row>
    <row r="398" spans="1:4" ht="12.75">
      <c r="A398"/>
      <c r="B398"/>
      <c r="C398"/>
      <c r="D398"/>
    </row>
    <row r="399" spans="1:4" ht="12.75">
      <c r="A399"/>
      <c r="B399"/>
      <c r="C399"/>
      <c r="D399"/>
    </row>
    <row r="400" spans="1:4" ht="12.75">
      <c r="A400"/>
      <c r="B400"/>
      <c r="C400"/>
      <c r="D400"/>
    </row>
    <row r="401" spans="1:4" ht="12.75">
      <c r="A401"/>
      <c r="B401"/>
      <c r="C401"/>
      <c r="D401"/>
    </row>
    <row r="402" spans="1:4" ht="12.75">
      <c r="A402"/>
      <c r="B402"/>
      <c r="C402"/>
      <c r="D402"/>
    </row>
    <row r="403" spans="1:4" ht="12.75">
      <c r="A403"/>
      <c r="B403"/>
      <c r="C403"/>
      <c r="D403"/>
    </row>
    <row r="404" spans="1:4" ht="12.75">
      <c r="A404"/>
      <c r="B404"/>
      <c r="C404"/>
      <c r="D404"/>
    </row>
    <row r="405" spans="1:4" ht="12.75">
      <c r="A405"/>
      <c r="B405"/>
      <c r="C405"/>
      <c r="D405"/>
    </row>
    <row r="406" spans="1:4" ht="12.75">
      <c r="A406"/>
      <c r="B406"/>
      <c r="C406"/>
      <c r="D406"/>
    </row>
    <row r="407" spans="1:4" ht="12.75">
      <c r="A407"/>
      <c r="B407"/>
      <c r="C407"/>
      <c r="D407"/>
    </row>
    <row r="408" spans="1:4" ht="12.75">
      <c r="A408"/>
      <c r="B408"/>
      <c r="C408"/>
      <c r="D408"/>
    </row>
    <row r="409" spans="1:4" ht="12.75">
      <c r="A409"/>
      <c r="B409"/>
      <c r="C409"/>
      <c r="D409"/>
    </row>
    <row r="410" spans="1:4" ht="12.75">
      <c r="A410"/>
      <c r="B410"/>
      <c r="C410"/>
      <c r="D410"/>
    </row>
    <row r="411" spans="1:4" ht="12.75">
      <c r="A411"/>
      <c r="B411"/>
      <c r="C411"/>
      <c r="D411"/>
    </row>
    <row r="412" spans="1:4" ht="12.75">
      <c r="A412"/>
      <c r="B412"/>
      <c r="C412"/>
      <c r="D412"/>
    </row>
    <row r="413" spans="1:4" ht="12.75">
      <c r="A413"/>
      <c r="B413"/>
      <c r="C413"/>
      <c r="D413"/>
    </row>
    <row r="414" spans="1:4" ht="12.75">
      <c r="A414"/>
      <c r="B414"/>
      <c r="C414"/>
      <c r="D414"/>
    </row>
    <row r="415" spans="1:4" ht="12.75">
      <c r="A415"/>
      <c r="B415"/>
      <c r="C415"/>
      <c r="D415"/>
    </row>
    <row r="416" spans="1:4" ht="12.75">
      <c r="A416"/>
      <c r="B416"/>
      <c r="C416"/>
      <c r="D416"/>
    </row>
    <row r="417" spans="1:4" ht="12.75">
      <c r="A417"/>
      <c r="B417"/>
      <c r="C417"/>
      <c r="D417"/>
    </row>
    <row r="418" spans="1:4" ht="12.75">
      <c r="A418"/>
      <c r="B418"/>
      <c r="C418"/>
      <c r="D418"/>
    </row>
    <row r="419" spans="1:4" ht="12.75">
      <c r="A419"/>
      <c r="B419"/>
      <c r="C419"/>
      <c r="D419"/>
    </row>
    <row r="420" spans="1:4" ht="12.75">
      <c r="A420"/>
      <c r="B420"/>
      <c r="C420"/>
      <c r="D420"/>
    </row>
    <row r="421" spans="1:4" ht="12.75">
      <c r="A421"/>
      <c r="B421"/>
      <c r="C421"/>
      <c r="D421"/>
    </row>
    <row r="422" spans="1:4" ht="12.75">
      <c r="A422"/>
      <c r="B422"/>
      <c r="C422"/>
      <c r="D422"/>
    </row>
    <row r="423" spans="1:4" ht="12.75">
      <c r="A423"/>
      <c r="B423"/>
      <c r="C423"/>
      <c r="D423"/>
    </row>
    <row r="424" spans="1:4" ht="12.75">
      <c r="A424"/>
      <c r="B424"/>
      <c r="C424"/>
      <c r="D424"/>
    </row>
    <row r="425" spans="1:4" ht="12.75">
      <c r="A425"/>
      <c r="B425"/>
      <c r="C425"/>
      <c r="D425"/>
    </row>
    <row r="426" spans="1:4" ht="12.75">
      <c r="A426"/>
      <c r="B426"/>
      <c r="C426"/>
      <c r="D426"/>
    </row>
    <row r="427" spans="1:4" ht="12.75">
      <c r="A427"/>
      <c r="B427"/>
      <c r="C427"/>
      <c r="D427"/>
    </row>
    <row r="428" spans="1:4" ht="12.75">
      <c r="A428"/>
      <c r="B428"/>
      <c r="C428"/>
      <c r="D428"/>
    </row>
    <row r="429" spans="1:4" ht="12.75">
      <c r="A429"/>
      <c r="B429"/>
      <c r="C429"/>
      <c r="D429"/>
    </row>
    <row r="430" spans="1:4" ht="12.75">
      <c r="A430"/>
      <c r="B430"/>
      <c r="C430"/>
      <c r="D430"/>
    </row>
    <row r="431" spans="1:4" ht="12.75">
      <c r="A431"/>
      <c r="B431"/>
      <c r="C431"/>
      <c r="D431"/>
    </row>
    <row r="432" spans="1:4" ht="12.75">
      <c r="A432"/>
      <c r="B432"/>
      <c r="C432"/>
      <c r="D432"/>
    </row>
    <row r="433" spans="1:4" ht="12.75">
      <c r="A433"/>
      <c r="B433"/>
      <c r="C433"/>
      <c r="D433"/>
    </row>
    <row r="434" spans="1:4" ht="12.75">
      <c r="A434"/>
      <c r="B434"/>
      <c r="C434"/>
      <c r="D434"/>
    </row>
    <row r="435" spans="1:4" ht="12.75">
      <c r="A435"/>
      <c r="B435"/>
      <c r="C435"/>
      <c r="D435"/>
    </row>
    <row r="436" spans="1:4" ht="12.75">
      <c r="A436"/>
      <c r="B436"/>
      <c r="C436"/>
      <c r="D436"/>
    </row>
    <row r="437" spans="1:4" ht="12.75">
      <c r="A437"/>
      <c r="B437"/>
      <c r="C437"/>
      <c r="D437"/>
    </row>
    <row r="438" spans="1:4" ht="12.75">
      <c r="A438"/>
      <c r="B438"/>
      <c r="C438"/>
      <c r="D438"/>
    </row>
    <row r="439" spans="1:4" ht="12.75">
      <c r="A439"/>
      <c r="B439"/>
      <c r="C439"/>
      <c r="D439"/>
    </row>
    <row r="440" spans="1:4" ht="12.75">
      <c r="A440"/>
      <c r="B440"/>
      <c r="C440"/>
      <c r="D440"/>
    </row>
    <row r="441" spans="1:4" ht="12.75">
      <c r="A441"/>
      <c r="B441"/>
      <c r="C441"/>
      <c r="D441"/>
    </row>
    <row r="442" spans="1:4" ht="12.75">
      <c r="A442"/>
      <c r="B442"/>
      <c r="C442"/>
      <c r="D442"/>
    </row>
    <row r="443" spans="1:4" ht="12.75">
      <c r="A443"/>
      <c r="B443"/>
      <c r="C443"/>
      <c r="D443"/>
    </row>
    <row r="444" spans="1:4" ht="12.75">
      <c r="A444"/>
      <c r="B444"/>
      <c r="C444"/>
      <c r="D444"/>
    </row>
    <row r="445" spans="1:4" ht="12.75">
      <c r="A445"/>
      <c r="B445"/>
      <c r="C445"/>
      <c r="D445"/>
    </row>
    <row r="446" spans="1:4" ht="12.75">
      <c r="A446"/>
      <c r="B446"/>
      <c r="C446"/>
      <c r="D446"/>
    </row>
    <row r="447" spans="1:4" ht="12.75">
      <c r="A447"/>
      <c r="B447"/>
      <c r="C447"/>
      <c r="D447"/>
    </row>
    <row r="448" spans="1:4" ht="12.75">
      <c r="A448"/>
      <c r="B448"/>
      <c r="C448"/>
      <c r="D448"/>
    </row>
    <row r="449" spans="1:4" ht="12.75">
      <c r="A449"/>
      <c r="B449"/>
      <c r="C449"/>
      <c r="D449"/>
    </row>
    <row r="450" spans="1:4" ht="12.75">
      <c r="A450"/>
      <c r="B450"/>
      <c r="C450"/>
      <c r="D450"/>
    </row>
    <row r="451" spans="1:4" ht="12.75">
      <c r="A451"/>
      <c r="B451"/>
      <c r="C451"/>
      <c r="D451"/>
    </row>
    <row r="452" spans="1:4" ht="12.75">
      <c r="A452"/>
      <c r="B452"/>
      <c r="C452"/>
      <c r="D452"/>
    </row>
    <row r="453" spans="1:4" ht="12.75">
      <c r="A453"/>
      <c r="B453"/>
      <c r="C453"/>
      <c r="D453"/>
    </row>
    <row r="454" spans="1:4" ht="12.75">
      <c r="A454"/>
      <c r="B454"/>
      <c r="C454"/>
      <c r="D454"/>
    </row>
    <row r="455" spans="1:4" ht="12.75">
      <c r="A455"/>
      <c r="B455"/>
      <c r="C455"/>
      <c r="D455"/>
    </row>
    <row r="456" spans="1:4" ht="12.75">
      <c r="A456"/>
      <c r="B456"/>
      <c r="C456"/>
      <c r="D456"/>
    </row>
    <row r="457" spans="1:4" ht="12.75">
      <c r="A457"/>
      <c r="B457"/>
      <c r="C457"/>
      <c r="D457"/>
    </row>
    <row r="458" spans="1:4" ht="12.75">
      <c r="A458"/>
      <c r="B458"/>
      <c r="C458"/>
      <c r="D458"/>
    </row>
    <row r="459" spans="1:4" ht="12.75">
      <c r="A459"/>
      <c r="B459"/>
      <c r="C459"/>
      <c r="D459"/>
    </row>
    <row r="460" spans="1:4" ht="12.75">
      <c r="A460"/>
      <c r="B460"/>
      <c r="C460"/>
      <c r="D460"/>
    </row>
    <row r="461" spans="1:4" ht="12.75">
      <c r="A461"/>
      <c r="B461"/>
      <c r="C461"/>
      <c r="D461"/>
    </row>
    <row r="462" spans="1:4" ht="12.75">
      <c r="A462"/>
      <c r="B462"/>
      <c r="C462"/>
      <c r="D462"/>
    </row>
    <row r="463" spans="1:4" ht="12.75">
      <c r="A463"/>
      <c r="B463"/>
      <c r="C463"/>
      <c r="D463"/>
    </row>
    <row r="464" spans="1:4" ht="12.75">
      <c r="A464"/>
      <c r="B464"/>
      <c r="C464"/>
      <c r="D464"/>
    </row>
    <row r="465" spans="1:4" ht="12.75">
      <c r="A465"/>
      <c r="B465"/>
      <c r="C465"/>
      <c r="D465"/>
    </row>
    <row r="466" spans="1:4" ht="12.75">
      <c r="A466"/>
      <c r="B466"/>
      <c r="C466"/>
      <c r="D466"/>
    </row>
    <row r="467" spans="1:4" ht="12.75">
      <c r="A467"/>
      <c r="B467"/>
      <c r="C467"/>
      <c r="D467"/>
    </row>
    <row r="468" spans="1:4" ht="12.75">
      <c r="A468"/>
      <c r="B468"/>
      <c r="C468"/>
      <c r="D468"/>
    </row>
    <row r="469" spans="1:4" ht="12.75">
      <c r="A469"/>
      <c r="B469"/>
      <c r="C469"/>
      <c r="D469"/>
    </row>
    <row r="470" spans="1:4" ht="12.75">
      <c r="A470"/>
      <c r="B470"/>
      <c r="C470"/>
      <c r="D470"/>
    </row>
    <row r="471" spans="1:4" ht="12.75">
      <c r="A471"/>
      <c r="B471"/>
      <c r="C471"/>
      <c r="D471"/>
    </row>
    <row r="472" spans="1:4" ht="12.75">
      <c r="A472"/>
      <c r="B472"/>
      <c r="C472"/>
      <c r="D472"/>
    </row>
    <row r="473" spans="1:4" ht="12.75">
      <c r="A473"/>
      <c r="B473"/>
      <c r="C473"/>
      <c r="D473"/>
    </row>
    <row r="474" spans="1:4" ht="12.75">
      <c r="A474"/>
      <c r="B474"/>
      <c r="C474"/>
      <c r="D474"/>
    </row>
    <row r="475" spans="1:4" ht="12.75">
      <c r="A475"/>
      <c r="B475"/>
      <c r="C475"/>
      <c r="D475"/>
    </row>
    <row r="476" spans="1:4" ht="12.75">
      <c r="A476"/>
      <c r="B476"/>
      <c r="C476"/>
      <c r="D476"/>
    </row>
    <row r="477" spans="1:4" ht="12.75">
      <c r="A477"/>
      <c r="B477"/>
      <c r="C477"/>
      <c r="D477"/>
    </row>
    <row r="478" spans="1:4" ht="12.75">
      <c r="A478"/>
      <c r="B478"/>
      <c r="C478"/>
      <c r="D478"/>
    </row>
    <row r="479" spans="1:4" ht="12.75">
      <c r="A479"/>
      <c r="B479"/>
      <c r="C479"/>
      <c r="D479"/>
    </row>
    <row r="480" spans="1:4" ht="12.75">
      <c r="A480"/>
      <c r="B480"/>
      <c r="C480"/>
      <c r="D480"/>
    </row>
    <row r="481" spans="1:4" ht="12.75">
      <c r="A481"/>
      <c r="B481"/>
      <c r="C481"/>
      <c r="D481"/>
    </row>
    <row r="482" spans="1:4" ht="12.75">
      <c r="A482"/>
      <c r="B482"/>
      <c r="C482"/>
      <c r="D482"/>
    </row>
    <row r="483" spans="1:4" ht="12.75">
      <c r="A483"/>
      <c r="B483"/>
      <c r="C483"/>
      <c r="D483"/>
    </row>
    <row r="484" spans="1:4" ht="12.75">
      <c r="A484"/>
      <c r="B484"/>
      <c r="C484"/>
      <c r="D484"/>
    </row>
    <row r="485" spans="1:4" ht="12.75">
      <c r="A485"/>
      <c r="B485"/>
      <c r="C485"/>
      <c r="D485"/>
    </row>
    <row r="486" spans="1:4" ht="12.75">
      <c r="A486"/>
      <c r="B486"/>
      <c r="C486"/>
      <c r="D486"/>
    </row>
    <row r="487" spans="1:4" ht="12.75">
      <c r="A487"/>
      <c r="B487"/>
      <c r="C487"/>
      <c r="D487"/>
    </row>
    <row r="488" spans="1:4" ht="12.75">
      <c r="A488"/>
      <c r="B488"/>
      <c r="C488"/>
      <c r="D488"/>
    </row>
    <row r="489" spans="1:4" ht="12.75">
      <c r="A489"/>
      <c r="B489"/>
      <c r="C489"/>
      <c r="D489"/>
    </row>
    <row r="490" spans="1:4" ht="12.75">
      <c r="A490"/>
      <c r="B490"/>
      <c r="C490"/>
      <c r="D490"/>
    </row>
    <row r="491" spans="1:4" ht="12.75">
      <c r="A491"/>
      <c r="B491"/>
      <c r="C491"/>
      <c r="D491"/>
    </row>
    <row r="492" spans="1:4" ht="12.75">
      <c r="A492"/>
      <c r="B492"/>
      <c r="C492"/>
      <c r="D492"/>
    </row>
    <row r="493" spans="1:4" ht="12.75">
      <c r="A493"/>
      <c r="B493"/>
      <c r="C493"/>
      <c r="D493"/>
    </row>
    <row r="494" spans="1:4" ht="12.75">
      <c r="A494"/>
      <c r="B494"/>
      <c r="C494"/>
      <c r="D494"/>
    </row>
    <row r="495" spans="1:4" ht="12.75">
      <c r="A495"/>
      <c r="B495"/>
      <c r="C495"/>
      <c r="D495"/>
    </row>
    <row r="496" spans="1:4" ht="12.75">
      <c r="A496"/>
      <c r="B496"/>
      <c r="C496"/>
      <c r="D496"/>
    </row>
    <row r="497" spans="1:4" ht="12.75">
      <c r="A497"/>
      <c r="B497"/>
      <c r="C497"/>
      <c r="D497"/>
    </row>
    <row r="498" spans="1:4" ht="12.75">
      <c r="A498"/>
      <c r="B498"/>
      <c r="C498"/>
      <c r="D498"/>
    </row>
    <row r="499" spans="1:4" ht="12.75">
      <c r="A499"/>
      <c r="B499"/>
      <c r="C499"/>
      <c r="D499"/>
    </row>
    <row r="500" spans="1:4" ht="12.75">
      <c r="A500"/>
      <c r="B500"/>
      <c r="C500"/>
      <c r="D500"/>
    </row>
    <row r="501" spans="1:4" ht="12.75">
      <c r="A501"/>
      <c r="B501"/>
      <c r="C501"/>
      <c r="D501"/>
    </row>
    <row r="502" spans="1:4" ht="12.75">
      <c r="A502"/>
      <c r="B502"/>
      <c r="C502"/>
      <c r="D502"/>
    </row>
    <row r="503" spans="1:4" ht="12.75">
      <c r="A503"/>
      <c r="B503"/>
      <c r="C503"/>
      <c r="D503"/>
    </row>
    <row r="504" spans="1:4" ht="12.75">
      <c r="A504"/>
      <c r="B504"/>
      <c r="C504"/>
      <c r="D504"/>
    </row>
    <row r="505" spans="1:4" ht="12.75">
      <c r="A505"/>
      <c r="B505"/>
      <c r="C505"/>
      <c r="D505"/>
    </row>
    <row r="506" spans="1:4" ht="12.75">
      <c r="A506"/>
      <c r="B506"/>
      <c r="C506"/>
      <c r="D506"/>
    </row>
    <row r="507" spans="1:4" ht="12.75">
      <c r="A507"/>
      <c r="B507"/>
      <c r="C507"/>
      <c r="D507"/>
    </row>
    <row r="508" spans="1:4" ht="12.75">
      <c r="A508"/>
      <c r="B508"/>
      <c r="C508"/>
      <c r="D508"/>
    </row>
    <row r="509" spans="1:4" ht="12.75">
      <c r="A509"/>
      <c r="B509"/>
      <c r="C509"/>
      <c r="D509"/>
    </row>
    <row r="510" spans="1:4" ht="12.75">
      <c r="A510"/>
      <c r="B510"/>
      <c r="C510"/>
      <c r="D510"/>
    </row>
    <row r="511" spans="1:4" ht="12.75">
      <c r="A511"/>
      <c r="B511"/>
      <c r="C511"/>
      <c r="D511"/>
    </row>
    <row r="512" spans="1:4" ht="12.75">
      <c r="A512"/>
      <c r="B512"/>
      <c r="C512"/>
      <c r="D512"/>
    </row>
    <row r="513" spans="1:4" ht="12.75">
      <c r="A513"/>
      <c r="B513"/>
      <c r="C513"/>
      <c r="D513"/>
    </row>
    <row r="514" spans="1:4" ht="12.75">
      <c r="A514"/>
      <c r="B514"/>
      <c r="C514"/>
      <c r="D514"/>
    </row>
    <row r="515" spans="1:4" ht="12.75">
      <c r="A515"/>
      <c r="B515"/>
      <c r="C515"/>
      <c r="D515"/>
    </row>
    <row r="516" spans="1:4" ht="12.75">
      <c r="A516"/>
      <c r="B516"/>
      <c r="C516"/>
      <c r="D516"/>
    </row>
    <row r="517" spans="1:4" ht="12.75">
      <c r="A517"/>
      <c r="B517"/>
      <c r="C517"/>
      <c r="D517"/>
    </row>
    <row r="518" spans="1:4" ht="12.75">
      <c r="A518"/>
      <c r="B518"/>
      <c r="C518"/>
      <c r="D518"/>
    </row>
    <row r="519" spans="1:4" ht="12.75">
      <c r="A519"/>
      <c r="B519"/>
      <c r="C519"/>
      <c r="D519"/>
    </row>
    <row r="520" spans="1:4" ht="12.75">
      <c r="A520"/>
      <c r="B520"/>
      <c r="C520"/>
      <c r="D520"/>
    </row>
    <row r="521" spans="1:4" ht="12.75">
      <c r="A521"/>
      <c r="B521"/>
      <c r="C521"/>
      <c r="D521"/>
    </row>
    <row r="522" spans="1:4" ht="12.75">
      <c r="A522"/>
      <c r="B522"/>
      <c r="C522"/>
      <c r="D522"/>
    </row>
    <row r="523" spans="1:4" ht="12.75">
      <c r="A523"/>
      <c r="B523"/>
      <c r="C523"/>
      <c r="D523"/>
    </row>
    <row r="524" spans="1:4" ht="12.75">
      <c r="A524"/>
      <c r="B524"/>
      <c r="C524"/>
      <c r="D524"/>
    </row>
    <row r="525" spans="1:4" ht="12.75">
      <c r="A525"/>
      <c r="B525"/>
      <c r="C525"/>
      <c r="D525"/>
    </row>
    <row r="526" spans="1:4" ht="12.75">
      <c r="A526"/>
      <c r="B526"/>
      <c r="C526"/>
      <c r="D526"/>
    </row>
    <row r="527" spans="1:4" ht="12.75">
      <c r="A527"/>
      <c r="B527"/>
      <c r="C527"/>
      <c r="D527"/>
    </row>
    <row r="528" spans="1:4" ht="12.75">
      <c r="A528"/>
      <c r="B528"/>
      <c r="C528"/>
      <c r="D528"/>
    </row>
    <row r="529" spans="1:4" ht="12.75">
      <c r="A529"/>
      <c r="B529"/>
      <c r="C529"/>
      <c r="D529"/>
    </row>
    <row r="530" spans="1:4" ht="12.75">
      <c r="A530"/>
      <c r="B530"/>
      <c r="C530"/>
      <c r="D530"/>
    </row>
    <row r="531" spans="1:4" ht="12.75">
      <c r="A531"/>
      <c r="B531"/>
      <c r="C531"/>
      <c r="D531"/>
    </row>
    <row r="532" spans="1:4" ht="12.75">
      <c r="A532"/>
      <c r="B532"/>
      <c r="C532"/>
      <c r="D532"/>
    </row>
    <row r="533" spans="1:4" ht="12.75">
      <c r="A533"/>
      <c r="B533"/>
      <c r="C533"/>
      <c r="D533"/>
    </row>
    <row r="534" spans="1:4" ht="12.75">
      <c r="A534"/>
      <c r="B534"/>
      <c r="C534"/>
      <c r="D534"/>
    </row>
    <row r="535" spans="1:4" ht="12.75">
      <c r="A535"/>
      <c r="B535"/>
      <c r="C535"/>
      <c r="D535"/>
    </row>
    <row r="536" spans="1:4" ht="12.75">
      <c r="A536"/>
      <c r="B536"/>
      <c r="C536"/>
      <c r="D536"/>
    </row>
    <row r="537" spans="1:4" ht="12.75">
      <c r="A537"/>
      <c r="B537"/>
      <c r="C537"/>
      <c r="D537"/>
    </row>
    <row r="538" spans="1:4" ht="12.75">
      <c r="A538"/>
      <c r="B538"/>
      <c r="C538"/>
      <c r="D538"/>
    </row>
    <row r="539" spans="1:4" ht="12.75">
      <c r="A539"/>
      <c r="B539"/>
      <c r="C539"/>
      <c r="D539"/>
    </row>
    <row r="540" spans="1:4" ht="12.75">
      <c r="A540"/>
      <c r="B540"/>
      <c r="C540"/>
      <c r="D540"/>
    </row>
    <row r="541" spans="1:4" ht="12.75">
      <c r="A541"/>
      <c r="B541"/>
      <c r="C541"/>
      <c r="D541"/>
    </row>
    <row r="542" spans="1:4" ht="12.75">
      <c r="A542"/>
      <c r="B542"/>
      <c r="C542"/>
      <c r="D542"/>
    </row>
    <row r="543" spans="1:4" ht="12.75">
      <c r="A543"/>
      <c r="B543"/>
      <c r="C543"/>
      <c r="D543"/>
    </row>
    <row r="544" spans="1:4" ht="12.75">
      <c r="A544"/>
      <c r="B544"/>
      <c r="C544"/>
      <c r="D544"/>
    </row>
    <row r="545" spans="1:4" ht="12.75">
      <c r="A545"/>
      <c r="B545"/>
      <c r="C545"/>
      <c r="D545"/>
    </row>
    <row r="546" spans="1:4" ht="12.75">
      <c r="A546"/>
      <c r="B546"/>
      <c r="C546"/>
      <c r="D546"/>
    </row>
    <row r="547" spans="1:4" ht="12.75">
      <c r="A547"/>
      <c r="B547"/>
      <c r="C547"/>
      <c r="D547"/>
    </row>
    <row r="548" spans="1:4" ht="12.75">
      <c r="A548"/>
      <c r="B548"/>
      <c r="C548"/>
      <c r="D548"/>
    </row>
    <row r="549" spans="1:4" ht="12.75">
      <c r="A549"/>
      <c r="B549"/>
      <c r="C549"/>
      <c r="D549"/>
    </row>
    <row r="550" spans="1:4" ht="12.75">
      <c r="A550"/>
      <c r="B550"/>
      <c r="C550"/>
      <c r="D550"/>
    </row>
    <row r="551" spans="1:4" ht="12.75">
      <c r="A551"/>
      <c r="B551"/>
      <c r="C551"/>
      <c r="D551"/>
    </row>
    <row r="552" spans="1:4" ht="12.75">
      <c r="A552"/>
      <c r="B552"/>
      <c r="C552"/>
      <c r="D552"/>
    </row>
    <row r="553" spans="1:4" ht="12.75">
      <c r="A553"/>
      <c r="B553"/>
      <c r="C553"/>
      <c r="D553"/>
    </row>
    <row r="554" spans="1:4" ht="12.75">
      <c r="A554"/>
      <c r="B554"/>
      <c r="C554"/>
      <c r="D554"/>
    </row>
    <row r="555" spans="1:4" ht="12.75">
      <c r="A555"/>
      <c r="B555"/>
      <c r="C555"/>
      <c r="D555"/>
    </row>
    <row r="556" spans="1:4" ht="12.75">
      <c r="A556"/>
      <c r="B556"/>
      <c r="C556"/>
      <c r="D556"/>
    </row>
    <row r="557" spans="1:4" ht="12.75">
      <c r="A557"/>
      <c r="B557"/>
      <c r="C557"/>
      <c r="D557"/>
    </row>
    <row r="558" spans="1:4" ht="12.75">
      <c r="A558"/>
      <c r="B558"/>
      <c r="C558"/>
      <c r="D558"/>
    </row>
    <row r="559" spans="1:4" ht="12.75">
      <c r="A559"/>
      <c r="B559"/>
      <c r="C559"/>
      <c r="D559"/>
    </row>
    <row r="560" spans="1:4" ht="12.75">
      <c r="A560"/>
      <c r="B560"/>
      <c r="C560"/>
      <c r="D560"/>
    </row>
    <row r="561" spans="1:4" ht="12.75">
      <c r="A561"/>
      <c r="B561"/>
      <c r="C561"/>
      <c r="D561"/>
    </row>
    <row r="562" spans="1:4" ht="12.75">
      <c r="A562"/>
      <c r="B562"/>
      <c r="C562"/>
      <c r="D562"/>
    </row>
    <row r="563" spans="1:4" ht="12.75">
      <c r="A563"/>
      <c r="B563"/>
      <c r="C563"/>
      <c r="D563"/>
    </row>
    <row r="564" spans="1:4" ht="12.75">
      <c r="A564"/>
      <c r="B564"/>
      <c r="C564"/>
      <c r="D564"/>
    </row>
    <row r="565" spans="1:4" ht="12.75">
      <c r="A565"/>
      <c r="B565"/>
      <c r="C565"/>
      <c r="D565"/>
    </row>
    <row r="566" spans="1:4" ht="12.75">
      <c r="A566"/>
      <c r="B566"/>
      <c r="C566"/>
      <c r="D566"/>
    </row>
    <row r="567" spans="1:4" ht="12.75">
      <c r="A567"/>
      <c r="B567"/>
      <c r="C567"/>
      <c r="D567"/>
    </row>
    <row r="568" spans="1:4" ht="12.75">
      <c r="A568"/>
      <c r="B568"/>
      <c r="C568"/>
      <c r="D568"/>
    </row>
    <row r="569" spans="1:4" ht="12.75">
      <c r="A569"/>
      <c r="B569"/>
      <c r="C569"/>
      <c r="D569"/>
    </row>
    <row r="570" spans="1:4" ht="12.75">
      <c r="A570"/>
      <c r="B570"/>
      <c r="C570"/>
      <c r="D570"/>
    </row>
    <row r="571" spans="1:4" ht="12.75">
      <c r="A571"/>
      <c r="B571"/>
      <c r="C571"/>
      <c r="D571"/>
    </row>
    <row r="572" spans="1:4" ht="12.75">
      <c r="A572"/>
      <c r="B572"/>
      <c r="C572"/>
      <c r="D572"/>
    </row>
    <row r="573" spans="1:4" ht="12.75">
      <c r="A573"/>
      <c r="B573"/>
      <c r="C573"/>
      <c r="D573"/>
    </row>
    <row r="574" spans="1:4" ht="12.75">
      <c r="A574"/>
      <c r="B574"/>
      <c r="C574"/>
      <c r="D574"/>
    </row>
    <row r="575" spans="1:4" ht="12.75">
      <c r="A575"/>
      <c r="B575"/>
      <c r="C575"/>
      <c r="D575"/>
    </row>
    <row r="576" spans="1:4" ht="12.75">
      <c r="A576"/>
      <c r="B576"/>
      <c r="C576"/>
      <c r="D576"/>
    </row>
    <row r="577" spans="1:4" ht="12.75">
      <c r="A577"/>
      <c r="B577"/>
      <c r="C577"/>
      <c r="D577"/>
    </row>
    <row r="578" spans="1:4" ht="12.75">
      <c r="A578"/>
      <c r="B578"/>
      <c r="C578"/>
      <c r="D578"/>
    </row>
    <row r="579" spans="1:4" ht="12.75">
      <c r="A579"/>
      <c r="B579"/>
      <c r="C579"/>
      <c r="D579"/>
    </row>
    <row r="580" spans="1:4" ht="12.75">
      <c r="A580"/>
      <c r="B580"/>
      <c r="C580"/>
      <c r="D580"/>
    </row>
    <row r="581" spans="1:4" ht="12.75">
      <c r="A581"/>
      <c r="B581"/>
      <c r="C581"/>
      <c r="D581"/>
    </row>
    <row r="582" spans="1:4" ht="12.75">
      <c r="A582"/>
      <c r="B582"/>
      <c r="C582"/>
      <c r="D582"/>
    </row>
    <row r="583" spans="1:4" ht="12.75">
      <c r="A583"/>
      <c r="B583"/>
      <c r="C583"/>
      <c r="D583"/>
    </row>
    <row r="584" spans="1:4" ht="12.75">
      <c r="A584"/>
      <c r="B584"/>
      <c r="C584"/>
      <c r="D584"/>
    </row>
    <row r="585" spans="1:4" ht="12.75">
      <c r="A585"/>
      <c r="B585"/>
      <c r="C585"/>
      <c r="D585"/>
    </row>
    <row r="586" spans="1:4" ht="12.75">
      <c r="A586"/>
      <c r="B586"/>
      <c r="C586"/>
      <c r="D586"/>
    </row>
    <row r="587" spans="1:4" ht="12.75">
      <c r="A587"/>
      <c r="B587"/>
      <c r="C587"/>
      <c r="D587"/>
    </row>
    <row r="588" spans="1:4" ht="12.75">
      <c r="A588"/>
      <c r="B588"/>
      <c r="C588"/>
      <c r="D588"/>
    </row>
    <row r="589" spans="1:4" ht="12.75">
      <c r="A589"/>
      <c r="B589"/>
      <c r="C589"/>
      <c r="D589"/>
    </row>
    <row r="590" spans="1:4" ht="12.75">
      <c r="A590"/>
      <c r="B590"/>
      <c r="C590"/>
      <c r="D590"/>
    </row>
    <row r="591" spans="1:4" ht="12.75">
      <c r="A591"/>
      <c r="B591"/>
      <c r="C591"/>
      <c r="D591"/>
    </row>
    <row r="592" spans="1:4" ht="12.75">
      <c r="A592"/>
      <c r="B592"/>
      <c r="C592"/>
      <c r="D592"/>
    </row>
    <row r="593" spans="1:4" ht="12.75">
      <c r="A593"/>
      <c r="B593"/>
      <c r="C593"/>
      <c r="D593"/>
    </row>
    <row r="594" spans="1:4" ht="12.75">
      <c r="A594"/>
      <c r="B594"/>
      <c r="C594"/>
      <c r="D594"/>
    </row>
    <row r="595" spans="1:4" ht="12.75">
      <c r="A595"/>
      <c r="B595"/>
      <c r="C595"/>
      <c r="D595"/>
    </row>
    <row r="596" spans="1:4" ht="12.75">
      <c r="A596"/>
      <c r="B596"/>
      <c r="C596"/>
      <c r="D596"/>
    </row>
    <row r="597" spans="1:4" ht="12.75">
      <c r="A597"/>
      <c r="B597"/>
      <c r="C597"/>
      <c r="D597"/>
    </row>
    <row r="598" spans="1:4" ht="12.75">
      <c r="A598"/>
      <c r="B598"/>
      <c r="C598"/>
      <c r="D598"/>
    </row>
    <row r="599" spans="1:4" ht="12.75">
      <c r="A599"/>
      <c r="B599"/>
      <c r="C599"/>
      <c r="D599"/>
    </row>
    <row r="600" spans="1:4" ht="12.75">
      <c r="A600"/>
      <c r="B600"/>
      <c r="C600"/>
      <c r="D600"/>
    </row>
    <row r="601" spans="1:4" ht="12.75">
      <c r="A601"/>
      <c r="B601"/>
      <c r="C601"/>
      <c r="D601"/>
    </row>
    <row r="602" spans="1:4" ht="12.75">
      <c r="A602"/>
      <c r="B602"/>
      <c r="C602"/>
      <c r="D602"/>
    </row>
    <row r="603" spans="1:4" ht="12.75">
      <c r="A603"/>
      <c r="B603"/>
      <c r="C603"/>
      <c r="D603"/>
    </row>
    <row r="604" spans="1:4" ht="12.75">
      <c r="A604"/>
      <c r="B604"/>
      <c r="C604"/>
      <c r="D604"/>
    </row>
    <row r="605" spans="1:4" ht="12.75">
      <c r="A605"/>
      <c r="B605"/>
      <c r="C605"/>
      <c r="D605"/>
    </row>
    <row r="606" spans="1:4" ht="12.75">
      <c r="A606"/>
      <c r="B606"/>
      <c r="C606"/>
      <c r="D606"/>
    </row>
    <row r="607" spans="1:4" ht="12.75">
      <c r="A607"/>
      <c r="B607"/>
      <c r="C607"/>
      <c r="D607"/>
    </row>
    <row r="608" spans="1:4" ht="12.75">
      <c r="A608"/>
      <c r="B608"/>
      <c r="C608"/>
      <c r="D608"/>
    </row>
    <row r="609" spans="1:4" ht="12.75">
      <c r="A609"/>
      <c r="B609"/>
      <c r="C609"/>
      <c r="D609"/>
    </row>
    <row r="610" spans="1:4" ht="12.75">
      <c r="A610"/>
      <c r="B610"/>
      <c r="C610"/>
      <c r="D610"/>
    </row>
    <row r="611" spans="1:4" ht="12.75">
      <c r="A611"/>
      <c r="B611"/>
      <c r="C611"/>
      <c r="D611"/>
    </row>
    <row r="612" spans="1:4" ht="12.75">
      <c r="A612"/>
      <c r="B612"/>
      <c r="C612"/>
      <c r="D612"/>
    </row>
    <row r="613" spans="1:4" ht="12.75">
      <c r="A613"/>
      <c r="B613"/>
      <c r="C613"/>
      <c r="D613"/>
    </row>
    <row r="614" spans="1:4" ht="12.75">
      <c r="A614"/>
      <c r="B614"/>
      <c r="C614"/>
      <c r="D614"/>
    </row>
    <row r="615" spans="1:4" ht="12.75">
      <c r="A615"/>
      <c r="B615"/>
      <c r="C615"/>
      <c r="D615"/>
    </row>
    <row r="616" spans="1:4" ht="12.75">
      <c r="A616"/>
      <c r="B616"/>
      <c r="C616"/>
      <c r="D616"/>
    </row>
    <row r="617" spans="1:4" ht="12.75">
      <c r="A617"/>
      <c r="B617"/>
      <c r="C617"/>
      <c r="D617"/>
    </row>
    <row r="618" spans="1:4" ht="12.75">
      <c r="A618"/>
      <c r="B618"/>
      <c r="C618"/>
      <c r="D618"/>
    </row>
    <row r="619" spans="1:4" ht="12.75">
      <c r="A619"/>
      <c r="B619"/>
      <c r="C619"/>
      <c r="D619"/>
    </row>
    <row r="620" spans="1:4" ht="12.75">
      <c r="A620"/>
      <c r="B620"/>
      <c r="C620"/>
      <c r="D620"/>
    </row>
    <row r="621" spans="1:4" ht="12.75">
      <c r="A621"/>
      <c r="B621"/>
      <c r="C621"/>
      <c r="D621"/>
    </row>
    <row r="622" spans="1:4" ht="12.75">
      <c r="A622"/>
      <c r="B622"/>
      <c r="C622"/>
      <c r="D622"/>
    </row>
    <row r="623" spans="1:4" ht="12.75">
      <c r="A623"/>
      <c r="B623"/>
      <c r="C623"/>
      <c r="D623"/>
    </row>
    <row r="624" spans="1:4" ht="12.75">
      <c r="A624"/>
      <c r="B624"/>
      <c r="C624"/>
      <c r="D624"/>
    </row>
    <row r="625" spans="1:4" ht="12.75">
      <c r="A625"/>
      <c r="B625"/>
      <c r="C625"/>
      <c r="D625"/>
    </row>
    <row r="626" spans="1:4" ht="12.75">
      <c r="A626"/>
      <c r="B626"/>
      <c r="C626"/>
      <c r="D626"/>
    </row>
    <row r="627" spans="1:4" ht="12.75">
      <c r="A627"/>
      <c r="B627"/>
      <c r="C627"/>
      <c r="D627"/>
    </row>
    <row r="628" spans="1:4" ht="12.75">
      <c r="A628"/>
      <c r="B628"/>
      <c r="C628"/>
      <c r="D628"/>
    </row>
    <row r="629" spans="1:4" ht="12.75">
      <c r="A629"/>
      <c r="B629"/>
      <c r="C629"/>
      <c r="D629"/>
    </row>
    <row r="630" spans="1:4" ht="12.75">
      <c r="A630"/>
      <c r="B630"/>
      <c r="C630"/>
      <c r="D630"/>
    </row>
    <row r="631" spans="1:4" ht="12.75">
      <c r="A631"/>
      <c r="B631"/>
      <c r="C631"/>
      <c r="D631"/>
    </row>
    <row r="632" spans="1:4" ht="12.75">
      <c r="A632"/>
      <c r="B632"/>
      <c r="C632"/>
      <c r="D632"/>
    </row>
    <row r="633" spans="1:4" ht="12.75">
      <c r="A633"/>
      <c r="B633"/>
      <c r="C633"/>
      <c r="D633"/>
    </row>
    <row r="634" spans="1:4" ht="12.75">
      <c r="A634"/>
      <c r="B634"/>
      <c r="C634"/>
      <c r="D634"/>
    </row>
    <row r="635" spans="1:4" ht="12.75">
      <c r="A635"/>
      <c r="B635"/>
      <c r="C635"/>
      <c r="D635"/>
    </row>
    <row r="636" spans="1:4" ht="12.75">
      <c r="A636"/>
      <c r="B636"/>
      <c r="C636"/>
      <c r="D636"/>
    </row>
    <row r="637" spans="1:4" ht="12.75">
      <c r="A637"/>
      <c r="B637"/>
      <c r="C637"/>
      <c r="D637"/>
    </row>
    <row r="638" spans="1:4" ht="12.75">
      <c r="A638"/>
      <c r="B638"/>
      <c r="C638"/>
      <c r="D638"/>
    </row>
    <row r="639" spans="1:4" ht="12.75">
      <c r="A639"/>
      <c r="B639"/>
      <c r="C639"/>
      <c r="D639"/>
    </row>
    <row r="640" spans="1:4" ht="12.75">
      <c r="A640"/>
      <c r="B640"/>
      <c r="C640"/>
      <c r="D640"/>
    </row>
    <row r="641" spans="1:4" ht="12.75">
      <c r="A641"/>
      <c r="B641"/>
      <c r="C641"/>
      <c r="D641"/>
    </row>
    <row r="642" spans="1:4" ht="12.75">
      <c r="A642"/>
      <c r="B642"/>
      <c r="C642"/>
      <c r="D642"/>
    </row>
    <row r="643" spans="1:4" ht="12.75">
      <c r="A643"/>
      <c r="B643"/>
      <c r="C643"/>
      <c r="D643"/>
    </row>
    <row r="644" spans="1:4" ht="12.75">
      <c r="A644"/>
      <c r="B644"/>
      <c r="C644"/>
      <c r="D644"/>
    </row>
    <row r="645" spans="1:4" ht="12.75">
      <c r="A645"/>
      <c r="B645"/>
      <c r="C645"/>
      <c r="D645"/>
    </row>
    <row r="646" spans="1:4" ht="12.75">
      <c r="A646"/>
      <c r="B646"/>
      <c r="C646"/>
      <c r="D646"/>
    </row>
    <row r="647" spans="1:4" ht="12.75">
      <c r="A647"/>
      <c r="B647"/>
      <c r="C647"/>
      <c r="D647"/>
    </row>
    <row r="648" spans="1:4" ht="12.75">
      <c r="A648"/>
      <c r="B648"/>
      <c r="C648"/>
      <c r="D648"/>
    </row>
    <row r="649" spans="1:4" ht="12.75">
      <c r="A649"/>
      <c r="B649"/>
      <c r="C649"/>
      <c r="D649"/>
    </row>
    <row r="650" spans="1:4" ht="12.75">
      <c r="A650"/>
      <c r="B650"/>
      <c r="C650"/>
      <c r="D650"/>
    </row>
    <row r="651" spans="1:4" ht="12.75">
      <c r="A651"/>
      <c r="B651"/>
      <c r="C651"/>
      <c r="D651"/>
    </row>
    <row r="652" spans="1:4" ht="12.75">
      <c r="A652"/>
      <c r="B652"/>
      <c r="C652"/>
      <c r="D652"/>
    </row>
    <row r="653" spans="1:4" ht="12.75">
      <c r="A653"/>
      <c r="B653"/>
      <c r="C653"/>
      <c r="D653"/>
    </row>
    <row r="654" spans="1:4" ht="12.75">
      <c r="A654"/>
      <c r="B654"/>
      <c r="C654"/>
      <c r="D654"/>
    </row>
    <row r="655" spans="1:4" ht="12.75">
      <c r="A655"/>
      <c r="B655"/>
      <c r="C655"/>
      <c r="D655"/>
    </row>
    <row r="656" spans="1:4" ht="12.75">
      <c r="A656"/>
      <c r="B656"/>
      <c r="C656"/>
      <c r="D656"/>
    </row>
    <row r="657" spans="1:4" ht="12.75">
      <c r="A657"/>
      <c r="B657"/>
      <c r="C657"/>
      <c r="D657"/>
    </row>
    <row r="658" spans="1:4" ht="12.75">
      <c r="A658"/>
      <c r="B658"/>
      <c r="C658"/>
      <c r="D658"/>
    </row>
    <row r="659" spans="1:4" ht="12.75">
      <c r="A659"/>
      <c r="B659"/>
      <c r="C659"/>
      <c r="D659"/>
    </row>
    <row r="660" spans="1:4" ht="12.75">
      <c r="A660"/>
      <c r="B660"/>
      <c r="C660"/>
      <c r="D660"/>
    </row>
    <row r="661" spans="1:4" ht="12.75">
      <c r="A661"/>
      <c r="B661"/>
      <c r="C661"/>
      <c r="D661"/>
    </row>
    <row r="662" spans="1:4" ht="12.75">
      <c r="A662"/>
      <c r="B662"/>
      <c r="C662"/>
      <c r="D662"/>
    </row>
    <row r="663" spans="1:4" ht="12.75">
      <c r="A663"/>
      <c r="B663"/>
      <c r="C663"/>
      <c r="D663"/>
    </row>
    <row r="664" spans="1:4" ht="12.75">
      <c r="A664"/>
      <c r="B664"/>
      <c r="C664"/>
      <c r="D664"/>
    </row>
    <row r="665" spans="1:4" ht="12.75">
      <c r="A665"/>
      <c r="B665"/>
      <c r="C665"/>
      <c r="D665"/>
    </row>
    <row r="666" spans="1:4" ht="12.75">
      <c r="A666"/>
      <c r="B666"/>
      <c r="C666"/>
      <c r="D666"/>
    </row>
    <row r="667" spans="1:4" ht="12.75">
      <c r="A667"/>
      <c r="B667"/>
      <c r="C667"/>
      <c r="D667"/>
    </row>
    <row r="668" spans="1:4" ht="12.75">
      <c r="A668"/>
      <c r="B668"/>
      <c r="C668"/>
      <c r="D668"/>
    </row>
    <row r="669" spans="1:4" ht="12.75">
      <c r="A669"/>
      <c r="B669"/>
      <c r="C669"/>
      <c r="D669"/>
    </row>
    <row r="670" spans="1:4" ht="12.75">
      <c r="A670"/>
      <c r="B670"/>
      <c r="C670"/>
      <c r="D670"/>
    </row>
    <row r="671" spans="1:4" ht="12.75">
      <c r="A671"/>
      <c r="B671"/>
      <c r="C671"/>
      <c r="D671"/>
    </row>
    <row r="672" spans="1:4" ht="12.75">
      <c r="A672"/>
      <c r="B672"/>
      <c r="C672"/>
      <c r="D672"/>
    </row>
    <row r="673" spans="1:4" ht="12.75">
      <c r="A673"/>
      <c r="B673"/>
      <c r="C673"/>
      <c r="D673"/>
    </row>
    <row r="674" spans="1:4" ht="12.75">
      <c r="A674"/>
      <c r="B674"/>
      <c r="C674"/>
      <c r="D674"/>
    </row>
    <row r="675" spans="1:4" ht="12.75">
      <c r="A675"/>
      <c r="B675"/>
      <c r="C675"/>
      <c r="D675"/>
    </row>
    <row r="676" spans="1:4" ht="12.75">
      <c r="A676"/>
      <c r="B676"/>
      <c r="C676"/>
      <c r="D676"/>
    </row>
    <row r="677" spans="1:4" ht="12.75">
      <c r="A677"/>
      <c r="B677"/>
      <c r="C677"/>
      <c r="D677"/>
    </row>
    <row r="678" spans="1:4" ht="12.75">
      <c r="A678"/>
      <c r="B678"/>
      <c r="C678"/>
      <c r="D678"/>
    </row>
    <row r="679" spans="1:4" ht="12.75">
      <c r="A679"/>
      <c r="B679"/>
      <c r="C679"/>
      <c r="D679"/>
    </row>
    <row r="680" spans="1:4" ht="12.75">
      <c r="A680"/>
      <c r="B680"/>
      <c r="C680"/>
      <c r="D680"/>
    </row>
    <row r="681" spans="1:4" ht="12.75">
      <c r="A681"/>
      <c r="B681"/>
      <c r="C681"/>
      <c r="D681"/>
    </row>
    <row r="682" spans="1:4" ht="12.75">
      <c r="A682"/>
      <c r="B682"/>
      <c r="C682"/>
      <c r="D682"/>
    </row>
    <row r="683" spans="1:4" ht="12.75">
      <c r="A683"/>
      <c r="B683"/>
      <c r="C683"/>
      <c r="D683"/>
    </row>
    <row r="684" spans="1:4" ht="12.75">
      <c r="A684"/>
      <c r="B684"/>
      <c r="C684"/>
      <c r="D684"/>
    </row>
    <row r="685" spans="1:4" ht="12.75">
      <c r="A685"/>
      <c r="B685"/>
      <c r="C685"/>
      <c r="D685"/>
    </row>
    <row r="686" spans="1:4" ht="12.75">
      <c r="A686"/>
      <c r="B686"/>
      <c r="C686"/>
      <c r="D686"/>
    </row>
    <row r="687" spans="1:4" ht="12.75">
      <c r="A687"/>
      <c r="B687"/>
      <c r="C687"/>
      <c r="D687"/>
    </row>
    <row r="688" spans="1:4" ht="12.75">
      <c r="A688"/>
      <c r="B688"/>
      <c r="C688"/>
      <c r="D688"/>
    </row>
    <row r="689" spans="1:4" ht="12.75">
      <c r="A689"/>
      <c r="B689"/>
      <c r="C689"/>
      <c r="D689"/>
    </row>
    <row r="690" spans="1:4" ht="12.75">
      <c r="A690"/>
      <c r="B690"/>
      <c r="C690"/>
      <c r="D690"/>
    </row>
    <row r="691" spans="1:4" ht="12.75">
      <c r="A691"/>
      <c r="B691"/>
      <c r="C691"/>
      <c r="D691"/>
    </row>
    <row r="692" spans="1:4" ht="12.75">
      <c r="A692"/>
      <c r="B692"/>
      <c r="C692"/>
      <c r="D692"/>
    </row>
    <row r="693" spans="1:4" ht="12.75">
      <c r="A693"/>
      <c r="B693"/>
      <c r="C693"/>
      <c r="D693"/>
    </row>
    <row r="694" spans="1:4" ht="12.75">
      <c r="A694"/>
      <c r="B694"/>
      <c r="C694"/>
      <c r="D694"/>
    </row>
    <row r="695" spans="1:4" ht="12.75">
      <c r="A695"/>
      <c r="B695"/>
      <c r="C695"/>
      <c r="D695"/>
    </row>
    <row r="696" spans="1:4" ht="12.75">
      <c r="A696"/>
      <c r="B696"/>
      <c r="C696"/>
      <c r="D696"/>
    </row>
    <row r="697" spans="1:4" ht="12.75">
      <c r="A697"/>
      <c r="B697"/>
      <c r="C697"/>
      <c r="D697"/>
    </row>
    <row r="698" spans="1:4" ht="12.75">
      <c r="A698"/>
      <c r="B698"/>
      <c r="C698"/>
      <c r="D698"/>
    </row>
    <row r="699" spans="1:4" ht="12.75">
      <c r="A699"/>
      <c r="B699"/>
      <c r="C699"/>
      <c r="D699"/>
    </row>
    <row r="700" spans="1:4" ht="12.75">
      <c r="A700"/>
      <c r="B700"/>
      <c r="C700"/>
      <c r="D700"/>
    </row>
    <row r="701" spans="1:4" ht="12.75">
      <c r="A701"/>
      <c r="B701"/>
      <c r="C701"/>
      <c r="D701"/>
    </row>
    <row r="702" spans="1:4" ht="12.75">
      <c r="A702"/>
      <c r="B702"/>
      <c r="C702"/>
      <c r="D702"/>
    </row>
    <row r="703" spans="1:4" ht="12.75">
      <c r="A703"/>
      <c r="B703"/>
      <c r="C703"/>
      <c r="D703"/>
    </row>
    <row r="704" spans="1:4" ht="12.75">
      <c r="A704"/>
      <c r="B704"/>
      <c r="C704"/>
      <c r="D704"/>
    </row>
    <row r="705" spans="1:4" ht="12.75">
      <c r="A705"/>
      <c r="B705"/>
      <c r="C705"/>
      <c r="D705"/>
    </row>
    <row r="706" spans="1:4" ht="12.75">
      <c r="A706"/>
      <c r="B706"/>
      <c r="C706"/>
      <c r="D706"/>
    </row>
    <row r="707" spans="1:4" ht="12.75">
      <c r="A707"/>
      <c r="B707"/>
      <c r="C707"/>
      <c r="D707"/>
    </row>
    <row r="708" spans="1:4" ht="12.75">
      <c r="A708"/>
      <c r="B708"/>
      <c r="C708"/>
      <c r="D708"/>
    </row>
    <row r="709" spans="1:4" ht="12.75">
      <c r="A709"/>
      <c r="B709"/>
      <c r="C709"/>
      <c r="D709"/>
    </row>
    <row r="710" spans="1:4" ht="12.75">
      <c r="A710"/>
      <c r="B710"/>
      <c r="C710"/>
      <c r="D710"/>
    </row>
    <row r="711" spans="1:4" ht="12.75">
      <c r="A711"/>
      <c r="B711"/>
      <c r="C711"/>
      <c r="D711"/>
    </row>
    <row r="712" spans="1:4" ht="12.75">
      <c r="A712"/>
      <c r="B712"/>
      <c r="C712"/>
      <c r="D712"/>
    </row>
    <row r="713" spans="1:4" ht="12.75">
      <c r="A713"/>
      <c r="B713"/>
      <c r="C713"/>
      <c r="D713"/>
    </row>
    <row r="714" spans="1:4" ht="12.75">
      <c r="A714"/>
      <c r="B714"/>
      <c r="C714"/>
      <c r="D714"/>
    </row>
    <row r="715" spans="1:4" ht="12.75">
      <c r="A715"/>
      <c r="B715"/>
      <c r="C715"/>
      <c r="D715"/>
    </row>
    <row r="716" spans="1:4" ht="12.75">
      <c r="A716"/>
      <c r="B716"/>
      <c r="C716"/>
      <c r="D716"/>
    </row>
    <row r="717" spans="1:4" ht="12.75">
      <c r="A717"/>
      <c r="B717"/>
      <c r="C717"/>
      <c r="D717"/>
    </row>
    <row r="718" spans="1:4" ht="12.75">
      <c r="A718"/>
      <c r="B718"/>
      <c r="C718"/>
      <c r="D718"/>
    </row>
    <row r="719" spans="1:4" ht="12.75">
      <c r="A719"/>
      <c r="B719"/>
      <c r="C719"/>
      <c r="D719"/>
    </row>
    <row r="720" spans="1:4" ht="12.75">
      <c r="A720"/>
      <c r="B720"/>
      <c r="C720"/>
      <c r="D720"/>
    </row>
    <row r="721" spans="1:4" ht="12.75">
      <c r="A721"/>
      <c r="B721"/>
      <c r="C721"/>
      <c r="D721"/>
    </row>
    <row r="722" spans="1:4" ht="12.75">
      <c r="A722"/>
      <c r="B722"/>
      <c r="C722"/>
      <c r="D722"/>
    </row>
    <row r="723" spans="1:4" ht="12.75">
      <c r="A723"/>
      <c r="B723"/>
      <c r="C723"/>
      <c r="D723"/>
    </row>
    <row r="724" spans="1:4" ht="12.75">
      <c r="A724"/>
      <c r="B724"/>
      <c r="C724"/>
      <c r="D724"/>
    </row>
    <row r="725" spans="1:4" ht="12.75">
      <c r="A725"/>
      <c r="B725"/>
      <c r="C725"/>
      <c r="D725"/>
    </row>
    <row r="726" spans="1:4" ht="12.75">
      <c r="A726"/>
      <c r="B726"/>
      <c r="C726"/>
      <c r="D726"/>
    </row>
    <row r="727" spans="1:4" ht="12.75">
      <c r="A727"/>
      <c r="B727"/>
      <c r="C727"/>
      <c r="D727"/>
    </row>
    <row r="728" spans="1:4" ht="12.75">
      <c r="A728"/>
      <c r="B728"/>
      <c r="C728"/>
      <c r="D728"/>
    </row>
    <row r="729" spans="1:4" ht="12.75">
      <c r="A729"/>
      <c r="B729"/>
      <c r="C729"/>
      <c r="D729"/>
    </row>
    <row r="730" spans="1:4" ht="12.75">
      <c r="A730"/>
      <c r="B730"/>
      <c r="C730"/>
      <c r="D730"/>
    </row>
    <row r="731" spans="1:4" ht="12.75">
      <c r="A731"/>
      <c r="B731"/>
      <c r="C731"/>
      <c r="D731"/>
    </row>
    <row r="732" spans="1:4" ht="12.75">
      <c r="A732"/>
      <c r="B732"/>
      <c r="C732"/>
      <c r="D732"/>
    </row>
    <row r="733" spans="1:4" ht="12.75">
      <c r="A733"/>
      <c r="B733"/>
      <c r="C733"/>
      <c r="D733"/>
    </row>
    <row r="734" spans="1:4" ht="12.75">
      <c r="A734"/>
      <c r="B734"/>
      <c r="C734"/>
      <c r="D734"/>
    </row>
    <row r="735" spans="1:4" ht="12.75">
      <c r="A735"/>
      <c r="B735"/>
      <c r="C735"/>
      <c r="D735"/>
    </row>
    <row r="736" spans="1:4" ht="12.75">
      <c r="A736"/>
      <c r="B736"/>
      <c r="C736"/>
      <c r="D736"/>
    </row>
    <row r="737" spans="1:4" ht="12.75">
      <c r="A737"/>
      <c r="B737"/>
      <c r="C737"/>
      <c r="D737"/>
    </row>
    <row r="738" spans="1:4" ht="12.75">
      <c r="A738"/>
      <c r="B738"/>
      <c r="C738"/>
      <c r="D738"/>
    </row>
    <row r="739" spans="1:4" ht="12.75">
      <c r="A739"/>
      <c r="B739"/>
      <c r="C739"/>
      <c r="D739"/>
    </row>
    <row r="740" spans="1:4" ht="12.75">
      <c r="A740"/>
      <c r="B740"/>
      <c r="C740"/>
      <c r="D740"/>
    </row>
    <row r="741" spans="1:4" ht="12.75">
      <c r="A741"/>
      <c r="B741"/>
      <c r="C741"/>
      <c r="D741"/>
    </row>
    <row r="742" spans="1:4" ht="12.75">
      <c r="A742"/>
      <c r="B742"/>
      <c r="C742"/>
      <c r="D742"/>
    </row>
    <row r="743" spans="1:4" ht="12.75">
      <c r="A743"/>
      <c r="B743"/>
      <c r="C743"/>
      <c r="D743"/>
    </row>
    <row r="744" spans="1:4" ht="12.75">
      <c r="A744"/>
      <c r="B744"/>
      <c r="C744"/>
      <c r="D744"/>
    </row>
    <row r="745" spans="1:4" ht="12.75">
      <c r="A745"/>
      <c r="B745"/>
      <c r="C745"/>
      <c r="D745"/>
    </row>
    <row r="746" spans="1:4" ht="12.75">
      <c r="A746"/>
      <c r="B746"/>
      <c r="C746"/>
      <c r="D746"/>
    </row>
    <row r="747" spans="1:4" ht="12.75">
      <c r="A747"/>
      <c r="B747"/>
      <c r="C747"/>
      <c r="D747"/>
    </row>
    <row r="748" spans="1:4" ht="12.75">
      <c r="A748"/>
      <c r="B748"/>
      <c r="C748"/>
      <c r="D748"/>
    </row>
    <row r="749" spans="1:4" ht="12.75">
      <c r="A749"/>
      <c r="B749"/>
      <c r="C749"/>
      <c r="D749"/>
    </row>
    <row r="750" spans="1:4" ht="12.75">
      <c r="A750"/>
      <c r="B750"/>
      <c r="C750"/>
      <c r="D750"/>
    </row>
    <row r="751" spans="1:4" ht="12.75">
      <c r="A751"/>
      <c r="B751"/>
      <c r="C751"/>
      <c r="D751"/>
    </row>
    <row r="752" spans="1:4" ht="12.75">
      <c r="A752"/>
      <c r="B752"/>
      <c r="C752"/>
      <c r="D752"/>
    </row>
    <row r="753" spans="1:4" ht="12.75">
      <c r="A753"/>
      <c r="B753"/>
      <c r="C753"/>
      <c r="D753"/>
    </row>
    <row r="754" spans="1:4" ht="12.75">
      <c r="A754"/>
      <c r="B754"/>
      <c r="C754"/>
      <c r="D754"/>
    </row>
    <row r="755" spans="1:4" ht="12.75">
      <c r="A755"/>
      <c r="B755"/>
      <c r="C755"/>
      <c r="D755"/>
    </row>
    <row r="756" spans="1:4" ht="12.75">
      <c r="A756"/>
      <c r="B756"/>
      <c r="C756"/>
      <c r="D756"/>
    </row>
    <row r="757" spans="1:4" ht="12.75">
      <c r="A757"/>
      <c r="B757"/>
      <c r="C757"/>
      <c r="D757"/>
    </row>
    <row r="758" spans="1:4" ht="12.75">
      <c r="A758"/>
      <c r="B758"/>
      <c r="C758"/>
      <c r="D758"/>
    </row>
    <row r="759" spans="1:4" ht="12.75">
      <c r="A759"/>
      <c r="B759"/>
      <c r="C759"/>
      <c r="D759"/>
    </row>
    <row r="760" spans="1:4" ht="12.75">
      <c r="A760"/>
      <c r="B760"/>
      <c r="C760"/>
      <c r="D760"/>
    </row>
    <row r="761" spans="1:4" ht="12.75">
      <c r="A761"/>
      <c r="B761"/>
      <c r="C761"/>
      <c r="D761"/>
    </row>
    <row r="762" spans="1:4" ht="12.75">
      <c r="A762"/>
      <c r="B762"/>
      <c r="C762"/>
      <c r="D762"/>
    </row>
    <row r="763" spans="1:4" ht="12.75">
      <c r="A763"/>
      <c r="B763"/>
      <c r="C763"/>
      <c r="D763"/>
    </row>
    <row r="764" spans="1:4" ht="12.75">
      <c r="A764"/>
      <c r="B764"/>
      <c r="C764"/>
      <c r="D764"/>
    </row>
    <row r="765" spans="1:4" ht="12.75">
      <c r="A765"/>
      <c r="B765"/>
      <c r="C765"/>
      <c r="D765"/>
    </row>
    <row r="766" spans="1:4" ht="12.75">
      <c r="A766"/>
      <c r="B766"/>
      <c r="C766"/>
      <c r="D766"/>
    </row>
    <row r="767" spans="1:4" ht="12.75">
      <c r="A767"/>
      <c r="B767"/>
      <c r="C767"/>
      <c r="D767"/>
    </row>
    <row r="768" spans="1:4" ht="12.75">
      <c r="A768"/>
      <c r="B768"/>
      <c r="C768"/>
      <c r="D768"/>
    </row>
    <row r="769" spans="1:4" ht="12.75">
      <c r="A769"/>
      <c r="B769"/>
      <c r="C769"/>
      <c r="D769"/>
    </row>
    <row r="770" spans="1:4" ht="12.75">
      <c r="A770"/>
      <c r="B770"/>
      <c r="C770"/>
      <c r="D770"/>
    </row>
    <row r="771" spans="1:4" ht="12.75">
      <c r="A771"/>
      <c r="B771"/>
      <c r="C771"/>
      <c r="D771"/>
    </row>
    <row r="772" spans="1:4" ht="12.75">
      <c r="A772"/>
      <c r="B772"/>
      <c r="C772"/>
      <c r="D772"/>
    </row>
    <row r="773" spans="1:4" ht="12.75">
      <c r="A773"/>
      <c r="B773"/>
      <c r="C773"/>
      <c r="D773"/>
    </row>
    <row r="774" spans="1:4" ht="12.75">
      <c r="A774"/>
      <c r="B774"/>
      <c r="C774"/>
      <c r="D774"/>
    </row>
    <row r="775" spans="1:4" ht="12.75">
      <c r="A775"/>
      <c r="B775"/>
      <c r="C775"/>
      <c r="D775"/>
    </row>
    <row r="776" spans="1:4" ht="12.75">
      <c r="A776"/>
      <c r="B776"/>
      <c r="C776"/>
      <c r="D776"/>
    </row>
    <row r="777" spans="1:4" ht="12.75">
      <c r="A777"/>
      <c r="B777"/>
      <c r="C777"/>
      <c r="D777"/>
    </row>
    <row r="778" spans="1:4" ht="12.75">
      <c r="A778"/>
      <c r="B778"/>
      <c r="C778"/>
      <c r="D778"/>
    </row>
    <row r="779" spans="1:4" ht="12.75">
      <c r="A779"/>
      <c r="B779"/>
      <c r="C779"/>
      <c r="D779"/>
    </row>
    <row r="780" spans="1:4" ht="12.75">
      <c r="A780"/>
      <c r="B780"/>
      <c r="C780"/>
      <c r="D780"/>
    </row>
    <row r="781" spans="1:4" ht="12.75">
      <c r="A781"/>
      <c r="B781"/>
      <c r="C781"/>
      <c r="D781"/>
    </row>
  </sheetData>
  <sheetProtection/>
  <mergeCells count="4">
    <mergeCell ref="A34:A36"/>
    <mergeCell ref="A14:A15"/>
    <mergeCell ref="A16:A17"/>
    <mergeCell ref="A21:A24"/>
  </mergeCells>
  <printOptions/>
  <pageMargins left="1.25" right="0.75" top="0.75" bottom="0.75" header="0.5" footer="0.5"/>
  <pageSetup fitToHeight="3" horizontalDpi="180" verticalDpi="180" orientation="portrait" scale="78" r:id="rId1"/>
  <headerFooter alignWithMargins="0">
    <oddFooter>&amp;CPage &amp;P</oddFooter>
  </headerFooter>
  <rowBreaks count="2" manualBreakCount="2">
    <brk id="61" max="65535" man="1"/>
    <brk id="117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959"/>
  <sheetViews>
    <sheetView showGridLines="0" tabSelected="1" defaultGridColor="0" zoomScale="85" zoomScaleNormal="85" zoomScaleSheetLayoutView="75" zoomScalePageLayoutView="0" colorId="12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1" sqref="G21"/>
    </sheetView>
  </sheetViews>
  <sheetFormatPr defaultColWidth="9.140625" defaultRowHeight="12.75"/>
  <cols>
    <col min="1" max="1" width="8.57421875" style="56" customWidth="1"/>
    <col min="2" max="2" width="47.28125" style="17" customWidth="1"/>
    <col min="3" max="3" width="30.28125" style="28" customWidth="1"/>
    <col min="4" max="4" width="36.00390625" style="0" customWidth="1"/>
    <col min="5" max="5" width="8.57421875" style="0" bestFit="1" customWidth="1"/>
    <col min="6" max="6" width="10.140625" style="8" bestFit="1" customWidth="1"/>
    <col min="7" max="7" width="11.28125" style="29" bestFit="1" customWidth="1"/>
    <col min="8" max="8" width="11.7109375" style="29" customWidth="1"/>
    <col min="9" max="9" width="10.421875" style="0" customWidth="1"/>
  </cols>
  <sheetData>
    <row r="1" spans="1:11" ht="12.75" customHeight="1">
      <c r="A1" s="421" t="s">
        <v>0</v>
      </c>
      <c r="B1" s="422"/>
      <c r="C1" s="422"/>
      <c r="D1" s="422"/>
      <c r="E1" s="422"/>
      <c r="F1" s="431" t="s">
        <v>625</v>
      </c>
      <c r="G1" s="28" t="s">
        <v>624</v>
      </c>
      <c r="H1" s="104" t="s">
        <v>260</v>
      </c>
      <c r="I1" s="104" t="s">
        <v>261</v>
      </c>
      <c r="J1" s="105" t="s">
        <v>262</v>
      </c>
      <c r="K1" s="208" t="s">
        <v>672</v>
      </c>
    </row>
    <row r="2" spans="1:11" ht="13.5" customHeight="1" thickBot="1">
      <c r="A2" s="423"/>
      <c r="B2" s="424"/>
      <c r="C2" s="424"/>
      <c r="D2" s="424"/>
      <c r="E2" s="424"/>
      <c r="F2" s="432"/>
      <c r="G2" s="106">
        <f>0.49/144</f>
        <v>0.0034027777777777776</v>
      </c>
      <c r="H2" s="106">
        <f>0.15/144</f>
        <v>0.0010416666666666667</v>
      </c>
      <c r="I2" s="106">
        <f>0.165/144</f>
        <v>0.0011458333333333333</v>
      </c>
      <c r="J2" s="107">
        <f>0.032/144</f>
        <v>0.00022222222222222223</v>
      </c>
      <c r="K2" s="208" t="s">
        <v>714</v>
      </c>
    </row>
    <row r="3" spans="1:10" ht="12.75">
      <c r="A3" s="215"/>
      <c r="B3" s="298"/>
      <c r="C3" s="409" t="s">
        <v>276</v>
      </c>
      <c r="D3" s="412" t="s">
        <v>267</v>
      </c>
      <c r="E3" s="301" t="s">
        <v>263</v>
      </c>
      <c r="F3" s="304" t="s">
        <v>264</v>
      </c>
      <c r="G3" s="301" t="s">
        <v>265</v>
      </c>
      <c r="H3" s="309" t="s">
        <v>266</v>
      </c>
      <c r="I3" s="309" t="s">
        <v>267</v>
      </c>
      <c r="J3" s="103" t="s">
        <v>268</v>
      </c>
    </row>
    <row r="4" spans="1:10" ht="12.75">
      <c r="A4" s="216" t="s">
        <v>269</v>
      </c>
      <c r="B4" s="299" t="s">
        <v>3</v>
      </c>
      <c r="C4" s="410"/>
      <c r="D4" s="413"/>
      <c r="E4" s="302" t="s">
        <v>270</v>
      </c>
      <c r="F4" s="305" t="s">
        <v>271</v>
      </c>
      <c r="G4" s="307" t="s">
        <v>272</v>
      </c>
      <c r="H4" s="307" t="s">
        <v>273</v>
      </c>
      <c r="I4" s="310" t="s">
        <v>274</v>
      </c>
      <c r="J4" s="60" t="s">
        <v>274</v>
      </c>
    </row>
    <row r="5" spans="1:10" ht="15.75" thickBot="1">
      <c r="A5" s="217" t="s">
        <v>275</v>
      </c>
      <c r="B5" s="300"/>
      <c r="C5" s="411"/>
      <c r="D5" s="414"/>
      <c r="E5" s="303" t="s">
        <v>277</v>
      </c>
      <c r="F5" s="306" t="s">
        <v>278</v>
      </c>
      <c r="G5" s="308" t="s">
        <v>279</v>
      </c>
      <c r="H5" s="308" t="s">
        <v>279</v>
      </c>
      <c r="I5" s="303" t="s">
        <v>280</v>
      </c>
      <c r="J5" s="60" t="s">
        <v>280</v>
      </c>
    </row>
    <row r="6" spans="1:10" ht="13.5" thickTop="1">
      <c r="A6" s="400" t="s">
        <v>669</v>
      </c>
      <c r="B6" s="401"/>
      <c r="C6" s="401"/>
      <c r="D6" s="401"/>
      <c r="E6" s="401"/>
      <c r="F6" s="401"/>
      <c r="G6" s="401"/>
      <c r="H6" s="401"/>
      <c r="I6" s="401"/>
      <c r="J6" s="402"/>
    </row>
    <row r="7" spans="1:11" ht="12.75">
      <c r="A7" s="403"/>
      <c r="B7" s="404"/>
      <c r="C7" s="404"/>
      <c r="D7" s="404"/>
      <c r="E7" s="404"/>
      <c r="F7" s="404"/>
      <c r="G7" s="404"/>
      <c r="H7" s="404"/>
      <c r="I7" s="404"/>
      <c r="J7" s="405"/>
      <c r="K7" s="28"/>
    </row>
    <row r="8" spans="1:11" ht="13.5" thickBot="1">
      <c r="A8" s="406"/>
      <c r="B8" s="407"/>
      <c r="C8" s="407"/>
      <c r="D8" s="407"/>
      <c r="E8" s="407"/>
      <c r="F8" s="407"/>
      <c r="G8" s="407"/>
      <c r="H8" s="407"/>
      <c r="I8" s="407"/>
      <c r="J8" s="408"/>
      <c r="K8" s="28"/>
    </row>
    <row r="9" spans="1:11" ht="13.5" thickTop="1">
      <c r="A9" s="218" t="s">
        <v>567</v>
      </c>
      <c r="B9" s="9" t="s">
        <v>43</v>
      </c>
      <c r="C9" s="9" t="s">
        <v>603</v>
      </c>
      <c r="D9" s="4"/>
      <c r="E9" s="4"/>
      <c r="F9" s="168">
        <f>Conc</f>
        <v>0.0010416666666666667</v>
      </c>
      <c r="G9" s="10"/>
      <c r="H9" s="10"/>
      <c r="I9" s="169"/>
      <c r="J9" s="262">
        <f>J174</f>
        <v>0.3349609375</v>
      </c>
      <c r="K9" s="101"/>
    </row>
    <row r="10" spans="1:10" ht="12.75">
      <c r="A10" s="425" t="s">
        <v>569</v>
      </c>
      <c r="B10" s="35" t="s">
        <v>41</v>
      </c>
      <c r="C10" s="42" t="s">
        <v>7</v>
      </c>
      <c r="D10" s="102" t="s">
        <v>623</v>
      </c>
      <c r="E10">
        <f>2*(5^2-(5-2*0.291)^2)</f>
        <v>10.962551999999995</v>
      </c>
      <c r="F10" s="8">
        <f>Steel</f>
        <v>0.0034027777777777776</v>
      </c>
      <c r="G10" s="29">
        <v>1</v>
      </c>
      <c r="H10" s="29">
        <v>1</v>
      </c>
      <c r="I10" s="172">
        <f aca="true" t="shared" si="0" ref="I10:I20">E10*F10*G10/H10</f>
        <v>0.03730312833333332</v>
      </c>
      <c r="J10" s="12"/>
    </row>
    <row r="11" spans="1:10" ht="12.75">
      <c r="A11" s="426"/>
      <c r="B11" s="35"/>
      <c r="C11" s="20"/>
      <c r="D11" s="102" t="s">
        <v>626</v>
      </c>
      <c r="E11">
        <f>0.024/Steel</f>
        <v>7.053061224489796</v>
      </c>
      <c r="F11" s="8">
        <f>Steel</f>
        <v>0.0034027777777777776</v>
      </c>
      <c r="G11" s="29">
        <f>2.625-0.7916</f>
        <v>1.8334000000000001</v>
      </c>
      <c r="H11" s="29">
        <v>10</v>
      </c>
      <c r="I11" s="173">
        <f t="shared" si="0"/>
        <v>0.00440016</v>
      </c>
      <c r="J11" s="12"/>
    </row>
    <row r="12" spans="1:10" ht="12.75">
      <c r="A12" s="426"/>
      <c r="B12" s="35"/>
      <c r="C12" s="20"/>
      <c r="D12" s="6" t="s">
        <v>318</v>
      </c>
      <c r="E12">
        <f>12*13</f>
        <v>156</v>
      </c>
      <c r="F12" s="8">
        <f>Steel</f>
        <v>0.0034027777777777776</v>
      </c>
      <c r="G12" s="29">
        <f>0.083+0.03125</f>
        <v>0.11425</v>
      </c>
      <c r="H12" s="29">
        <v>10</v>
      </c>
      <c r="I12" s="173">
        <f t="shared" si="0"/>
        <v>0.006064770833333333</v>
      </c>
      <c r="J12" s="12"/>
    </row>
    <row r="13" spans="1:12" ht="12.75">
      <c r="A13" s="426"/>
      <c r="B13" s="35"/>
      <c r="C13" s="20"/>
      <c r="D13" s="6" t="s">
        <v>288</v>
      </c>
      <c r="E13">
        <f>13.5*14.5</f>
        <v>195.75</v>
      </c>
      <c r="F13" s="8">
        <f>Conc</f>
        <v>0.0010416666666666667</v>
      </c>
      <c r="G13" s="29">
        <f>0.125</f>
        <v>0.125</v>
      </c>
      <c r="H13" s="29">
        <v>10</v>
      </c>
      <c r="I13" s="173">
        <f t="shared" si="0"/>
        <v>0.002548828125</v>
      </c>
      <c r="J13" s="12"/>
      <c r="K13">
        <f>J14*H13</f>
        <v>1.8521272062499996</v>
      </c>
      <c r="L13" s="6" t="s">
        <v>633</v>
      </c>
    </row>
    <row r="14" spans="1:11" ht="12.75">
      <c r="A14" s="427"/>
      <c r="B14" s="36"/>
      <c r="C14" s="7"/>
      <c r="D14" s="9" t="s">
        <v>321</v>
      </c>
      <c r="E14" s="15">
        <f>18.5*7</f>
        <v>129.5</v>
      </c>
      <c r="F14" s="32">
        <f>Conc</f>
        <v>0.0010416666666666667</v>
      </c>
      <c r="G14" s="15">
        <v>1</v>
      </c>
      <c r="H14" s="15">
        <v>1</v>
      </c>
      <c r="I14" s="174">
        <f t="shared" si="0"/>
        <v>0.13489583333333333</v>
      </c>
      <c r="J14" s="16">
        <f>SUM(I10:I14)</f>
        <v>0.18521272062499997</v>
      </c>
      <c r="K14" s="101"/>
    </row>
    <row r="15" spans="1:10" ht="12.75">
      <c r="A15" s="428" t="s">
        <v>635</v>
      </c>
      <c r="B15" s="41" t="s">
        <v>39</v>
      </c>
      <c r="C15" s="42" t="s">
        <v>7</v>
      </c>
      <c r="D15" s="102" t="s">
        <v>627</v>
      </c>
      <c r="E15">
        <f>2*(7^2-(7-2*0.233)^2)</f>
        <v>12.61368800000001</v>
      </c>
      <c r="F15" s="49">
        <f>Steel</f>
        <v>0.0034027777777777776</v>
      </c>
      <c r="G15" s="29">
        <v>1</v>
      </c>
      <c r="H15" s="29">
        <v>1</v>
      </c>
      <c r="I15" s="173">
        <f>E15*F15*G15/H15</f>
        <v>0.04292157722222226</v>
      </c>
      <c r="J15" s="12"/>
    </row>
    <row r="16" spans="1:10" ht="12.75">
      <c r="A16" s="429"/>
      <c r="B16"/>
      <c r="C16" s="20"/>
      <c r="D16" s="102" t="s">
        <v>628</v>
      </c>
      <c r="E16">
        <f>7*4-(7-2*0.233)*(4-2*0.233)</f>
        <v>4.908844000000002</v>
      </c>
      <c r="F16" s="8">
        <f>Steel</f>
        <v>0.0034027777777777776</v>
      </c>
      <c r="G16" s="29">
        <v>1</v>
      </c>
      <c r="H16" s="29">
        <v>1</v>
      </c>
      <c r="I16" s="173">
        <f>E16*F16*G16/H16</f>
        <v>0.016703705277777783</v>
      </c>
      <c r="J16" s="12"/>
    </row>
    <row r="17" spans="1:10" ht="12.75">
      <c r="A17" s="429"/>
      <c r="D17" s="102" t="s">
        <v>629</v>
      </c>
      <c r="E17">
        <f>0.024/Steel</f>
        <v>7.053061224489796</v>
      </c>
      <c r="F17" s="8">
        <f>Steel</f>
        <v>0.0034027777777777776</v>
      </c>
      <c r="G17" s="29">
        <f>3.4167-0.7916</f>
        <v>2.6251</v>
      </c>
      <c r="H17" s="29">
        <v>10</v>
      </c>
      <c r="I17" s="173">
        <f t="shared" si="0"/>
        <v>0.00630024</v>
      </c>
      <c r="J17" s="12"/>
    </row>
    <row r="18" spans="1:10" ht="12.75">
      <c r="A18" s="429"/>
      <c r="B18" s="41"/>
      <c r="C18" s="51"/>
      <c r="D18" s="6" t="s">
        <v>318</v>
      </c>
      <c r="E18">
        <f>12*13</f>
        <v>156</v>
      </c>
      <c r="F18" s="8">
        <f>Steel</f>
        <v>0.0034027777777777776</v>
      </c>
      <c r="G18" s="29">
        <f>0.083+0.03125</f>
        <v>0.11425</v>
      </c>
      <c r="H18" s="29">
        <v>10</v>
      </c>
      <c r="I18" s="173">
        <f t="shared" si="0"/>
        <v>0.006064770833333333</v>
      </c>
      <c r="J18" s="12"/>
    </row>
    <row r="19" spans="1:12" ht="12.75">
      <c r="A19" s="429"/>
      <c r="B19" s="41"/>
      <c r="C19" s="51"/>
      <c r="D19" s="6" t="s">
        <v>288</v>
      </c>
      <c r="E19">
        <f>13.5*14.5</f>
        <v>195.75</v>
      </c>
      <c r="F19" s="8">
        <f aca="true" t="shared" si="1" ref="F19:F26">Conc</f>
        <v>0.0010416666666666667</v>
      </c>
      <c r="G19" s="29">
        <f>0.125</f>
        <v>0.125</v>
      </c>
      <c r="H19" s="29">
        <v>10</v>
      </c>
      <c r="I19" s="173">
        <f t="shared" si="0"/>
        <v>0.002548828125</v>
      </c>
      <c r="J19" s="12"/>
      <c r="K19">
        <f>J20*10</f>
        <v>2.1308078812500004</v>
      </c>
      <c r="L19" s="375" t="s">
        <v>633</v>
      </c>
    </row>
    <row r="20" spans="1:11" ht="12.75">
      <c r="A20" s="430"/>
      <c r="B20" s="47"/>
      <c r="C20" s="52"/>
      <c r="D20" s="156" t="s">
        <v>636</v>
      </c>
      <c r="E20" s="15">
        <f>19*7</f>
        <v>133</v>
      </c>
      <c r="F20" s="14">
        <f t="shared" si="1"/>
        <v>0.0010416666666666667</v>
      </c>
      <c r="G20" s="15">
        <v>1</v>
      </c>
      <c r="H20" s="15">
        <v>1</v>
      </c>
      <c r="I20" s="174">
        <f t="shared" si="0"/>
        <v>0.13854166666666667</v>
      </c>
      <c r="J20" s="16">
        <f>SUM(I15:I20)</f>
        <v>0.21308078812500003</v>
      </c>
      <c r="K20" s="101"/>
    </row>
    <row r="21" spans="1:12" ht="12.75">
      <c r="A21" s="428" t="s">
        <v>637</v>
      </c>
      <c r="B21" s="51" t="s">
        <v>638</v>
      </c>
      <c r="C21" s="246" t="s">
        <v>152</v>
      </c>
      <c r="D21" s="190" t="s">
        <v>690</v>
      </c>
      <c r="E21" s="33">
        <f>12*12</f>
        <v>144</v>
      </c>
      <c r="F21" s="32">
        <f t="shared" si="1"/>
        <v>0.0010416666666666667</v>
      </c>
      <c r="G21" s="33">
        <v>1</v>
      </c>
      <c r="H21" s="84">
        <v>1</v>
      </c>
      <c r="I21" s="173">
        <f aca="true" t="shared" si="2" ref="I21:I30">E21*F21*G21/H21</f>
        <v>0.15</v>
      </c>
      <c r="J21" s="198"/>
      <c r="L21" s="124"/>
    </row>
    <row r="22" spans="1:12" ht="12.75">
      <c r="A22" s="429"/>
      <c r="C22" s="51"/>
      <c r="D22" s="158" t="s">
        <v>691</v>
      </c>
      <c r="E22" s="33">
        <f>23*9</f>
        <v>207</v>
      </c>
      <c r="F22" s="32">
        <f t="shared" si="1"/>
        <v>0.0010416666666666667</v>
      </c>
      <c r="G22" s="33">
        <v>1.25</v>
      </c>
      <c r="H22" s="33">
        <v>6.5</v>
      </c>
      <c r="I22" s="173">
        <f t="shared" si="2"/>
        <v>0.04146634615384615</v>
      </c>
      <c r="J22" s="12"/>
      <c r="L22" s="124"/>
    </row>
    <row r="23" spans="1:12" ht="12.75">
      <c r="A23" s="429"/>
      <c r="B23" s="41"/>
      <c r="C23" s="51"/>
      <c r="D23" s="158" t="s">
        <v>692</v>
      </c>
      <c r="E23" s="33">
        <f>22*4*0.5</f>
        <v>44</v>
      </c>
      <c r="F23" s="32">
        <f t="shared" si="1"/>
        <v>0.0010416666666666667</v>
      </c>
      <c r="G23" s="33">
        <v>1.25</v>
      </c>
      <c r="H23" s="33">
        <v>6.5</v>
      </c>
      <c r="I23" s="173">
        <f t="shared" si="2"/>
        <v>0.008814102564102564</v>
      </c>
      <c r="J23" s="242"/>
      <c r="L23" s="124"/>
    </row>
    <row r="24" spans="1:12" ht="12.75">
      <c r="A24" s="430"/>
      <c r="B24" s="52"/>
      <c r="C24" s="52"/>
      <c r="D24" s="189" t="s">
        <v>693</v>
      </c>
      <c r="E24" s="15">
        <f>9*20.5</f>
        <v>184.5</v>
      </c>
      <c r="F24" s="14">
        <f t="shared" si="1"/>
        <v>0.0010416666666666667</v>
      </c>
      <c r="G24" s="15">
        <v>1</v>
      </c>
      <c r="H24" s="15">
        <v>1</v>
      </c>
      <c r="I24" s="173">
        <f t="shared" si="2"/>
        <v>0.1921875</v>
      </c>
      <c r="J24" s="180">
        <f>SUM(I21:I24)</f>
        <v>0.3924679487179487</v>
      </c>
      <c r="K24" s="101"/>
      <c r="L24" s="124"/>
    </row>
    <row r="25" spans="1:12" ht="12.75">
      <c r="A25" s="428" t="s">
        <v>639</v>
      </c>
      <c r="B25" s="197" t="s">
        <v>640</v>
      </c>
      <c r="C25" s="51"/>
      <c r="D25" s="158" t="s">
        <v>289</v>
      </c>
      <c r="E25" s="33">
        <f>16*23</f>
        <v>368</v>
      </c>
      <c r="F25" s="32">
        <f t="shared" si="1"/>
        <v>0.0010416666666666667</v>
      </c>
      <c r="G25" s="33">
        <v>1</v>
      </c>
      <c r="H25" s="33">
        <v>1</v>
      </c>
      <c r="I25" s="172">
        <f t="shared" si="2"/>
        <v>0.3833333333333333</v>
      </c>
      <c r="J25" s="12"/>
      <c r="L25" s="124"/>
    </row>
    <row r="26" spans="1:12" ht="12.75">
      <c r="A26" s="429"/>
      <c r="B26" s="51"/>
      <c r="C26" s="51"/>
      <c r="D26" s="158" t="s">
        <v>694</v>
      </c>
      <c r="E26" s="33">
        <f>(1*8)+1*8*0.5</f>
        <v>12</v>
      </c>
      <c r="F26" s="32">
        <f t="shared" si="1"/>
        <v>0.0010416666666666667</v>
      </c>
      <c r="G26" s="33">
        <v>1</v>
      </c>
      <c r="H26" s="33">
        <v>1</v>
      </c>
      <c r="I26" s="173">
        <f t="shared" si="2"/>
        <v>0.0125</v>
      </c>
      <c r="J26" s="242"/>
      <c r="L26" s="124"/>
    </row>
    <row r="27" spans="1:12" ht="12.75">
      <c r="A27" s="429"/>
      <c r="B27" s="51"/>
      <c r="C27" s="51"/>
      <c r="D27" s="158" t="s">
        <v>695</v>
      </c>
      <c r="E27" s="28">
        <f>10*4-(10-2*0.233)*(4-2*0.233)</f>
        <v>6.306843999999998</v>
      </c>
      <c r="F27" s="32">
        <f>Steel</f>
        <v>0.0034027777777777776</v>
      </c>
      <c r="G27" s="33">
        <v>1</v>
      </c>
      <c r="H27" s="33">
        <v>1</v>
      </c>
      <c r="I27" s="173">
        <f t="shared" si="2"/>
        <v>0.021460788611111104</v>
      </c>
      <c r="J27" s="12"/>
      <c r="L27" s="124"/>
    </row>
    <row r="28" spans="1:12" ht="12.75">
      <c r="A28" s="429"/>
      <c r="B28" s="51"/>
      <c r="C28" s="51"/>
      <c r="D28" s="158" t="s">
        <v>712</v>
      </c>
      <c r="E28" s="28">
        <f>7*5-(7-2*0.291)*(5-2*0.291)</f>
        <v>6.645275999999999</v>
      </c>
      <c r="F28" s="32">
        <f>Steel</f>
        <v>0.0034027777777777776</v>
      </c>
      <c r="G28" s="33">
        <f>1.25-0.125-0.0625</f>
        <v>1.0625</v>
      </c>
      <c r="H28" s="33">
        <v>8</v>
      </c>
      <c r="I28" s="173">
        <f t="shared" si="2"/>
        <v>0.0030032090429687494</v>
      </c>
      <c r="J28" s="12"/>
      <c r="K28" s="376" t="s">
        <v>713</v>
      </c>
      <c r="L28" s="124"/>
    </row>
    <row r="29" spans="1:12" ht="12.75">
      <c r="A29" s="429"/>
      <c r="B29" s="51"/>
      <c r="C29" s="51"/>
      <c r="D29" s="6" t="s">
        <v>288</v>
      </c>
      <c r="E29">
        <f>11*16</f>
        <v>176</v>
      </c>
      <c r="F29" s="8">
        <f>Conc</f>
        <v>0.0010416666666666667</v>
      </c>
      <c r="G29" s="29">
        <f>0.125</f>
        <v>0.125</v>
      </c>
      <c r="H29" s="29">
        <f>8</f>
        <v>8</v>
      </c>
      <c r="I29" s="173">
        <f t="shared" si="2"/>
        <v>0.002864583333333333</v>
      </c>
      <c r="J29" s="12"/>
      <c r="K29">
        <f>J30*8</f>
        <v>0.367456526892361</v>
      </c>
      <c r="L29" s="208" t="s">
        <v>633</v>
      </c>
    </row>
    <row r="30" spans="1:12" ht="12.75">
      <c r="A30" s="430"/>
      <c r="B30" s="47"/>
      <c r="C30" s="52"/>
      <c r="D30" s="9" t="s">
        <v>318</v>
      </c>
      <c r="E30" s="13">
        <f>9.5*14.5</f>
        <v>137.75</v>
      </c>
      <c r="F30" s="14">
        <f>Steel</f>
        <v>0.0034027777777777776</v>
      </c>
      <c r="G30" s="15">
        <f>0.0625+0.04167</f>
        <v>0.10417</v>
      </c>
      <c r="H30" s="15">
        <v>8</v>
      </c>
      <c r="I30" s="174">
        <f t="shared" si="2"/>
        <v>0.006103484874131944</v>
      </c>
      <c r="J30" s="16">
        <f>SUM(I26:I30)</f>
        <v>0.04593206586154513</v>
      </c>
      <c r="K30" s="101"/>
      <c r="L30" s="124"/>
    </row>
    <row r="31" spans="1:10" ht="12.75">
      <c r="A31" s="386" t="s">
        <v>571</v>
      </c>
      <c r="B31" s="157" t="s">
        <v>711</v>
      </c>
      <c r="C31" s="20"/>
      <c r="D31" s="158" t="s">
        <v>643</v>
      </c>
      <c r="E31" s="28">
        <f>4*3-(4-2*0.233)*(3-2*0.233)</f>
        <v>3.044844000000001</v>
      </c>
      <c r="F31" s="32">
        <f>Steel</f>
        <v>0.0034027777777777776</v>
      </c>
      <c r="G31" s="34">
        <v>1</v>
      </c>
      <c r="H31" s="34">
        <v>1</v>
      </c>
      <c r="I31" s="175">
        <f aca="true" t="shared" si="3" ref="I31:I40">E31*F31*G31/H31</f>
        <v>0.010360927500000004</v>
      </c>
      <c r="J31" s="12"/>
    </row>
    <row r="32" spans="1:10" ht="12.75">
      <c r="A32" s="387"/>
      <c r="B32" s="27"/>
      <c r="C32" s="20"/>
      <c r="D32" s="158" t="s">
        <v>642</v>
      </c>
      <c r="E32" s="28">
        <f>4*4-((4-2*0.174)^2)</f>
        <v>2.662895999999998</v>
      </c>
      <c r="F32" s="32">
        <f>Steel</f>
        <v>0.0034027777777777776</v>
      </c>
      <c r="G32" s="34">
        <f>(42.5-31-1.5-0.75)/12</f>
        <v>0.7708333333333334</v>
      </c>
      <c r="H32" s="34">
        <v>6.667</v>
      </c>
      <c r="I32" s="175">
        <f t="shared" si="3"/>
        <v>0.0010476538777227798</v>
      </c>
      <c r="J32" s="12"/>
    </row>
    <row r="33" spans="1:10" ht="12.75">
      <c r="A33" s="387"/>
      <c r="B33" s="35"/>
      <c r="C33" s="20"/>
      <c r="D33" s="11" t="s">
        <v>287</v>
      </c>
      <c r="E33">
        <f>10*8.5</f>
        <v>85</v>
      </c>
      <c r="F33" s="32">
        <f>Steel</f>
        <v>0.0034027777777777776</v>
      </c>
      <c r="G33" s="34">
        <f>(0.75+0.5)/12</f>
        <v>0.10416666666666667</v>
      </c>
      <c r="H33" s="34">
        <v>6.667</v>
      </c>
      <c r="I33" s="173">
        <f t="shared" si="3"/>
        <v>0.004519088281697026</v>
      </c>
      <c r="J33" s="12"/>
    </row>
    <row r="34" spans="1:10" ht="12.75">
      <c r="A34" s="387"/>
      <c r="B34" s="35"/>
      <c r="C34" s="20"/>
      <c r="D34" s="20" t="s">
        <v>288</v>
      </c>
      <c r="E34">
        <f>11.5*10</f>
        <v>115</v>
      </c>
      <c r="F34" s="32">
        <f>Conc</f>
        <v>0.0010416666666666667</v>
      </c>
      <c r="G34" s="34">
        <f>1.5/12</f>
        <v>0.125</v>
      </c>
      <c r="H34" s="34">
        <v>6.667</v>
      </c>
      <c r="I34" s="173">
        <f t="shared" si="3"/>
        <v>0.002245981450927454</v>
      </c>
      <c r="J34" s="12"/>
    </row>
    <row r="35" spans="1:11" ht="12.75">
      <c r="A35" s="387"/>
      <c r="B35" s="36"/>
      <c r="C35" s="7"/>
      <c r="D35" s="9" t="s">
        <v>289</v>
      </c>
      <c r="E35" s="13">
        <f>10.5*31</f>
        <v>325.5</v>
      </c>
      <c r="F35" s="14">
        <f>Conc</f>
        <v>0.0010416666666666667</v>
      </c>
      <c r="G35" s="31">
        <v>1</v>
      </c>
      <c r="H35" s="31">
        <v>1</v>
      </c>
      <c r="I35" s="174">
        <f t="shared" si="3"/>
        <v>0.3390625</v>
      </c>
      <c r="J35" s="16">
        <f>SUM(I31:I35)</f>
        <v>0.35723615111034723</v>
      </c>
      <c r="K35" s="101"/>
    </row>
    <row r="36" spans="1:10" ht="12.75">
      <c r="A36" s="387"/>
      <c r="B36" s="27" t="s">
        <v>14</v>
      </c>
      <c r="C36" s="20"/>
      <c r="D36" s="158" t="s">
        <v>644</v>
      </c>
      <c r="E36" s="28">
        <f>2*(4*3-(4-2*0.233)*(3-2*0.233))</f>
        <v>6.089688000000002</v>
      </c>
      <c r="F36" s="32">
        <f>Steel</f>
        <v>0.0034027777777777776</v>
      </c>
      <c r="G36" s="34">
        <v>1</v>
      </c>
      <c r="H36" s="34">
        <v>1</v>
      </c>
      <c r="I36" s="173">
        <f t="shared" si="3"/>
        <v>0.020721855000000008</v>
      </c>
      <c r="J36" s="12"/>
    </row>
    <row r="37" spans="1:10" ht="12.75">
      <c r="A37" s="387"/>
      <c r="B37" s="35"/>
      <c r="C37" s="20"/>
      <c r="D37" s="158" t="s">
        <v>642</v>
      </c>
      <c r="E37" s="28">
        <f>4*4-((4-2*0.174)^2)</f>
        <v>2.662895999999998</v>
      </c>
      <c r="F37" s="32">
        <f>Steel</f>
        <v>0.0034027777777777776</v>
      </c>
      <c r="G37" s="34">
        <f>(54-31-1.5-0.75)/12</f>
        <v>1.7291666666666667</v>
      </c>
      <c r="H37" s="34">
        <v>6.667</v>
      </c>
      <c r="I37" s="173">
        <f t="shared" si="3"/>
        <v>0.002350142482459209</v>
      </c>
      <c r="J37" s="12"/>
    </row>
    <row r="38" spans="1:10" ht="12.75">
      <c r="A38" s="387"/>
      <c r="B38" s="35"/>
      <c r="C38" s="20"/>
      <c r="D38" s="11" t="s">
        <v>287</v>
      </c>
      <c r="E38">
        <f>10*8.5</f>
        <v>85</v>
      </c>
      <c r="F38" s="32">
        <f>Steel</f>
        <v>0.0034027777777777776</v>
      </c>
      <c r="G38" s="34">
        <f>(0.75+0.5)/12</f>
        <v>0.10416666666666667</v>
      </c>
      <c r="H38" s="34">
        <v>6.667</v>
      </c>
      <c r="I38" s="173">
        <f t="shared" si="3"/>
        <v>0.004519088281697026</v>
      </c>
      <c r="J38" s="12"/>
    </row>
    <row r="39" spans="1:10" ht="12.75">
      <c r="A39" s="387"/>
      <c r="B39" s="35"/>
      <c r="C39" s="20"/>
      <c r="D39" s="20" t="s">
        <v>288</v>
      </c>
      <c r="E39">
        <f>11.5*10</f>
        <v>115</v>
      </c>
      <c r="F39" s="32">
        <f>Conc</f>
        <v>0.0010416666666666667</v>
      </c>
      <c r="G39" s="34">
        <f>1.5/12</f>
        <v>0.125</v>
      </c>
      <c r="H39" s="34">
        <v>6.667</v>
      </c>
      <c r="I39" s="173">
        <f t="shared" si="3"/>
        <v>0.002245981450927454</v>
      </c>
      <c r="J39" s="12"/>
    </row>
    <row r="40" spans="1:11" ht="12.75">
      <c r="A40" s="388"/>
      <c r="B40" s="36"/>
      <c r="C40" s="7"/>
      <c r="D40" s="9" t="s">
        <v>289</v>
      </c>
      <c r="E40" s="13">
        <f>10.5*31</f>
        <v>325.5</v>
      </c>
      <c r="F40" s="14">
        <f>Conc</f>
        <v>0.0010416666666666667</v>
      </c>
      <c r="G40" s="31">
        <v>1</v>
      </c>
      <c r="H40" s="31">
        <v>1</v>
      </c>
      <c r="I40" s="174">
        <f t="shared" si="3"/>
        <v>0.3390625</v>
      </c>
      <c r="J40" s="16">
        <f>SUM(I36:I40)</f>
        <v>0.36889956721508366</v>
      </c>
      <c r="K40" s="101"/>
    </row>
    <row r="41" spans="1:11" ht="12.75">
      <c r="A41" s="389" t="s">
        <v>572</v>
      </c>
      <c r="B41" s="157" t="s">
        <v>641</v>
      </c>
      <c r="C41" s="162" t="s">
        <v>645</v>
      </c>
      <c r="D41" s="163"/>
      <c r="E41" s="164"/>
      <c r="F41" s="176" t="s">
        <v>622</v>
      </c>
      <c r="G41" s="166"/>
      <c r="H41" s="166"/>
      <c r="I41" s="167"/>
      <c r="J41" s="96">
        <f>J35</f>
        <v>0.35723615111034723</v>
      </c>
      <c r="K41" s="101"/>
    </row>
    <row r="42" spans="1:11" ht="12.75">
      <c r="A42" s="388"/>
      <c r="B42" s="89" t="s">
        <v>11</v>
      </c>
      <c r="C42" s="162" t="s">
        <v>645</v>
      </c>
      <c r="D42" s="163"/>
      <c r="E42" s="28"/>
      <c r="F42" s="177" t="s">
        <v>622</v>
      </c>
      <c r="G42" s="166"/>
      <c r="H42" s="34"/>
      <c r="I42" s="173"/>
      <c r="J42" s="12">
        <f>J40</f>
        <v>0.36889956721508366</v>
      </c>
      <c r="K42" s="101"/>
    </row>
    <row r="43" spans="1:11" ht="12.75">
      <c r="A43" s="222" t="s">
        <v>646</v>
      </c>
      <c r="B43" s="170" t="s">
        <v>647</v>
      </c>
      <c r="C43" s="51"/>
      <c r="D43" s="158" t="s">
        <v>289</v>
      </c>
      <c r="E43" s="164">
        <f>32*9</f>
        <v>288</v>
      </c>
      <c r="F43" s="165">
        <f>Conc</f>
        <v>0.0010416666666666667</v>
      </c>
      <c r="G43" s="34">
        <f>1</f>
        <v>1</v>
      </c>
      <c r="H43" s="166">
        <f>1</f>
        <v>1</v>
      </c>
      <c r="I43" s="167">
        <f>E43*F43*G43/H43</f>
        <v>0.3</v>
      </c>
      <c r="J43" s="96">
        <f>I43</f>
        <v>0.3</v>
      </c>
      <c r="K43" s="101"/>
    </row>
    <row r="44" spans="1:11" ht="12.75">
      <c r="A44" s="221" t="s">
        <v>573</v>
      </c>
      <c r="B44" s="35" t="s">
        <v>16</v>
      </c>
      <c r="C44" s="81" t="s">
        <v>570</v>
      </c>
      <c r="D44" s="178"/>
      <c r="E44" s="87"/>
      <c r="F44" s="191">
        <f>Steel</f>
        <v>0.0034027777777777776</v>
      </c>
      <c r="G44" s="74"/>
      <c r="H44" s="74"/>
      <c r="I44" s="92"/>
      <c r="J44" s="263">
        <f>J118</f>
        <v>0.057946534787037034</v>
      </c>
      <c r="K44" s="101"/>
    </row>
    <row r="45" spans="1:11" ht="12.75">
      <c r="A45" s="221" t="s">
        <v>574</v>
      </c>
      <c r="B45" s="81" t="s">
        <v>37</v>
      </c>
      <c r="C45" s="81" t="s">
        <v>575</v>
      </c>
      <c r="D45" s="87"/>
      <c r="E45" s="87"/>
      <c r="F45" s="191">
        <f>Steel</f>
        <v>0.0034027777777777776</v>
      </c>
      <c r="G45" s="74"/>
      <c r="H45" s="74"/>
      <c r="I45" s="92"/>
      <c r="J45" s="263">
        <f>J158</f>
        <v>0.0374299688</v>
      </c>
      <c r="K45" s="101"/>
    </row>
    <row r="46" spans="1:10" ht="12.75">
      <c r="A46" s="390" t="s">
        <v>576</v>
      </c>
      <c r="B46" s="48" t="s">
        <v>661</v>
      </c>
      <c r="C46" s="190" t="s">
        <v>654</v>
      </c>
      <c r="D46" s="42" t="s">
        <v>659</v>
      </c>
      <c r="E46" s="85" t="s">
        <v>282</v>
      </c>
      <c r="F46" s="49">
        <f>Steel</f>
        <v>0.0034027777777777776</v>
      </c>
      <c r="G46" s="86" t="s">
        <v>282</v>
      </c>
      <c r="H46" s="86" t="s">
        <v>282</v>
      </c>
      <c r="I46" s="172">
        <f>0.002*10.5833</f>
        <v>0.0211666</v>
      </c>
      <c r="J46" s="95"/>
    </row>
    <row r="47" spans="1:11" ht="12.75">
      <c r="A47" s="391"/>
      <c r="B47" s="7"/>
      <c r="C47" s="9"/>
      <c r="D47" s="9" t="s">
        <v>660</v>
      </c>
      <c r="E47" s="13">
        <f>10.5*31</f>
        <v>325.5</v>
      </c>
      <c r="F47" s="14">
        <f>Conc</f>
        <v>0.0010416666666666667</v>
      </c>
      <c r="G47" s="15">
        <v>1</v>
      </c>
      <c r="H47" s="15">
        <v>1</v>
      </c>
      <c r="I47" s="174">
        <f>E47*F47*G47/H47</f>
        <v>0.3390625</v>
      </c>
      <c r="J47" s="16">
        <f>SUM(I46:I47)</f>
        <v>0.36022909999999997</v>
      </c>
      <c r="K47" s="101"/>
    </row>
    <row r="48" spans="1:11" ht="12.75">
      <c r="A48" s="391"/>
      <c r="B48" s="64" t="s">
        <v>578</v>
      </c>
      <c r="C48" s="81" t="s">
        <v>577</v>
      </c>
      <c r="D48" s="163"/>
      <c r="E48" s="87"/>
      <c r="F48" s="88"/>
      <c r="G48" s="74"/>
      <c r="H48" s="74"/>
      <c r="I48" s="92"/>
      <c r="J48" s="263">
        <f>J86</f>
        <v>0.0925625</v>
      </c>
      <c r="K48" s="101"/>
    </row>
    <row r="49" spans="1:11" ht="12.75">
      <c r="A49" s="391"/>
      <c r="B49" s="64" t="s">
        <v>580</v>
      </c>
      <c r="C49" s="81" t="s">
        <v>577</v>
      </c>
      <c r="D49" s="163"/>
      <c r="E49" s="87"/>
      <c r="F49" s="88"/>
      <c r="G49" s="74"/>
      <c r="H49" s="74"/>
      <c r="I49" s="92"/>
      <c r="J49" s="263">
        <f>J88</f>
        <v>0.3469609375</v>
      </c>
      <c r="K49" s="101"/>
    </row>
    <row r="50" spans="1:10" ht="12.75">
      <c r="A50" s="391"/>
      <c r="B50" s="197" t="s">
        <v>653</v>
      </c>
      <c r="C50" s="190" t="s">
        <v>654</v>
      </c>
      <c r="D50" s="42" t="s">
        <v>281</v>
      </c>
      <c r="E50" s="85" t="s">
        <v>282</v>
      </c>
      <c r="F50" s="204">
        <f>Steel</f>
        <v>0.0034027777777777776</v>
      </c>
      <c r="G50" s="86" t="s">
        <v>282</v>
      </c>
      <c r="H50" s="86" t="s">
        <v>282</v>
      </c>
      <c r="I50" s="199">
        <f>0.002*8</f>
        <v>0.016</v>
      </c>
      <c r="J50" s="202"/>
    </row>
    <row r="51" spans="1:11" ht="12.75">
      <c r="A51" s="392"/>
      <c r="B51" s="47"/>
      <c r="C51" s="189" t="s">
        <v>662</v>
      </c>
      <c r="D51" s="189" t="s">
        <v>666</v>
      </c>
      <c r="E51" s="4"/>
      <c r="F51" s="205" t="s">
        <v>622</v>
      </c>
      <c r="G51" s="10"/>
      <c r="H51" s="10"/>
      <c r="I51" s="201">
        <f>J14</f>
        <v>0.18521272062499997</v>
      </c>
      <c r="J51" s="245">
        <f>SUM(I50:I51)</f>
        <v>0.20121272062499995</v>
      </c>
      <c r="K51" s="101"/>
    </row>
    <row r="52" spans="1:11" ht="12.75">
      <c r="A52" s="393" t="s">
        <v>685</v>
      </c>
      <c r="B52" s="197" t="s">
        <v>686</v>
      </c>
      <c r="C52" s="190"/>
      <c r="D52" s="190" t="s">
        <v>687</v>
      </c>
      <c r="E52" s="85" t="s">
        <v>282</v>
      </c>
      <c r="F52" s="204">
        <f>Steel</f>
        <v>0.0034027777777777776</v>
      </c>
      <c r="G52" s="86" t="s">
        <v>282</v>
      </c>
      <c r="H52" s="86" t="s">
        <v>282</v>
      </c>
      <c r="I52" s="199">
        <f>0.002*5</f>
        <v>0.01</v>
      </c>
      <c r="J52" s="203"/>
      <c r="K52" s="101"/>
    </row>
    <row r="53" spans="1:11" ht="12.75">
      <c r="A53" s="394"/>
      <c r="B53" s="51"/>
      <c r="C53" s="158" t="s">
        <v>675</v>
      </c>
      <c r="D53" s="158" t="s">
        <v>688</v>
      </c>
      <c r="E53" s="3">
        <f>SUM(E170:E174)</f>
        <v>321.5625</v>
      </c>
      <c r="F53" s="104">
        <f>Conc</f>
        <v>0.0010416666666666667</v>
      </c>
      <c r="G53" s="34">
        <v>1</v>
      </c>
      <c r="H53" s="34">
        <v>1</v>
      </c>
      <c r="I53" s="243">
        <f>J9</f>
        <v>0.3349609375</v>
      </c>
      <c r="J53" s="203"/>
      <c r="K53" s="101"/>
    </row>
    <row r="54" spans="1:11" ht="12.75">
      <c r="A54" s="395"/>
      <c r="B54" s="47"/>
      <c r="C54" s="189"/>
      <c r="D54" s="189" t="s">
        <v>689</v>
      </c>
      <c r="E54" s="31">
        <f>30*0.125</f>
        <v>3.75</v>
      </c>
      <c r="F54" s="244">
        <f>Alum</f>
        <v>0.0011458333333333333</v>
      </c>
      <c r="G54" s="31">
        <v>1</v>
      </c>
      <c r="H54" s="31">
        <v>1</v>
      </c>
      <c r="I54" s="200">
        <f>E54*F54*G54/H54</f>
        <v>0.004296875</v>
      </c>
      <c r="J54" s="203">
        <f>SUM(I52:I54)</f>
        <v>0.3492578125</v>
      </c>
      <c r="K54" s="101"/>
    </row>
    <row r="55" spans="1:10" ht="12.75">
      <c r="A55" s="390" t="s">
        <v>584</v>
      </c>
      <c r="B55" s="27" t="s">
        <v>51</v>
      </c>
      <c r="C55" s="11"/>
      <c r="D55" s="171" t="s">
        <v>656</v>
      </c>
      <c r="E55">
        <f>2*(2.5*1-(2.5-2*0.12)*(1-2*0.12))</f>
        <v>1.5648000000000004</v>
      </c>
      <c r="F55" s="8">
        <f>Steel</f>
        <v>0.0034027777777777776</v>
      </c>
      <c r="G55" s="29">
        <v>1</v>
      </c>
      <c r="H55" s="29">
        <v>1</v>
      </c>
      <c r="I55" s="173">
        <f>E55*F55*G55/H55</f>
        <v>0.005324666666666668</v>
      </c>
      <c r="J55" s="198"/>
    </row>
    <row r="56" spans="1:11" ht="12.75">
      <c r="A56" s="391"/>
      <c r="B56" s="27"/>
      <c r="C56" s="11"/>
      <c r="D56" s="171" t="s">
        <v>658</v>
      </c>
      <c r="E56">
        <f>2.5*1-(2.5-2*0.12)*(1-2*0.12)</f>
        <v>0.7824000000000002</v>
      </c>
      <c r="F56" s="8">
        <f>Steel</f>
        <v>0.0034027777777777776</v>
      </c>
      <c r="G56" s="29">
        <v>3.1667</v>
      </c>
      <c r="H56" s="29">
        <v>0.5</v>
      </c>
      <c r="I56" s="173">
        <f>E56*F56*G56/H56</f>
        <v>0.016861621933333338</v>
      </c>
      <c r="J56" s="12"/>
      <c r="K56" s="179"/>
    </row>
    <row r="57" spans="1:11" ht="12.75">
      <c r="A57" s="392"/>
      <c r="B57" s="39"/>
      <c r="C57" s="9"/>
      <c r="D57" s="52" t="s">
        <v>657</v>
      </c>
      <c r="E57" s="13">
        <f>2.5*1.5-(2.5-2*0.233)*(1.5-2*0.233)</f>
        <v>1.6468440000000002</v>
      </c>
      <c r="F57" s="14">
        <f>Steel</f>
        <v>0.0034027777777777776</v>
      </c>
      <c r="G57" s="15">
        <v>4.1667</v>
      </c>
      <c r="H57" s="15">
        <v>3</v>
      </c>
      <c r="I57" s="174">
        <f>E57*F57*G57/H57</f>
        <v>0.007783179163083333</v>
      </c>
      <c r="J57" s="180">
        <f>SUM(I55:I57)</f>
        <v>0.02996946776308334</v>
      </c>
      <c r="K57" s="101"/>
    </row>
    <row r="58" spans="1:11" ht="12.75">
      <c r="A58" s="214" t="s">
        <v>586</v>
      </c>
      <c r="B58" s="9" t="s">
        <v>587</v>
      </c>
      <c r="C58" s="9" t="s">
        <v>585</v>
      </c>
      <c r="D58" s="4"/>
      <c r="E58" s="4"/>
      <c r="F58" s="168"/>
      <c r="G58" s="10"/>
      <c r="H58" s="10"/>
      <c r="I58" s="169"/>
      <c r="J58" s="262">
        <f>J153</f>
        <v>0.3144211497111111</v>
      </c>
      <c r="K58" s="101"/>
    </row>
    <row r="59" spans="1:11" ht="12.75">
      <c r="A59" s="221" t="s">
        <v>588</v>
      </c>
      <c r="B59" s="163" t="s">
        <v>655</v>
      </c>
      <c r="C59" s="81" t="s">
        <v>589</v>
      </c>
      <c r="D59" s="87"/>
      <c r="E59" s="87"/>
      <c r="F59" s="88"/>
      <c r="G59" s="74"/>
      <c r="H59" s="74"/>
      <c r="I59" s="92"/>
      <c r="J59" s="263">
        <f>J145</f>
        <v>0.304</v>
      </c>
      <c r="K59" s="101"/>
    </row>
    <row r="60" spans="1:11" ht="12.75">
      <c r="A60" s="221" t="s">
        <v>590</v>
      </c>
      <c r="B60" s="81" t="s">
        <v>596</v>
      </c>
      <c r="C60" s="81" t="s">
        <v>591</v>
      </c>
      <c r="D60" s="87"/>
      <c r="E60" s="87"/>
      <c r="F60" s="88"/>
      <c r="G60" s="74"/>
      <c r="H60" s="74"/>
      <c r="I60" s="92"/>
      <c r="J60" s="263">
        <f>J149</f>
        <v>0.34938208721111114</v>
      </c>
      <c r="K60" s="101"/>
    </row>
    <row r="61" spans="1:11" ht="12.75">
      <c r="A61" s="221" t="s">
        <v>593</v>
      </c>
      <c r="B61" s="81" t="s">
        <v>594</v>
      </c>
      <c r="C61" s="81" t="s">
        <v>592</v>
      </c>
      <c r="D61" s="87"/>
      <c r="E61" s="87"/>
      <c r="F61" s="88"/>
      <c r="G61" s="74"/>
      <c r="H61" s="74"/>
      <c r="I61" s="92"/>
      <c r="J61" s="263">
        <f>J155</f>
        <v>0.3389609375</v>
      </c>
      <c r="K61" s="101"/>
    </row>
    <row r="62" spans="1:11" ht="12.75">
      <c r="A62" s="221" t="s">
        <v>598</v>
      </c>
      <c r="B62" s="81" t="s">
        <v>47</v>
      </c>
      <c r="C62" s="81" t="s">
        <v>597</v>
      </c>
      <c r="D62" s="87"/>
      <c r="E62" s="87"/>
      <c r="F62" s="88"/>
      <c r="G62" s="74"/>
      <c r="H62" s="74"/>
      <c r="I62" s="92"/>
      <c r="J62" s="263">
        <f>J178</f>
        <v>0.5115885416666667</v>
      </c>
      <c r="K62" s="101"/>
    </row>
    <row r="63" spans="1:11" ht="12.75">
      <c r="A63" s="223" t="s">
        <v>674</v>
      </c>
      <c r="B63" s="163" t="s">
        <v>673</v>
      </c>
      <c r="C63" s="81" t="s">
        <v>599</v>
      </c>
      <c r="D63" s="179"/>
      <c r="E63" s="87"/>
      <c r="F63" s="88"/>
      <c r="G63" s="74"/>
      <c r="H63" s="74"/>
      <c r="I63" s="92"/>
      <c r="J63" s="263">
        <f>J143</f>
        <v>0.04100939111111111</v>
      </c>
      <c r="K63" s="101"/>
    </row>
    <row r="64" spans="1:11" ht="12.75">
      <c r="A64" s="221" t="s">
        <v>613</v>
      </c>
      <c r="B64" s="81" t="s">
        <v>614</v>
      </c>
      <c r="C64" s="163" t="s">
        <v>676</v>
      </c>
      <c r="D64" s="87"/>
      <c r="E64" s="87"/>
      <c r="F64" s="88"/>
      <c r="G64" s="74"/>
      <c r="H64" s="74"/>
      <c r="I64" s="92"/>
      <c r="J64" s="212">
        <f>J9+0.003</f>
        <v>0.3379609375</v>
      </c>
      <c r="K64" s="101"/>
    </row>
    <row r="65" spans="1:11" ht="12.75">
      <c r="A65" s="390" t="s">
        <v>600</v>
      </c>
      <c r="B65" s="170" t="s">
        <v>679</v>
      </c>
      <c r="C65" s="81" t="s">
        <v>568</v>
      </c>
      <c r="D65" s="87"/>
      <c r="E65" s="87"/>
      <c r="F65" s="88"/>
      <c r="G65" s="74"/>
      <c r="H65" s="74"/>
      <c r="I65" s="92"/>
      <c r="J65" s="263">
        <f>J126</f>
        <v>0.24850260416666667</v>
      </c>
      <c r="K65" s="101"/>
    </row>
    <row r="66" spans="1:11" ht="12.75">
      <c r="A66" s="391"/>
      <c r="B66" s="170" t="s">
        <v>680</v>
      </c>
      <c r="C66" s="81" t="s">
        <v>568</v>
      </c>
      <c r="D66" s="87"/>
      <c r="E66" s="87"/>
      <c r="F66" s="88"/>
      <c r="G66" s="74"/>
      <c r="H66" s="74"/>
      <c r="I66" s="92"/>
      <c r="J66" s="263">
        <f>J132</f>
        <v>0.2870442708333334</v>
      </c>
      <c r="K66" s="101"/>
    </row>
    <row r="67" spans="1:11" ht="12.75">
      <c r="A67" s="392"/>
      <c r="B67" s="170" t="s">
        <v>681</v>
      </c>
      <c r="C67" s="81" t="s">
        <v>568</v>
      </c>
      <c r="D67" s="87"/>
      <c r="E67" s="87"/>
      <c r="F67" s="88"/>
      <c r="G67" s="74"/>
      <c r="H67" s="74"/>
      <c r="I67" s="92"/>
      <c r="J67" s="263">
        <f>J139</f>
        <v>0.2745442708333333</v>
      </c>
      <c r="K67" s="101"/>
    </row>
    <row r="68" spans="1:10" ht="12.75">
      <c r="A68" s="393" t="s">
        <v>601</v>
      </c>
      <c r="B68" s="27" t="s">
        <v>18</v>
      </c>
      <c r="C68" s="11" t="s">
        <v>19</v>
      </c>
      <c r="D68" s="51" t="s">
        <v>682</v>
      </c>
      <c r="E68" s="28">
        <f>2*5*5-(5-2*0.291)*(5-2*0.291)</f>
        <v>30.481275999999998</v>
      </c>
      <c r="F68" s="24">
        <f>Steel</f>
        <v>0.0034027777777777776</v>
      </c>
      <c r="G68" s="33">
        <v>1</v>
      </c>
      <c r="H68" s="33">
        <v>1</v>
      </c>
      <c r="I68" s="172">
        <f aca="true" t="shared" si="4" ref="I68:I74">E68*F68*G68/H68</f>
        <v>0.1037210086111111</v>
      </c>
      <c r="J68" s="93"/>
    </row>
    <row r="69" spans="1:11" ht="12.75">
      <c r="A69" s="392"/>
      <c r="B69" s="36"/>
      <c r="C69" s="7"/>
      <c r="D69" s="52" t="s">
        <v>683</v>
      </c>
      <c r="E69" s="13">
        <f>2*5*11</f>
        <v>110</v>
      </c>
      <c r="F69" s="25">
        <f>Steel</f>
        <v>0.0034027777777777776</v>
      </c>
      <c r="G69" s="15">
        <f>0.25/12</f>
        <v>0.020833333333333332</v>
      </c>
      <c r="H69" s="15">
        <v>8</v>
      </c>
      <c r="I69" s="174">
        <f t="shared" si="4"/>
        <v>0.0009747540509259259</v>
      </c>
      <c r="J69" s="94">
        <f>SUM(I68:I69)</f>
        <v>0.10469576266203702</v>
      </c>
      <c r="K69" s="101"/>
    </row>
    <row r="70" spans="1:10" ht="12.75">
      <c r="A70" s="390" t="s">
        <v>604</v>
      </c>
      <c r="B70" s="130" t="s">
        <v>605</v>
      </c>
      <c r="C70" s="131"/>
      <c r="D70" s="132" t="s">
        <v>630</v>
      </c>
      <c r="E70" s="133">
        <f>9*42</f>
        <v>378</v>
      </c>
      <c r="F70" s="134">
        <f>Conc</f>
        <v>0.0010416666666666667</v>
      </c>
      <c r="G70" s="135">
        <v>1</v>
      </c>
      <c r="H70" s="135">
        <v>1</v>
      </c>
      <c r="I70" s="209">
        <f t="shared" si="4"/>
        <v>0.39375</v>
      </c>
      <c r="J70" s="140"/>
    </row>
    <row r="71" spans="1:10" ht="12.75">
      <c r="A71" s="391"/>
      <c r="B71" s="136"/>
      <c r="C71" s="137"/>
      <c r="D71" s="132" t="s">
        <v>631</v>
      </c>
      <c r="E71" s="100">
        <f>3.375*32*0.5</f>
        <v>54</v>
      </c>
      <c r="F71" s="138">
        <f>Conc</f>
        <v>0.0010416666666666667</v>
      </c>
      <c r="G71" s="139">
        <v>1</v>
      </c>
      <c r="H71" s="139">
        <v>1</v>
      </c>
      <c r="I71" s="210">
        <f t="shared" si="4"/>
        <v>0.05625</v>
      </c>
      <c r="J71" s="141"/>
    </row>
    <row r="72" spans="1:10" ht="12.75">
      <c r="A72" s="391"/>
      <c r="B72" s="136"/>
      <c r="C72" s="137"/>
      <c r="D72" s="132" t="s">
        <v>632</v>
      </c>
      <c r="E72" s="100">
        <f>3.375*10</f>
        <v>33.75</v>
      </c>
      <c r="F72" s="138">
        <f>Conc</f>
        <v>0.0010416666666666667</v>
      </c>
      <c r="G72" s="139">
        <v>1</v>
      </c>
      <c r="H72" s="139">
        <v>1</v>
      </c>
      <c r="I72" s="210">
        <f t="shared" si="4"/>
        <v>0.03515625</v>
      </c>
      <c r="J72" s="141"/>
    </row>
    <row r="73" spans="1:10" ht="12.75">
      <c r="A73" s="391"/>
      <c r="B73" s="136"/>
      <c r="C73" s="137"/>
      <c r="D73" s="132" t="s">
        <v>619</v>
      </c>
      <c r="E73" s="100">
        <f>4.875*7*0.5</f>
        <v>17.0625</v>
      </c>
      <c r="F73" s="138">
        <f>Conc</f>
        <v>0.0010416666666666667</v>
      </c>
      <c r="G73" s="139">
        <v>1</v>
      </c>
      <c r="H73" s="139">
        <v>1</v>
      </c>
      <c r="I73" s="210">
        <f t="shared" si="4"/>
        <v>0.0177734375</v>
      </c>
      <c r="J73" s="141"/>
    </row>
    <row r="74" spans="1:11" ht="13.5" thickBot="1">
      <c r="A74" s="396"/>
      <c r="B74" s="136"/>
      <c r="C74" s="137"/>
      <c r="D74" s="132" t="s">
        <v>620</v>
      </c>
      <c r="E74" s="100">
        <f>4.875*3</f>
        <v>14.625</v>
      </c>
      <c r="F74" s="138">
        <f>Conc</f>
        <v>0.0010416666666666667</v>
      </c>
      <c r="G74" s="139">
        <v>1</v>
      </c>
      <c r="H74" s="139">
        <v>1</v>
      </c>
      <c r="I74" s="211">
        <f t="shared" si="4"/>
        <v>0.015234375</v>
      </c>
      <c r="J74" s="141">
        <f>SUM(I70:I74)</f>
        <v>0.5181640625</v>
      </c>
      <c r="K74" s="101"/>
    </row>
    <row r="75" spans="1:10" ht="13.5" thickTop="1">
      <c r="A75" s="400" t="s">
        <v>670</v>
      </c>
      <c r="B75" s="401"/>
      <c r="C75" s="401"/>
      <c r="D75" s="401"/>
      <c r="E75" s="401"/>
      <c r="F75" s="401"/>
      <c r="G75" s="401"/>
      <c r="H75" s="401"/>
      <c r="I75" s="401"/>
      <c r="J75" s="402"/>
    </row>
    <row r="76" spans="1:10" ht="12.75" customHeight="1">
      <c r="A76" s="403"/>
      <c r="B76" s="404"/>
      <c r="C76" s="404"/>
      <c r="D76" s="404"/>
      <c r="E76" s="404"/>
      <c r="F76" s="404"/>
      <c r="G76" s="404"/>
      <c r="H76" s="404"/>
      <c r="I76" s="404"/>
      <c r="J76" s="405"/>
    </row>
    <row r="77" spans="1:10" ht="15" customHeight="1" thickBot="1">
      <c r="A77" s="406"/>
      <c r="B77" s="407"/>
      <c r="C77" s="407"/>
      <c r="D77" s="407"/>
      <c r="E77" s="407"/>
      <c r="F77" s="407"/>
      <c r="G77" s="407"/>
      <c r="H77" s="407"/>
      <c r="I77" s="407"/>
      <c r="J77" s="408"/>
    </row>
    <row r="78" spans="1:10" ht="13.5" thickTop="1">
      <c r="A78" s="225" t="s">
        <v>606</v>
      </c>
      <c r="B78" s="108" t="s">
        <v>607</v>
      </c>
      <c r="C78" s="142"/>
      <c r="D78" s="126" t="s">
        <v>610</v>
      </c>
      <c r="E78" s="128">
        <f>6.417*31.693</f>
        <v>203.37398100000001</v>
      </c>
      <c r="F78" s="143">
        <f>Conc</f>
        <v>0.0010416666666666667</v>
      </c>
      <c r="G78" s="144">
        <v>1</v>
      </c>
      <c r="H78" s="144">
        <v>1</v>
      </c>
      <c r="I78" s="128">
        <f>E78*F78*G78/H78</f>
        <v>0.21184789687500002</v>
      </c>
      <c r="J78" s="145"/>
    </row>
    <row r="79" spans="1:10" ht="13.5">
      <c r="A79" s="224"/>
      <c r="B79" s="146"/>
      <c r="C79" s="147"/>
      <c r="D79" s="126" t="s">
        <v>608</v>
      </c>
      <c r="E79" s="128">
        <f>3.425*31.693*0.5</f>
        <v>54.2742625</v>
      </c>
      <c r="F79" s="143">
        <f>Conc</f>
        <v>0.0010416666666666667</v>
      </c>
      <c r="G79" s="144">
        <v>1</v>
      </c>
      <c r="H79" s="144">
        <v>1</v>
      </c>
      <c r="I79" s="128">
        <f>E79*F79*G79/H79</f>
        <v>0.05653569010416667</v>
      </c>
      <c r="J79" s="145"/>
    </row>
    <row r="80" spans="1:10" ht="13.5">
      <c r="A80" s="224"/>
      <c r="B80" s="146"/>
      <c r="C80" s="147"/>
      <c r="D80" s="126" t="s">
        <v>611</v>
      </c>
      <c r="E80" s="128">
        <f>9.843*7.087</f>
        <v>69.757341</v>
      </c>
      <c r="F80" s="143">
        <f>Conc</f>
        <v>0.0010416666666666667</v>
      </c>
      <c r="G80" s="144">
        <v>1</v>
      </c>
      <c r="H80" s="144">
        <v>1</v>
      </c>
      <c r="I80" s="128">
        <f>E80*F80*G80/H80</f>
        <v>0.072663896875</v>
      </c>
      <c r="J80" s="145"/>
    </row>
    <row r="81" spans="1:10" ht="13.5">
      <c r="A81" s="224"/>
      <c r="B81" s="146"/>
      <c r="C81" s="147"/>
      <c r="D81" s="126" t="s">
        <v>609</v>
      </c>
      <c r="E81" s="128">
        <f>4.921*7.087*0.5</f>
        <v>17.4375635</v>
      </c>
      <c r="F81" s="143">
        <f>Conc</f>
        <v>0.0010416666666666667</v>
      </c>
      <c r="G81" s="144">
        <v>1</v>
      </c>
      <c r="H81" s="144">
        <v>1</v>
      </c>
      <c r="I81" s="128">
        <f>E81*F81*G81/H81</f>
        <v>0.018164128645833333</v>
      </c>
      <c r="J81" s="145"/>
    </row>
    <row r="82" spans="1:10" ht="12.75">
      <c r="A82" s="224"/>
      <c r="B82" s="148"/>
      <c r="C82" s="149"/>
      <c r="D82" s="126" t="s">
        <v>612</v>
      </c>
      <c r="E82" s="120">
        <f>14.764*2.953</f>
        <v>43.598091999999994</v>
      </c>
      <c r="F82" s="143">
        <f>Conc</f>
        <v>0.0010416666666666667</v>
      </c>
      <c r="G82" s="144">
        <v>1</v>
      </c>
      <c r="H82" s="144">
        <v>1</v>
      </c>
      <c r="I82" s="128">
        <f>E82*F82*G82/H82</f>
        <v>0.04541467916666666</v>
      </c>
      <c r="J82" s="150">
        <f>SUM(I78:I82)</f>
        <v>0.4046262916666667</v>
      </c>
    </row>
    <row r="83" spans="1:10" ht="12.75">
      <c r="A83" s="415" t="s">
        <v>5</v>
      </c>
      <c r="B83" s="125" t="s">
        <v>579</v>
      </c>
      <c r="C83" s="109" t="s">
        <v>7</v>
      </c>
      <c r="D83" s="109" t="s">
        <v>281</v>
      </c>
      <c r="E83" s="192" t="s">
        <v>282</v>
      </c>
      <c r="F83" s="193">
        <f>Steel</f>
        <v>0.0034027777777777776</v>
      </c>
      <c r="G83" s="194" t="s">
        <v>282</v>
      </c>
      <c r="H83" s="194" t="s">
        <v>282</v>
      </c>
      <c r="I83" s="195">
        <f>0.002*8</f>
        <v>0.016</v>
      </c>
      <c r="J83" s="196"/>
    </row>
    <row r="84" spans="1:11" ht="12.75">
      <c r="A84" s="416"/>
      <c r="B84" s="122"/>
      <c r="C84" s="118"/>
      <c r="D84" s="119" t="s">
        <v>581</v>
      </c>
      <c r="E84" s="122">
        <f>10.5*24</f>
        <v>252</v>
      </c>
      <c r="F84" s="129">
        <f>Conc</f>
        <v>0.0010416666666666667</v>
      </c>
      <c r="G84" s="120">
        <v>1</v>
      </c>
      <c r="H84" s="120">
        <v>1</v>
      </c>
      <c r="I84" s="122">
        <f>E84*F84*G84/H84</f>
        <v>0.2625</v>
      </c>
      <c r="J84" s="123">
        <f>SUM(I83:I84)</f>
        <v>0.2785</v>
      </c>
      <c r="K84" s="101"/>
    </row>
    <row r="85" spans="1:10" ht="12.75">
      <c r="A85" s="416"/>
      <c r="B85" s="247" t="s">
        <v>578</v>
      </c>
      <c r="C85" s="248"/>
      <c r="D85" s="249" t="s">
        <v>281</v>
      </c>
      <c r="E85" s="250" t="s">
        <v>282</v>
      </c>
      <c r="F85" s="251">
        <f>Steel</f>
        <v>0.0034027777777777776</v>
      </c>
      <c r="G85" s="252" t="s">
        <v>282</v>
      </c>
      <c r="H85" s="252" t="s">
        <v>282</v>
      </c>
      <c r="I85" s="253">
        <f>0.002*8</f>
        <v>0.016</v>
      </c>
      <c r="J85" s="254"/>
    </row>
    <row r="86" spans="1:11" ht="12.75">
      <c r="A86" s="416"/>
      <c r="B86" s="255"/>
      <c r="C86" s="256"/>
      <c r="D86" s="257" t="s">
        <v>283</v>
      </c>
      <c r="E86" s="258">
        <f>6*12.25</f>
        <v>73.5</v>
      </c>
      <c r="F86" s="259">
        <f>Conc</f>
        <v>0.0010416666666666667</v>
      </c>
      <c r="G86" s="260">
        <v>1</v>
      </c>
      <c r="H86" s="260">
        <v>1</v>
      </c>
      <c r="I86" s="258">
        <f>E86*F86*G86/H86</f>
        <v>0.0765625</v>
      </c>
      <c r="J86" s="261">
        <f>SUM(I85:I86)</f>
        <v>0.0925625</v>
      </c>
      <c r="K86" s="101"/>
    </row>
    <row r="87" spans="1:10" ht="12.75">
      <c r="A87" s="416"/>
      <c r="B87" s="247" t="s">
        <v>580</v>
      </c>
      <c r="C87" s="248"/>
      <c r="D87" s="249" t="s">
        <v>328</v>
      </c>
      <c r="E87" s="250" t="s">
        <v>282</v>
      </c>
      <c r="F87" s="251">
        <f>Steel</f>
        <v>0.0034027777777777776</v>
      </c>
      <c r="G87" s="252" t="s">
        <v>282</v>
      </c>
      <c r="H87" s="252" t="s">
        <v>282</v>
      </c>
      <c r="I87" s="253">
        <f>0.002*6</f>
        <v>0.012</v>
      </c>
      <c r="J87" s="254"/>
    </row>
    <row r="88" spans="1:11" ht="12.75">
      <c r="A88" s="416"/>
      <c r="B88" s="255"/>
      <c r="C88" s="256"/>
      <c r="D88" s="257" t="s">
        <v>583</v>
      </c>
      <c r="E88" s="258">
        <f>SUM(E170:E174)</f>
        <v>321.5625</v>
      </c>
      <c r="F88" s="259">
        <f>Conc</f>
        <v>0.0010416666666666667</v>
      </c>
      <c r="G88" s="260">
        <v>1</v>
      </c>
      <c r="H88" s="260">
        <v>1</v>
      </c>
      <c r="I88" s="258">
        <f>J174</f>
        <v>0.3349609375</v>
      </c>
      <c r="J88" s="261">
        <f>SUM(I87:I88)</f>
        <v>0.3469609375</v>
      </c>
      <c r="K88" s="101"/>
    </row>
    <row r="89" spans="1:10" ht="12.75">
      <c r="A89" s="416"/>
      <c r="B89" s="206" t="s">
        <v>663</v>
      </c>
      <c r="C89" s="115"/>
      <c r="D89" s="109" t="s">
        <v>281</v>
      </c>
      <c r="E89" s="192" t="s">
        <v>282</v>
      </c>
      <c r="F89" s="193">
        <f>Steel</f>
        <v>0.0034027777777777776</v>
      </c>
      <c r="G89" s="194" t="s">
        <v>282</v>
      </c>
      <c r="H89" s="194" t="s">
        <v>282</v>
      </c>
      <c r="I89" s="195">
        <f>0.002*8</f>
        <v>0.016</v>
      </c>
      <c r="J89" s="196"/>
    </row>
    <row r="90" spans="1:11" ht="12.75">
      <c r="A90" s="417"/>
      <c r="B90" s="117"/>
      <c r="C90" s="155" t="s">
        <v>665</v>
      </c>
      <c r="D90" s="207" t="s">
        <v>664</v>
      </c>
      <c r="E90" s="122"/>
      <c r="F90" s="129"/>
      <c r="G90" s="120"/>
      <c r="H90" s="120"/>
      <c r="I90" s="122">
        <f>J169</f>
        <v>0.1625138703622525</v>
      </c>
      <c r="J90" s="123">
        <f>SUM(I89:I90)</f>
        <v>0.17851387036225252</v>
      </c>
      <c r="K90" s="101"/>
    </row>
    <row r="91" spans="1:11" ht="12.75">
      <c r="A91" s="415" t="s">
        <v>9</v>
      </c>
      <c r="B91" s="159" t="s">
        <v>10</v>
      </c>
      <c r="C91" s="115"/>
      <c r="D91" s="126" t="s">
        <v>285</v>
      </c>
      <c r="E91" s="127">
        <f>4*3-(4-2*0.25)*(3-2*0.25)</f>
        <v>3.25</v>
      </c>
      <c r="F91" s="121">
        <f>Steel</f>
        <v>0.0034027777777777776</v>
      </c>
      <c r="G91" s="160">
        <v>1</v>
      </c>
      <c r="H91" s="160">
        <v>1</v>
      </c>
      <c r="I91" s="127">
        <f>E91*F91*G91/H91</f>
        <v>0.011059027777777777</v>
      </c>
      <c r="J91" s="114"/>
      <c r="K91" s="179"/>
    </row>
    <row r="92" spans="1:10" ht="12.75">
      <c r="A92" s="416"/>
      <c r="B92" s="159"/>
      <c r="C92" s="115"/>
      <c r="D92" s="126" t="s">
        <v>286</v>
      </c>
      <c r="E92" s="127">
        <f>4*4-(4-2*0.1875)*(4-2*0.1875)</f>
        <v>2.859375</v>
      </c>
      <c r="F92" s="121">
        <f>Steel</f>
        <v>0.0034027777777777776</v>
      </c>
      <c r="G92" s="160">
        <f>1.333</f>
        <v>1.333</v>
      </c>
      <c r="H92" s="160">
        <v>6.667</v>
      </c>
      <c r="I92" s="127">
        <f>E92*F92*G92/H92</f>
        <v>0.0019453797817921602</v>
      </c>
      <c r="J92" s="114"/>
    </row>
    <row r="93" spans="1:10" ht="12.75">
      <c r="A93" s="416"/>
      <c r="B93" s="108"/>
      <c r="C93" s="115"/>
      <c r="D93" s="126" t="s">
        <v>287</v>
      </c>
      <c r="E93" s="111">
        <f>10*8.5</f>
        <v>85</v>
      </c>
      <c r="F93" s="121">
        <f>Steel</f>
        <v>0.0034027777777777776</v>
      </c>
      <c r="G93" s="160">
        <f>0.75/12</f>
        <v>0.0625</v>
      </c>
      <c r="H93" s="160">
        <v>6.667</v>
      </c>
      <c r="I93" s="127">
        <f>E93*F93*G93/H93</f>
        <v>0.0027114529690182155</v>
      </c>
      <c r="J93" s="114"/>
    </row>
    <row r="94" spans="1:10" ht="12.75">
      <c r="A94" s="416"/>
      <c r="B94" s="108"/>
      <c r="C94" s="115"/>
      <c r="D94" s="115" t="s">
        <v>288</v>
      </c>
      <c r="E94" s="111">
        <f>11.5*10</f>
        <v>115</v>
      </c>
      <c r="F94" s="121">
        <f>Conc</f>
        <v>0.0010416666666666667</v>
      </c>
      <c r="G94" s="160">
        <f>1.5/12</f>
        <v>0.125</v>
      </c>
      <c r="H94" s="160">
        <v>6.667</v>
      </c>
      <c r="I94" s="127">
        <f>E94*F94*G94/H94</f>
        <v>0.002245981450927454</v>
      </c>
      <c r="J94" s="114"/>
    </row>
    <row r="95" spans="1:11" ht="12.75">
      <c r="A95" s="416"/>
      <c r="B95" s="117"/>
      <c r="C95" s="118"/>
      <c r="D95" s="119" t="s">
        <v>289</v>
      </c>
      <c r="E95" s="122">
        <f>10.5*24</f>
        <v>252</v>
      </c>
      <c r="F95" s="129">
        <f>Conc</f>
        <v>0.0010416666666666667</v>
      </c>
      <c r="G95" s="161">
        <v>1</v>
      </c>
      <c r="H95" s="161">
        <v>1</v>
      </c>
      <c r="I95" s="122">
        <f>E95*F95*G95/H95</f>
        <v>0.2625</v>
      </c>
      <c r="J95" s="123">
        <f>SUM(I91:I95)</f>
        <v>0.2804618419795156</v>
      </c>
      <c r="K95" s="101"/>
    </row>
    <row r="96" spans="1:10" ht="12.75">
      <c r="A96" s="416"/>
      <c r="B96" s="159" t="s">
        <v>11</v>
      </c>
      <c r="C96" s="115"/>
      <c r="D96" s="126" t="s">
        <v>285</v>
      </c>
      <c r="E96" s="127">
        <f>4*3-(4-2*0.25)*(3-2*0.25)</f>
        <v>3.25</v>
      </c>
      <c r="F96" s="121">
        <f>Steel</f>
        <v>0.0034027777777777776</v>
      </c>
      <c r="G96" s="160">
        <v>1</v>
      </c>
      <c r="H96" s="160">
        <v>1</v>
      </c>
      <c r="I96" s="127">
        <f aca="true" t="shared" si="5" ref="I96:I112">E96*F96*G96/H96</f>
        <v>0.011059027777777777</v>
      </c>
      <c r="J96" s="114"/>
    </row>
    <row r="97" spans="1:10" ht="12.75">
      <c r="A97" s="416"/>
      <c r="B97" s="159"/>
      <c r="C97" s="115"/>
      <c r="D97" s="126" t="s">
        <v>290</v>
      </c>
      <c r="E97" s="127">
        <f>3*2-(3-2*0.25)*(2-2*0.25)</f>
        <v>2.25</v>
      </c>
      <c r="F97" s="121">
        <f>Steel</f>
        <v>0.0034027777777777776</v>
      </c>
      <c r="G97" s="160">
        <v>1</v>
      </c>
      <c r="H97" s="160">
        <v>1</v>
      </c>
      <c r="I97" s="127">
        <f t="shared" si="5"/>
        <v>0.00765625</v>
      </c>
      <c r="J97" s="114"/>
    </row>
    <row r="98" spans="1:10" ht="12.75">
      <c r="A98" s="416"/>
      <c r="B98" s="108"/>
      <c r="C98" s="115"/>
      <c r="D98" s="126" t="s">
        <v>286</v>
      </c>
      <c r="E98" s="127">
        <f>4*4-(4-2*0.1875)*(4-2*0.1875)</f>
        <v>2.859375</v>
      </c>
      <c r="F98" s="121">
        <f>Steel</f>
        <v>0.0034027777777777776</v>
      </c>
      <c r="G98" s="160">
        <f>2.333</f>
        <v>2.333</v>
      </c>
      <c r="H98" s="160">
        <v>6.667</v>
      </c>
      <c r="I98" s="127">
        <f t="shared" si="5"/>
        <v>0.0034047794680578474</v>
      </c>
      <c r="J98" s="114"/>
    </row>
    <row r="99" spans="1:10" ht="12.75">
      <c r="A99" s="416"/>
      <c r="B99" s="108"/>
      <c r="C99" s="115"/>
      <c r="D99" s="126" t="s">
        <v>287</v>
      </c>
      <c r="E99" s="111">
        <f>10*8.5</f>
        <v>85</v>
      </c>
      <c r="F99" s="121">
        <f>Steel</f>
        <v>0.0034027777777777776</v>
      </c>
      <c r="G99" s="160">
        <f>0.75/12</f>
        <v>0.0625</v>
      </c>
      <c r="H99" s="160">
        <v>6.667</v>
      </c>
      <c r="I99" s="127">
        <f t="shared" si="5"/>
        <v>0.0027114529690182155</v>
      </c>
      <c r="J99" s="114"/>
    </row>
    <row r="100" spans="1:10" ht="12.75">
      <c r="A100" s="416"/>
      <c r="B100" s="108"/>
      <c r="C100" s="115"/>
      <c r="D100" s="115" t="s">
        <v>288</v>
      </c>
      <c r="E100" s="111">
        <f>11.5*10</f>
        <v>115</v>
      </c>
      <c r="F100" s="121">
        <f>Conc</f>
        <v>0.0010416666666666667</v>
      </c>
      <c r="G100" s="160">
        <f>1.5/12</f>
        <v>0.125</v>
      </c>
      <c r="H100" s="160">
        <v>6.667</v>
      </c>
      <c r="I100" s="127">
        <f t="shared" si="5"/>
        <v>0.002245981450927454</v>
      </c>
      <c r="J100" s="114"/>
    </row>
    <row r="101" spans="1:11" ht="12.75">
      <c r="A101" s="417"/>
      <c r="B101" s="117"/>
      <c r="C101" s="118"/>
      <c r="D101" s="119" t="s">
        <v>289</v>
      </c>
      <c r="E101" s="122">
        <f>10.5*24</f>
        <v>252</v>
      </c>
      <c r="F101" s="129">
        <f>Conc</f>
        <v>0.0010416666666666667</v>
      </c>
      <c r="G101" s="161">
        <v>1</v>
      </c>
      <c r="H101" s="161">
        <v>1</v>
      </c>
      <c r="I101" s="122">
        <f t="shared" si="5"/>
        <v>0.2625</v>
      </c>
      <c r="J101" s="123">
        <f>SUM(I96:I101)</f>
        <v>0.2895774916657813</v>
      </c>
      <c r="K101" s="101"/>
    </row>
    <row r="102" spans="1:10" ht="12.75">
      <c r="A102" s="415" t="s">
        <v>12</v>
      </c>
      <c r="B102" s="159" t="s">
        <v>13</v>
      </c>
      <c r="C102" s="115"/>
      <c r="D102" s="126" t="s">
        <v>285</v>
      </c>
      <c r="E102" s="127">
        <f>4*3-(4-2*0.25)*(3-2*0.25)</f>
        <v>3.25</v>
      </c>
      <c r="F102" s="121">
        <f>Steel</f>
        <v>0.0034027777777777776</v>
      </c>
      <c r="G102" s="160">
        <v>1</v>
      </c>
      <c r="H102" s="160">
        <v>1</v>
      </c>
      <c r="I102" s="127">
        <f t="shared" si="5"/>
        <v>0.011059027777777777</v>
      </c>
      <c r="J102" s="114"/>
    </row>
    <row r="103" spans="1:10" ht="12.75">
      <c r="A103" s="416"/>
      <c r="B103" s="159"/>
      <c r="C103" s="115"/>
      <c r="D103" s="126" t="s">
        <v>286</v>
      </c>
      <c r="E103" s="127">
        <f>4*4-(4-2*0.1875)*(4-2*0.1875)</f>
        <v>2.859375</v>
      </c>
      <c r="F103" s="121">
        <f>Steel</f>
        <v>0.0034027777777777776</v>
      </c>
      <c r="G103" s="160">
        <f>1.333</f>
        <v>1.333</v>
      </c>
      <c r="H103" s="160">
        <v>6.667</v>
      </c>
      <c r="I103" s="127">
        <f t="shared" si="5"/>
        <v>0.0019453797817921602</v>
      </c>
      <c r="J103" s="114"/>
    </row>
    <row r="104" spans="1:10" ht="12.75">
      <c r="A104" s="416"/>
      <c r="B104" s="108"/>
      <c r="C104" s="115"/>
      <c r="D104" s="126" t="s">
        <v>287</v>
      </c>
      <c r="E104" s="111">
        <f>10*8.5</f>
        <v>85</v>
      </c>
      <c r="F104" s="121">
        <f>Steel</f>
        <v>0.0034027777777777776</v>
      </c>
      <c r="G104" s="160">
        <f>0.75/12</f>
        <v>0.0625</v>
      </c>
      <c r="H104" s="160">
        <v>6.667</v>
      </c>
      <c r="I104" s="127">
        <f t="shared" si="5"/>
        <v>0.0027114529690182155</v>
      </c>
      <c r="J104" s="114"/>
    </row>
    <row r="105" spans="1:10" ht="12.75">
      <c r="A105" s="416"/>
      <c r="B105" s="108"/>
      <c r="C105" s="115"/>
      <c r="D105" s="115" t="s">
        <v>288</v>
      </c>
      <c r="E105" s="111">
        <f>11.5*10</f>
        <v>115</v>
      </c>
      <c r="F105" s="121">
        <f>Conc</f>
        <v>0.0010416666666666667</v>
      </c>
      <c r="G105" s="160">
        <f>1.5/12</f>
        <v>0.125</v>
      </c>
      <c r="H105" s="160">
        <v>6.667</v>
      </c>
      <c r="I105" s="127">
        <f t="shared" si="5"/>
        <v>0.002245981450927454</v>
      </c>
      <c r="J105" s="114"/>
    </row>
    <row r="106" spans="1:11" ht="12.75">
      <c r="A106" s="416"/>
      <c r="B106" s="117"/>
      <c r="C106" s="118"/>
      <c r="D106" s="119" t="s">
        <v>289</v>
      </c>
      <c r="E106" s="122">
        <f>10.5*24</f>
        <v>252</v>
      </c>
      <c r="F106" s="129">
        <f>Conc</f>
        <v>0.0010416666666666667</v>
      </c>
      <c r="G106" s="161">
        <v>1</v>
      </c>
      <c r="H106" s="161">
        <v>1</v>
      </c>
      <c r="I106" s="122">
        <f t="shared" si="5"/>
        <v>0.2625</v>
      </c>
      <c r="J106" s="123">
        <f>SUM(I102:I106)</f>
        <v>0.2804618419795156</v>
      </c>
      <c r="K106" s="101"/>
    </row>
    <row r="107" spans="1:10" ht="12.75">
      <c r="A107" s="416"/>
      <c r="B107" s="159" t="s">
        <v>14</v>
      </c>
      <c r="C107" s="115"/>
      <c r="D107" s="126" t="s">
        <v>285</v>
      </c>
      <c r="E107" s="127">
        <f>4*3-(4-2*0.25)*(3-2*0.25)</f>
        <v>3.25</v>
      </c>
      <c r="F107" s="121">
        <f>Steel</f>
        <v>0.0034027777777777776</v>
      </c>
      <c r="G107" s="160">
        <v>1</v>
      </c>
      <c r="H107" s="160">
        <v>1</v>
      </c>
      <c r="I107" s="127">
        <f t="shared" si="5"/>
        <v>0.011059027777777777</v>
      </c>
      <c r="J107" s="114"/>
    </row>
    <row r="108" spans="1:10" ht="12.75">
      <c r="A108" s="416"/>
      <c r="B108" s="159"/>
      <c r="C108" s="115"/>
      <c r="D108" s="126" t="s">
        <v>290</v>
      </c>
      <c r="E108" s="127">
        <f>3*2-(3-2*0.25)*(2-2*0.25)</f>
        <v>2.25</v>
      </c>
      <c r="F108" s="121">
        <f>Steel</f>
        <v>0.0034027777777777776</v>
      </c>
      <c r="G108" s="160">
        <v>1</v>
      </c>
      <c r="H108" s="160">
        <v>1</v>
      </c>
      <c r="I108" s="127">
        <f t="shared" si="5"/>
        <v>0.00765625</v>
      </c>
      <c r="J108" s="114"/>
    </row>
    <row r="109" spans="1:10" ht="12.75">
      <c r="A109" s="416"/>
      <c r="B109" s="108"/>
      <c r="C109" s="115"/>
      <c r="D109" s="126" t="s">
        <v>286</v>
      </c>
      <c r="E109" s="127">
        <f>4*4-(4-2*0.1875)*(4-2*0.1875)</f>
        <v>2.859375</v>
      </c>
      <c r="F109" s="121">
        <f>Steel</f>
        <v>0.0034027777777777776</v>
      </c>
      <c r="G109" s="160">
        <f>2.333</f>
        <v>2.333</v>
      </c>
      <c r="H109" s="160">
        <v>6.667</v>
      </c>
      <c r="I109" s="127">
        <f t="shared" si="5"/>
        <v>0.0034047794680578474</v>
      </c>
      <c r="J109" s="114"/>
    </row>
    <row r="110" spans="1:10" ht="12.75">
      <c r="A110" s="416"/>
      <c r="B110" s="108"/>
      <c r="C110" s="115"/>
      <c r="D110" s="126" t="s">
        <v>287</v>
      </c>
      <c r="E110" s="111">
        <f>10*8.5</f>
        <v>85</v>
      </c>
      <c r="F110" s="121">
        <f>Steel</f>
        <v>0.0034027777777777776</v>
      </c>
      <c r="G110" s="160">
        <f>0.75/12</f>
        <v>0.0625</v>
      </c>
      <c r="H110" s="160">
        <v>6.667</v>
      </c>
      <c r="I110" s="127">
        <f t="shared" si="5"/>
        <v>0.0027114529690182155</v>
      </c>
      <c r="J110" s="114"/>
    </row>
    <row r="111" spans="1:10" ht="12.75">
      <c r="A111" s="416"/>
      <c r="B111" s="108"/>
      <c r="C111" s="115"/>
      <c r="D111" s="115" t="s">
        <v>288</v>
      </c>
      <c r="E111" s="111">
        <f>11.5*10</f>
        <v>115</v>
      </c>
      <c r="F111" s="121">
        <f>Conc</f>
        <v>0.0010416666666666667</v>
      </c>
      <c r="G111" s="160">
        <f>1.5/12</f>
        <v>0.125</v>
      </c>
      <c r="H111" s="160">
        <v>6.667</v>
      </c>
      <c r="I111" s="127">
        <f t="shared" si="5"/>
        <v>0.002245981450927454</v>
      </c>
      <c r="J111" s="114"/>
    </row>
    <row r="112" spans="1:11" ht="12.75">
      <c r="A112" s="417"/>
      <c r="B112" s="117"/>
      <c r="C112" s="118"/>
      <c r="D112" s="119" t="s">
        <v>289</v>
      </c>
      <c r="E112" s="122">
        <f>10.5*24</f>
        <v>252</v>
      </c>
      <c r="F112" s="129">
        <f>Conc</f>
        <v>0.0010416666666666667</v>
      </c>
      <c r="G112" s="161">
        <v>1</v>
      </c>
      <c r="H112" s="161">
        <v>1</v>
      </c>
      <c r="I112" s="122">
        <f t="shared" si="5"/>
        <v>0.2625</v>
      </c>
      <c r="J112" s="123">
        <f>SUM(I107:I112)</f>
        <v>0.2895774916657813</v>
      </c>
      <c r="K112" s="101"/>
    </row>
    <row r="113" spans="1:10" ht="12.75">
      <c r="A113" s="264" t="s">
        <v>15</v>
      </c>
      <c r="B113" s="265" t="s">
        <v>16</v>
      </c>
      <c r="C113" s="266"/>
      <c r="D113" s="267" t="s">
        <v>648</v>
      </c>
      <c r="E113" s="268">
        <f>8*4-(8-2*0.291)*(4-2*0.291)</f>
        <v>6.645275999999999</v>
      </c>
      <c r="F113" s="269">
        <f aca="true" t="shared" si="6" ref="F113:F120">Steel</f>
        <v>0.0034027777777777776</v>
      </c>
      <c r="G113" s="270">
        <v>1</v>
      </c>
      <c r="H113" s="270">
        <v>1</v>
      </c>
      <c r="I113" s="268">
        <f aca="true" t="shared" si="7" ref="I113:I118">E113*F113*G113/H113</f>
        <v>0.022612397499999996</v>
      </c>
      <c r="J113" s="271"/>
    </row>
    <row r="114" spans="1:10" ht="12.75">
      <c r="A114" s="272"/>
      <c r="B114" s="265"/>
      <c r="C114" s="266"/>
      <c r="D114" s="267" t="s">
        <v>649</v>
      </c>
      <c r="E114" s="268">
        <f>6*4-(6-2*0.233)*(4-2*0.233)</f>
        <v>4.442844000000001</v>
      </c>
      <c r="F114" s="269">
        <f t="shared" si="6"/>
        <v>0.0034027777777777776</v>
      </c>
      <c r="G114" s="270">
        <v>1</v>
      </c>
      <c r="H114" s="270">
        <v>1</v>
      </c>
      <c r="I114" s="268">
        <f t="shared" si="7"/>
        <v>0.015118010833333336</v>
      </c>
      <c r="J114" s="271"/>
    </row>
    <row r="115" spans="1:10" ht="12.75">
      <c r="A115" s="272"/>
      <c r="B115" s="265"/>
      <c r="C115" s="266"/>
      <c r="D115" s="273" t="s">
        <v>291</v>
      </c>
      <c r="E115" s="268">
        <f>0.025/Steel</f>
        <v>7.346938775510205</v>
      </c>
      <c r="F115" s="269">
        <f t="shared" si="6"/>
        <v>0.0034027777777777776</v>
      </c>
      <c r="G115" s="270">
        <f>2.5833+1.16667</f>
        <v>3.7499700000000002</v>
      </c>
      <c r="H115" s="270">
        <v>6.25</v>
      </c>
      <c r="I115" s="268">
        <f t="shared" si="7"/>
        <v>0.01499988</v>
      </c>
      <c r="J115" s="271"/>
    </row>
    <row r="116" spans="1:10" ht="12.75">
      <c r="A116" s="272"/>
      <c r="B116" s="265"/>
      <c r="C116" s="266"/>
      <c r="D116" s="267" t="s">
        <v>650</v>
      </c>
      <c r="E116" s="268">
        <f>6*4-(6-2*0.233)*(4-2*0.233)</f>
        <v>4.442844000000001</v>
      </c>
      <c r="F116" s="269">
        <f t="shared" si="6"/>
        <v>0.0034027777777777776</v>
      </c>
      <c r="G116" s="270">
        <f>4/12</f>
        <v>0.3333333333333333</v>
      </c>
      <c r="H116" s="270">
        <v>6.25</v>
      </c>
      <c r="I116" s="268">
        <f t="shared" si="7"/>
        <v>0.0008062939111111112</v>
      </c>
      <c r="J116" s="271"/>
    </row>
    <row r="117" spans="1:10" ht="12.75">
      <c r="A117" s="272"/>
      <c r="B117" s="265"/>
      <c r="C117" s="266"/>
      <c r="D117" s="267" t="s">
        <v>651</v>
      </c>
      <c r="E117" s="268">
        <f>6*3-(6-2*0.233)*(3-2*0.233)</f>
        <v>3.9768440000000016</v>
      </c>
      <c r="F117" s="269">
        <f t="shared" si="6"/>
        <v>0.0034027777777777776</v>
      </c>
      <c r="G117" s="270">
        <f>3.5/12</f>
        <v>0.2916666666666667</v>
      </c>
      <c r="H117" s="270">
        <v>6.25</v>
      </c>
      <c r="I117" s="274">
        <f t="shared" si="7"/>
        <v>0.0006315080981481484</v>
      </c>
      <c r="J117" s="271"/>
    </row>
    <row r="118" spans="1:11" ht="12.75">
      <c r="A118" s="275"/>
      <c r="B118" s="255"/>
      <c r="C118" s="256"/>
      <c r="D118" s="257" t="s">
        <v>292</v>
      </c>
      <c r="E118" s="258">
        <f>2*6.94</f>
        <v>13.88</v>
      </c>
      <c r="F118" s="276">
        <f t="shared" si="6"/>
        <v>0.0034027777777777776</v>
      </c>
      <c r="G118" s="260">
        <v>0.5</v>
      </c>
      <c r="H118" s="260">
        <v>6.25</v>
      </c>
      <c r="I118" s="258">
        <f t="shared" si="7"/>
        <v>0.003778444444444444</v>
      </c>
      <c r="J118" s="262">
        <f>SUM(I113:I118)</f>
        <v>0.057946534787037034</v>
      </c>
      <c r="K118" s="101"/>
    </row>
    <row r="119" spans="1:10" ht="12.75">
      <c r="A119" s="227" t="s">
        <v>17</v>
      </c>
      <c r="B119" s="159" t="s">
        <v>18</v>
      </c>
      <c r="C119" s="126" t="s">
        <v>19</v>
      </c>
      <c r="D119" s="153" t="s">
        <v>320</v>
      </c>
      <c r="E119" s="127">
        <f>2*5*5-(5-2*0.1875)*(5-2*0.1875)</f>
        <v>28.609375</v>
      </c>
      <c r="F119" s="143">
        <f t="shared" si="6"/>
        <v>0.0034027777777777776</v>
      </c>
      <c r="G119" s="128">
        <v>1</v>
      </c>
      <c r="H119" s="128">
        <v>1</v>
      </c>
      <c r="I119" s="127">
        <f aca="true" t="shared" si="8" ref="I119:I143">E119*F119*G119/H119</f>
        <v>0.0973513454861111</v>
      </c>
      <c r="J119" s="145"/>
    </row>
    <row r="120" spans="1:11" ht="12.75">
      <c r="A120" s="226"/>
      <c r="B120" s="117"/>
      <c r="C120" s="118"/>
      <c r="D120" s="155" t="s">
        <v>684</v>
      </c>
      <c r="E120" s="122">
        <f>2*5*11</f>
        <v>110</v>
      </c>
      <c r="F120" s="213">
        <f t="shared" si="6"/>
        <v>0.0034027777777777776</v>
      </c>
      <c r="G120" s="120">
        <f>0.25/12</f>
        <v>0.020833333333333332</v>
      </c>
      <c r="H120" s="120">
        <v>8</v>
      </c>
      <c r="I120" s="122">
        <f t="shared" si="8"/>
        <v>0.0009747540509259259</v>
      </c>
      <c r="J120" s="150">
        <f>SUM(I119:I120)</f>
        <v>0.09832609953703703</v>
      </c>
      <c r="K120" s="101"/>
    </row>
    <row r="121" spans="1:10" ht="12.75">
      <c r="A121" s="397" t="s">
        <v>20</v>
      </c>
      <c r="B121" s="277" t="s">
        <v>293</v>
      </c>
      <c r="C121" s="273" t="s">
        <v>22</v>
      </c>
      <c r="D121" s="273" t="s">
        <v>294</v>
      </c>
      <c r="E121" s="268">
        <f>5.75*22</f>
        <v>126.5</v>
      </c>
      <c r="F121" s="269">
        <f aca="true" t="shared" si="9" ref="F121:F139">Conc</f>
        <v>0.0010416666666666667</v>
      </c>
      <c r="G121" s="270">
        <v>1</v>
      </c>
      <c r="H121" s="270">
        <v>1</v>
      </c>
      <c r="I121" s="268">
        <f t="shared" si="8"/>
        <v>0.13177083333333334</v>
      </c>
      <c r="J121" s="278"/>
    </row>
    <row r="122" spans="1:10" ht="12.75">
      <c r="A122" s="398"/>
      <c r="B122" s="265" t="s">
        <v>295</v>
      </c>
      <c r="C122" s="266"/>
      <c r="D122" s="273" t="s">
        <v>296</v>
      </c>
      <c r="E122" s="268">
        <f>2.375*22*0.5</f>
        <v>26.125</v>
      </c>
      <c r="F122" s="269">
        <f t="shared" si="9"/>
        <v>0.0010416666666666667</v>
      </c>
      <c r="G122" s="270">
        <v>1</v>
      </c>
      <c r="H122" s="270">
        <v>1</v>
      </c>
      <c r="I122" s="268">
        <f t="shared" si="8"/>
        <v>0.027213541666666667</v>
      </c>
      <c r="J122" s="278"/>
    </row>
    <row r="123" spans="1:10" ht="12.75">
      <c r="A123" s="398"/>
      <c r="B123" s="265"/>
      <c r="C123" s="266"/>
      <c r="D123" s="273" t="s">
        <v>297</v>
      </c>
      <c r="E123" s="268">
        <f>8.125*1</f>
        <v>8.125</v>
      </c>
      <c r="F123" s="269">
        <f t="shared" si="9"/>
        <v>0.0010416666666666667</v>
      </c>
      <c r="G123" s="270">
        <v>1</v>
      </c>
      <c r="H123" s="270">
        <v>1</v>
      </c>
      <c r="I123" s="268">
        <f t="shared" si="8"/>
        <v>0.008463541666666666</v>
      </c>
      <c r="J123" s="278"/>
    </row>
    <row r="124" spans="1:10" ht="12.75">
      <c r="A124" s="398"/>
      <c r="B124" s="265"/>
      <c r="C124" s="266"/>
      <c r="D124" s="273" t="s">
        <v>298</v>
      </c>
      <c r="E124" s="268">
        <f>5.125*9</f>
        <v>46.125</v>
      </c>
      <c r="F124" s="269">
        <f t="shared" si="9"/>
        <v>0.0010416666666666667</v>
      </c>
      <c r="G124" s="270">
        <v>1</v>
      </c>
      <c r="H124" s="270">
        <v>1</v>
      </c>
      <c r="I124" s="268">
        <f t="shared" si="8"/>
        <v>0.048046875</v>
      </c>
      <c r="J124" s="278"/>
    </row>
    <row r="125" spans="1:10" ht="12.75">
      <c r="A125" s="398"/>
      <c r="B125" s="265"/>
      <c r="C125" s="266"/>
      <c r="D125" s="273" t="s">
        <v>299</v>
      </c>
      <c r="E125" s="268">
        <f>4.875*7*0.5</f>
        <v>17.0625</v>
      </c>
      <c r="F125" s="269">
        <f t="shared" si="9"/>
        <v>0.0010416666666666667</v>
      </c>
      <c r="G125" s="270">
        <v>1</v>
      </c>
      <c r="H125" s="270">
        <v>1</v>
      </c>
      <c r="I125" s="268">
        <f t="shared" si="8"/>
        <v>0.0177734375</v>
      </c>
      <c r="J125" s="278"/>
    </row>
    <row r="126" spans="1:11" ht="12.75">
      <c r="A126" s="398"/>
      <c r="B126" s="255"/>
      <c r="C126" s="256"/>
      <c r="D126" s="257" t="s">
        <v>300</v>
      </c>
      <c r="E126" s="258">
        <f>4.875*3</f>
        <v>14.625</v>
      </c>
      <c r="F126" s="276">
        <f t="shared" si="9"/>
        <v>0.0010416666666666667</v>
      </c>
      <c r="G126" s="260">
        <v>1</v>
      </c>
      <c r="H126" s="260">
        <v>1</v>
      </c>
      <c r="I126" s="258">
        <f t="shared" si="8"/>
        <v>0.015234375</v>
      </c>
      <c r="J126" s="262">
        <f>SUM(I121:I126)</f>
        <v>0.24850260416666667</v>
      </c>
      <c r="K126" s="101"/>
    </row>
    <row r="127" spans="1:10" ht="12.75">
      <c r="A127" s="398"/>
      <c r="B127" s="277" t="s">
        <v>293</v>
      </c>
      <c r="C127" s="273" t="s">
        <v>22</v>
      </c>
      <c r="D127" s="267" t="s">
        <v>677</v>
      </c>
      <c r="E127" s="268">
        <f>7.75*22</f>
        <v>170.5</v>
      </c>
      <c r="F127" s="269">
        <f t="shared" si="9"/>
        <v>0.0010416666666666667</v>
      </c>
      <c r="G127" s="270">
        <v>1</v>
      </c>
      <c r="H127" s="270">
        <v>1</v>
      </c>
      <c r="I127" s="268">
        <f t="shared" si="8"/>
        <v>0.17760416666666667</v>
      </c>
      <c r="J127" s="279"/>
    </row>
    <row r="128" spans="1:10" ht="12.75">
      <c r="A128" s="398"/>
      <c r="B128" s="265" t="s">
        <v>301</v>
      </c>
      <c r="C128" s="266"/>
      <c r="D128" s="273" t="s">
        <v>296</v>
      </c>
      <c r="E128" s="268">
        <f>2.375*22*0.5</f>
        <v>26.125</v>
      </c>
      <c r="F128" s="269">
        <f t="shared" si="9"/>
        <v>0.0010416666666666667</v>
      </c>
      <c r="G128" s="270">
        <v>1</v>
      </c>
      <c r="H128" s="270">
        <v>1</v>
      </c>
      <c r="I128" s="268">
        <f t="shared" si="8"/>
        <v>0.027213541666666667</v>
      </c>
      <c r="J128" s="278"/>
    </row>
    <row r="129" spans="1:10" ht="12.75">
      <c r="A129" s="398"/>
      <c r="B129" s="265"/>
      <c r="C129" s="266"/>
      <c r="D129" s="267" t="s">
        <v>678</v>
      </c>
      <c r="E129" s="268">
        <f>10.125*1</f>
        <v>10.125</v>
      </c>
      <c r="F129" s="269">
        <f t="shared" si="9"/>
        <v>0.0010416666666666667</v>
      </c>
      <c r="G129" s="270">
        <v>1</v>
      </c>
      <c r="H129" s="270">
        <v>1</v>
      </c>
      <c r="I129" s="268">
        <f t="shared" si="8"/>
        <v>0.010546875</v>
      </c>
      <c r="J129" s="278"/>
    </row>
    <row r="130" spans="1:10" ht="12.75">
      <c r="A130" s="398"/>
      <c r="B130" s="265"/>
      <c r="C130" s="266"/>
      <c r="D130" s="267" t="s">
        <v>305</v>
      </c>
      <c r="E130" s="268">
        <f>4.125*9</f>
        <v>37.125</v>
      </c>
      <c r="F130" s="269">
        <f t="shared" si="9"/>
        <v>0.0010416666666666667</v>
      </c>
      <c r="G130" s="270">
        <v>1</v>
      </c>
      <c r="H130" s="270">
        <v>1</v>
      </c>
      <c r="I130" s="268">
        <f t="shared" si="8"/>
        <v>0.038671875</v>
      </c>
      <c r="J130" s="278"/>
    </row>
    <row r="131" spans="1:10" ht="12.75">
      <c r="A131" s="398"/>
      <c r="B131" s="265"/>
      <c r="C131" s="266"/>
      <c r="D131" s="273" t="s">
        <v>299</v>
      </c>
      <c r="E131" s="268">
        <f>4.875*7*0.5</f>
        <v>17.0625</v>
      </c>
      <c r="F131" s="269">
        <f t="shared" si="9"/>
        <v>0.0010416666666666667</v>
      </c>
      <c r="G131" s="270">
        <v>1</v>
      </c>
      <c r="H131" s="270">
        <v>1</v>
      </c>
      <c r="I131" s="268">
        <f t="shared" si="8"/>
        <v>0.0177734375</v>
      </c>
      <c r="J131" s="278"/>
    </row>
    <row r="132" spans="1:11" ht="12.75">
      <c r="A132" s="398"/>
      <c r="B132" s="255"/>
      <c r="C132" s="256"/>
      <c r="D132" s="257" t="s">
        <v>300</v>
      </c>
      <c r="E132" s="258">
        <f>4.875*3</f>
        <v>14.625</v>
      </c>
      <c r="F132" s="276">
        <f t="shared" si="9"/>
        <v>0.0010416666666666667</v>
      </c>
      <c r="G132" s="260">
        <v>1</v>
      </c>
      <c r="H132" s="260">
        <v>1</v>
      </c>
      <c r="I132" s="258">
        <f t="shared" si="8"/>
        <v>0.015234375</v>
      </c>
      <c r="J132" s="262">
        <f>SUM(I127:I132)</f>
        <v>0.2870442708333334</v>
      </c>
      <c r="K132" s="101"/>
    </row>
    <row r="133" spans="1:10" ht="12.75">
      <c r="A133" s="398"/>
      <c r="B133" s="277" t="s">
        <v>293</v>
      </c>
      <c r="C133" s="273" t="s">
        <v>22</v>
      </c>
      <c r="D133" s="273" t="s">
        <v>302</v>
      </c>
      <c r="E133" s="268">
        <f>10.75*22</f>
        <v>236.5</v>
      </c>
      <c r="F133" s="269">
        <f t="shared" si="9"/>
        <v>0.0010416666666666667</v>
      </c>
      <c r="G133" s="270">
        <v>1</v>
      </c>
      <c r="H133" s="270">
        <v>1</v>
      </c>
      <c r="I133" s="268">
        <f t="shared" si="8"/>
        <v>0.24635416666666665</v>
      </c>
      <c r="J133" s="278"/>
    </row>
    <row r="134" spans="1:10" ht="12.75">
      <c r="A134" s="398"/>
      <c r="B134" s="265" t="s">
        <v>303</v>
      </c>
      <c r="C134" s="266"/>
      <c r="D134" s="273" t="s">
        <v>296</v>
      </c>
      <c r="E134" s="268">
        <f>2.375*22*0.5</f>
        <v>26.125</v>
      </c>
      <c r="F134" s="269">
        <f t="shared" si="9"/>
        <v>0.0010416666666666667</v>
      </c>
      <c r="G134" s="270">
        <v>1</v>
      </c>
      <c r="H134" s="270">
        <v>1</v>
      </c>
      <c r="I134" s="268">
        <f t="shared" si="8"/>
        <v>0.027213541666666667</v>
      </c>
      <c r="J134" s="278"/>
    </row>
    <row r="135" spans="1:10" ht="12.75">
      <c r="A135" s="398"/>
      <c r="B135" s="265"/>
      <c r="C135" s="266"/>
      <c r="D135" s="273" t="s">
        <v>304</v>
      </c>
      <c r="E135" s="268">
        <f>13.125*1</f>
        <v>13.125</v>
      </c>
      <c r="F135" s="269">
        <f t="shared" si="9"/>
        <v>0.0010416666666666667</v>
      </c>
      <c r="G135" s="270">
        <v>1</v>
      </c>
      <c r="H135" s="270">
        <v>1</v>
      </c>
      <c r="I135" s="268">
        <f t="shared" si="8"/>
        <v>0.013671875</v>
      </c>
      <c r="J135" s="278"/>
    </row>
    <row r="136" spans="1:10" ht="12.75">
      <c r="A136" s="398"/>
      <c r="B136" s="265"/>
      <c r="C136" s="266"/>
      <c r="D136" s="273" t="s">
        <v>305</v>
      </c>
      <c r="E136" s="268">
        <f>4.125*9</f>
        <v>37.125</v>
      </c>
      <c r="F136" s="269">
        <f t="shared" si="9"/>
        <v>0.0010416666666666667</v>
      </c>
      <c r="G136" s="270">
        <v>1</v>
      </c>
      <c r="H136" s="270">
        <v>1</v>
      </c>
      <c r="I136" s="268">
        <f t="shared" si="8"/>
        <v>0.038671875</v>
      </c>
      <c r="J136" s="278"/>
    </row>
    <row r="137" spans="1:10" ht="12.75">
      <c r="A137" s="398"/>
      <c r="B137" s="265"/>
      <c r="C137" s="266"/>
      <c r="D137" s="273" t="s">
        <v>299</v>
      </c>
      <c r="E137" s="268">
        <f>4.875*7*0.5</f>
        <v>17.0625</v>
      </c>
      <c r="F137" s="269">
        <f t="shared" si="9"/>
        <v>0.0010416666666666667</v>
      </c>
      <c r="G137" s="270">
        <v>1</v>
      </c>
      <c r="H137" s="270">
        <v>1</v>
      </c>
      <c r="I137" s="268">
        <f t="shared" si="8"/>
        <v>0.0177734375</v>
      </c>
      <c r="J137" s="278"/>
    </row>
    <row r="138" spans="1:10" ht="12.75">
      <c r="A138" s="398"/>
      <c r="B138" s="265"/>
      <c r="C138" s="266"/>
      <c r="D138" s="273" t="s">
        <v>300</v>
      </c>
      <c r="E138" s="268">
        <f>4.875*3</f>
        <v>14.625</v>
      </c>
      <c r="F138" s="269">
        <f t="shared" si="9"/>
        <v>0.0010416666666666667</v>
      </c>
      <c r="G138" s="270">
        <v>1</v>
      </c>
      <c r="H138" s="270">
        <v>1</v>
      </c>
      <c r="I138" s="268">
        <f t="shared" si="8"/>
        <v>0.015234375</v>
      </c>
      <c r="J138" s="278"/>
    </row>
    <row r="139" spans="1:11" ht="12.75">
      <c r="A139" s="399"/>
      <c r="B139" s="255"/>
      <c r="C139" s="256"/>
      <c r="D139" s="257" t="s">
        <v>306</v>
      </c>
      <c r="E139" s="258">
        <f>-9*9</f>
        <v>-81</v>
      </c>
      <c r="F139" s="276">
        <f t="shared" si="9"/>
        <v>0.0010416666666666667</v>
      </c>
      <c r="G139" s="260">
        <v>1</v>
      </c>
      <c r="H139" s="260">
        <v>1</v>
      </c>
      <c r="I139" s="258">
        <f t="shared" si="8"/>
        <v>-0.084375</v>
      </c>
      <c r="J139" s="262">
        <f>SUM(I133:I139)</f>
        <v>0.2745442708333333</v>
      </c>
      <c r="K139" s="101"/>
    </row>
    <row r="140" spans="1:10" ht="12.75">
      <c r="A140" s="264" t="s">
        <v>25</v>
      </c>
      <c r="B140" s="277" t="s">
        <v>26</v>
      </c>
      <c r="C140" s="273" t="s">
        <v>27</v>
      </c>
      <c r="D140" s="280" t="s">
        <v>307</v>
      </c>
      <c r="E140" s="281">
        <f>2*3.14</f>
        <v>6.28</v>
      </c>
      <c r="F140" s="282">
        <f>Steel</f>
        <v>0.0034027777777777776</v>
      </c>
      <c r="G140" s="283">
        <v>1</v>
      </c>
      <c r="H140" s="283">
        <v>1</v>
      </c>
      <c r="I140" s="281">
        <f t="shared" si="8"/>
        <v>0.021369444444444444</v>
      </c>
      <c r="J140" s="284"/>
    </row>
    <row r="141" spans="1:10" ht="12.75">
      <c r="A141" s="272"/>
      <c r="B141" s="265"/>
      <c r="C141" s="266"/>
      <c r="D141" s="273" t="s">
        <v>308</v>
      </c>
      <c r="E141" s="268">
        <f>0.024/Steel</f>
        <v>7.053061224489796</v>
      </c>
      <c r="F141" s="285">
        <f>Steel</f>
        <v>0.0034027777777777776</v>
      </c>
      <c r="G141" s="270">
        <f>2-0.25</f>
        <v>1.75</v>
      </c>
      <c r="H141" s="270">
        <v>6.25</v>
      </c>
      <c r="I141" s="268">
        <f t="shared" si="8"/>
        <v>0.00672</v>
      </c>
      <c r="J141" s="284"/>
    </row>
    <row r="142" spans="1:10" ht="12.75">
      <c r="A142" s="272"/>
      <c r="B142" s="265"/>
      <c r="C142" s="266"/>
      <c r="D142" s="273" t="s">
        <v>287</v>
      </c>
      <c r="E142" s="268">
        <f>12*13</f>
        <v>156</v>
      </c>
      <c r="F142" s="285">
        <f>Steel</f>
        <v>0.0034027777777777776</v>
      </c>
      <c r="G142" s="270">
        <f>0.0833</f>
        <v>0.0833</v>
      </c>
      <c r="H142" s="270">
        <v>6.25</v>
      </c>
      <c r="I142" s="268">
        <f t="shared" si="8"/>
        <v>0.007074946666666666</v>
      </c>
      <c r="J142" s="284"/>
    </row>
    <row r="143" spans="1:11" ht="12.75">
      <c r="A143" s="275"/>
      <c r="B143" s="255"/>
      <c r="C143" s="256"/>
      <c r="D143" s="256" t="s">
        <v>309</v>
      </c>
      <c r="E143" s="258">
        <f>14*15</f>
        <v>210</v>
      </c>
      <c r="F143" s="259">
        <f>Conc</f>
        <v>0.0010416666666666667</v>
      </c>
      <c r="G143" s="260">
        <f>0.167</f>
        <v>0.167</v>
      </c>
      <c r="H143" s="260">
        <v>6.25</v>
      </c>
      <c r="I143" s="258">
        <f t="shared" si="8"/>
        <v>0.005845</v>
      </c>
      <c r="J143" s="261">
        <f>SUM(I140:I143)</f>
        <v>0.04100939111111111</v>
      </c>
      <c r="K143" s="101"/>
    </row>
    <row r="144" spans="1:10" ht="12.75">
      <c r="A144" s="286" t="s">
        <v>28</v>
      </c>
      <c r="B144" s="277" t="s">
        <v>29</v>
      </c>
      <c r="C144" s="273"/>
      <c r="D144" s="287" t="s">
        <v>310</v>
      </c>
      <c r="E144" s="288" t="s">
        <v>282</v>
      </c>
      <c r="F144" s="282">
        <f>Steel</f>
        <v>0.0034027777777777776</v>
      </c>
      <c r="G144" s="289" t="s">
        <v>282</v>
      </c>
      <c r="H144" s="289" t="s">
        <v>282</v>
      </c>
      <c r="I144" s="281">
        <f>0.002*2</f>
        <v>0.004</v>
      </c>
      <c r="J144" s="284"/>
    </row>
    <row r="145" spans="1:11" ht="12.75">
      <c r="A145" s="290"/>
      <c r="B145" s="291"/>
      <c r="C145" s="257"/>
      <c r="D145" s="256" t="s">
        <v>311</v>
      </c>
      <c r="E145" s="258">
        <f>9*32</f>
        <v>288</v>
      </c>
      <c r="F145" s="259">
        <f>Conc</f>
        <v>0.0010416666666666667</v>
      </c>
      <c r="G145" s="260">
        <v>1</v>
      </c>
      <c r="H145" s="260">
        <v>1</v>
      </c>
      <c r="I145" s="258">
        <f>E145*F145*G145/H145</f>
        <v>0.3</v>
      </c>
      <c r="J145" s="261">
        <f>SUM(I144:I145)</f>
        <v>0.304</v>
      </c>
      <c r="K145" s="101"/>
    </row>
    <row r="146" spans="1:10" ht="12.75">
      <c r="A146" s="292" t="s">
        <v>30</v>
      </c>
      <c r="B146" s="277" t="s">
        <v>31</v>
      </c>
      <c r="C146" s="273"/>
      <c r="D146" s="293" t="s">
        <v>656</v>
      </c>
      <c r="E146" s="281">
        <f>2*(2.5*1-(2.5-2*0.12)*(1-2*0.12))</f>
        <v>1.5648000000000004</v>
      </c>
      <c r="F146" s="282">
        <f aca="true" t="shared" si="10" ref="F146:F152">Steel</f>
        <v>0.0034027777777777776</v>
      </c>
      <c r="G146" s="283">
        <v>1</v>
      </c>
      <c r="H146" s="283">
        <v>1</v>
      </c>
      <c r="I146" s="281">
        <f>E146*F146*G146/H146</f>
        <v>0.005324666666666668</v>
      </c>
      <c r="J146" s="284"/>
    </row>
    <row r="147" spans="1:10" ht="12.75">
      <c r="A147" s="286"/>
      <c r="B147" s="277"/>
      <c r="C147" s="273"/>
      <c r="D147" s="293" t="s">
        <v>668</v>
      </c>
      <c r="E147" s="281">
        <f>2.5*1-(2.5-2*0.12)*(1-2*0.12)</f>
        <v>0.7824000000000002</v>
      </c>
      <c r="F147" s="282">
        <f t="shared" si="10"/>
        <v>0.0034027777777777776</v>
      </c>
      <c r="G147" s="283">
        <f>1.4167</f>
        <v>1.4167</v>
      </c>
      <c r="H147" s="283">
        <v>0.5</v>
      </c>
      <c r="I147" s="281">
        <f>E147*F147*G147/H147</f>
        <v>0.007543455266666668</v>
      </c>
      <c r="J147" s="284"/>
    </row>
    <row r="148" spans="1:10" ht="12.75">
      <c r="A148" s="286"/>
      <c r="B148" s="277"/>
      <c r="C148" s="273"/>
      <c r="D148" s="294" t="s">
        <v>667</v>
      </c>
      <c r="E148" s="268">
        <f>2.5*1-(2.5-2*0.12)*(1-2*0.12)</f>
        <v>0.7824000000000002</v>
      </c>
      <c r="F148" s="285">
        <f t="shared" si="10"/>
        <v>0.0034027777777777776</v>
      </c>
      <c r="G148" s="270">
        <v>1.75</v>
      </c>
      <c r="H148" s="270">
        <v>3</v>
      </c>
      <c r="I148" s="268">
        <f>E148*F148*G148/H148</f>
        <v>0.0015530277777777782</v>
      </c>
      <c r="J148" s="284"/>
    </row>
    <row r="149" spans="1:11" ht="12.75">
      <c r="A149" s="290"/>
      <c r="B149" s="295"/>
      <c r="C149" s="257"/>
      <c r="D149" s="256" t="s">
        <v>312</v>
      </c>
      <c r="E149" s="258">
        <f>SUM(E170:E174)</f>
        <v>321.5625</v>
      </c>
      <c r="F149" s="259">
        <f>Conc</f>
        <v>0.0010416666666666667</v>
      </c>
      <c r="G149" s="260">
        <v>1</v>
      </c>
      <c r="H149" s="260">
        <v>1</v>
      </c>
      <c r="I149" s="258">
        <f>J174</f>
        <v>0.3349609375</v>
      </c>
      <c r="J149" s="261">
        <f>SUM(I146:I149)</f>
        <v>0.34938208721111114</v>
      </c>
      <c r="K149" s="101"/>
    </row>
    <row r="150" spans="1:10" ht="12.75">
      <c r="A150" s="292" t="s">
        <v>32</v>
      </c>
      <c r="B150" s="265" t="s">
        <v>587</v>
      </c>
      <c r="C150" s="266"/>
      <c r="D150" s="293" t="s">
        <v>656</v>
      </c>
      <c r="E150" s="281">
        <f>2*(2.5*1-(2.5-2*0.12)*(1-2*0.12))</f>
        <v>1.5648000000000004</v>
      </c>
      <c r="F150" s="282">
        <f t="shared" si="10"/>
        <v>0.0034027777777777776</v>
      </c>
      <c r="G150" s="283">
        <v>1</v>
      </c>
      <c r="H150" s="283">
        <v>1</v>
      </c>
      <c r="I150" s="281">
        <f>E150*F150*G150/H150</f>
        <v>0.005324666666666668</v>
      </c>
      <c r="J150" s="284"/>
    </row>
    <row r="151" spans="1:10" ht="12.75">
      <c r="A151" s="286"/>
      <c r="B151" s="265"/>
      <c r="C151" s="266"/>
      <c r="D151" s="293" t="s">
        <v>668</v>
      </c>
      <c r="E151" s="281">
        <f>2.5*1-(2.5-2*0.12)*(1-2*0.12)</f>
        <v>0.7824000000000002</v>
      </c>
      <c r="F151" s="282">
        <f t="shared" si="10"/>
        <v>0.0034027777777777776</v>
      </c>
      <c r="G151" s="283">
        <f>1.4167</f>
        <v>1.4167</v>
      </c>
      <c r="H151" s="283">
        <v>0.5</v>
      </c>
      <c r="I151" s="281">
        <f>E151*F151*G151/H151</f>
        <v>0.007543455266666668</v>
      </c>
      <c r="J151" s="284"/>
    </row>
    <row r="152" spans="1:10" ht="12.75">
      <c r="A152" s="286"/>
      <c r="B152" s="265"/>
      <c r="C152" s="266"/>
      <c r="D152" s="293" t="s">
        <v>667</v>
      </c>
      <c r="E152" s="281">
        <f>2.5*1-(2.5-2*0.12)*(1-2*0.12)</f>
        <v>0.7824000000000002</v>
      </c>
      <c r="F152" s="282">
        <f t="shared" si="10"/>
        <v>0.0034027777777777776</v>
      </c>
      <c r="G152" s="283">
        <v>1.75</v>
      </c>
      <c r="H152" s="283">
        <v>3</v>
      </c>
      <c r="I152" s="281">
        <f>E152*F152*G152/H152</f>
        <v>0.0015530277777777782</v>
      </c>
      <c r="J152" s="284"/>
    </row>
    <row r="153" spans="1:11" ht="12.75">
      <c r="A153" s="290"/>
      <c r="B153" s="255"/>
      <c r="C153" s="256"/>
      <c r="D153" s="256" t="s">
        <v>311</v>
      </c>
      <c r="E153" s="258">
        <f>9*32</f>
        <v>288</v>
      </c>
      <c r="F153" s="259">
        <f>Conc</f>
        <v>0.0010416666666666667</v>
      </c>
      <c r="G153" s="260">
        <v>1</v>
      </c>
      <c r="H153" s="260">
        <v>1</v>
      </c>
      <c r="I153" s="258">
        <f>E153*F153*G153/H153</f>
        <v>0.3</v>
      </c>
      <c r="J153" s="261">
        <f>SUM(I150:I153)</f>
        <v>0.3144211497111111</v>
      </c>
      <c r="K153" s="101"/>
    </row>
    <row r="154" spans="1:10" ht="12.75">
      <c r="A154" s="286" t="s">
        <v>34</v>
      </c>
      <c r="B154" s="277" t="s">
        <v>35</v>
      </c>
      <c r="C154" s="273"/>
      <c r="D154" s="287" t="s">
        <v>310</v>
      </c>
      <c r="E154" s="288" t="s">
        <v>282</v>
      </c>
      <c r="F154" s="282">
        <f>Steel</f>
        <v>0.0034027777777777776</v>
      </c>
      <c r="G154" s="289" t="s">
        <v>282</v>
      </c>
      <c r="H154" s="289" t="s">
        <v>282</v>
      </c>
      <c r="I154" s="281">
        <f>0.002*2</f>
        <v>0.004</v>
      </c>
      <c r="J154" s="284"/>
    </row>
    <row r="155" spans="1:11" ht="12.75">
      <c r="A155" s="296"/>
      <c r="B155" s="291"/>
      <c r="C155" s="257"/>
      <c r="D155" s="256" t="s">
        <v>312</v>
      </c>
      <c r="E155" s="258">
        <f>SUM(E170:E174)</f>
        <v>321.5625</v>
      </c>
      <c r="F155" s="259">
        <f>Conc</f>
        <v>0.0010416666666666667</v>
      </c>
      <c r="G155" s="260">
        <v>1</v>
      </c>
      <c r="H155" s="260">
        <v>1</v>
      </c>
      <c r="I155" s="258">
        <f>J174</f>
        <v>0.3349609375</v>
      </c>
      <c r="J155" s="261">
        <f>SUM(I154:I155)</f>
        <v>0.3389609375</v>
      </c>
      <c r="K155" s="101"/>
    </row>
    <row r="156" spans="1:10" ht="12.75">
      <c r="A156" s="286" t="s">
        <v>36</v>
      </c>
      <c r="B156" s="277" t="s">
        <v>37</v>
      </c>
      <c r="C156" s="273"/>
      <c r="D156" s="280" t="s">
        <v>307</v>
      </c>
      <c r="E156" s="281">
        <f>2*3.14</f>
        <v>6.28</v>
      </c>
      <c r="F156" s="282">
        <f aca="true" t="shared" si="11" ref="F156:F162">Steel</f>
        <v>0.0034027777777777776</v>
      </c>
      <c r="G156" s="283">
        <v>1</v>
      </c>
      <c r="H156" s="283">
        <v>1</v>
      </c>
      <c r="I156" s="281">
        <f>E156*F156*G156/H156</f>
        <v>0.021369444444444444</v>
      </c>
      <c r="J156" s="284"/>
    </row>
    <row r="157" spans="1:11" ht="12.75">
      <c r="A157" s="286"/>
      <c r="B157" s="277"/>
      <c r="C157" s="273"/>
      <c r="D157" s="293" t="s">
        <v>652</v>
      </c>
      <c r="E157" s="281">
        <f>2*(3*2-(3-2*0.233)*(2-2*0.233))</f>
        <v>4.225688000000001</v>
      </c>
      <c r="F157" s="282">
        <f>Steel</f>
        <v>0.0034027777777777776</v>
      </c>
      <c r="G157" s="283">
        <v>1</v>
      </c>
      <c r="H157" s="283">
        <v>6.25</v>
      </c>
      <c r="I157" s="281">
        <f>E157*F157*G157/H157</f>
        <v>0.0023006523555555557</v>
      </c>
      <c r="J157" s="284"/>
      <c r="K157" s="179"/>
    </row>
    <row r="158" spans="1:11" ht="12.75">
      <c r="A158" s="290"/>
      <c r="B158" s="291"/>
      <c r="C158" s="257"/>
      <c r="D158" s="257" t="s">
        <v>308</v>
      </c>
      <c r="E158" s="258">
        <f>0.024/Steel</f>
        <v>7.053061224489796</v>
      </c>
      <c r="F158" s="259">
        <f t="shared" si="11"/>
        <v>0.0034027777777777776</v>
      </c>
      <c r="G158" s="260">
        <f>2.375+1.25-0.0417</f>
        <v>3.5833</v>
      </c>
      <c r="H158" s="260">
        <v>6.25</v>
      </c>
      <c r="I158" s="258">
        <f>E158*F158*G158/H158</f>
        <v>0.013759872</v>
      </c>
      <c r="J158" s="261">
        <f>SUM(I156:I158)</f>
        <v>0.0374299688</v>
      </c>
      <c r="K158" s="101"/>
    </row>
    <row r="159" spans="1:11" ht="12.75">
      <c r="A159" s="228" t="s">
        <v>38</v>
      </c>
      <c r="B159" s="151" t="s">
        <v>39</v>
      </c>
      <c r="C159" s="109" t="s">
        <v>7</v>
      </c>
      <c r="D159" s="110" t="s">
        <v>320</v>
      </c>
      <c r="E159" s="111">
        <f>2*(5^2-(5-2*0.1875)^2)</f>
        <v>7.21875</v>
      </c>
      <c r="F159" s="112">
        <f t="shared" si="11"/>
        <v>0.0034027777777777776</v>
      </c>
      <c r="G159" s="113">
        <v>1</v>
      </c>
      <c r="H159" s="113">
        <v>1</v>
      </c>
      <c r="I159" s="111">
        <f aca="true" t="shared" si="12" ref="I159:I177">E159*F159*G159/H159</f>
        <v>0.024563802083333332</v>
      </c>
      <c r="J159" s="114"/>
      <c r="K159" s="101"/>
    </row>
    <row r="160" spans="1:10" ht="12.75">
      <c r="A160" s="229"/>
      <c r="B160" s="111"/>
      <c r="C160" s="115"/>
      <c r="D160" s="110" t="s">
        <v>634</v>
      </c>
      <c r="E160" s="111">
        <f>5*3-(5-2*0.1875)*(3-2*0.1875)</f>
        <v>2.859375</v>
      </c>
      <c r="F160" s="112">
        <f t="shared" si="11"/>
        <v>0.0034027777777777776</v>
      </c>
      <c r="G160" s="113">
        <v>1</v>
      </c>
      <c r="H160" s="113">
        <v>1</v>
      </c>
      <c r="I160" s="111">
        <f t="shared" si="12"/>
        <v>0.009729817708333333</v>
      </c>
      <c r="J160" s="114"/>
    </row>
    <row r="161" spans="1:10" ht="12.75">
      <c r="A161" s="229"/>
      <c r="B161" s="152"/>
      <c r="C161" s="127"/>
      <c r="D161" s="110" t="s">
        <v>317</v>
      </c>
      <c r="E161" s="111">
        <f>0.024/Steel</f>
        <v>7.053061224489796</v>
      </c>
      <c r="F161" s="112">
        <f t="shared" si="11"/>
        <v>0.0034027777777777776</v>
      </c>
      <c r="G161" s="113">
        <f>3.542-0.708</f>
        <v>2.8339999999999996</v>
      </c>
      <c r="H161" s="113">
        <v>11.167</v>
      </c>
      <c r="I161" s="111">
        <f t="shared" si="12"/>
        <v>0.00609080325960419</v>
      </c>
      <c r="J161" s="114"/>
    </row>
    <row r="162" spans="1:10" ht="12.75">
      <c r="A162" s="229"/>
      <c r="B162" s="151"/>
      <c r="C162" s="153"/>
      <c r="D162" s="116" t="s">
        <v>318</v>
      </c>
      <c r="E162" s="111">
        <f>12*13</f>
        <v>156</v>
      </c>
      <c r="F162" s="112">
        <f t="shared" si="11"/>
        <v>0.0034027777777777776</v>
      </c>
      <c r="G162" s="113">
        <f>0.083</f>
        <v>0.083</v>
      </c>
      <c r="H162" s="113">
        <v>11.167</v>
      </c>
      <c r="I162" s="111">
        <f t="shared" si="12"/>
        <v>0.0039454792394256885</v>
      </c>
      <c r="J162" s="114"/>
    </row>
    <row r="163" spans="1:10" ht="12.75">
      <c r="A163" s="229"/>
      <c r="B163" s="151"/>
      <c r="C163" s="153"/>
      <c r="D163" s="116" t="s">
        <v>288</v>
      </c>
      <c r="E163" s="111">
        <f>13.5*14.5</f>
        <v>195.75</v>
      </c>
      <c r="F163" s="112">
        <f>Conc</f>
        <v>0.0010416666666666667</v>
      </c>
      <c r="G163" s="113">
        <f>0.125</f>
        <v>0.125</v>
      </c>
      <c r="H163" s="113">
        <v>11.167</v>
      </c>
      <c r="I163" s="111">
        <f t="shared" si="12"/>
        <v>0.002282464515984597</v>
      </c>
      <c r="J163" s="114"/>
    </row>
    <row r="164" spans="1:10" ht="12.75">
      <c r="A164" s="231"/>
      <c r="B164" s="154"/>
      <c r="C164" s="155"/>
      <c r="D164" s="119" t="s">
        <v>319</v>
      </c>
      <c r="E164" s="120">
        <f>17*6</f>
        <v>102</v>
      </c>
      <c r="F164" s="129">
        <f>Conc</f>
        <v>0.0010416666666666667</v>
      </c>
      <c r="G164" s="120">
        <v>1</v>
      </c>
      <c r="H164" s="120">
        <v>1</v>
      </c>
      <c r="I164" s="122">
        <f t="shared" si="12"/>
        <v>0.10625</v>
      </c>
      <c r="J164" s="123">
        <f>SUM(I159:I164)</f>
        <v>0.15286236680668114</v>
      </c>
    </row>
    <row r="165" spans="1:11" ht="12.75">
      <c r="A165" s="229" t="s">
        <v>40</v>
      </c>
      <c r="B165" s="108" t="s">
        <v>41</v>
      </c>
      <c r="C165" s="109" t="s">
        <v>7</v>
      </c>
      <c r="D165" s="110" t="s">
        <v>320</v>
      </c>
      <c r="E165" s="111">
        <f>2*(5^2-(5-2*0.1875)^2)</f>
        <v>7.21875</v>
      </c>
      <c r="F165" s="112">
        <f>Steel</f>
        <v>0.0034027777777777776</v>
      </c>
      <c r="G165" s="113">
        <v>1</v>
      </c>
      <c r="H165" s="113">
        <v>1</v>
      </c>
      <c r="I165" s="111">
        <f t="shared" si="12"/>
        <v>0.024563802083333332</v>
      </c>
      <c r="J165" s="114"/>
      <c r="K165" s="101"/>
    </row>
    <row r="166" spans="1:10" ht="12.75">
      <c r="A166" s="229"/>
      <c r="B166" s="108"/>
      <c r="C166" s="115"/>
      <c r="D166" s="110" t="s">
        <v>621</v>
      </c>
      <c r="E166" s="111">
        <f>0.024/Steel</f>
        <v>7.053061224489796</v>
      </c>
      <c r="F166" s="112">
        <f>Steel</f>
        <v>0.0034027777777777776</v>
      </c>
      <c r="G166" s="113">
        <f>2.708-0.792</f>
        <v>1.9160000000000001</v>
      </c>
      <c r="H166" s="113">
        <v>11.1667</v>
      </c>
      <c r="I166" s="111">
        <f t="shared" si="12"/>
        <v>0.004117957856842219</v>
      </c>
      <c r="J166" s="114"/>
    </row>
    <row r="167" spans="1:10" ht="12.75">
      <c r="A167" s="229"/>
      <c r="B167" s="108"/>
      <c r="C167" s="115"/>
      <c r="D167" s="116" t="s">
        <v>318</v>
      </c>
      <c r="E167" s="111">
        <f>12*13</f>
        <v>156</v>
      </c>
      <c r="F167" s="112">
        <f>Steel</f>
        <v>0.0034027777777777776</v>
      </c>
      <c r="G167" s="113">
        <f>0.083</f>
        <v>0.083</v>
      </c>
      <c r="H167" s="113">
        <v>11.167</v>
      </c>
      <c r="I167" s="111">
        <f t="shared" si="12"/>
        <v>0.0039454792394256885</v>
      </c>
      <c r="J167" s="114"/>
    </row>
    <row r="168" spans="1:10" ht="12.75">
      <c r="A168" s="229"/>
      <c r="B168" s="108"/>
      <c r="C168" s="115"/>
      <c r="D168" s="116" t="s">
        <v>288</v>
      </c>
      <c r="E168" s="111">
        <f>13.5*14.5</f>
        <v>195.75</v>
      </c>
      <c r="F168" s="112">
        <f aca="true" t="shared" si="13" ref="F168:F174">Conc</f>
        <v>0.0010416666666666667</v>
      </c>
      <c r="G168" s="113">
        <f>0.125</f>
        <v>0.125</v>
      </c>
      <c r="H168" s="113">
        <v>11.167</v>
      </c>
      <c r="I168" s="111">
        <f t="shared" si="12"/>
        <v>0.002282464515984597</v>
      </c>
      <c r="J168" s="114"/>
    </row>
    <row r="169" spans="1:10" ht="12.75">
      <c r="A169" s="231"/>
      <c r="B169" s="117"/>
      <c r="C169" s="118"/>
      <c r="D169" s="119" t="s">
        <v>321</v>
      </c>
      <c r="E169" s="120">
        <f>17.5*7</f>
        <v>122.5</v>
      </c>
      <c r="F169" s="121">
        <f t="shared" si="13"/>
        <v>0.0010416666666666667</v>
      </c>
      <c r="G169" s="120">
        <v>1</v>
      </c>
      <c r="H169" s="120">
        <v>1</v>
      </c>
      <c r="I169" s="122">
        <f t="shared" si="12"/>
        <v>0.12760416666666666</v>
      </c>
      <c r="J169" s="123">
        <f>SUM(I165:I169)</f>
        <v>0.1625138703622525</v>
      </c>
    </row>
    <row r="170" spans="1:10" ht="12.75">
      <c r="A170" s="292" t="s">
        <v>42</v>
      </c>
      <c r="B170" s="247" t="s">
        <v>43</v>
      </c>
      <c r="C170" s="248"/>
      <c r="D170" s="273" t="s">
        <v>616</v>
      </c>
      <c r="E170" s="253">
        <f>7.5*32</f>
        <v>240</v>
      </c>
      <c r="F170" s="251">
        <f t="shared" si="13"/>
        <v>0.0010416666666666667</v>
      </c>
      <c r="G170" s="297">
        <v>1</v>
      </c>
      <c r="H170" s="297">
        <v>1</v>
      </c>
      <c r="I170" s="253">
        <f t="shared" si="12"/>
        <v>0.25</v>
      </c>
      <c r="J170" s="254"/>
    </row>
    <row r="171" spans="1:10" ht="12.75">
      <c r="A171" s="286"/>
      <c r="B171" s="265"/>
      <c r="C171" s="266"/>
      <c r="D171" s="273" t="s">
        <v>617</v>
      </c>
      <c r="E171" s="268">
        <f>2.375*22*0.5</f>
        <v>26.125</v>
      </c>
      <c r="F171" s="285">
        <f t="shared" si="13"/>
        <v>0.0010416666666666667</v>
      </c>
      <c r="G171" s="270">
        <v>1</v>
      </c>
      <c r="H171" s="270">
        <v>1</v>
      </c>
      <c r="I171" s="268">
        <f t="shared" si="12"/>
        <v>0.027213541666666667</v>
      </c>
      <c r="J171" s="284"/>
    </row>
    <row r="172" spans="1:10" ht="12.75">
      <c r="A172" s="286"/>
      <c r="B172" s="265"/>
      <c r="C172" s="266"/>
      <c r="D172" s="273" t="s">
        <v>618</v>
      </c>
      <c r="E172" s="268">
        <f>2.375*10</f>
        <v>23.75</v>
      </c>
      <c r="F172" s="285">
        <f t="shared" si="13"/>
        <v>0.0010416666666666667</v>
      </c>
      <c r="G172" s="270">
        <v>1</v>
      </c>
      <c r="H172" s="270">
        <v>1</v>
      </c>
      <c r="I172" s="268">
        <f t="shared" si="12"/>
        <v>0.024739583333333332</v>
      </c>
      <c r="J172" s="284"/>
    </row>
    <row r="173" spans="1:10" ht="12.75">
      <c r="A173" s="286"/>
      <c r="B173" s="265"/>
      <c r="C173" s="266"/>
      <c r="D173" s="273" t="s">
        <v>619</v>
      </c>
      <c r="E173" s="268">
        <f>4.875*7*0.5</f>
        <v>17.0625</v>
      </c>
      <c r="F173" s="285">
        <f t="shared" si="13"/>
        <v>0.0010416666666666667</v>
      </c>
      <c r="G173" s="270">
        <v>1</v>
      </c>
      <c r="H173" s="270">
        <v>1</v>
      </c>
      <c r="I173" s="268">
        <f t="shared" si="12"/>
        <v>0.0177734375</v>
      </c>
      <c r="J173" s="284"/>
    </row>
    <row r="174" spans="1:11" ht="12.75">
      <c r="A174" s="290"/>
      <c r="B174" s="255"/>
      <c r="C174" s="256"/>
      <c r="D174" s="257" t="s">
        <v>620</v>
      </c>
      <c r="E174" s="258">
        <f>4.875*3</f>
        <v>14.625</v>
      </c>
      <c r="F174" s="259">
        <f t="shared" si="13"/>
        <v>0.0010416666666666667</v>
      </c>
      <c r="G174" s="260">
        <v>1</v>
      </c>
      <c r="H174" s="260">
        <v>1</v>
      </c>
      <c r="I174" s="258">
        <f>E174*F174*G174/H174</f>
        <v>0.015234375</v>
      </c>
      <c r="J174" s="261">
        <f>SUM(I170:I174)</f>
        <v>0.3349609375</v>
      </c>
      <c r="K174" s="101"/>
    </row>
    <row r="175" spans="1:10" ht="12.75">
      <c r="A175" s="219" t="s">
        <v>44</v>
      </c>
      <c r="B175" s="35" t="s">
        <v>45</v>
      </c>
      <c r="C175" s="20"/>
      <c r="D175" s="1" t="s">
        <v>322</v>
      </c>
      <c r="E175">
        <f>1.9874</f>
        <v>1.9874</v>
      </c>
      <c r="F175" s="8">
        <f>Steel</f>
        <v>0.0034027777777777776</v>
      </c>
      <c r="G175" s="29">
        <v>1</v>
      </c>
      <c r="H175" s="29">
        <v>1</v>
      </c>
      <c r="I175">
        <f t="shared" si="12"/>
        <v>0.006762680555555556</v>
      </c>
      <c r="J175" s="12"/>
    </row>
    <row r="176" spans="1:10" ht="12.75">
      <c r="A176" s="219"/>
      <c r="B176" s="27"/>
      <c r="C176" s="11"/>
      <c r="D176" s="1" t="s">
        <v>323</v>
      </c>
      <c r="E176">
        <f>3.5^2-(3.5-2*0.1875)^2</f>
        <v>2.484375</v>
      </c>
      <c r="F176" s="8">
        <f>Steel</f>
        <v>0.0034027777777777776</v>
      </c>
      <c r="G176" s="29">
        <v>1</v>
      </c>
      <c r="H176" s="29">
        <v>1</v>
      </c>
      <c r="I176">
        <f t="shared" si="12"/>
        <v>0.008453776041666666</v>
      </c>
      <c r="J176" s="12"/>
    </row>
    <row r="177" spans="1:10" ht="12.75">
      <c r="A177" s="220"/>
      <c r="B177" s="39"/>
      <c r="C177" s="9"/>
      <c r="D177" s="7" t="s">
        <v>308</v>
      </c>
      <c r="E177" s="13">
        <f>0.024/Steel</f>
        <v>7.053061224489796</v>
      </c>
      <c r="F177" s="14">
        <f>Steel</f>
        <v>0.0034027777777777776</v>
      </c>
      <c r="G177" s="15">
        <f>3.583</f>
        <v>3.583</v>
      </c>
      <c r="H177" s="15">
        <v>6.25</v>
      </c>
      <c r="I177" s="13">
        <f t="shared" si="12"/>
        <v>0.013758720000000002</v>
      </c>
      <c r="J177" s="16">
        <f>SUM(I175:I177)</f>
        <v>0.028975176597222225</v>
      </c>
    </row>
    <row r="178" spans="1:11" ht="12.75">
      <c r="A178" s="290" t="s">
        <v>46</v>
      </c>
      <c r="B178" s="291" t="s">
        <v>47</v>
      </c>
      <c r="C178" s="257" t="s">
        <v>48</v>
      </c>
      <c r="D178" s="256" t="s">
        <v>324</v>
      </c>
      <c r="E178" s="258">
        <f>9.5*33+2*(2.375*22/2+2.375*11+4.875*7/2+4.875*4)</f>
        <v>491.125</v>
      </c>
      <c r="F178" s="259">
        <f>Conc</f>
        <v>0.0010416666666666667</v>
      </c>
      <c r="G178" s="260">
        <v>1</v>
      </c>
      <c r="H178" s="260">
        <v>1</v>
      </c>
      <c r="I178" s="258">
        <f>E178*F178*G178/H178</f>
        <v>0.5115885416666667</v>
      </c>
      <c r="J178" s="261">
        <f>I178</f>
        <v>0.5115885416666667</v>
      </c>
      <c r="K178" s="101"/>
    </row>
    <row r="179" spans="1:10" ht="12.75">
      <c r="A179" s="383" t="s">
        <v>49</v>
      </c>
      <c r="B179" s="35" t="s">
        <v>6</v>
      </c>
      <c r="C179" s="20" t="s">
        <v>7</v>
      </c>
      <c r="D179" s="1" t="s">
        <v>281</v>
      </c>
      <c r="E179" s="2" t="s">
        <v>282</v>
      </c>
      <c r="F179" s="8">
        <f>Steel</f>
        <v>0.0034027777777777776</v>
      </c>
      <c r="G179" s="30" t="s">
        <v>282</v>
      </c>
      <c r="H179" s="30" t="s">
        <v>282</v>
      </c>
      <c r="I179">
        <f>0.002*8</f>
        <v>0.016</v>
      </c>
      <c r="J179" s="12"/>
    </row>
    <row r="180" spans="1:10" ht="12.75">
      <c r="A180" s="384"/>
      <c r="B180" s="13"/>
      <c r="C180" s="7"/>
      <c r="D180" s="9" t="s">
        <v>283</v>
      </c>
      <c r="E180" s="13">
        <f>9*4.5</f>
        <v>40.5</v>
      </c>
      <c r="F180" s="14">
        <f>Conc</f>
        <v>0.0010416666666666667</v>
      </c>
      <c r="G180" s="15">
        <v>1</v>
      </c>
      <c r="H180" s="15">
        <v>1</v>
      </c>
      <c r="I180" s="13">
        <f>E180*F180*G180/H180</f>
        <v>0.0421875</v>
      </c>
      <c r="J180" s="16">
        <f>SUM(I179:I180)</f>
        <v>0.0581875</v>
      </c>
    </row>
    <row r="181" spans="1:10" ht="12.75">
      <c r="A181" s="385"/>
      <c r="B181" s="36" t="s">
        <v>8</v>
      </c>
      <c r="C181" s="7"/>
      <c r="D181" s="7" t="s">
        <v>284</v>
      </c>
      <c r="E181" s="10" t="s">
        <v>282</v>
      </c>
      <c r="F181" s="14">
        <f>Steel</f>
        <v>0.0034027777777777776</v>
      </c>
      <c r="G181" s="31" t="s">
        <v>282</v>
      </c>
      <c r="H181" s="31" t="s">
        <v>282</v>
      </c>
      <c r="I181" s="13">
        <f>0.002*10</f>
        <v>0.02</v>
      </c>
      <c r="J181" s="96">
        <f>I181</f>
        <v>0.02</v>
      </c>
    </row>
    <row r="182" spans="1:10" ht="12.75">
      <c r="A182" s="228" t="s">
        <v>50</v>
      </c>
      <c r="B182" s="159" t="s">
        <v>51</v>
      </c>
      <c r="C182" s="126"/>
      <c r="D182" s="181" t="s">
        <v>313</v>
      </c>
      <c r="E182" s="111">
        <f>2*(2.5*1-(2.5-2*0.12)*(1-2*0.12))</f>
        <v>1.5648000000000004</v>
      </c>
      <c r="F182" s="112">
        <f>Steel</f>
        <v>0.0034027777777777776</v>
      </c>
      <c r="G182" s="113">
        <v>1</v>
      </c>
      <c r="H182" s="113">
        <v>1</v>
      </c>
      <c r="I182" s="111">
        <f>E182*F182*G182/H182</f>
        <v>0.005324666666666668</v>
      </c>
      <c r="J182" s="114"/>
    </row>
    <row r="183" spans="1:10" ht="12.75">
      <c r="A183" s="229"/>
      <c r="B183" s="159"/>
      <c r="C183" s="126"/>
      <c r="D183" s="181" t="s">
        <v>314</v>
      </c>
      <c r="E183" s="111">
        <f>2.5*1-(2.5-2*0.12)*(1-2*0.12)</f>
        <v>0.7824000000000002</v>
      </c>
      <c r="F183" s="112">
        <f>Steel</f>
        <v>0.0034027777777777776</v>
      </c>
      <c r="G183" s="113">
        <f>3.5</f>
        <v>3.5</v>
      </c>
      <c r="H183" s="113">
        <v>0.5</v>
      </c>
      <c r="I183" s="111">
        <f>E183*F183*G183/H183</f>
        <v>0.018636333333333338</v>
      </c>
      <c r="J183" s="114"/>
    </row>
    <row r="184" spans="1:11" ht="13.5" thickBot="1">
      <c r="A184" s="230"/>
      <c r="B184" s="182"/>
      <c r="C184" s="183"/>
      <c r="D184" s="184" t="s">
        <v>315</v>
      </c>
      <c r="E184" s="185">
        <f>2.5*1-(2.5-2*0.12)*(1-2*0.12)</f>
        <v>0.7824000000000002</v>
      </c>
      <c r="F184" s="186">
        <f>Steel</f>
        <v>0.0034027777777777776</v>
      </c>
      <c r="G184" s="187">
        <f>4.5</f>
        <v>4.5</v>
      </c>
      <c r="H184" s="187">
        <v>3</v>
      </c>
      <c r="I184" s="185">
        <f>E184*F184*G184/H184</f>
        <v>0.0039935000000000005</v>
      </c>
      <c r="J184" s="188">
        <f>SUM(I182:I184)</f>
        <v>0.027954500000000007</v>
      </c>
      <c r="K184" s="101"/>
    </row>
    <row r="185" spans="1:10" ht="18.75" customHeight="1" thickTop="1">
      <c r="A185" s="418" t="s">
        <v>671</v>
      </c>
      <c r="B185" s="401"/>
      <c r="C185" s="401"/>
      <c r="D185" s="401"/>
      <c r="E185" s="401"/>
      <c r="F185" s="401"/>
      <c r="G185" s="401"/>
      <c r="H185" s="401"/>
      <c r="I185" s="401"/>
      <c r="J185" s="402"/>
    </row>
    <row r="186" spans="1:10" ht="12.75" customHeight="1">
      <c r="A186" s="419"/>
      <c r="B186" s="404"/>
      <c r="C186" s="404"/>
      <c r="D186" s="404"/>
      <c r="E186" s="404"/>
      <c r="F186" s="404"/>
      <c r="G186" s="404"/>
      <c r="H186" s="404"/>
      <c r="I186" s="404"/>
      <c r="J186" s="405"/>
    </row>
    <row r="187" spans="1:10" ht="13.5" thickBot="1">
      <c r="A187" s="420"/>
      <c r="B187" s="407"/>
      <c r="C187" s="407"/>
      <c r="D187" s="407"/>
      <c r="E187" s="407"/>
      <c r="F187" s="407"/>
      <c r="G187" s="407"/>
      <c r="H187" s="407"/>
      <c r="I187" s="407"/>
      <c r="J187" s="408"/>
    </row>
    <row r="188" spans="1:10" ht="13.5" thickTop="1">
      <c r="A188" s="232" t="s">
        <v>53</v>
      </c>
      <c r="B188" s="36" t="s">
        <v>43</v>
      </c>
      <c r="C188" s="7"/>
      <c r="D188" s="7" t="s">
        <v>325</v>
      </c>
      <c r="E188" s="13">
        <f>7.5*32+2.375*22/2+2.375*10+4.875*7/2+4.875*3</f>
        <v>321.5625</v>
      </c>
      <c r="F188" s="14">
        <f>Conc</f>
        <v>0.0010416666666666667</v>
      </c>
      <c r="G188" s="15">
        <v>1</v>
      </c>
      <c r="H188" s="15">
        <v>1</v>
      </c>
      <c r="I188" s="13">
        <f>E188*F188*G188/H188</f>
        <v>0.3349609375</v>
      </c>
      <c r="J188" s="16">
        <f>I188</f>
        <v>0.3349609375</v>
      </c>
    </row>
    <row r="189" spans="1:10" ht="12.75">
      <c r="A189" s="220" t="s">
        <v>54</v>
      </c>
      <c r="B189" s="36" t="s">
        <v>43</v>
      </c>
      <c r="C189" s="7"/>
      <c r="D189" s="7" t="s">
        <v>326</v>
      </c>
      <c r="E189" s="13">
        <f>8.75*32+2.375*22/2+2.375*10+4.875*7/2+4.875*3</f>
        <v>361.5625</v>
      </c>
      <c r="F189" s="14">
        <f>Conc</f>
        <v>0.0010416666666666667</v>
      </c>
      <c r="G189" s="15">
        <v>1</v>
      </c>
      <c r="H189" s="15">
        <v>1</v>
      </c>
      <c r="I189" s="13">
        <f>E189*F189*G189/H189</f>
        <v>0.3766276041666667</v>
      </c>
      <c r="J189" s="16">
        <f>I189</f>
        <v>0.3766276041666667</v>
      </c>
    </row>
    <row r="190" spans="1:10" ht="12.75">
      <c r="A190" s="219" t="s">
        <v>55</v>
      </c>
      <c r="B190" s="27" t="s">
        <v>56</v>
      </c>
      <c r="C190" s="11"/>
      <c r="D190" s="11" t="s">
        <v>327</v>
      </c>
      <c r="E190" s="28">
        <f>9*32</f>
        <v>288</v>
      </c>
      <c r="F190" s="32">
        <f>Conc</f>
        <v>0.0010416666666666667</v>
      </c>
      <c r="G190" s="33">
        <v>1</v>
      </c>
      <c r="H190" s="33">
        <v>1</v>
      </c>
      <c r="I190" s="28">
        <f>E190*F190*G190/H190</f>
        <v>0.3</v>
      </c>
      <c r="J190" s="12"/>
    </row>
    <row r="191" spans="1:10" ht="12.75">
      <c r="A191" s="220"/>
      <c r="B191" s="39"/>
      <c r="C191" s="9"/>
      <c r="D191" s="9" t="s">
        <v>328</v>
      </c>
      <c r="E191" s="10" t="s">
        <v>282</v>
      </c>
      <c r="F191" s="14">
        <f>Steel</f>
        <v>0.0034027777777777776</v>
      </c>
      <c r="G191" s="31" t="s">
        <v>282</v>
      </c>
      <c r="H191" s="31" t="s">
        <v>282</v>
      </c>
      <c r="I191" s="13">
        <f>0.002*6</f>
        <v>0.012</v>
      </c>
      <c r="J191" s="16">
        <f>SUM(I190:I191)</f>
        <v>0.312</v>
      </c>
    </row>
    <row r="192" spans="1:20" ht="12.75">
      <c r="A192" s="219" t="s">
        <v>57</v>
      </c>
      <c r="B192" s="27" t="s">
        <v>58</v>
      </c>
      <c r="C192" s="11"/>
      <c r="D192" s="11" t="s">
        <v>327</v>
      </c>
      <c r="E192" s="28">
        <f>9*32</f>
        <v>288</v>
      </c>
      <c r="F192" s="32">
        <f>Conc</f>
        <v>0.0010416666666666667</v>
      </c>
      <c r="G192" s="33">
        <v>1</v>
      </c>
      <c r="H192" s="33">
        <v>1</v>
      </c>
      <c r="I192" s="28">
        <f aca="true" t="shared" si="14" ref="I192:I268">E192*F192*G192/H192</f>
        <v>0.3</v>
      </c>
      <c r="J192" s="12"/>
      <c r="K192" s="28"/>
      <c r="L192" s="28"/>
      <c r="M192" s="28"/>
      <c r="N192" s="28"/>
      <c r="O192" s="28"/>
      <c r="P192" s="28"/>
      <c r="Q192" s="28"/>
      <c r="R192" s="28"/>
      <c r="S192" s="28"/>
      <c r="T192" s="28"/>
    </row>
    <row r="193" spans="1:19" ht="12.75">
      <c r="A193" s="216"/>
      <c r="D193" s="20" t="s">
        <v>313</v>
      </c>
      <c r="E193" s="28">
        <f>2*(2.5*1-(2.5-2*0.12)*(1-2*0.12))</f>
        <v>1.5648000000000004</v>
      </c>
      <c r="F193" s="32">
        <f>Steel</f>
        <v>0.0034027777777777776</v>
      </c>
      <c r="G193" s="34">
        <v>1</v>
      </c>
      <c r="H193" s="34">
        <v>1</v>
      </c>
      <c r="I193" s="28">
        <f t="shared" si="14"/>
        <v>0.005324666666666668</v>
      </c>
      <c r="J193" s="12"/>
      <c r="S193" s="28"/>
    </row>
    <row r="194" spans="1:10" ht="12.75">
      <c r="A194" s="219"/>
      <c r="B194" s="27"/>
      <c r="C194" s="11"/>
      <c r="D194" s="20" t="s">
        <v>329</v>
      </c>
      <c r="E194" s="33">
        <f>0.25</f>
        <v>0.25</v>
      </c>
      <c r="F194" s="32">
        <f>Steel</f>
        <v>0.0034027777777777776</v>
      </c>
      <c r="G194" s="34">
        <f>1.333</f>
        <v>1.333</v>
      </c>
      <c r="H194" s="34">
        <f>0.5</f>
        <v>0.5</v>
      </c>
      <c r="I194" s="28">
        <f t="shared" si="14"/>
        <v>0.002267951388888889</v>
      </c>
      <c r="J194" s="12"/>
    </row>
    <row r="195" spans="1:10" ht="12.75">
      <c r="A195" s="220"/>
      <c r="B195" s="39"/>
      <c r="C195" s="9"/>
      <c r="D195" s="7" t="s">
        <v>330</v>
      </c>
      <c r="E195" s="13">
        <f>2*(2.5*1-(2.5-2*0.12)*(1-2*0.12))</f>
        <v>1.5648000000000004</v>
      </c>
      <c r="F195" s="14">
        <f>Steel</f>
        <v>0.0034027777777777776</v>
      </c>
      <c r="G195" s="31">
        <v>1.75</v>
      </c>
      <c r="H195" s="31">
        <v>4.5</v>
      </c>
      <c r="I195" s="13">
        <f t="shared" si="14"/>
        <v>0.0020707037037037044</v>
      </c>
      <c r="J195" s="16">
        <f>SUM(I192:I195)</f>
        <v>0.30966332175925926</v>
      </c>
    </row>
    <row r="196" spans="1:14" ht="12.75">
      <c r="A196" s="219" t="s">
        <v>59</v>
      </c>
      <c r="B196" s="35" t="s">
        <v>60</v>
      </c>
      <c r="C196" s="20"/>
      <c r="D196" s="11" t="s">
        <v>331</v>
      </c>
      <c r="E196" s="28">
        <f>1.9874*(0.1345/0.1046)</f>
        <v>2.5555000000000003</v>
      </c>
      <c r="F196" s="32">
        <f>Steel</f>
        <v>0.0034027777777777776</v>
      </c>
      <c r="G196" s="33">
        <v>1</v>
      </c>
      <c r="H196" s="33">
        <v>1</v>
      </c>
      <c r="I196" s="28">
        <f t="shared" si="14"/>
        <v>0.008695798611111112</v>
      </c>
      <c r="J196" s="12"/>
      <c r="K196" s="20"/>
      <c r="L196" s="28"/>
      <c r="M196" s="28"/>
      <c r="N196" s="28"/>
    </row>
    <row r="197" spans="1:14" ht="12.75">
      <c r="A197" s="219"/>
      <c r="D197" s="20" t="s">
        <v>332</v>
      </c>
      <c r="E197" s="33">
        <f>2.5*7.5</f>
        <v>18.75</v>
      </c>
      <c r="F197" s="32">
        <f>Tmbr</f>
        <v>0.00022222222222222223</v>
      </c>
      <c r="G197" s="33">
        <v>1</v>
      </c>
      <c r="H197" s="33">
        <v>1</v>
      </c>
      <c r="I197" s="28">
        <f t="shared" si="14"/>
        <v>0.004166666666666667</v>
      </c>
      <c r="J197" s="12"/>
      <c r="K197" s="28"/>
      <c r="L197" s="28"/>
      <c r="M197" s="28"/>
      <c r="N197" s="28"/>
    </row>
    <row r="198" spans="1:14" ht="12.75">
      <c r="A198" s="219"/>
      <c r="B198" s="27"/>
      <c r="C198" s="11"/>
      <c r="D198" s="20" t="s">
        <v>333</v>
      </c>
      <c r="E198" s="34">
        <f>5.5*5.5</f>
        <v>30.25</v>
      </c>
      <c r="F198" s="32">
        <f>Tmbr</f>
        <v>0.00022222222222222223</v>
      </c>
      <c r="G198" s="34">
        <v>1</v>
      </c>
      <c r="H198" s="34">
        <v>1</v>
      </c>
      <c r="I198" s="28">
        <f t="shared" si="14"/>
        <v>0.006722222222222222</v>
      </c>
      <c r="J198" s="12"/>
      <c r="K198" s="28"/>
      <c r="L198" s="28"/>
      <c r="M198" s="28"/>
      <c r="N198" s="28"/>
    </row>
    <row r="199" spans="1:10" ht="12.75">
      <c r="A199" s="220"/>
      <c r="B199" s="39"/>
      <c r="C199" s="9"/>
      <c r="D199" s="7" t="s">
        <v>334</v>
      </c>
      <c r="E199" s="31">
        <f>7.5*7.5</f>
        <v>56.25</v>
      </c>
      <c r="F199" s="14">
        <f>Tmbr</f>
        <v>0.00022222222222222223</v>
      </c>
      <c r="G199" s="31">
        <f>3.167+0.125+0.958+0.292+1.292</f>
        <v>5.834</v>
      </c>
      <c r="H199" s="31">
        <v>6.25</v>
      </c>
      <c r="I199" s="13">
        <f t="shared" si="14"/>
        <v>0.011668000000000001</v>
      </c>
      <c r="J199" s="16">
        <f>SUM(I196:I199)</f>
        <v>0.0312526875</v>
      </c>
    </row>
    <row r="200" spans="1:10" ht="12.75">
      <c r="A200" s="220" t="s">
        <v>61</v>
      </c>
      <c r="B200" s="39" t="s">
        <v>62</v>
      </c>
      <c r="C200" s="9"/>
      <c r="D200" s="9" t="s">
        <v>335</v>
      </c>
      <c r="E200" s="13">
        <f>6*32+3*19/2+3*13+7*10/2+7*3</f>
        <v>315.5</v>
      </c>
      <c r="F200" s="14">
        <f>Conc</f>
        <v>0.0010416666666666667</v>
      </c>
      <c r="G200" s="15">
        <v>1</v>
      </c>
      <c r="H200" s="15">
        <v>1</v>
      </c>
      <c r="I200" s="13">
        <f t="shared" si="14"/>
        <v>0.3286458333333333</v>
      </c>
      <c r="J200" s="16">
        <f>I200</f>
        <v>0.3286458333333333</v>
      </c>
    </row>
    <row r="201" spans="1:10" ht="12.75">
      <c r="A201" s="233" t="s">
        <v>564</v>
      </c>
      <c r="B201" s="82" t="s">
        <v>551</v>
      </c>
      <c r="C201" s="83"/>
      <c r="D201" s="83" t="s">
        <v>559</v>
      </c>
      <c r="E201" s="45">
        <v>2.25</v>
      </c>
      <c r="F201" s="49">
        <f aca="true" t="shared" si="15" ref="F201:F206">Steel</f>
        <v>0.0034027777777777776</v>
      </c>
      <c r="G201" s="84">
        <v>1</v>
      </c>
      <c r="H201" s="84">
        <v>1</v>
      </c>
      <c r="I201" s="28">
        <f t="shared" si="14"/>
        <v>0.00765625</v>
      </c>
      <c r="J201" s="95"/>
    </row>
    <row r="202" spans="1:10" ht="12.75">
      <c r="A202" s="219"/>
      <c r="B202" s="27" t="s">
        <v>552</v>
      </c>
      <c r="C202" s="11"/>
      <c r="D202" s="6" t="s">
        <v>560</v>
      </c>
      <c r="E202">
        <f>0.00232/Steel</f>
        <v>0.681795918367347</v>
      </c>
      <c r="F202" s="8">
        <f t="shared" si="15"/>
        <v>0.0034027777777777776</v>
      </c>
      <c r="G202" s="29">
        <v>1</v>
      </c>
      <c r="H202" s="29">
        <v>1</v>
      </c>
      <c r="I202" s="28">
        <f t="shared" si="14"/>
        <v>0.00232</v>
      </c>
      <c r="J202" s="12"/>
    </row>
    <row r="203" spans="1:10" ht="12.75">
      <c r="A203" s="219"/>
      <c r="B203" s="27"/>
      <c r="C203" s="11"/>
      <c r="D203" s="6" t="s">
        <v>561</v>
      </c>
      <c r="E203">
        <f>0.00186/Steel</f>
        <v>0.5466122448979592</v>
      </c>
      <c r="F203" s="8">
        <f t="shared" si="15"/>
        <v>0.0034027777777777776</v>
      </c>
      <c r="G203" s="29">
        <v>1</v>
      </c>
      <c r="H203" s="29">
        <v>1</v>
      </c>
      <c r="I203" s="28">
        <f>E203*F203*G203/H203</f>
        <v>0.00186</v>
      </c>
      <c r="J203" s="12"/>
    </row>
    <row r="204" spans="1:10" ht="12.75">
      <c r="A204" s="219"/>
      <c r="B204" s="27"/>
      <c r="C204" s="11"/>
      <c r="D204" s="11" t="s">
        <v>553</v>
      </c>
      <c r="E204">
        <f>0.005/Steel</f>
        <v>1.469387755102041</v>
      </c>
      <c r="F204" s="8">
        <f t="shared" si="15"/>
        <v>0.0034027777777777776</v>
      </c>
      <c r="G204" s="29">
        <v>1</v>
      </c>
      <c r="H204" s="29">
        <v>1</v>
      </c>
      <c r="I204" s="28">
        <f>E204*F204*G204/H204</f>
        <v>0.005</v>
      </c>
      <c r="J204" s="12"/>
    </row>
    <row r="205" spans="1:10" ht="12.75">
      <c r="A205" s="219"/>
      <c r="B205" s="27"/>
      <c r="C205" s="11"/>
      <c r="D205" s="11" t="s">
        <v>554</v>
      </c>
      <c r="E205">
        <f>0.75^2</f>
        <v>0.5625</v>
      </c>
      <c r="F205" s="8">
        <f t="shared" si="15"/>
        <v>0.0034027777777777776</v>
      </c>
      <c r="G205" s="29">
        <f>2+0.75/12</f>
        <v>2.0625</v>
      </c>
      <c r="H205" s="29">
        <v>0.5</v>
      </c>
      <c r="I205" s="28">
        <f>E205*F205*G205/H205</f>
        <v>0.007895507812499999</v>
      </c>
      <c r="J205" s="12"/>
    </row>
    <row r="206" spans="1:10" ht="12.75">
      <c r="A206" s="219"/>
      <c r="B206" s="27"/>
      <c r="C206" s="11"/>
      <c r="D206" s="11" t="s">
        <v>555</v>
      </c>
      <c r="E206">
        <f>0.75^2</f>
        <v>0.5625</v>
      </c>
      <c r="F206" s="8">
        <f t="shared" si="15"/>
        <v>0.0034027777777777776</v>
      </c>
      <c r="G206" s="29">
        <f>8.5/12</f>
        <v>0.7083333333333334</v>
      </c>
      <c r="H206" s="29">
        <v>0.5</v>
      </c>
      <c r="I206" s="28">
        <f aca="true" t="shared" si="16" ref="I206:I213">E206*F206*G206/H206</f>
        <v>0.002711588541666667</v>
      </c>
      <c r="J206" s="12"/>
    </row>
    <row r="207" spans="1:10" ht="12.75">
      <c r="A207" s="219"/>
      <c r="B207" s="27"/>
      <c r="C207" s="11"/>
      <c r="D207" s="11" t="s">
        <v>556</v>
      </c>
      <c r="E207">
        <f>9*30-6*2/2</f>
        <v>264</v>
      </c>
      <c r="F207" s="8">
        <f>Conc</f>
        <v>0.0010416666666666667</v>
      </c>
      <c r="G207" s="29">
        <v>1</v>
      </c>
      <c r="H207" s="29">
        <v>1</v>
      </c>
      <c r="I207" s="28">
        <f t="shared" si="16"/>
        <v>0.275</v>
      </c>
      <c r="J207" s="12"/>
    </row>
    <row r="208" spans="1:10" ht="12.75">
      <c r="A208" s="219"/>
      <c r="B208" s="27"/>
      <c r="C208" s="11"/>
      <c r="D208" s="11" t="s">
        <v>557</v>
      </c>
      <c r="E208">
        <f>(15-9)*8-(15-6)*2/2</f>
        <v>39</v>
      </c>
      <c r="F208" s="8">
        <f>Conc</f>
        <v>0.0010416666666666667</v>
      </c>
      <c r="G208" s="29">
        <v>1</v>
      </c>
      <c r="H208" s="29">
        <v>1</v>
      </c>
      <c r="I208" s="28">
        <f t="shared" si="16"/>
        <v>0.040625</v>
      </c>
      <c r="J208" s="12"/>
    </row>
    <row r="209" spans="1:10" ht="12.75">
      <c r="A209" s="219"/>
      <c r="B209" s="27"/>
      <c r="C209" s="11"/>
      <c r="D209" s="11" t="s">
        <v>566</v>
      </c>
      <c r="E209">
        <f>18*12</f>
        <v>216</v>
      </c>
      <c r="F209" s="8">
        <f>Conc</f>
        <v>0.0010416666666666667</v>
      </c>
      <c r="G209" s="29">
        <f>3+9.5/12</f>
        <v>3.7916666666666665</v>
      </c>
      <c r="H209" s="29">
        <v>10</v>
      </c>
      <c r="I209" s="28">
        <f t="shared" si="16"/>
        <v>0.0853125</v>
      </c>
      <c r="J209" s="12"/>
    </row>
    <row r="210" spans="1:10" ht="12.75">
      <c r="A210" s="219"/>
      <c r="B210" s="27"/>
      <c r="C210" s="11"/>
      <c r="D210" s="11" t="s">
        <v>565</v>
      </c>
      <c r="E210">
        <v>4.59</v>
      </c>
      <c r="F210" s="8">
        <f aca="true" t="shared" si="17" ref="F210:F217">Steel</f>
        <v>0.0034027777777777776</v>
      </c>
      <c r="G210" s="29">
        <f>5+5.5/12</f>
        <v>5.458333333333333</v>
      </c>
      <c r="H210" s="29">
        <v>10</v>
      </c>
      <c r="I210" s="28">
        <f t="shared" si="16"/>
        <v>0.008525234375</v>
      </c>
      <c r="J210" s="12"/>
    </row>
    <row r="211" spans="1:10" ht="12.75">
      <c r="A211" s="219"/>
      <c r="B211" s="27"/>
      <c r="C211" s="11"/>
      <c r="D211" s="11" t="s">
        <v>558</v>
      </c>
      <c r="E211" s="28">
        <v>1</v>
      </c>
      <c r="F211" s="8">
        <f t="shared" si="17"/>
        <v>0.0034027777777777776</v>
      </c>
      <c r="G211" s="29">
        <f>0.5+(5+5.5/12)-0.5+3.14*(1)/4</f>
        <v>6.243333333333333</v>
      </c>
      <c r="H211" s="33">
        <f>4/12</f>
        <v>0.3333333333333333</v>
      </c>
      <c r="I211" s="28">
        <f t="shared" si="16"/>
        <v>0.06373402777777777</v>
      </c>
      <c r="J211" s="12"/>
    </row>
    <row r="212" spans="1:10" ht="12.75">
      <c r="A212" s="219"/>
      <c r="B212" s="27"/>
      <c r="C212" s="11"/>
      <c r="D212" s="11" t="s">
        <v>562</v>
      </c>
      <c r="E212">
        <f>0.0054/Steel</f>
        <v>1.5869387755102042</v>
      </c>
      <c r="F212" s="8">
        <f t="shared" si="17"/>
        <v>0.0034027777777777776</v>
      </c>
      <c r="G212" s="29">
        <v>1</v>
      </c>
      <c r="H212" s="33">
        <v>1</v>
      </c>
      <c r="I212" s="28">
        <f t="shared" si="16"/>
        <v>0.0054</v>
      </c>
      <c r="J212" s="12"/>
    </row>
    <row r="213" spans="1:10" ht="12.75">
      <c r="A213" s="220"/>
      <c r="B213" s="39"/>
      <c r="C213" s="9"/>
      <c r="D213" s="9" t="s">
        <v>563</v>
      </c>
      <c r="E213" s="13">
        <f>0.0054/Steel</f>
        <v>1.5869387755102042</v>
      </c>
      <c r="F213" s="14">
        <f t="shared" si="17"/>
        <v>0.0034027777777777776</v>
      </c>
      <c r="G213" s="15">
        <v>1</v>
      </c>
      <c r="H213" s="15">
        <v>1</v>
      </c>
      <c r="I213" s="13">
        <f t="shared" si="16"/>
        <v>0.0054</v>
      </c>
      <c r="J213" s="16">
        <f>SUM(I201:I213)</f>
        <v>0.5114401085069444</v>
      </c>
    </row>
    <row r="214" spans="1:11" ht="12.75">
      <c r="A214" s="233" t="s">
        <v>63</v>
      </c>
      <c r="B214" s="41" t="s">
        <v>39</v>
      </c>
      <c r="C214" s="20" t="s">
        <v>7</v>
      </c>
      <c r="D214" s="20" t="s">
        <v>320</v>
      </c>
      <c r="E214" s="28">
        <f>2*(5^2-(5-2*0.1875)^2)</f>
        <v>7.21875</v>
      </c>
      <c r="F214" s="32">
        <f t="shared" si="17"/>
        <v>0.0034027777777777776</v>
      </c>
      <c r="G214" s="33">
        <v>1</v>
      </c>
      <c r="H214" s="33">
        <v>1</v>
      </c>
      <c r="I214" s="28">
        <f t="shared" si="14"/>
        <v>0.024563802083333332</v>
      </c>
      <c r="J214" s="12"/>
      <c r="K214" s="28"/>
    </row>
    <row r="215" spans="1:11" ht="12.75">
      <c r="A215" s="216"/>
      <c r="B215"/>
      <c r="C215" s="20"/>
      <c r="D215" s="20" t="s">
        <v>316</v>
      </c>
      <c r="E215" s="28">
        <f>5*3-(5-2*0.1875)*(3-2*0.1875)</f>
        <v>2.859375</v>
      </c>
      <c r="F215" s="32">
        <f t="shared" si="17"/>
        <v>0.0034027777777777776</v>
      </c>
      <c r="G215" s="33">
        <v>1</v>
      </c>
      <c r="H215" s="33">
        <v>1</v>
      </c>
      <c r="I215" s="28">
        <f t="shared" si="14"/>
        <v>0.009729817708333333</v>
      </c>
      <c r="J215" s="12"/>
      <c r="K215" s="28"/>
    </row>
    <row r="216" spans="1:11" ht="12.75">
      <c r="A216" s="216"/>
      <c r="D216" s="20" t="s">
        <v>317</v>
      </c>
      <c r="E216" s="28">
        <f>0.024/Steel</f>
        <v>7.053061224489796</v>
      </c>
      <c r="F216" s="32">
        <f t="shared" si="17"/>
        <v>0.0034027777777777776</v>
      </c>
      <c r="G216" s="33">
        <f>3.542-0.708</f>
        <v>2.8339999999999996</v>
      </c>
      <c r="H216" s="33">
        <v>11.167</v>
      </c>
      <c r="I216" s="28">
        <f t="shared" si="14"/>
        <v>0.00609080325960419</v>
      </c>
      <c r="J216" s="12"/>
      <c r="K216" s="28"/>
    </row>
    <row r="217" spans="1:11" ht="12.75">
      <c r="A217" s="216"/>
      <c r="B217" s="41"/>
      <c r="C217" s="51"/>
      <c r="D217" s="11" t="s">
        <v>318</v>
      </c>
      <c r="E217" s="28">
        <f>12*12</f>
        <v>144</v>
      </c>
      <c r="F217" s="32">
        <f t="shared" si="17"/>
        <v>0.0034027777777777776</v>
      </c>
      <c r="G217" s="33">
        <f>0.083</f>
        <v>0.083</v>
      </c>
      <c r="H217" s="33">
        <v>11.167</v>
      </c>
      <c r="I217" s="28">
        <f t="shared" si="14"/>
        <v>0.003641980836392944</v>
      </c>
      <c r="J217" s="12"/>
      <c r="K217" s="28"/>
    </row>
    <row r="218" spans="1:11" ht="12.75">
      <c r="A218" s="216"/>
      <c r="B218" s="41"/>
      <c r="C218" s="51"/>
      <c r="D218" s="11" t="s">
        <v>288</v>
      </c>
      <c r="E218" s="28">
        <f>13.5*13.5</f>
        <v>182.25</v>
      </c>
      <c r="F218" s="32">
        <f>Conc</f>
        <v>0.0010416666666666667</v>
      </c>
      <c r="G218" s="33">
        <f>0.125</f>
        <v>0.125</v>
      </c>
      <c r="H218" s="33">
        <v>11.167</v>
      </c>
      <c r="I218" s="28">
        <f t="shared" si="14"/>
        <v>0.0021250531700546253</v>
      </c>
      <c r="J218" s="12"/>
      <c r="K218" s="28"/>
    </row>
    <row r="219" spans="1:10" ht="12.75">
      <c r="A219" s="234"/>
      <c r="B219" s="47"/>
      <c r="C219" s="52"/>
      <c r="D219" s="9" t="s">
        <v>336</v>
      </c>
      <c r="E219" s="15">
        <f>19*6</f>
        <v>114</v>
      </c>
      <c r="F219" s="14">
        <f>Conc</f>
        <v>0.0010416666666666667</v>
      </c>
      <c r="G219" s="15">
        <v>1</v>
      </c>
      <c r="H219" s="15">
        <v>1</v>
      </c>
      <c r="I219" s="13">
        <f t="shared" si="14"/>
        <v>0.11875</v>
      </c>
      <c r="J219" s="16">
        <f>SUM(I214:I219)</f>
        <v>0.16490145705771841</v>
      </c>
    </row>
    <row r="220" spans="1:10" ht="12.75">
      <c r="A220" s="219" t="s">
        <v>64</v>
      </c>
      <c r="B220" s="35" t="s">
        <v>65</v>
      </c>
      <c r="C220" s="20"/>
      <c r="D220" s="1" t="s">
        <v>320</v>
      </c>
      <c r="E220">
        <f>2*(5^2-(5-2*0.1875)^2)</f>
        <v>7.21875</v>
      </c>
      <c r="F220" s="8">
        <f aca="true" t="shared" si="18" ref="F220:F227">Steel</f>
        <v>0.0034027777777777776</v>
      </c>
      <c r="G220" s="29">
        <v>1</v>
      </c>
      <c r="H220" s="29">
        <v>1</v>
      </c>
      <c r="I220">
        <f t="shared" si="14"/>
        <v>0.024563802083333332</v>
      </c>
      <c r="J220" s="12"/>
    </row>
    <row r="221" spans="1:10" ht="12.75">
      <c r="A221" s="234"/>
      <c r="B221" s="39"/>
      <c r="C221" s="9"/>
      <c r="D221" s="7" t="s">
        <v>317</v>
      </c>
      <c r="E221" s="13">
        <f>0.024/Steel</f>
        <v>7.053061224489796</v>
      </c>
      <c r="F221" s="14">
        <f t="shared" si="18"/>
        <v>0.0034027777777777776</v>
      </c>
      <c r="G221" s="15">
        <f>2.875+1.25</f>
        <v>4.125</v>
      </c>
      <c r="H221" s="15">
        <v>11.167</v>
      </c>
      <c r="I221" s="13">
        <f t="shared" si="14"/>
        <v>0.008865407002776037</v>
      </c>
      <c r="J221" s="16">
        <f>SUM(I220:I221)</f>
        <v>0.03342920908610937</v>
      </c>
    </row>
    <row r="222" spans="1:10" ht="12.75">
      <c r="A222" s="219" t="s">
        <v>50</v>
      </c>
      <c r="B222" s="27" t="s">
        <v>51</v>
      </c>
      <c r="C222" s="11"/>
      <c r="D222" s="1" t="s">
        <v>337</v>
      </c>
      <c r="E222">
        <f>2*(2*1-(2-2*0.12)*(1-2*0.12))</f>
        <v>1.3247999999999998</v>
      </c>
      <c r="F222" s="8">
        <f t="shared" si="18"/>
        <v>0.0034027777777777776</v>
      </c>
      <c r="G222" s="29">
        <v>1</v>
      </c>
      <c r="H222" s="29">
        <v>1</v>
      </c>
      <c r="I222">
        <f t="shared" si="14"/>
        <v>0.004507999999999999</v>
      </c>
      <c r="J222" s="12"/>
    </row>
    <row r="223" spans="1:10" ht="12.75">
      <c r="A223" s="219"/>
      <c r="B223" s="27"/>
      <c r="C223" s="11"/>
      <c r="D223" s="1" t="s">
        <v>338</v>
      </c>
      <c r="E223">
        <f>2*1-(2-2*0.12)*(1-2*0.12)</f>
        <v>0.6623999999999999</v>
      </c>
      <c r="F223" s="8">
        <f t="shared" si="18"/>
        <v>0.0034027777777777776</v>
      </c>
      <c r="G223" s="29">
        <f>3.667</f>
        <v>3.667</v>
      </c>
      <c r="H223" s="29">
        <v>0.5</v>
      </c>
      <c r="I223">
        <f t="shared" si="14"/>
        <v>0.016530835999999997</v>
      </c>
      <c r="J223" s="12"/>
    </row>
    <row r="224" spans="1:10" ht="12.75">
      <c r="A224" s="220"/>
      <c r="B224" s="39"/>
      <c r="C224" s="9"/>
      <c r="D224" s="7" t="s">
        <v>339</v>
      </c>
      <c r="E224" s="13">
        <f>2*1-(2-2*0.12)*(1-2*0.12)</f>
        <v>0.6623999999999999</v>
      </c>
      <c r="F224" s="14">
        <f t="shared" si="18"/>
        <v>0.0034027777777777776</v>
      </c>
      <c r="G224" s="15">
        <f>0.333</f>
        <v>0.333</v>
      </c>
      <c r="H224" s="15">
        <v>3</v>
      </c>
      <c r="I224" s="13">
        <f t="shared" si="14"/>
        <v>0.00025019399999999997</v>
      </c>
      <c r="J224" s="16">
        <f>SUM(I222:I224)</f>
        <v>0.021289029999999994</v>
      </c>
    </row>
    <row r="225" spans="1:10" ht="12.75">
      <c r="A225" s="219" t="s">
        <v>66</v>
      </c>
      <c r="B225" s="35" t="s">
        <v>67</v>
      </c>
      <c r="C225" s="20"/>
      <c r="D225" s="1" t="s">
        <v>340</v>
      </c>
      <c r="E225">
        <f>2*(5^2-(5-2*0.1875)^2)</f>
        <v>7.21875</v>
      </c>
      <c r="F225" s="8">
        <f t="shared" si="18"/>
        <v>0.0034027777777777776</v>
      </c>
      <c r="G225" s="29">
        <v>1</v>
      </c>
      <c r="H225" s="29">
        <v>1</v>
      </c>
      <c r="I225">
        <f t="shared" si="14"/>
        <v>0.024563802083333332</v>
      </c>
      <c r="J225" s="12"/>
    </row>
    <row r="226" spans="1:10" ht="12.75">
      <c r="A226" s="219"/>
      <c r="B226" s="35"/>
      <c r="C226" s="20"/>
      <c r="D226" s="1" t="s">
        <v>317</v>
      </c>
      <c r="E226">
        <f>0.024/Steel</f>
        <v>7.053061224489796</v>
      </c>
      <c r="F226" s="8">
        <f t="shared" si="18"/>
        <v>0.0034027777777777776</v>
      </c>
      <c r="G226" s="29">
        <f>2.625</f>
        <v>2.625</v>
      </c>
      <c r="H226" s="29">
        <v>11.167</v>
      </c>
      <c r="I226">
        <f t="shared" si="14"/>
        <v>0.005641622638130206</v>
      </c>
      <c r="J226" s="12"/>
    </row>
    <row r="227" spans="1:10" ht="12.75">
      <c r="A227" s="216"/>
      <c r="B227" s="27"/>
      <c r="C227" s="11"/>
      <c r="D227" s="6" t="s">
        <v>318</v>
      </c>
      <c r="E227">
        <f>12*12</f>
        <v>144</v>
      </c>
      <c r="F227" s="8">
        <f t="shared" si="18"/>
        <v>0.0034027777777777776</v>
      </c>
      <c r="G227" s="29">
        <f>0.083</f>
        <v>0.083</v>
      </c>
      <c r="H227" s="29">
        <v>11.167</v>
      </c>
      <c r="I227">
        <f t="shared" si="14"/>
        <v>0.003641980836392944</v>
      </c>
      <c r="J227" s="12"/>
    </row>
    <row r="228" spans="1:10" ht="12.75">
      <c r="A228" s="234"/>
      <c r="B228" s="39"/>
      <c r="C228" s="9"/>
      <c r="D228" s="9" t="s">
        <v>288</v>
      </c>
      <c r="E228" s="13">
        <f>13.5*13.5</f>
        <v>182.25</v>
      </c>
      <c r="F228" s="14">
        <f>Conc</f>
        <v>0.0010416666666666667</v>
      </c>
      <c r="G228" s="15">
        <f>0.125</f>
        <v>0.125</v>
      </c>
      <c r="H228" s="15">
        <v>11.167</v>
      </c>
      <c r="I228" s="13">
        <f t="shared" si="14"/>
        <v>0.0021250531700546253</v>
      </c>
      <c r="J228" s="16">
        <f>SUM(I225:I228)</f>
        <v>0.035972458727911105</v>
      </c>
    </row>
    <row r="229" spans="1:10" ht="12.75">
      <c r="A229" s="219" t="s">
        <v>66</v>
      </c>
      <c r="B229" s="35" t="s">
        <v>68</v>
      </c>
      <c r="C229" s="20" t="s">
        <v>7</v>
      </c>
      <c r="D229" s="1" t="s">
        <v>340</v>
      </c>
      <c r="E229">
        <f>2*(5^2-(5-2*0.1875)^2)</f>
        <v>7.21875</v>
      </c>
      <c r="F229" s="8">
        <f>Steel</f>
        <v>0.0034027777777777776</v>
      </c>
      <c r="G229" s="29">
        <v>1</v>
      </c>
      <c r="H229" s="29">
        <v>1</v>
      </c>
      <c r="I229">
        <f t="shared" si="14"/>
        <v>0.024563802083333332</v>
      </c>
      <c r="J229" s="12"/>
    </row>
    <row r="230" spans="1:10" ht="12.75">
      <c r="A230" s="219"/>
      <c r="B230"/>
      <c r="C230" s="20"/>
      <c r="D230" s="1" t="s">
        <v>317</v>
      </c>
      <c r="E230">
        <f>0.024/Steel</f>
        <v>7.053061224489796</v>
      </c>
      <c r="F230" s="8">
        <f>Steel</f>
        <v>0.0034027777777777776</v>
      </c>
      <c r="G230" s="29">
        <f>2.625-0.792</f>
        <v>1.833</v>
      </c>
      <c r="H230" s="29">
        <v>11.167</v>
      </c>
      <c r="I230">
        <f t="shared" si="14"/>
        <v>0.003939464493597207</v>
      </c>
      <c r="J230" s="12"/>
    </row>
    <row r="231" spans="1:10" ht="12.75">
      <c r="A231" s="216"/>
      <c r="B231" s="27"/>
      <c r="C231" s="11"/>
      <c r="D231" s="6" t="s">
        <v>318</v>
      </c>
      <c r="E231">
        <f>12*12</f>
        <v>144</v>
      </c>
      <c r="F231" s="8">
        <f>Steel</f>
        <v>0.0034027777777777776</v>
      </c>
      <c r="G231" s="29">
        <f>0.083</f>
        <v>0.083</v>
      </c>
      <c r="H231" s="29">
        <v>11.167</v>
      </c>
      <c r="I231">
        <f t="shared" si="14"/>
        <v>0.003641980836392944</v>
      </c>
      <c r="J231" s="12"/>
    </row>
    <row r="232" spans="1:10" ht="12.75">
      <c r="A232" s="216"/>
      <c r="B232" s="27"/>
      <c r="C232" s="11"/>
      <c r="D232" s="6" t="s">
        <v>288</v>
      </c>
      <c r="E232">
        <f>13.5*13.5</f>
        <v>182.25</v>
      </c>
      <c r="F232" s="8">
        <f>Conc</f>
        <v>0.0010416666666666667</v>
      </c>
      <c r="G232" s="29">
        <f>0.125</f>
        <v>0.125</v>
      </c>
      <c r="H232" s="29">
        <v>11.167</v>
      </c>
      <c r="I232">
        <f t="shared" si="14"/>
        <v>0.0021250531700546253</v>
      </c>
      <c r="J232" s="12"/>
    </row>
    <row r="233" spans="1:10" ht="12.75">
      <c r="A233" s="234"/>
      <c r="B233" s="39"/>
      <c r="C233" s="9"/>
      <c r="D233" s="7" t="s">
        <v>321</v>
      </c>
      <c r="E233" s="13">
        <f>19*7</f>
        <v>133</v>
      </c>
      <c r="F233" s="14">
        <f>Conc</f>
        <v>0.0010416666666666667</v>
      </c>
      <c r="G233" s="15">
        <v>1</v>
      </c>
      <c r="H233" s="15">
        <v>1</v>
      </c>
      <c r="I233" s="13">
        <f t="shared" si="14"/>
        <v>0.13854166666666667</v>
      </c>
      <c r="J233" s="16">
        <f>SUM(I229:I233)</f>
        <v>0.17281196725004477</v>
      </c>
    </row>
    <row r="234" spans="1:10" ht="12.75">
      <c r="A234" s="219" t="s">
        <v>69</v>
      </c>
      <c r="B234" s="35" t="s">
        <v>70</v>
      </c>
      <c r="C234" s="20"/>
      <c r="D234" s="1" t="s">
        <v>322</v>
      </c>
      <c r="E234">
        <f>1.9874</f>
        <v>1.9874</v>
      </c>
      <c r="F234" s="8">
        <f>Steel</f>
        <v>0.0034027777777777776</v>
      </c>
      <c r="G234" s="29">
        <v>1</v>
      </c>
      <c r="H234" s="29">
        <v>1</v>
      </c>
      <c r="I234">
        <f t="shared" si="14"/>
        <v>0.006762680555555556</v>
      </c>
      <c r="J234" s="12"/>
    </row>
    <row r="235" spans="1:10" ht="12.75">
      <c r="A235" s="216"/>
      <c r="B235" s="27"/>
      <c r="C235" s="11"/>
      <c r="D235" s="1" t="s">
        <v>323</v>
      </c>
      <c r="E235">
        <f>3.5^2-(3.5-2*0.1875)^2</f>
        <v>2.484375</v>
      </c>
      <c r="F235" s="8">
        <f>Steel</f>
        <v>0.0034027777777777776</v>
      </c>
      <c r="G235" s="29">
        <v>1</v>
      </c>
      <c r="H235" s="29">
        <v>1</v>
      </c>
      <c r="I235">
        <f t="shared" si="14"/>
        <v>0.008453776041666666</v>
      </c>
      <c r="J235" s="12"/>
    </row>
    <row r="236" spans="1:10" ht="12.75">
      <c r="A236" s="216"/>
      <c r="B236" s="27"/>
      <c r="C236" s="11"/>
      <c r="D236" s="1" t="s">
        <v>317</v>
      </c>
      <c r="E236">
        <f>0.024/Steel</f>
        <v>7.053061224489796</v>
      </c>
      <c r="F236" s="8">
        <f>Steel</f>
        <v>0.0034027777777777776</v>
      </c>
      <c r="G236" s="29">
        <f>2.958</f>
        <v>2.958</v>
      </c>
      <c r="H236" s="29">
        <v>11.167</v>
      </c>
      <c r="I236">
        <f t="shared" si="14"/>
        <v>0.00635730276708158</v>
      </c>
      <c r="J236" s="12"/>
    </row>
    <row r="237" spans="1:10" ht="12.75">
      <c r="A237" s="216"/>
      <c r="B237" s="27"/>
      <c r="C237" s="11"/>
      <c r="D237" s="6" t="s">
        <v>318</v>
      </c>
      <c r="E237">
        <f>12*12</f>
        <v>144</v>
      </c>
      <c r="F237" s="8">
        <f>Steel</f>
        <v>0.0034027777777777776</v>
      </c>
      <c r="G237" s="29">
        <f>0.083</f>
        <v>0.083</v>
      </c>
      <c r="H237" s="29">
        <v>11.167</v>
      </c>
      <c r="I237">
        <f t="shared" si="14"/>
        <v>0.003641980836392944</v>
      </c>
      <c r="J237" s="12"/>
    </row>
    <row r="238" spans="1:10" ht="12.75">
      <c r="A238" s="234"/>
      <c r="B238" s="39"/>
      <c r="C238" s="9"/>
      <c r="D238" s="9" t="s">
        <v>288</v>
      </c>
      <c r="E238" s="13">
        <f>13.5*13.5</f>
        <v>182.25</v>
      </c>
      <c r="F238" s="14">
        <f>Conc</f>
        <v>0.0010416666666666667</v>
      </c>
      <c r="G238" s="15">
        <f>0.125</f>
        <v>0.125</v>
      </c>
      <c r="H238" s="15">
        <v>11.167</v>
      </c>
      <c r="I238" s="13">
        <f t="shared" si="14"/>
        <v>0.0021250531700546253</v>
      </c>
      <c r="J238" s="16">
        <f>SUM(I234:I238)</f>
        <v>0.027340793370751373</v>
      </c>
    </row>
    <row r="239" spans="1:10" ht="12.75">
      <c r="A239" s="219" t="s">
        <v>71</v>
      </c>
      <c r="B239" s="35" t="s">
        <v>72</v>
      </c>
      <c r="C239" s="20"/>
      <c r="D239" s="1" t="s">
        <v>322</v>
      </c>
      <c r="E239">
        <f>1.9874</f>
        <v>1.9874</v>
      </c>
      <c r="F239" s="8">
        <f>Steel</f>
        <v>0.0034027777777777776</v>
      </c>
      <c r="G239" s="29">
        <v>1</v>
      </c>
      <c r="H239" s="29">
        <v>1</v>
      </c>
      <c r="I239">
        <f t="shared" si="14"/>
        <v>0.006762680555555556</v>
      </c>
      <c r="J239" s="12"/>
    </row>
    <row r="240" spans="1:10" ht="12.75">
      <c r="A240" s="216"/>
      <c r="B240" s="27"/>
      <c r="C240" s="11"/>
      <c r="D240" s="1" t="s">
        <v>323</v>
      </c>
      <c r="E240">
        <f>3.5^2-(3.5-2*0.1875)^2</f>
        <v>2.484375</v>
      </c>
      <c r="F240" s="8">
        <f>Steel</f>
        <v>0.0034027777777777776</v>
      </c>
      <c r="G240" s="29">
        <v>1</v>
      </c>
      <c r="H240" s="29">
        <v>1</v>
      </c>
      <c r="I240">
        <f t="shared" si="14"/>
        <v>0.008453776041666666</v>
      </c>
      <c r="J240" s="12"/>
    </row>
    <row r="241" spans="1:10" ht="12.75">
      <c r="A241" s="216"/>
      <c r="B241" s="27"/>
      <c r="C241" s="11"/>
      <c r="D241" s="1" t="s">
        <v>317</v>
      </c>
      <c r="E241">
        <f>0.024/Steel</f>
        <v>7.053061224489796</v>
      </c>
      <c r="F241" s="8">
        <f>Steel</f>
        <v>0.0034027777777777776</v>
      </c>
      <c r="G241" s="29">
        <f>2.333</f>
        <v>2.333</v>
      </c>
      <c r="H241" s="29">
        <v>11.167</v>
      </c>
      <c r="I241">
        <f t="shared" si="14"/>
        <v>0.005014059281812484</v>
      </c>
      <c r="J241" s="12"/>
    </row>
    <row r="242" spans="1:10" ht="12.75">
      <c r="A242" s="216"/>
      <c r="B242" s="27"/>
      <c r="C242" s="11"/>
      <c r="D242" s="6" t="s">
        <v>318</v>
      </c>
      <c r="E242">
        <f>12*12</f>
        <v>144</v>
      </c>
      <c r="F242" s="8">
        <f>Steel</f>
        <v>0.0034027777777777776</v>
      </c>
      <c r="G242" s="29">
        <f>0.083</f>
        <v>0.083</v>
      </c>
      <c r="H242" s="29">
        <v>11.167</v>
      </c>
      <c r="I242">
        <f t="shared" si="14"/>
        <v>0.003641980836392944</v>
      </c>
      <c r="J242" s="12"/>
    </row>
    <row r="243" spans="1:10" ht="12.75">
      <c r="A243" s="234"/>
      <c r="B243" s="39"/>
      <c r="C243" s="9"/>
      <c r="D243" s="9" t="s">
        <v>288</v>
      </c>
      <c r="E243" s="13">
        <f>13.5*13.5</f>
        <v>182.25</v>
      </c>
      <c r="F243" s="14">
        <f>Conc</f>
        <v>0.0010416666666666667</v>
      </c>
      <c r="G243" s="15">
        <f>0.125</f>
        <v>0.125</v>
      </c>
      <c r="H243" s="15">
        <v>11.167</v>
      </c>
      <c r="I243" s="13">
        <f t="shared" si="14"/>
        <v>0.0021250531700546253</v>
      </c>
      <c r="J243" s="16">
        <f>SUM(I239:I243)</f>
        <v>0.025997549885482276</v>
      </c>
    </row>
    <row r="244" spans="1:10" ht="12.75">
      <c r="A244" s="219" t="s">
        <v>73</v>
      </c>
      <c r="B244" s="35" t="s">
        <v>74</v>
      </c>
      <c r="C244" s="20"/>
      <c r="D244" s="1" t="s">
        <v>341</v>
      </c>
      <c r="E244">
        <f>4*(3.5^2-(3.5-2*0.1875)^2)</f>
        <v>9.9375</v>
      </c>
      <c r="F244" s="8">
        <f aca="true" t="shared" si="19" ref="F244:F251">Steel</f>
        <v>0.0034027777777777776</v>
      </c>
      <c r="G244" s="29">
        <v>1</v>
      </c>
      <c r="H244" s="29">
        <v>1</v>
      </c>
      <c r="I244">
        <f t="shared" si="14"/>
        <v>0.033815104166666665</v>
      </c>
      <c r="J244" s="12"/>
    </row>
    <row r="245" spans="1:10" ht="12.75">
      <c r="A245" s="234"/>
      <c r="B245" s="39"/>
      <c r="C245" s="9"/>
      <c r="D245" s="7" t="s">
        <v>342</v>
      </c>
      <c r="E245" s="13">
        <f>0.028/Steel</f>
        <v>8.22857142857143</v>
      </c>
      <c r="F245" s="14">
        <f t="shared" si="19"/>
        <v>0.0034027777777777776</v>
      </c>
      <c r="G245" s="15">
        <f>3.208+1.75</f>
        <v>4.958</v>
      </c>
      <c r="H245" s="15">
        <v>7.833</v>
      </c>
      <c r="I245" s="13">
        <f t="shared" si="14"/>
        <v>0.01772296693476318</v>
      </c>
      <c r="J245" s="16">
        <f>SUM(I244:I245)</f>
        <v>0.05153807110142984</v>
      </c>
    </row>
    <row r="246" spans="1:10" ht="12.75">
      <c r="A246" s="219" t="s">
        <v>75</v>
      </c>
      <c r="B246" s="35" t="s">
        <v>76</v>
      </c>
      <c r="C246" s="20"/>
      <c r="D246" s="1" t="s">
        <v>341</v>
      </c>
      <c r="E246">
        <f>4*(3.5^2-(3.5-2*0.1875)^2)</f>
        <v>9.9375</v>
      </c>
      <c r="F246" s="8">
        <f t="shared" si="19"/>
        <v>0.0034027777777777776</v>
      </c>
      <c r="G246" s="29">
        <v>1</v>
      </c>
      <c r="H246" s="29">
        <v>1</v>
      </c>
      <c r="I246">
        <f t="shared" si="14"/>
        <v>0.033815104166666665</v>
      </c>
      <c r="J246" s="12"/>
    </row>
    <row r="247" spans="1:10" ht="12.75">
      <c r="A247" s="234"/>
      <c r="B247" s="39"/>
      <c r="C247" s="9"/>
      <c r="D247" s="7" t="s">
        <v>342</v>
      </c>
      <c r="E247" s="13">
        <f>0.028/Steel</f>
        <v>8.22857142857143</v>
      </c>
      <c r="F247" s="14">
        <f t="shared" si="19"/>
        <v>0.0034027777777777776</v>
      </c>
      <c r="G247" s="15">
        <f>3.208+1.75</f>
        <v>4.958</v>
      </c>
      <c r="H247" s="15">
        <v>7.833</v>
      </c>
      <c r="I247" s="13">
        <f t="shared" si="14"/>
        <v>0.01772296693476318</v>
      </c>
      <c r="J247" s="16">
        <f>SUM(I246:I247)</f>
        <v>0.05153807110142984</v>
      </c>
    </row>
    <row r="248" spans="1:10" ht="12.75">
      <c r="A248" s="219" t="s">
        <v>77</v>
      </c>
      <c r="B248" s="27" t="s">
        <v>78</v>
      </c>
      <c r="C248" s="20" t="s">
        <v>7</v>
      </c>
      <c r="D248" s="1" t="s">
        <v>343</v>
      </c>
      <c r="E248">
        <f>2*(4*3-(4-2*0.25)*(3-2*0.25))</f>
        <v>6.5</v>
      </c>
      <c r="F248" s="8">
        <f t="shared" si="19"/>
        <v>0.0034027777777777776</v>
      </c>
      <c r="G248" s="29">
        <v>1</v>
      </c>
      <c r="H248" s="29">
        <v>1</v>
      </c>
      <c r="I248">
        <f t="shared" si="14"/>
        <v>0.022118055555555554</v>
      </c>
      <c r="J248" s="12"/>
    </row>
    <row r="249" spans="1:10" ht="12.75">
      <c r="A249" s="216"/>
      <c r="B249"/>
      <c r="C249" s="20"/>
      <c r="D249" s="1" t="s">
        <v>344</v>
      </c>
      <c r="E249">
        <f>6*3-(6-2*0.188)*(3-2*0.188)</f>
        <v>3.242624000000001</v>
      </c>
      <c r="F249" s="8">
        <f t="shared" si="19"/>
        <v>0.0034027777777777776</v>
      </c>
      <c r="G249" s="29">
        <v>1</v>
      </c>
      <c r="H249" s="29">
        <v>1</v>
      </c>
      <c r="I249">
        <f t="shared" si="14"/>
        <v>0.011033928888888891</v>
      </c>
      <c r="J249" s="12"/>
    </row>
    <row r="250" spans="1:10" ht="12.75">
      <c r="A250" s="216"/>
      <c r="B250" s="27"/>
      <c r="C250" s="11"/>
      <c r="D250" s="1" t="s">
        <v>345</v>
      </c>
      <c r="E250">
        <f>0.029/Steel</f>
        <v>8.522448979591838</v>
      </c>
      <c r="F250" s="8">
        <f t="shared" si="19"/>
        <v>0.0034027777777777776</v>
      </c>
      <c r="G250" s="29">
        <f>2.917</f>
        <v>2.917</v>
      </c>
      <c r="H250" s="29">
        <v>8.5</v>
      </c>
      <c r="I250">
        <f t="shared" si="14"/>
        <v>0.009952117647058823</v>
      </c>
      <c r="J250" s="12"/>
    </row>
    <row r="251" spans="1:10" ht="12.75">
      <c r="A251" s="216"/>
      <c r="B251" s="27"/>
      <c r="C251" s="11"/>
      <c r="D251" s="6" t="s">
        <v>318</v>
      </c>
      <c r="E251">
        <f>10*12</f>
        <v>120</v>
      </c>
      <c r="F251" s="8">
        <f t="shared" si="19"/>
        <v>0.0034027777777777776</v>
      </c>
      <c r="G251" s="29">
        <f>0.083</f>
        <v>0.083</v>
      </c>
      <c r="H251" s="29">
        <v>8.5</v>
      </c>
      <c r="I251">
        <f t="shared" si="14"/>
        <v>0.003987254901960785</v>
      </c>
      <c r="J251" s="12"/>
    </row>
    <row r="252" spans="1:10" ht="12.75">
      <c r="A252" s="216"/>
      <c r="B252" s="27"/>
      <c r="C252" s="11"/>
      <c r="D252" s="6" t="s">
        <v>288</v>
      </c>
      <c r="E252">
        <f>11.5*13.5</f>
        <v>155.25</v>
      </c>
      <c r="F252" s="8">
        <f>Conc</f>
        <v>0.0010416666666666667</v>
      </c>
      <c r="G252" s="29">
        <f>0.125</f>
        <v>0.125</v>
      </c>
      <c r="H252" s="29">
        <v>8.5</v>
      </c>
      <c r="I252">
        <f t="shared" si="14"/>
        <v>0.0023782169117647057</v>
      </c>
      <c r="J252" s="12"/>
    </row>
    <row r="253" spans="1:10" ht="12.75">
      <c r="A253" s="234"/>
      <c r="B253" s="39"/>
      <c r="C253" s="9"/>
      <c r="D253" s="9" t="s">
        <v>346</v>
      </c>
      <c r="E253" s="13">
        <f>13.5*6</f>
        <v>81</v>
      </c>
      <c r="F253" s="14">
        <f>Conc</f>
        <v>0.0010416666666666667</v>
      </c>
      <c r="G253" s="15">
        <v>1</v>
      </c>
      <c r="H253" s="15">
        <v>1</v>
      </c>
      <c r="I253" s="13">
        <f t="shared" si="14"/>
        <v>0.084375</v>
      </c>
      <c r="J253" s="16">
        <f>SUM(I248:I253)</f>
        <v>0.13384457390522878</v>
      </c>
    </row>
    <row r="254" spans="1:10" ht="12.75">
      <c r="A254" s="219" t="s">
        <v>79</v>
      </c>
      <c r="B254" s="35" t="s">
        <v>80</v>
      </c>
      <c r="C254" s="20" t="s">
        <v>7</v>
      </c>
      <c r="D254" s="1" t="s">
        <v>347</v>
      </c>
      <c r="E254">
        <f>2*(PI()*3.5*0.25+2*(6-3.5)*0.25)</f>
        <v>7.997787143782138</v>
      </c>
      <c r="F254" s="8">
        <f>Alum</f>
        <v>0.0011458333333333333</v>
      </c>
      <c r="G254" s="29">
        <v>1</v>
      </c>
      <c r="H254" s="29">
        <v>1</v>
      </c>
      <c r="I254">
        <f t="shared" si="14"/>
        <v>0.009164131102250367</v>
      </c>
      <c r="J254" s="12"/>
    </row>
    <row r="255" spans="1:10" ht="12.75">
      <c r="A255" s="216"/>
      <c r="B255"/>
      <c r="C255" s="20"/>
      <c r="D255" s="6" t="s">
        <v>348</v>
      </c>
      <c r="E255">
        <f>PI()*2*0.125+2*(4.5-2)*0.125</f>
        <v>1.4103981633974483</v>
      </c>
      <c r="F255" s="8">
        <f>Alum</f>
        <v>0.0011458333333333333</v>
      </c>
      <c r="G255" s="29">
        <v>1</v>
      </c>
      <c r="H255" s="29">
        <v>1</v>
      </c>
      <c r="I255">
        <f t="shared" si="14"/>
        <v>0.0016160812288929095</v>
      </c>
      <c r="J255" s="12"/>
    </row>
    <row r="256" spans="1:10" ht="12.75">
      <c r="A256" s="216"/>
      <c r="B256" s="27"/>
      <c r="C256" s="11"/>
      <c r="D256" s="6" t="s">
        <v>349</v>
      </c>
      <c r="E256">
        <f>(9/32)*(9.0156-0.375-0.75+6)/2+(0.5+0.375)*(6.375+3.75)/2</f>
        <v>6.383053125</v>
      </c>
      <c r="F256" s="8">
        <f>Alum</f>
        <v>0.0011458333333333333</v>
      </c>
      <c r="G256" s="29">
        <f>3+27/32/12</f>
        <v>3.0703125</v>
      </c>
      <c r="H256" s="29">
        <v>8</v>
      </c>
      <c r="I256">
        <f t="shared" si="14"/>
        <v>0.002807000596046448</v>
      </c>
      <c r="J256" s="12"/>
    </row>
    <row r="257" spans="1:10" ht="12.75">
      <c r="A257" s="216"/>
      <c r="B257" s="27"/>
      <c r="C257" s="11"/>
      <c r="D257" s="6" t="s">
        <v>288</v>
      </c>
      <c r="E257">
        <f>12*11</f>
        <v>132</v>
      </c>
      <c r="F257" s="8">
        <f>Conc</f>
        <v>0.0010416666666666667</v>
      </c>
      <c r="G257" s="29">
        <f>0.125</f>
        <v>0.125</v>
      </c>
      <c r="H257" s="29">
        <v>8</v>
      </c>
      <c r="I257">
        <f t="shared" si="14"/>
        <v>0.0021484375</v>
      </c>
      <c r="J257" s="12"/>
    </row>
    <row r="258" spans="1:10" ht="12.75">
      <c r="A258" s="234"/>
      <c r="B258" s="39"/>
      <c r="C258" s="9"/>
      <c r="D258" s="9" t="s">
        <v>346</v>
      </c>
      <c r="E258" s="13">
        <f>13.5*6</f>
        <v>81</v>
      </c>
      <c r="F258" s="14">
        <f>Conc</f>
        <v>0.0010416666666666667</v>
      </c>
      <c r="G258" s="15">
        <v>1</v>
      </c>
      <c r="H258" s="15">
        <v>1</v>
      </c>
      <c r="I258" s="13">
        <f t="shared" si="14"/>
        <v>0.084375</v>
      </c>
      <c r="J258" s="16">
        <f>SUM(I254:I258)</f>
        <v>0.10011065042718972</v>
      </c>
    </row>
    <row r="259" spans="1:10" ht="12.75">
      <c r="A259" s="233" t="s">
        <v>81</v>
      </c>
      <c r="B259" s="35" t="s">
        <v>82</v>
      </c>
      <c r="C259" s="20"/>
      <c r="D259" s="1" t="s">
        <v>350</v>
      </c>
      <c r="E259">
        <f>3*(3.5^2-(3.5-2*0.1875)^2)</f>
        <v>7.453125</v>
      </c>
      <c r="F259" s="8">
        <f>Steel</f>
        <v>0.0034027777777777776</v>
      </c>
      <c r="G259" s="29">
        <v>1</v>
      </c>
      <c r="H259" s="29">
        <v>1</v>
      </c>
      <c r="I259">
        <f t="shared" si="14"/>
        <v>0.025361328125</v>
      </c>
      <c r="J259" s="95"/>
    </row>
    <row r="260" spans="1:10" ht="12.75">
      <c r="A260" s="234"/>
      <c r="B260" s="39"/>
      <c r="C260" s="9"/>
      <c r="D260" s="7" t="s">
        <v>351</v>
      </c>
      <c r="E260" s="13">
        <f>0.028/Steel</f>
        <v>8.22857142857143</v>
      </c>
      <c r="F260" s="14">
        <f>Steel</f>
        <v>0.0034027777777777776</v>
      </c>
      <c r="G260" s="15">
        <f>2.292+1.75</f>
        <v>4.042</v>
      </c>
      <c r="H260" s="15">
        <v>6.25</v>
      </c>
      <c r="I260" s="13">
        <f t="shared" si="14"/>
        <v>0.018108159999999998</v>
      </c>
      <c r="J260" s="16">
        <f>SUM(I259:I260)</f>
        <v>0.043469488125</v>
      </c>
    </row>
    <row r="261" spans="1:10" ht="12.75">
      <c r="A261" s="219" t="s">
        <v>83</v>
      </c>
      <c r="B261" s="35" t="s">
        <v>84</v>
      </c>
      <c r="C261" s="20"/>
      <c r="D261" s="1" t="s">
        <v>350</v>
      </c>
      <c r="E261">
        <f>3*(3.5^2-(3.5-2*0.1875)^2)</f>
        <v>7.453125</v>
      </c>
      <c r="F261" s="8">
        <f>Steel</f>
        <v>0.0034027777777777776</v>
      </c>
      <c r="G261" s="29">
        <v>1</v>
      </c>
      <c r="H261" s="29">
        <v>1</v>
      </c>
      <c r="I261">
        <f t="shared" si="14"/>
        <v>0.025361328125</v>
      </c>
      <c r="J261" s="12"/>
    </row>
    <row r="262" spans="1:10" ht="12.75">
      <c r="A262" s="216"/>
      <c r="B262" s="27"/>
      <c r="C262" s="11"/>
      <c r="D262" s="1" t="s">
        <v>308</v>
      </c>
      <c r="E262">
        <f>0.024/Steel</f>
        <v>7.053061224489796</v>
      </c>
      <c r="F262" s="8">
        <f>Steel</f>
        <v>0.0034027777777777776</v>
      </c>
      <c r="G262" s="29">
        <f>2.083</f>
        <v>2.083</v>
      </c>
      <c r="H262" s="29">
        <v>6.25</v>
      </c>
      <c r="I262">
        <f t="shared" si="14"/>
        <v>0.00799872</v>
      </c>
      <c r="J262" s="12"/>
    </row>
    <row r="263" spans="1:10" ht="12.75">
      <c r="A263" s="216"/>
      <c r="B263" s="27"/>
      <c r="C263" s="11"/>
      <c r="D263" s="6" t="s">
        <v>318</v>
      </c>
      <c r="E263">
        <f>12*10.5</f>
        <v>126</v>
      </c>
      <c r="F263" s="8">
        <f>Steel</f>
        <v>0.0034027777777777776</v>
      </c>
      <c r="G263" s="29">
        <f>0.083</f>
        <v>0.083</v>
      </c>
      <c r="H263" s="29">
        <v>6.25</v>
      </c>
      <c r="I263">
        <f t="shared" si="14"/>
        <v>0.0056938</v>
      </c>
      <c r="J263" s="12"/>
    </row>
    <row r="264" spans="1:10" ht="12.75">
      <c r="A264" s="234"/>
      <c r="B264" s="39"/>
      <c r="C264" s="9"/>
      <c r="D264" s="9" t="s">
        <v>288</v>
      </c>
      <c r="E264" s="13">
        <f>13.5*12</f>
        <v>162</v>
      </c>
      <c r="F264" s="14">
        <f>Conc</f>
        <v>0.0010416666666666667</v>
      </c>
      <c r="G264" s="15">
        <f>0.125</f>
        <v>0.125</v>
      </c>
      <c r="H264" s="15">
        <v>6.25</v>
      </c>
      <c r="I264" s="13">
        <f t="shared" si="14"/>
        <v>0.0033750000000000004</v>
      </c>
      <c r="J264" s="16">
        <f>SUM(I261:I264)</f>
        <v>0.042428848125</v>
      </c>
    </row>
    <row r="265" spans="1:10" ht="12.75">
      <c r="A265" s="233" t="s">
        <v>85</v>
      </c>
      <c r="B265" s="35" t="s">
        <v>86</v>
      </c>
      <c r="C265" s="20" t="s">
        <v>7</v>
      </c>
      <c r="D265" s="6" t="s">
        <v>285</v>
      </c>
      <c r="E265">
        <f>4*3-(4-2*0.25)*(3-2*0.25)</f>
        <v>3.25</v>
      </c>
      <c r="F265" s="8">
        <f>Steel</f>
        <v>0.0034027777777777776</v>
      </c>
      <c r="G265" s="29">
        <v>1</v>
      </c>
      <c r="H265" s="29">
        <v>1</v>
      </c>
      <c r="I265">
        <f t="shared" si="14"/>
        <v>0.011059027777777777</v>
      </c>
      <c r="J265" s="12"/>
    </row>
    <row r="266" spans="1:10" ht="12.75">
      <c r="A266" s="216"/>
      <c r="B266"/>
      <c r="C266" s="20"/>
      <c r="D266" s="6" t="s">
        <v>344</v>
      </c>
      <c r="E266">
        <f>6*3-(6-2*0.1875)*(3-2*0.1875)</f>
        <v>3.234375</v>
      </c>
      <c r="F266" s="8">
        <f>Steel</f>
        <v>0.0034027777777777776</v>
      </c>
      <c r="G266" s="29">
        <v>1</v>
      </c>
      <c r="H266" s="29">
        <v>1</v>
      </c>
      <c r="I266">
        <f t="shared" si="14"/>
        <v>0.011005859375</v>
      </c>
      <c r="J266" s="12"/>
    </row>
    <row r="267" spans="1:10" ht="12.75">
      <c r="A267" s="216"/>
      <c r="B267" s="27"/>
      <c r="C267" s="11"/>
      <c r="D267" s="1" t="s">
        <v>352</v>
      </c>
      <c r="E267">
        <f>0.029/Steel</f>
        <v>8.522448979591838</v>
      </c>
      <c r="F267" s="8">
        <f>Steel</f>
        <v>0.0034027777777777776</v>
      </c>
      <c r="G267" s="29">
        <f>2.208</f>
        <v>2.208</v>
      </c>
      <c r="H267" s="29">
        <v>9.5</v>
      </c>
      <c r="I267">
        <f t="shared" si="14"/>
        <v>0.00674021052631579</v>
      </c>
      <c r="J267" s="12"/>
    </row>
    <row r="268" spans="1:10" ht="12.75">
      <c r="A268" s="216"/>
      <c r="B268" s="27"/>
      <c r="C268" s="11"/>
      <c r="D268" s="6" t="s">
        <v>318</v>
      </c>
      <c r="E268">
        <f>12*9</f>
        <v>108</v>
      </c>
      <c r="F268" s="8">
        <f>Steel</f>
        <v>0.0034027777777777776</v>
      </c>
      <c r="G268" s="29">
        <f>0.083</f>
        <v>0.083</v>
      </c>
      <c r="H268" s="29">
        <v>9.5</v>
      </c>
      <c r="I268">
        <f t="shared" si="14"/>
        <v>0.0032107894736842107</v>
      </c>
      <c r="J268" s="12"/>
    </row>
    <row r="269" spans="1:10" ht="12.75">
      <c r="A269" s="216"/>
      <c r="B269" s="27"/>
      <c r="C269" s="11"/>
      <c r="D269" s="6" t="s">
        <v>288</v>
      </c>
      <c r="E269">
        <f>13.5*10.5</f>
        <v>141.75</v>
      </c>
      <c r="F269" s="8">
        <f>Conc</f>
        <v>0.0010416666666666667</v>
      </c>
      <c r="G269" s="29">
        <f>0.125</f>
        <v>0.125</v>
      </c>
      <c r="H269" s="29">
        <v>9.5</v>
      </c>
      <c r="I269">
        <f aca="true" t="shared" si="20" ref="I269:I332">E269*F269*G269/H269</f>
        <v>0.0019428453947368419</v>
      </c>
      <c r="J269" s="12"/>
    </row>
    <row r="270" spans="1:10" ht="12.75">
      <c r="A270" s="234"/>
      <c r="B270" s="39"/>
      <c r="C270" s="9"/>
      <c r="D270" s="7" t="s">
        <v>353</v>
      </c>
      <c r="E270" s="13">
        <f>16*10.5</f>
        <v>168</v>
      </c>
      <c r="F270" s="14">
        <f>Conc</f>
        <v>0.0010416666666666667</v>
      </c>
      <c r="G270" s="15">
        <v>1</v>
      </c>
      <c r="H270" s="15">
        <v>1</v>
      </c>
      <c r="I270" s="13">
        <f t="shared" si="20"/>
        <v>0.175</v>
      </c>
      <c r="J270" s="16">
        <f>SUM(I265:I270)</f>
        <v>0.2089587325475146</v>
      </c>
    </row>
    <row r="271" spans="1:10" ht="12.75">
      <c r="A271" s="219" t="s">
        <v>87</v>
      </c>
      <c r="B271" s="27" t="s">
        <v>51</v>
      </c>
      <c r="C271" s="11"/>
      <c r="D271" s="1" t="s">
        <v>337</v>
      </c>
      <c r="E271">
        <f>2*(2*1-(2-2*0.12)*(1-2*0.12))</f>
        <v>1.3247999999999998</v>
      </c>
      <c r="F271" s="8">
        <f>Steel</f>
        <v>0.0034027777777777776</v>
      </c>
      <c r="G271" s="29">
        <v>1</v>
      </c>
      <c r="H271" s="29">
        <v>1</v>
      </c>
      <c r="I271">
        <f t="shared" si="20"/>
        <v>0.004507999999999999</v>
      </c>
      <c r="J271" s="12"/>
    </row>
    <row r="272" spans="1:10" ht="12.75">
      <c r="A272" s="216"/>
      <c r="B272" s="27"/>
      <c r="C272" s="11"/>
      <c r="D272" s="1" t="s">
        <v>338</v>
      </c>
      <c r="E272">
        <f>2*1-(2-2*0.12)*(1-2*0.12)</f>
        <v>0.6623999999999999</v>
      </c>
      <c r="F272" s="8">
        <f>Steel</f>
        <v>0.0034027777777777776</v>
      </c>
      <c r="G272" s="29">
        <f>3.667</f>
        <v>3.667</v>
      </c>
      <c r="H272" s="29">
        <v>0.5</v>
      </c>
      <c r="I272">
        <f t="shared" si="20"/>
        <v>0.016530835999999997</v>
      </c>
      <c r="J272" s="12"/>
    </row>
    <row r="273" spans="1:10" ht="12.75">
      <c r="A273" s="234"/>
      <c r="B273" s="39"/>
      <c r="C273" s="9"/>
      <c r="D273" s="7" t="s">
        <v>339</v>
      </c>
      <c r="E273" s="13">
        <f>2*1-(2-2*0.12)*(1-2*0.12)</f>
        <v>0.6623999999999999</v>
      </c>
      <c r="F273" s="14">
        <f>Steel</f>
        <v>0.0034027777777777776</v>
      </c>
      <c r="G273" s="15">
        <f>0.333</f>
        <v>0.333</v>
      </c>
      <c r="H273" s="15">
        <v>3</v>
      </c>
      <c r="I273" s="13">
        <f t="shared" si="20"/>
        <v>0.00025019399999999997</v>
      </c>
      <c r="J273" s="16">
        <f>SUM(I271:I273)</f>
        <v>0.021289029999999994</v>
      </c>
    </row>
    <row r="274" spans="1:10" ht="12.75">
      <c r="A274" s="220" t="s">
        <v>88</v>
      </c>
      <c r="B274" s="36" t="s">
        <v>89</v>
      </c>
      <c r="C274" s="7"/>
      <c r="D274" s="7" t="s">
        <v>354</v>
      </c>
      <c r="E274" s="13">
        <f>9.5*32+3*19/2+3*13+7*10/2+7*3</f>
        <v>427.5</v>
      </c>
      <c r="F274" s="14">
        <f>Conc</f>
        <v>0.0010416666666666667</v>
      </c>
      <c r="G274" s="15">
        <v>1</v>
      </c>
      <c r="H274" s="15">
        <v>1</v>
      </c>
      <c r="I274" s="13">
        <f t="shared" si="20"/>
        <v>0.4453125</v>
      </c>
      <c r="J274" s="16">
        <f>I274</f>
        <v>0.4453125</v>
      </c>
    </row>
    <row r="275" spans="1:10" ht="12.75">
      <c r="A275" s="220" t="s">
        <v>90</v>
      </c>
      <c r="B275" s="39" t="s">
        <v>91</v>
      </c>
      <c r="C275" s="9"/>
      <c r="D275" s="9" t="s">
        <v>355</v>
      </c>
      <c r="E275" s="13">
        <f>6*32+2*(3*19/2+3*13+7*10/2+7*3)</f>
        <v>439</v>
      </c>
      <c r="F275" s="14">
        <f>Conc</f>
        <v>0.0010416666666666667</v>
      </c>
      <c r="G275" s="15">
        <v>1</v>
      </c>
      <c r="H275" s="15">
        <v>1</v>
      </c>
      <c r="I275" s="13">
        <f t="shared" si="20"/>
        <v>0.45729166666666665</v>
      </c>
      <c r="J275" s="16">
        <f>I275</f>
        <v>0.45729166666666665</v>
      </c>
    </row>
    <row r="276" spans="1:10" ht="12.75">
      <c r="A276" s="219" t="s">
        <v>92</v>
      </c>
      <c r="B276" s="27" t="s">
        <v>93</v>
      </c>
      <c r="C276" s="11"/>
      <c r="D276" s="1" t="s">
        <v>356</v>
      </c>
      <c r="E276">
        <f>0.00579/Steel</f>
        <v>1.7015510204081634</v>
      </c>
      <c r="F276" s="8">
        <f>Steel</f>
        <v>0.0034027777777777776</v>
      </c>
      <c r="G276" s="29">
        <v>1</v>
      </c>
      <c r="H276" s="29">
        <v>1</v>
      </c>
      <c r="I276">
        <f t="shared" si="20"/>
        <v>0.00579</v>
      </c>
      <c r="J276" s="12"/>
    </row>
    <row r="277" spans="1:10" ht="12.75">
      <c r="A277" s="216"/>
      <c r="B277" s="27"/>
      <c r="C277" s="11"/>
      <c r="D277" s="1" t="s">
        <v>357</v>
      </c>
      <c r="E277">
        <f>2*0.00272/Steel</f>
        <v>1.5986938775510207</v>
      </c>
      <c r="F277" s="8">
        <f>Steel</f>
        <v>0.0034027777777777776</v>
      </c>
      <c r="G277" s="29">
        <v>1</v>
      </c>
      <c r="H277" s="29">
        <v>1</v>
      </c>
      <c r="I277">
        <f t="shared" si="20"/>
        <v>0.00544</v>
      </c>
      <c r="J277" s="12"/>
    </row>
    <row r="278" spans="1:10" ht="12.75">
      <c r="A278" s="216"/>
      <c r="B278" s="27"/>
      <c r="C278" s="11"/>
      <c r="D278" s="1" t="s">
        <v>358</v>
      </c>
      <c r="E278">
        <f>0.00113/Steel</f>
        <v>0.33208163265306123</v>
      </c>
      <c r="F278" s="8">
        <f>Steel</f>
        <v>0.0034027777777777776</v>
      </c>
      <c r="G278" s="29">
        <f>2.208</f>
        <v>2.208</v>
      </c>
      <c r="H278" s="29">
        <v>0.5</v>
      </c>
      <c r="I278">
        <f t="shared" si="20"/>
        <v>0.00499008</v>
      </c>
      <c r="J278" s="12"/>
    </row>
    <row r="279" spans="1:10" ht="12.75">
      <c r="A279" s="216"/>
      <c r="B279" s="27"/>
      <c r="C279" s="11"/>
      <c r="D279" s="1" t="s">
        <v>359</v>
      </c>
      <c r="E279">
        <f>4*3-(4-2*0.1875)*(3-2*0.1875)</f>
        <v>2.484375</v>
      </c>
      <c r="F279" s="8">
        <f>Steel</f>
        <v>0.0034027777777777776</v>
      </c>
      <c r="G279" s="29">
        <f>2.625</f>
        <v>2.625</v>
      </c>
      <c r="H279" s="29">
        <v>8.5</v>
      </c>
      <c r="I279">
        <f t="shared" si="20"/>
        <v>0.0026107249540441176</v>
      </c>
      <c r="J279" s="12"/>
    </row>
    <row r="280" spans="1:10" ht="12.75">
      <c r="A280" s="216"/>
      <c r="B280" s="27"/>
      <c r="C280" s="11"/>
      <c r="D280" s="6" t="s">
        <v>318</v>
      </c>
      <c r="E280">
        <f>7.5*6.25</f>
        <v>46.875</v>
      </c>
      <c r="F280" s="8">
        <f>Steel</f>
        <v>0.0034027777777777776</v>
      </c>
      <c r="G280" s="29">
        <f>0.083</f>
        <v>0.083</v>
      </c>
      <c r="H280" s="29">
        <v>8.5</v>
      </c>
      <c r="I280">
        <f t="shared" si="20"/>
        <v>0.0015575214460784314</v>
      </c>
      <c r="J280" s="12"/>
    </row>
    <row r="281" spans="1:10" ht="12.75">
      <c r="A281" s="234"/>
      <c r="B281" s="39"/>
      <c r="C281" s="9"/>
      <c r="D281" s="9" t="s">
        <v>288</v>
      </c>
      <c r="E281" s="13">
        <f>9*7.75</f>
        <v>69.75</v>
      </c>
      <c r="F281" s="14">
        <f>Conc</f>
        <v>0.0010416666666666667</v>
      </c>
      <c r="G281" s="15">
        <f>0.125</f>
        <v>0.125</v>
      </c>
      <c r="H281" s="15">
        <v>8.5</v>
      </c>
      <c r="I281" s="13">
        <f t="shared" si="20"/>
        <v>0.0010684742647058825</v>
      </c>
      <c r="J281" s="16">
        <f>SUM(I276:I281)</f>
        <v>0.02145680066482843</v>
      </c>
    </row>
    <row r="282" spans="1:10" ht="12.75">
      <c r="A282" s="233" t="s">
        <v>94</v>
      </c>
      <c r="B282" s="35" t="s">
        <v>95</v>
      </c>
      <c r="C282" s="20" t="s">
        <v>7</v>
      </c>
      <c r="D282" s="1" t="s">
        <v>360</v>
      </c>
      <c r="E282">
        <f>PI()*3.5*0.125+2*(3.5-2)*0.125</f>
        <v>1.7494467859455345</v>
      </c>
      <c r="F282" s="8">
        <f>Alum</f>
        <v>0.0011458333333333333</v>
      </c>
      <c r="G282" s="29">
        <v>1</v>
      </c>
      <c r="H282" s="29">
        <v>1</v>
      </c>
      <c r="I282">
        <f t="shared" si="20"/>
        <v>0.0020045744422292583</v>
      </c>
      <c r="J282" s="12"/>
    </row>
    <row r="283" spans="1:10" ht="12.75">
      <c r="A283" s="216"/>
      <c r="B283"/>
      <c r="C283" s="20"/>
      <c r="D283" s="1" t="s">
        <v>361</v>
      </c>
      <c r="E283">
        <f>2*(PI()*2*0.125)</f>
        <v>1.5707963267948966</v>
      </c>
      <c r="F283" s="8">
        <f>Alum</f>
        <v>0.0011458333333333333</v>
      </c>
      <c r="G283" s="29">
        <v>1</v>
      </c>
      <c r="H283" s="29">
        <v>1</v>
      </c>
      <c r="I283">
        <f t="shared" si="20"/>
        <v>0.0017998707911191522</v>
      </c>
      <c r="J283" s="12"/>
    </row>
    <row r="284" spans="1:10" ht="12.75">
      <c r="A284" s="216"/>
      <c r="B284" s="27"/>
      <c r="C284" s="11"/>
      <c r="D284" s="6" t="s">
        <v>349</v>
      </c>
      <c r="E284">
        <f>6*0.25+2*3.5*0.25</f>
        <v>3.25</v>
      </c>
      <c r="F284" s="8">
        <f>Alum</f>
        <v>0.0011458333333333333</v>
      </c>
      <c r="G284" s="29">
        <f>3.5-5.5/12-0.125</f>
        <v>2.9166666666666665</v>
      </c>
      <c r="H284" s="29">
        <v>8</v>
      </c>
      <c r="I284">
        <f t="shared" si="20"/>
        <v>0.001357693142361111</v>
      </c>
      <c r="J284" s="12"/>
    </row>
    <row r="285" spans="1:10" ht="12.75">
      <c r="A285" s="216"/>
      <c r="B285" s="27"/>
      <c r="C285" s="11"/>
      <c r="D285" s="6" t="s">
        <v>288</v>
      </c>
      <c r="E285">
        <f>10*7.5</f>
        <v>75</v>
      </c>
      <c r="F285" s="8">
        <f>Conc</f>
        <v>0.0010416666666666667</v>
      </c>
      <c r="G285" s="29">
        <f>0.125</f>
        <v>0.125</v>
      </c>
      <c r="H285" s="29">
        <v>8</v>
      </c>
      <c r="I285">
        <f t="shared" si="20"/>
        <v>0.001220703125</v>
      </c>
      <c r="J285" s="12"/>
    </row>
    <row r="286" spans="1:10" ht="12.75">
      <c r="A286" s="234"/>
      <c r="B286" s="39"/>
      <c r="C286" s="9"/>
      <c r="D286" s="7" t="s">
        <v>362</v>
      </c>
      <c r="E286" s="13">
        <f>11.5*5.5</f>
        <v>63.25</v>
      </c>
      <c r="F286" s="14">
        <f>Conc</f>
        <v>0.0010416666666666667</v>
      </c>
      <c r="G286" s="15">
        <v>1</v>
      </c>
      <c r="H286" s="15">
        <v>1</v>
      </c>
      <c r="I286" s="13">
        <f t="shared" si="20"/>
        <v>0.06588541666666667</v>
      </c>
      <c r="J286" s="16">
        <f>SUM(I282:I286)</f>
        <v>0.07226825816737618</v>
      </c>
    </row>
    <row r="287" spans="1:10" ht="12.75">
      <c r="A287" s="219" t="s">
        <v>96</v>
      </c>
      <c r="B287" s="35" t="s">
        <v>97</v>
      </c>
      <c r="C287" s="20"/>
      <c r="D287" s="1" t="s">
        <v>363</v>
      </c>
      <c r="E287">
        <f>PI()*5*0.25</f>
        <v>3.9269908169872414</v>
      </c>
      <c r="F287" s="8">
        <f>Steel</f>
        <v>0.0034027777777777776</v>
      </c>
      <c r="G287" s="29">
        <v>1</v>
      </c>
      <c r="H287" s="29">
        <v>1</v>
      </c>
      <c r="I287">
        <f t="shared" si="20"/>
        <v>0.013362677085581585</v>
      </c>
      <c r="J287" s="12"/>
    </row>
    <row r="288" spans="1:10" ht="12.75">
      <c r="A288" s="216"/>
      <c r="B288" s="27"/>
      <c r="C288" s="11"/>
      <c r="D288" s="1" t="s">
        <v>364</v>
      </c>
      <c r="E288">
        <f>8*(5/16)+2*8*0.5</f>
        <v>10.5</v>
      </c>
      <c r="F288" s="8">
        <f>Steel</f>
        <v>0.0034027777777777776</v>
      </c>
      <c r="G288" s="29">
        <v>1.042</v>
      </c>
      <c r="H288" s="29">
        <v>8.5</v>
      </c>
      <c r="I288">
        <f t="shared" si="20"/>
        <v>0.0043799754901960785</v>
      </c>
      <c r="J288" s="12"/>
    </row>
    <row r="289" spans="1:10" ht="12.75">
      <c r="A289" s="234"/>
      <c r="B289" s="39"/>
      <c r="C289" s="9"/>
      <c r="D289" s="7" t="s">
        <v>365</v>
      </c>
      <c r="E289" s="13">
        <f>10.5*28.5+2*14.5/2+2*14+7*10/2+7*4</f>
        <v>404.75</v>
      </c>
      <c r="F289" s="14">
        <f>Conc</f>
        <v>0.0010416666666666667</v>
      </c>
      <c r="G289" s="15">
        <v>1</v>
      </c>
      <c r="H289" s="15">
        <v>1</v>
      </c>
      <c r="I289" s="13">
        <f t="shared" si="20"/>
        <v>0.42161458333333335</v>
      </c>
      <c r="J289" s="16">
        <f>SUM(I287:I289)</f>
        <v>0.439357235909111</v>
      </c>
    </row>
    <row r="290" spans="1:10" ht="12.75">
      <c r="A290" s="219" t="s">
        <v>98</v>
      </c>
      <c r="B290" s="35" t="s">
        <v>97</v>
      </c>
      <c r="C290" s="20"/>
      <c r="D290" s="1" t="s">
        <v>363</v>
      </c>
      <c r="E290">
        <f>PI()*5*0.25</f>
        <v>3.9269908169872414</v>
      </c>
      <c r="F290" s="8">
        <f>Steel</f>
        <v>0.0034027777777777776</v>
      </c>
      <c r="G290" s="29">
        <v>1</v>
      </c>
      <c r="H290" s="29">
        <v>1</v>
      </c>
      <c r="I290">
        <f t="shared" si="20"/>
        <v>0.013362677085581585</v>
      </c>
      <c r="J290" s="12"/>
    </row>
    <row r="291" spans="1:10" ht="12.75">
      <c r="A291" s="216"/>
      <c r="B291" s="27"/>
      <c r="C291" s="11"/>
      <c r="D291" s="1" t="s">
        <v>364</v>
      </c>
      <c r="E291">
        <f>8*(5/16)+2*8*0.5</f>
        <v>10.5</v>
      </c>
      <c r="F291" s="8">
        <f>Steel</f>
        <v>0.0034027777777777776</v>
      </c>
      <c r="G291" s="29">
        <v>1.042</v>
      </c>
      <c r="H291" s="29">
        <v>8.5</v>
      </c>
      <c r="I291">
        <f t="shared" si="20"/>
        <v>0.0043799754901960785</v>
      </c>
      <c r="J291" s="12"/>
    </row>
    <row r="292" spans="1:10" ht="12.75">
      <c r="A292" s="234"/>
      <c r="B292" s="39"/>
      <c r="C292" s="9"/>
      <c r="D292" s="7" t="s">
        <v>365</v>
      </c>
      <c r="E292" s="13">
        <f>10.25*28.5+2.25*16.5/2+2.25*12+7*10/2+7*2</f>
        <v>386.6875</v>
      </c>
      <c r="F292" s="14">
        <f>Conc</f>
        <v>0.0010416666666666667</v>
      </c>
      <c r="G292" s="15">
        <v>1</v>
      </c>
      <c r="H292" s="15">
        <v>1</v>
      </c>
      <c r="I292" s="13">
        <f t="shared" si="20"/>
        <v>0.40279947916666664</v>
      </c>
      <c r="J292" s="16">
        <f>SUM(I290:I292)</f>
        <v>0.4205421317424443</v>
      </c>
    </row>
    <row r="293" spans="1:10" ht="12.75">
      <c r="A293" s="219" t="s">
        <v>99</v>
      </c>
      <c r="B293" s="35" t="s">
        <v>100</v>
      </c>
      <c r="C293" s="20"/>
      <c r="D293" s="1" t="s">
        <v>343</v>
      </c>
      <c r="E293">
        <f>2*(4*3-(4-2*0.25)*(3-2*0.25))</f>
        <v>6.5</v>
      </c>
      <c r="F293" s="8">
        <f>Steel</f>
        <v>0.0034027777777777776</v>
      </c>
      <c r="G293" s="29">
        <v>1</v>
      </c>
      <c r="H293" s="29">
        <v>1</v>
      </c>
      <c r="I293">
        <f t="shared" si="20"/>
        <v>0.022118055555555554</v>
      </c>
      <c r="J293" s="12"/>
    </row>
    <row r="294" spans="1:10" ht="12.75">
      <c r="A294" s="216"/>
      <c r="B294" s="27"/>
      <c r="C294" s="11"/>
      <c r="D294" s="1" t="s">
        <v>344</v>
      </c>
      <c r="E294">
        <f>6*3-(6-2*0.1875)*(3-2*0.1875)</f>
        <v>3.234375</v>
      </c>
      <c r="F294" s="8">
        <f>Steel</f>
        <v>0.0034027777777777776</v>
      </c>
      <c r="G294" s="29">
        <v>1</v>
      </c>
      <c r="H294" s="29">
        <v>1</v>
      </c>
      <c r="I294">
        <f t="shared" si="20"/>
        <v>0.011005859375</v>
      </c>
      <c r="J294" s="12"/>
    </row>
    <row r="295" spans="1:10" ht="12.75">
      <c r="A295" s="216"/>
      <c r="B295" s="27"/>
      <c r="C295" s="11"/>
      <c r="D295" s="1" t="s">
        <v>366</v>
      </c>
      <c r="E295">
        <f>0.029/Steel</f>
        <v>8.522448979591838</v>
      </c>
      <c r="F295" s="8">
        <f>Steel</f>
        <v>0.0034027777777777776</v>
      </c>
      <c r="G295" s="29">
        <f>2.917</f>
        <v>2.917</v>
      </c>
      <c r="H295" s="29">
        <v>9.5</v>
      </c>
      <c r="I295">
        <f t="shared" si="20"/>
        <v>0.008904526315789474</v>
      </c>
      <c r="J295" s="12"/>
    </row>
    <row r="296" spans="1:10" ht="12.75">
      <c r="A296" s="216"/>
      <c r="B296" s="27"/>
      <c r="C296" s="11"/>
      <c r="D296" s="6" t="s">
        <v>318</v>
      </c>
      <c r="E296">
        <f>10*12</f>
        <v>120</v>
      </c>
      <c r="F296" s="8">
        <f>Steel</f>
        <v>0.0034027777777777776</v>
      </c>
      <c r="G296" s="29">
        <f>0.083</f>
        <v>0.083</v>
      </c>
      <c r="H296" s="29">
        <v>9.5</v>
      </c>
      <c r="I296">
        <f t="shared" si="20"/>
        <v>0.003567543859649123</v>
      </c>
      <c r="J296" s="12"/>
    </row>
    <row r="297" spans="1:10" ht="12.75">
      <c r="A297" s="234"/>
      <c r="B297" s="39"/>
      <c r="C297" s="9"/>
      <c r="D297" s="9" t="s">
        <v>288</v>
      </c>
      <c r="E297" s="13">
        <f>11.5*13.5</f>
        <v>155.25</v>
      </c>
      <c r="F297" s="14">
        <f>Conc</f>
        <v>0.0010416666666666667</v>
      </c>
      <c r="G297" s="15">
        <f>0.125</f>
        <v>0.125</v>
      </c>
      <c r="H297" s="15">
        <v>9.5</v>
      </c>
      <c r="I297" s="13">
        <f t="shared" si="20"/>
        <v>0.0021278782894736843</v>
      </c>
      <c r="J297" s="16">
        <f>SUM(I293:I297)</f>
        <v>0.04772386339546783</v>
      </c>
    </row>
    <row r="298" spans="1:10" ht="12.75">
      <c r="A298" s="219" t="s">
        <v>101</v>
      </c>
      <c r="B298" s="35" t="s">
        <v>102</v>
      </c>
      <c r="C298" s="20"/>
      <c r="D298" s="1" t="s">
        <v>347</v>
      </c>
      <c r="E298">
        <f>2*(PI()*3.5*0.25+2*(6-3.5)*0.25)</f>
        <v>7.997787143782138</v>
      </c>
      <c r="F298" s="8">
        <f>Alum</f>
        <v>0.0011458333333333333</v>
      </c>
      <c r="G298" s="29">
        <v>1</v>
      </c>
      <c r="H298" s="29">
        <v>1</v>
      </c>
      <c r="I298">
        <f t="shared" si="20"/>
        <v>0.009164131102250367</v>
      </c>
      <c r="J298" s="12"/>
    </row>
    <row r="299" spans="1:10" ht="12.75">
      <c r="A299" s="216"/>
      <c r="B299" s="27"/>
      <c r="C299" s="11"/>
      <c r="D299" s="6" t="s">
        <v>348</v>
      </c>
      <c r="E299">
        <f>PI()*2*0.125+2*(4.5-2)*0.125</f>
        <v>1.4103981633974483</v>
      </c>
      <c r="F299" s="8">
        <f>Alum</f>
        <v>0.0011458333333333333</v>
      </c>
      <c r="G299" s="29">
        <v>1</v>
      </c>
      <c r="H299" s="29">
        <v>1</v>
      </c>
      <c r="I299">
        <f t="shared" si="20"/>
        <v>0.0016160812288929095</v>
      </c>
      <c r="J299" s="12"/>
    </row>
    <row r="300" spans="1:10" ht="12.75">
      <c r="A300" s="216"/>
      <c r="B300" s="27"/>
      <c r="C300" s="11"/>
      <c r="D300" s="6" t="s">
        <v>349</v>
      </c>
      <c r="E300">
        <f>(9/32)*(9.0156-0.375-0.75+6)/2+(0.5+0.375)*(6.375+3.75)/2</f>
        <v>6.383053125</v>
      </c>
      <c r="F300" s="8">
        <f>Alum</f>
        <v>0.0011458333333333333</v>
      </c>
      <c r="G300" s="29">
        <f>3+27/32/12</f>
        <v>3.0703125</v>
      </c>
      <c r="H300" s="29">
        <v>8</v>
      </c>
      <c r="I300">
        <f t="shared" si="20"/>
        <v>0.002807000596046448</v>
      </c>
      <c r="J300" s="12"/>
    </row>
    <row r="301" spans="1:10" ht="12.75">
      <c r="A301" s="234"/>
      <c r="B301" s="39"/>
      <c r="C301" s="9"/>
      <c r="D301" s="9" t="s">
        <v>288</v>
      </c>
      <c r="E301" s="13">
        <f>12*11</f>
        <v>132</v>
      </c>
      <c r="F301" s="14">
        <f>Conc</f>
        <v>0.0010416666666666667</v>
      </c>
      <c r="G301" s="15">
        <f>0.125</f>
        <v>0.125</v>
      </c>
      <c r="H301" s="15">
        <v>8</v>
      </c>
      <c r="I301" s="13">
        <f t="shared" si="20"/>
        <v>0.0021484375</v>
      </c>
      <c r="J301" s="16">
        <f>SUM(I298:I301)</f>
        <v>0.015735650427189725</v>
      </c>
    </row>
    <row r="302" spans="1:10" ht="12.75">
      <c r="A302" s="219" t="s">
        <v>103</v>
      </c>
      <c r="B302" s="35" t="s">
        <v>86</v>
      </c>
      <c r="C302" s="20" t="s">
        <v>7</v>
      </c>
      <c r="D302" s="6" t="s">
        <v>285</v>
      </c>
      <c r="E302">
        <f>4*3-(4-2*0.25)*(3-2*0.25)</f>
        <v>3.25</v>
      </c>
      <c r="F302" s="8">
        <f>Steel</f>
        <v>0.0034027777777777776</v>
      </c>
      <c r="G302" s="29">
        <v>1</v>
      </c>
      <c r="H302" s="29">
        <v>1</v>
      </c>
      <c r="I302">
        <f t="shared" si="20"/>
        <v>0.011059027777777777</v>
      </c>
      <c r="J302" s="12"/>
    </row>
    <row r="303" spans="1:10" ht="12.75">
      <c r="A303" s="216"/>
      <c r="B303"/>
      <c r="C303" s="20"/>
      <c r="D303" s="6" t="s">
        <v>344</v>
      </c>
      <c r="E303">
        <f>6*3-(6-2*0.1875)*(3-2*0.1875)</f>
        <v>3.234375</v>
      </c>
      <c r="F303" s="8">
        <f>Steel</f>
        <v>0.0034027777777777776</v>
      </c>
      <c r="G303" s="29">
        <v>1</v>
      </c>
      <c r="H303" s="29">
        <v>1</v>
      </c>
      <c r="I303">
        <f t="shared" si="20"/>
        <v>0.011005859375</v>
      </c>
      <c r="J303" s="12"/>
    </row>
    <row r="304" spans="1:10" ht="12.75">
      <c r="A304" s="216"/>
      <c r="B304" s="27"/>
      <c r="C304" s="11"/>
      <c r="D304" s="1" t="s">
        <v>352</v>
      </c>
      <c r="E304">
        <f>0.029/Steel</f>
        <v>8.522448979591838</v>
      </c>
      <c r="F304" s="8">
        <f>Steel</f>
        <v>0.0034027777777777776</v>
      </c>
      <c r="G304" s="29">
        <f>2.208</f>
        <v>2.208</v>
      </c>
      <c r="H304" s="29">
        <v>9.5</v>
      </c>
      <c r="I304">
        <f t="shared" si="20"/>
        <v>0.00674021052631579</v>
      </c>
      <c r="J304" s="12"/>
    </row>
    <row r="305" spans="1:10" ht="12.75">
      <c r="A305" s="216"/>
      <c r="B305" s="27"/>
      <c r="C305" s="11"/>
      <c r="D305" s="6" t="s">
        <v>318</v>
      </c>
      <c r="E305">
        <f>12*9</f>
        <v>108</v>
      </c>
      <c r="F305" s="8">
        <f>Steel</f>
        <v>0.0034027777777777776</v>
      </c>
      <c r="G305" s="29">
        <f>0.083</f>
        <v>0.083</v>
      </c>
      <c r="H305" s="29">
        <v>9.5</v>
      </c>
      <c r="I305">
        <f t="shared" si="20"/>
        <v>0.0032107894736842107</v>
      </c>
      <c r="J305" s="12"/>
    </row>
    <row r="306" spans="1:10" ht="12.75">
      <c r="A306" s="216"/>
      <c r="B306" s="27"/>
      <c r="C306" s="11"/>
      <c r="D306" s="6" t="s">
        <v>288</v>
      </c>
      <c r="E306">
        <f>13.5*10.5</f>
        <v>141.75</v>
      </c>
      <c r="F306" s="8">
        <f>Conc</f>
        <v>0.0010416666666666667</v>
      </c>
      <c r="G306" s="29">
        <f>0.125</f>
        <v>0.125</v>
      </c>
      <c r="H306" s="29">
        <v>9.5</v>
      </c>
      <c r="I306">
        <f t="shared" si="20"/>
        <v>0.0019428453947368419</v>
      </c>
      <c r="J306" s="12"/>
    </row>
    <row r="307" spans="1:10" ht="12.75">
      <c r="A307" s="234"/>
      <c r="B307" s="39"/>
      <c r="C307" s="9"/>
      <c r="D307" s="7" t="s">
        <v>353</v>
      </c>
      <c r="E307" s="13">
        <f>16*10.5</f>
        <v>168</v>
      </c>
      <c r="F307" s="14">
        <f>Conc</f>
        <v>0.0010416666666666667</v>
      </c>
      <c r="G307" s="15">
        <v>1</v>
      </c>
      <c r="H307" s="15">
        <v>1</v>
      </c>
      <c r="I307" s="13">
        <f t="shared" si="20"/>
        <v>0.175</v>
      </c>
      <c r="J307" s="16">
        <f>SUM(I302:I307)</f>
        <v>0.2089587325475146</v>
      </c>
    </row>
    <row r="308" spans="1:10" ht="12.75">
      <c r="A308" s="233" t="s">
        <v>104</v>
      </c>
      <c r="B308" s="35" t="s">
        <v>105</v>
      </c>
      <c r="C308" s="20" t="s">
        <v>7</v>
      </c>
      <c r="D308" s="1" t="s">
        <v>367</v>
      </c>
      <c r="E308">
        <f>PI()*3.5*0.25+2*(6-3.5)*0.25</f>
        <v>3.998893571891069</v>
      </c>
      <c r="F308" s="8">
        <f>Alum</f>
        <v>0.0011458333333333333</v>
      </c>
      <c r="G308" s="29">
        <v>1</v>
      </c>
      <c r="H308" s="29">
        <v>1</v>
      </c>
      <c r="I308">
        <f t="shared" si="20"/>
        <v>0.004582065551125183</v>
      </c>
      <c r="J308" s="12"/>
    </row>
    <row r="309" spans="1:10" ht="12.75">
      <c r="A309" s="216"/>
      <c r="B309"/>
      <c r="C309" s="20"/>
      <c r="D309" s="6" t="s">
        <v>348</v>
      </c>
      <c r="E309">
        <f>PI()*2*0.125+2*(4.5-2)*0.125</f>
        <v>1.4103981633974483</v>
      </c>
      <c r="F309" s="8">
        <f>Alum</f>
        <v>0.0011458333333333333</v>
      </c>
      <c r="G309" s="29">
        <v>1</v>
      </c>
      <c r="H309" s="29">
        <v>1</v>
      </c>
      <c r="I309">
        <f t="shared" si="20"/>
        <v>0.0016160812288929095</v>
      </c>
      <c r="J309" s="12"/>
    </row>
    <row r="310" spans="1:10" ht="12.75">
      <c r="A310" s="216"/>
      <c r="B310"/>
      <c r="C310" s="11"/>
      <c r="D310" s="6" t="s">
        <v>349</v>
      </c>
      <c r="E310">
        <f>(9/32)*(10-0.375-0.5)+(0.5+0.375)*(6.625+4)/2</f>
        <v>7.21484375</v>
      </c>
      <c r="F310" s="8">
        <f>Alum</f>
        <v>0.0011458333333333333</v>
      </c>
      <c r="G310" s="29">
        <f>2.292</f>
        <v>2.292</v>
      </c>
      <c r="H310" s="29">
        <v>8</v>
      </c>
      <c r="I310">
        <f t="shared" si="20"/>
        <v>0.002368497924804687</v>
      </c>
      <c r="J310" s="12"/>
    </row>
    <row r="311" spans="1:10" ht="12.75">
      <c r="A311" s="216"/>
      <c r="B311" s="27"/>
      <c r="C311" s="11"/>
      <c r="D311" s="6" t="s">
        <v>288</v>
      </c>
      <c r="E311">
        <f>11.5*9</f>
        <v>103.5</v>
      </c>
      <c r="F311" s="8">
        <f>Conc</f>
        <v>0.0010416666666666667</v>
      </c>
      <c r="G311" s="29">
        <f>0.125</f>
        <v>0.125</v>
      </c>
      <c r="H311" s="29">
        <v>8</v>
      </c>
      <c r="I311">
        <f t="shared" si="20"/>
        <v>0.0016845703124999999</v>
      </c>
      <c r="J311" s="12"/>
    </row>
    <row r="312" spans="1:10" ht="12.75">
      <c r="A312" s="234"/>
      <c r="B312" s="39"/>
      <c r="C312" s="9"/>
      <c r="D312" s="7" t="s">
        <v>368</v>
      </c>
      <c r="E312" s="13">
        <f>16*10.5</f>
        <v>168</v>
      </c>
      <c r="F312" s="14">
        <f>Conc</f>
        <v>0.0010416666666666667</v>
      </c>
      <c r="G312" s="15">
        <v>1</v>
      </c>
      <c r="H312" s="15">
        <v>1</v>
      </c>
      <c r="I312" s="13">
        <f t="shared" si="20"/>
        <v>0.175</v>
      </c>
      <c r="J312" s="16">
        <f>SUM(I308:I312)</f>
        <v>0.18525121501732278</v>
      </c>
    </row>
    <row r="313" spans="1:10" ht="12.75">
      <c r="A313" s="233" t="s">
        <v>106</v>
      </c>
      <c r="B313" s="35" t="s">
        <v>97</v>
      </c>
      <c r="C313" s="20"/>
      <c r="D313" s="1" t="s">
        <v>363</v>
      </c>
      <c r="E313">
        <f>PI()*5*0.25</f>
        <v>3.9269908169872414</v>
      </c>
      <c r="F313" s="8">
        <f>Steel</f>
        <v>0.0034027777777777776</v>
      </c>
      <c r="G313" s="29">
        <v>1</v>
      </c>
      <c r="H313" s="29">
        <v>1</v>
      </c>
      <c r="I313">
        <f t="shared" si="20"/>
        <v>0.013362677085581585</v>
      </c>
      <c r="J313" s="12"/>
    </row>
    <row r="314" spans="1:10" ht="12.75">
      <c r="A314" s="216"/>
      <c r="B314" s="27"/>
      <c r="C314" s="11"/>
      <c r="D314" s="1" t="s">
        <v>364</v>
      </c>
      <c r="E314">
        <f>8*(5/16)+2*8*0.5</f>
        <v>10.5</v>
      </c>
      <c r="F314" s="8">
        <f>Steel</f>
        <v>0.0034027777777777776</v>
      </c>
      <c r="G314" s="29">
        <v>1.042</v>
      </c>
      <c r="H314" s="29">
        <v>8.5</v>
      </c>
      <c r="I314">
        <f t="shared" si="20"/>
        <v>0.0043799754901960785</v>
      </c>
      <c r="J314" s="12"/>
    </row>
    <row r="315" spans="1:10" ht="12.75">
      <c r="A315" s="234"/>
      <c r="B315" s="39"/>
      <c r="C315" s="9"/>
      <c r="D315" s="7" t="s">
        <v>365</v>
      </c>
      <c r="E315" s="13">
        <f>10.25*28.5+2.25*16.5/2+2.25*12+7*10/2+7*2</f>
        <v>386.6875</v>
      </c>
      <c r="F315" s="14">
        <f>Conc</f>
        <v>0.0010416666666666667</v>
      </c>
      <c r="G315" s="15">
        <v>1</v>
      </c>
      <c r="H315" s="15">
        <v>1</v>
      </c>
      <c r="I315" s="13">
        <f t="shared" si="20"/>
        <v>0.40279947916666664</v>
      </c>
      <c r="J315" s="16">
        <f>SUM(I313:I315)</f>
        <v>0.4205421317424443</v>
      </c>
    </row>
    <row r="316" spans="1:10" ht="12.75">
      <c r="A316" s="219" t="s">
        <v>107</v>
      </c>
      <c r="B316" s="35" t="s">
        <v>108</v>
      </c>
      <c r="C316" s="20" t="s">
        <v>109</v>
      </c>
      <c r="D316" s="1" t="s">
        <v>363</v>
      </c>
      <c r="E316">
        <f>PI()*5*0.25</f>
        <v>3.9269908169872414</v>
      </c>
      <c r="F316" s="8">
        <f>Steel</f>
        <v>0.0034027777777777776</v>
      </c>
      <c r="G316" s="29">
        <v>1</v>
      </c>
      <c r="H316" s="29">
        <v>1</v>
      </c>
      <c r="I316">
        <f t="shared" si="20"/>
        <v>0.013362677085581585</v>
      </c>
      <c r="J316" s="12"/>
    </row>
    <row r="317" spans="1:10" ht="12.75">
      <c r="A317" s="216"/>
      <c r="B317"/>
      <c r="C317" s="20"/>
      <c r="D317" s="1" t="s">
        <v>364</v>
      </c>
      <c r="E317">
        <f>8*(5/16)+2*8*0.5</f>
        <v>10.5</v>
      </c>
      <c r="F317" s="8">
        <f>Steel</f>
        <v>0.0034027777777777776</v>
      </c>
      <c r="G317" s="29">
        <v>1.042</v>
      </c>
      <c r="H317" s="29">
        <v>8.5</v>
      </c>
      <c r="I317">
        <f t="shared" si="20"/>
        <v>0.0043799754901960785</v>
      </c>
      <c r="J317" s="12"/>
    </row>
    <row r="318" spans="1:10" ht="12.75">
      <c r="A318" s="234"/>
      <c r="B318" s="39"/>
      <c r="C318" s="9"/>
      <c r="D318" s="9" t="s">
        <v>369</v>
      </c>
      <c r="E318" s="13">
        <f>10.5*18</f>
        <v>189</v>
      </c>
      <c r="F318" s="14">
        <f>Conc</f>
        <v>0.0010416666666666667</v>
      </c>
      <c r="G318" s="15">
        <v>1</v>
      </c>
      <c r="H318" s="15">
        <v>1</v>
      </c>
      <c r="I318" s="13">
        <f t="shared" si="20"/>
        <v>0.196875</v>
      </c>
      <c r="J318" s="16">
        <f>SUM(I316:I318)</f>
        <v>0.21461765257577767</v>
      </c>
    </row>
    <row r="319" spans="1:10" ht="12.75">
      <c r="A319" s="219" t="s">
        <v>107</v>
      </c>
      <c r="B319" s="35" t="s">
        <v>110</v>
      </c>
      <c r="C319" s="20" t="s">
        <v>111</v>
      </c>
      <c r="D319" s="1" t="s">
        <v>363</v>
      </c>
      <c r="E319">
        <f>PI()*5*0.25</f>
        <v>3.9269908169872414</v>
      </c>
      <c r="F319" s="8">
        <f>Steel</f>
        <v>0.0034027777777777776</v>
      </c>
      <c r="G319" s="29">
        <v>1</v>
      </c>
      <c r="H319" s="29">
        <v>1</v>
      </c>
      <c r="I319">
        <f t="shared" si="20"/>
        <v>0.013362677085581585</v>
      </c>
      <c r="J319" s="12"/>
    </row>
    <row r="320" spans="1:10" ht="12.75">
      <c r="A320" s="216"/>
      <c r="B320"/>
      <c r="C320" s="20"/>
      <c r="D320" s="1" t="s">
        <v>364</v>
      </c>
      <c r="E320">
        <f>8*(5/16)+2*8*0.5</f>
        <v>10.5</v>
      </c>
      <c r="F320" s="8">
        <f>Steel</f>
        <v>0.0034027777777777776</v>
      </c>
      <c r="G320" s="29">
        <v>1.042</v>
      </c>
      <c r="H320" s="29">
        <v>8.5</v>
      </c>
      <c r="I320">
        <f t="shared" si="20"/>
        <v>0.0043799754901960785</v>
      </c>
      <c r="J320" s="12"/>
    </row>
    <row r="321" spans="1:10" ht="12.75">
      <c r="A321" s="216"/>
      <c r="B321" s="27"/>
      <c r="C321" s="11"/>
      <c r="D321" s="6" t="s">
        <v>369</v>
      </c>
      <c r="E321">
        <f>10.5*18</f>
        <v>189</v>
      </c>
      <c r="F321" s="8">
        <f>Conc</f>
        <v>0.0010416666666666667</v>
      </c>
      <c r="G321" s="29">
        <v>1</v>
      </c>
      <c r="H321" s="29">
        <v>1</v>
      </c>
      <c r="I321">
        <f t="shared" si="20"/>
        <v>0.196875</v>
      </c>
      <c r="J321" s="12"/>
    </row>
    <row r="322" spans="1:10" ht="12.75">
      <c r="A322" s="234"/>
      <c r="B322" s="39"/>
      <c r="C322" s="9"/>
      <c r="D322" s="9" t="s">
        <v>370</v>
      </c>
      <c r="E322" s="13">
        <f>18*10.5</f>
        <v>189</v>
      </c>
      <c r="F322" s="14">
        <f>Conc</f>
        <v>0.0010416666666666667</v>
      </c>
      <c r="G322" s="15">
        <v>1</v>
      </c>
      <c r="H322" s="15">
        <v>1</v>
      </c>
      <c r="I322" s="13">
        <f t="shared" si="20"/>
        <v>0.196875</v>
      </c>
      <c r="J322" s="16">
        <f>SUM(I319:I322)</f>
        <v>0.41149265257577766</v>
      </c>
    </row>
    <row r="323" spans="1:10" ht="12.75">
      <c r="A323" s="219" t="s">
        <v>112</v>
      </c>
      <c r="B323" s="35" t="s">
        <v>113</v>
      </c>
      <c r="C323" s="20" t="s">
        <v>109</v>
      </c>
      <c r="D323" s="1" t="s">
        <v>371</v>
      </c>
      <c r="E323">
        <f>PI()*4*0.1875</f>
        <v>2.356194490192345</v>
      </c>
      <c r="F323" s="8">
        <f>Steel</f>
        <v>0.0034027777777777776</v>
      </c>
      <c r="G323" s="29">
        <v>1</v>
      </c>
      <c r="H323" s="29">
        <v>1</v>
      </c>
      <c r="I323">
        <f t="shared" si="20"/>
        <v>0.00801760625134895</v>
      </c>
      <c r="J323" s="12"/>
    </row>
    <row r="324" spans="1:10" ht="12.75">
      <c r="A324" s="219"/>
      <c r="B324"/>
      <c r="C324" s="20"/>
      <c r="D324" s="1" t="s">
        <v>372</v>
      </c>
      <c r="E324">
        <f>PI()*5*0.25</f>
        <v>3.9269908169872414</v>
      </c>
      <c r="F324" s="8">
        <f>Steel</f>
        <v>0.0034027777777777776</v>
      </c>
      <c r="G324" s="29">
        <v>1</v>
      </c>
      <c r="H324" s="29">
        <v>1</v>
      </c>
      <c r="I324">
        <f t="shared" si="20"/>
        <v>0.013362677085581585</v>
      </c>
      <c r="J324" s="12"/>
    </row>
    <row r="325" spans="1:10" ht="12.75">
      <c r="A325" s="216"/>
      <c r="B325" s="27"/>
      <c r="C325" s="11"/>
      <c r="D325" s="1" t="s">
        <v>364</v>
      </c>
      <c r="E325">
        <f>8*(5/16)+2*7*0.5</f>
        <v>9.5</v>
      </c>
      <c r="F325" s="8">
        <f>Steel</f>
        <v>0.0034027777777777776</v>
      </c>
      <c r="G325" s="29">
        <f>1.833</f>
        <v>1.833</v>
      </c>
      <c r="H325" s="29">
        <v>8.5</v>
      </c>
      <c r="I325">
        <f t="shared" si="20"/>
        <v>0.006971090686274509</v>
      </c>
      <c r="J325" s="12"/>
    </row>
    <row r="326" spans="1:10" ht="12.75">
      <c r="A326" s="234"/>
      <c r="B326" s="39"/>
      <c r="C326" s="9"/>
      <c r="D326" s="9" t="s">
        <v>369</v>
      </c>
      <c r="E326" s="13">
        <f>10.5*18</f>
        <v>189</v>
      </c>
      <c r="F326" s="14">
        <f>Conc</f>
        <v>0.0010416666666666667</v>
      </c>
      <c r="G326" s="15">
        <v>1</v>
      </c>
      <c r="H326" s="15">
        <v>1</v>
      </c>
      <c r="I326" s="13">
        <f t="shared" si="20"/>
        <v>0.196875</v>
      </c>
      <c r="J326" s="16">
        <f>SUM(I323:I326)</f>
        <v>0.22522637402320503</v>
      </c>
    </row>
    <row r="327" spans="1:10" ht="12.75">
      <c r="A327" s="219" t="s">
        <v>114</v>
      </c>
      <c r="B327" s="27" t="s">
        <v>115</v>
      </c>
      <c r="C327" s="11"/>
      <c r="D327" s="11" t="s">
        <v>373</v>
      </c>
      <c r="E327">
        <f>4*3-(4-2*0.1875)*(3-2*0.1875)</f>
        <v>2.484375</v>
      </c>
      <c r="F327" s="32">
        <f aca="true" t="shared" si="21" ref="F327:F334">Alum</f>
        <v>0.0011458333333333333</v>
      </c>
      <c r="G327" s="33">
        <v>1</v>
      </c>
      <c r="H327" s="33">
        <v>1</v>
      </c>
      <c r="I327" s="28">
        <f t="shared" si="20"/>
        <v>0.0028466796875</v>
      </c>
      <c r="J327" s="12"/>
    </row>
    <row r="328" spans="1:10" ht="12.75">
      <c r="A328" s="219"/>
      <c r="B328" s="27"/>
      <c r="C328" s="11"/>
      <c r="D328" s="20" t="s">
        <v>374</v>
      </c>
      <c r="E328">
        <f>2*(3*2-(3-2*0.1875)*(2-2*0.1875))</f>
        <v>3.46875</v>
      </c>
      <c r="F328" s="32">
        <f t="shared" si="21"/>
        <v>0.0011458333333333333</v>
      </c>
      <c r="G328" s="33">
        <v>1</v>
      </c>
      <c r="H328" s="33">
        <v>1</v>
      </c>
      <c r="I328" s="28">
        <f t="shared" si="20"/>
        <v>0.003974609375</v>
      </c>
      <c r="J328" s="12"/>
    </row>
    <row r="329" spans="1:10" ht="12.75">
      <c r="A329" s="219"/>
      <c r="B329" s="27"/>
      <c r="C329" s="11"/>
      <c r="D329" s="20" t="s">
        <v>375</v>
      </c>
      <c r="E329" s="28">
        <f>0.25^2</f>
        <v>0.0625</v>
      </c>
      <c r="F329" s="32">
        <f t="shared" si="21"/>
        <v>0.0011458333333333333</v>
      </c>
      <c r="G329" s="33">
        <v>2.167</v>
      </c>
      <c r="H329" s="33">
        <v>0.167</v>
      </c>
      <c r="I329" s="28">
        <f t="shared" si="20"/>
        <v>0.0009292742639720558</v>
      </c>
      <c r="J329" s="12"/>
    </row>
    <row r="330" spans="1:10" ht="12.75">
      <c r="A330" s="219"/>
      <c r="B330" s="27"/>
      <c r="C330" s="11"/>
      <c r="D330" s="20" t="s">
        <v>376</v>
      </c>
      <c r="E330" s="28">
        <f>(2.167/0.167)*(0.25^2)</f>
        <v>0.811002994011976</v>
      </c>
      <c r="F330" s="32">
        <f t="shared" si="21"/>
        <v>0.0011458333333333333</v>
      </c>
      <c r="G330" s="33">
        <v>1</v>
      </c>
      <c r="H330" s="33">
        <v>1</v>
      </c>
      <c r="I330" s="28">
        <f t="shared" si="20"/>
        <v>0.0009292742639720558</v>
      </c>
      <c r="J330" s="12"/>
    </row>
    <row r="331" spans="1:10" ht="12.75">
      <c r="A331" s="219"/>
      <c r="B331" s="27"/>
      <c r="C331" s="11"/>
      <c r="D331" s="20" t="s">
        <v>377</v>
      </c>
      <c r="E331" s="28">
        <f>2*(1^2-(1-0.125)^2)</f>
        <v>0.46875</v>
      </c>
      <c r="F331" s="32">
        <f t="shared" si="21"/>
        <v>0.0011458333333333333</v>
      </c>
      <c r="G331" s="33">
        <v>2.167</v>
      </c>
      <c r="H331" s="33">
        <v>9.5</v>
      </c>
      <c r="I331" s="28">
        <f t="shared" si="20"/>
        <v>0.00012251747532894736</v>
      </c>
      <c r="J331" s="12"/>
    </row>
    <row r="332" spans="1:10" ht="12.75">
      <c r="A332" s="219"/>
      <c r="B332" s="27"/>
      <c r="C332" s="11"/>
      <c r="D332" s="20" t="s">
        <v>378</v>
      </c>
      <c r="E332" s="28">
        <f>2*(1^2-(1-0.125)^2)</f>
        <v>0.46875</v>
      </c>
      <c r="F332" s="32">
        <f t="shared" si="21"/>
        <v>0.0011458333333333333</v>
      </c>
      <c r="G332" s="33">
        <v>1</v>
      </c>
      <c r="H332" s="33">
        <v>1</v>
      </c>
      <c r="I332" s="28">
        <f t="shared" si="20"/>
        <v>0.000537109375</v>
      </c>
      <c r="J332" s="12"/>
    </row>
    <row r="333" spans="1:10" ht="12.75">
      <c r="A333" s="219"/>
      <c r="B333" s="27"/>
      <c r="C333" s="11"/>
      <c r="D333" s="1" t="s">
        <v>379</v>
      </c>
      <c r="E333">
        <f>0.0073/Alum</f>
        <v>6.370909090909091</v>
      </c>
      <c r="F333" s="8">
        <f t="shared" si="21"/>
        <v>0.0011458333333333333</v>
      </c>
      <c r="G333" s="29">
        <f>3.5-0.208</f>
        <v>3.292</v>
      </c>
      <c r="H333" s="29">
        <f>9.5</f>
        <v>9.5</v>
      </c>
      <c r="I333" s="28">
        <f aca="true" t="shared" si="22" ref="I333:I396">E333*F333*G333/H333</f>
        <v>0.002529642105263158</v>
      </c>
      <c r="J333" s="12"/>
    </row>
    <row r="334" spans="1:10" ht="12.75">
      <c r="A334" s="219"/>
      <c r="B334" s="27"/>
      <c r="C334" s="11"/>
      <c r="D334" s="1" t="s">
        <v>287</v>
      </c>
      <c r="E334">
        <f>12*10</f>
        <v>120</v>
      </c>
      <c r="F334" s="8">
        <f t="shared" si="21"/>
        <v>0.0011458333333333333</v>
      </c>
      <c r="G334">
        <v>0.083</v>
      </c>
      <c r="H334">
        <v>9.5</v>
      </c>
      <c r="I334" s="28">
        <f t="shared" si="22"/>
        <v>0.0012013157894736842</v>
      </c>
      <c r="J334" s="12"/>
    </row>
    <row r="335" spans="1:10" ht="12.75">
      <c r="A335" s="220"/>
      <c r="B335" s="39"/>
      <c r="C335" s="9"/>
      <c r="D335" s="9" t="s">
        <v>288</v>
      </c>
      <c r="E335" s="13">
        <f>13.5*11.5</f>
        <v>155.25</v>
      </c>
      <c r="F335" s="14">
        <f>Conc</f>
        <v>0.0010416666666666667</v>
      </c>
      <c r="G335" s="15">
        <f>0.125</f>
        <v>0.125</v>
      </c>
      <c r="H335" s="15">
        <v>9.5</v>
      </c>
      <c r="I335" s="13">
        <f t="shared" si="22"/>
        <v>0.0021278782894736843</v>
      </c>
      <c r="J335" s="16">
        <f>SUM(I327:I335)</f>
        <v>0.015198300624983585</v>
      </c>
    </row>
    <row r="336" spans="1:10" ht="12.75">
      <c r="A336" s="219" t="s">
        <v>116</v>
      </c>
      <c r="B336" s="35" t="s">
        <v>100</v>
      </c>
      <c r="C336" s="20"/>
      <c r="D336" s="1" t="s">
        <v>343</v>
      </c>
      <c r="E336">
        <f>2*(4*3-(4-2*0.25)*(3-2*0.25))</f>
        <v>6.5</v>
      </c>
      <c r="F336" s="8">
        <f>Steel</f>
        <v>0.0034027777777777776</v>
      </c>
      <c r="G336" s="29">
        <v>1</v>
      </c>
      <c r="H336" s="29">
        <v>1</v>
      </c>
      <c r="I336">
        <f t="shared" si="22"/>
        <v>0.022118055555555554</v>
      </c>
      <c r="J336" s="12"/>
    </row>
    <row r="337" spans="1:10" ht="12.75">
      <c r="A337" s="216"/>
      <c r="B337" s="27"/>
      <c r="C337" s="11"/>
      <c r="D337" s="1" t="s">
        <v>344</v>
      </c>
      <c r="E337">
        <f>6*3-(6-2*0.1875)*(3-2*0.1875)</f>
        <v>3.234375</v>
      </c>
      <c r="F337" s="8">
        <f>Steel</f>
        <v>0.0034027777777777776</v>
      </c>
      <c r="G337" s="29">
        <v>1</v>
      </c>
      <c r="H337" s="29">
        <v>1</v>
      </c>
      <c r="I337">
        <f t="shared" si="22"/>
        <v>0.011005859375</v>
      </c>
      <c r="J337" s="12"/>
    </row>
    <row r="338" spans="1:10" ht="12.75">
      <c r="A338" s="216"/>
      <c r="B338" s="27"/>
      <c r="C338" s="11"/>
      <c r="D338" s="1" t="s">
        <v>366</v>
      </c>
      <c r="E338">
        <f>0.029/Steel</f>
        <v>8.522448979591838</v>
      </c>
      <c r="F338" s="8">
        <f>Steel</f>
        <v>0.0034027777777777776</v>
      </c>
      <c r="G338" s="29">
        <f>2.917</f>
        <v>2.917</v>
      </c>
      <c r="H338" s="29">
        <v>9.5</v>
      </c>
      <c r="I338">
        <f t="shared" si="22"/>
        <v>0.008904526315789474</v>
      </c>
      <c r="J338" s="12"/>
    </row>
    <row r="339" spans="1:10" ht="12.75">
      <c r="A339" s="216"/>
      <c r="B339" s="27"/>
      <c r="C339" s="11"/>
      <c r="D339" s="6" t="s">
        <v>318</v>
      </c>
      <c r="E339">
        <f>10*12</f>
        <v>120</v>
      </c>
      <c r="F339" s="8">
        <f>Steel</f>
        <v>0.0034027777777777776</v>
      </c>
      <c r="G339" s="29">
        <f>0.083</f>
        <v>0.083</v>
      </c>
      <c r="H339" s="29">
        <v>9.5</v>
      </c>
      <c r="I339">
        <f t="shared" si="22"/>
        <v>0.003567543859649123</v>
      </c>
      <c r="J339" s="12"/>
    </row>
    <row r="340" spans="1:10" ht="12.75">
      <c r="A340" s="234"/>
      <c r="B340" s="39"/>
      <c r="C340" s="9"/>
      <c r="D340" s="9" t="s">
        <v>288</v>
      </c>
      <c r="E340" s="13">
        <f>11.5*13.5</f>
        <v>155.25</v>
      </c>
      <c r="F340" s="14">
        <f>Conc</f>
        <v>0.0010416666666666667</v>
      </c>
      <c r="G340" s="15">
        <f>0.125</f>
        <v>0.125</v>
      </c>
      <c r="H340" s="15">
        <v>9.5</v>
      </c>
      <c r="I340" s="13">
        <f t="shared" si="22"/>
        <v>0.0021278782894736843</v>
      </c>
      <c r="J340" s="16">
        <f>SUM(I336:I340)</f>
        <v>0.04772386339546783</v>
      </c>
    </row>
    <row r="341" spans="1:10" ht="12.75">
      <c r="A341" s="233" t="s">
        <v>117</v>
      </c>
      <c r="B341" s="35" t="s">
        <v>86</v>
      </c>
      <c r="C341" s="20" t="s">
        <v>7</v>
      </c>
      <c r="D341" s="6" t="s">
        <v>285</v>
      </c>
      <c r="E341">
        <f>4*3-(4-2*0.25)*(3-2*0.25)</f>
        <v>3.25</v>
      </c>
      <c r="F341" s="8">
        <f>Steel</f>
        <v>0.0034027777777777776</v>
      </c>
      <c r="G341" s="29">
        <v>1</v>
      </c>
      <c r="H341" s="29">
        <v>1</v>
      </c>
      <c r="I341">
        <f t="shared" si="22"/>
        <v>0.011059027777777777</v>
      </c>
      <c r="J341" s="12"/>
    </row>
    <row r="342" spans="1:10" ht="12.75">
      <c r="A342" s="216"/>
      <c r="B342"/>
      <c r="C342" s="20"/>
      <c r="D342" s="6" t="s">
        <v>344</v>
      </c>
      <c r="E342">
        <f>6*3-(6-2*0.1875)*(3-2*0.1875)</f>
        <v>3.234375</v>
      </c>
      <c r="F342" s="8">
        <f>Steel</f>
        <v>0.0034027777777777776</v>
      </c>
      <c r="G342" s="29">
        <v>1</v>
      </c>
      <c r="H342" s="29">
        <v>1</v>
      </c>
      <c r="I342">
        <f t="shared" si="22"/>
        <v>0.011005859375</v>
      </c>
      <c r="J342" s="12"/>
    </row>
    <row r="343" spans="1:10" ht="12.75">
      <c r="A343" s="216"/>
      <c r="B343" s="27"/>
      <c r="C343" s="11"/>
      <c r="D343" s="1" t="s">
        <v>352</v>
      </c>
      <c r="E343">
        <f>0.029/Steel</f>
        <v>8.522448979591838</v>
      </c>
      <c r="F343" s="8">
        <f>Steel</f>
        <v>0.0034027777777777776</v>
      </c>
      <c r="G343" s="29">
        <f>2.208</f>
        <v>2.208</v>
      </c>
      <c r="H343" s="29">
        <v>9.5</v>
      </c>
      <c r="I343">
        <f t="shared" si="22"/>
        <v>0.00674021052631579</v>
      </c>
      <c r="J343" s="12"/>
    </row>
    <row r="344" spans="1:10" ht="12.75">
      <c r="A344" s="216"/>
      <c r="B344" s="27"/>
      <c r="C344" s="11"/>
      <c r="D344" s="6" t="s">
        <v>318</v>
      </c>
      <c r="E344">
        <f>12*10</f>
        <v>120</v>
      </c>
      <c r="F344" s="8">
        <f>Steel</f>
        <v>0.0034027777777777776</v>
      </c>
      <c r="G344" s="29">
        <f>0.083</f>
        <v>0.083</v>
      </c>
      <c r="H344" s="29">
        <v>9.5</v>
      </c>
      <c r="I344">
        <f t="shared" si="22"/>
        <v>0.003567543859649123</v>
      </c>
      <c r="J344" s="12"/>
    </row>
    <row r="345" spans="1:10" ht="12.75">
      <c r="A345" s="216"/>
      <c r="B345" s="27"/>
      <c r="C345" s="11"/>
      <c r="D345" s="6" t="s">
        <v>288</v>
      </c>
      <c r="E345">
        <f>13.5*11.5</f>
        <v>155.25</v>
      </c>
      <c r="F345" s="8">
        <f>Conc</f>
        <v>0.0010416666666666667</v>
      </c>
      <c r="G345" s="29">
        <f>0.125</f>
        <v>0.125</v>
      </c>
      <c r="H345" s="29">
        <v>9.5</v>
      </c>
      <c r="I345">
        <f t="shared" si="22"/>
        <v>0.0021278782894736843</v>
      </c>
      <c r="J345" s="12"/>
    </row>
    <row r="346" spans="1:10" ht="12.75">
      <c r="A346" s="234"/>
      <c r="B346" s="39"/>
      <c r="C346" s="9"/>
      <c r="D346" s="7" t="s">
        <v>353</v>
      </c>
      <c r="E346" s="13">
        <f>16*10.5</f>
        <v>168</v>
      </c>
      <c r="F346" s="14">
        <f>Conc</f>
        <v>0.0010416666666666667</v>
      </c>
      <c r="G346" s="15">
        <v>1</v>
      </c>
      <c r="H346" s="15">
        <v>1</v>
      </c>
      <c r="I346" s="13">
        <f t="shared" si="22"/>
        <v>0.175</v>
      </c>
      <c r="J346" s="16">
        <f>SUM(I341:I346)</f>
        <v>0.20950051982821638</v>
      </c>
    </row>
    <row r="347" spans="1:10" ht="12.75">
      <c r="A347" s="219" t="s">
        <v>118</v>
      </c>
      <c r="B347" s="35" t="s">
        <v>119</v>
      </c>
      <c r="C347" s="20"/>
      <c r="D347" s="1" t="s">
        <v>380</v>
      </c>
      <c r="E347">
        <f>0.003476/Steel</f>
        <v>1.0215183673469388</v>
      </c>
      <c r="F347" s="8">
        <f>Steel</f>
        <v>0.0034027777777777776</v>
      </c>
      <c r="G347" s="29">
        <v>1</v>
      </c>
      <c r="H347" s="29">
        <v>1</v>
      </c>
      <c r="I347">
        <f t="shared" si="22"/>
        <v>0.003476</v>
      </c>
      <c r="J347" s="12"/>
    </row>
    <row r="348" spans="1:10" ht="12.75">
      <c r="A348" s="219"/>
      <c r="B348" s="35"/>
      <c r="C348" s="20"/>
      <c r="D348" s="1" t="s">
        <v>381</v>
      </c>
      <c r="E348">
        <f>2*0.003068/Steel</f>
        <v>1.8032326530612246</v>
      </c>
      <c r="F348" s="8">
        <f>Steel</f>
        <v>0.0034027777777777776</v>
      </c>
      <c r="G348" s="29">
        <v>1</v>
      </c>
      <c r="H348" s="29">
        <v>1</v>
      </c>
      <c r="I348">
        <f t="shared" si="22"/>
        <v>0.006136</v>
      </c>
      <c r="J348" s="12"/>
    </row>
    <row r="349" spans="1:10" ht="12.75">
      <c r="A349" s="216"/>
      <c r="B349" s="27"/>
      <c r="C349" s="11"/>
      <c r="D349" s="1" t="s">
        <v>382</v>
      </c>
      <c r="E349">
        <f>1.25*0.25</f>
        <v>0.3125</v>
      </c>
      <c r="F349" s="8">
        <f>Steel</f>
        <v>0.0034027777777777776</v>
      </c>
      <c r="G349" s="29">
        <f>2.417-0.125</f>
        <v>2.292</v>
      </c>
      <c r="H349" s="29">
        <v>0.5</v>
      </c>
      <c r="I349">
        <f t="shared" si="22"/>
        <v>0.004874479166666666</v>
      </c>
      <c r="J349" s="12"/>
    </row>
    <row r="350" spans="1:10" ht="12.75">
      <c r="A350" s="216"/>
      <c r="B350" s="27"/>
      <c r="C350" s="11"/>
      <c r="D350" s="1" t="s">
        <v>383</v>
      </c>
      <c r="E350">
        <f>0.01/Steel</f>
        <v>2.938775510204082</v>
      </c>
      <c r="F350" s="8">
        <f>Steel</f>
        <v>0.0034027777777777776</v>
      </c>
      <c r="G350" s="29">
        <f>3.208</f>
        <v>3.208</v>
      </c>
      <c r="H350" s="29">
        <v>9.5</v>
      </c>
      <c r="I350">
        <f t="shared" si="22"/>
        <v>0.0033768421052631586</v>
      </c>
      <c r="J350" s="12"/>
    </row>
    <row r="351" spans="1:10" ht="12.75">
      <c r="A351" s="216"/>
      <c r="B351" s="27"/>
      <c r="C351" s="11"/>
      <c r="D351" s="6" t="s">
        <v>318</v>
      </c>
      <c r="E351">
        <f>5.25*6.25</f>
        <v>32.8125</v>
      </c>
      <c r="F351" s="8">
        <f>Steel</f>
        <v>0.0034027777777777776</v>
      </c>
      <c r="G351" s="29">
        <f>0.083</f>
        <v>0.083</v>
      </c>
      <c r="H351" s="29">
        <v>9.5</v>
      </c>
      <c r="I351">
        <f t="shared" si="22"/>
        <v>0.000975500274122807</v>
      </c>
      <c r="J351" s="12"/>
    </row>
    <row r="352" spans="1:10" ht="12.75">
      <c r="A352" s="234"/>
      <c r="B352" s="39"/>
      <c r="C352" s="9"/>
      <c r="D352" s="9" t="s">
        <v>288</v>
      </c>
      <c r="E352" s="13">
        <f>6.75*7.75</f>
        <v>52.3125</v>
      </c>
      <c r="F352" s="14">
        <f>Conc</f>
        <v>0.0010416666666666667</v>
      </c>
      <c r="G352" s="15">
        <f>0.125</f>
        <v>0.125</v>
      </c>
      <c r="H352" s="15">
        <v>9.5</v>
      </c>
      <c r="I352" s="13">
        <f t="shared" si="22"/>
        <v>0.0007170024671052631</v>
      </c>
      <c r="J352" s="16">
        <f>SUM(I347:I352)</f>
        <v>0.019555824013157894</v>
      </c>
    </row>
    <row r="353" spans="1:10" ht="12.75">
      <c r="A353" s="233" t="s">
        <v>120</v>
      </c>
      <c r="B353" s="35" t="s">
        <v>86</v>
      </c>
      <c r="C353" s="20" t="s">
        <v>7</v>
      </c>
      <c r="D353" s="6" t="s">
        <v>285</v>
      </c>
      <c r="E353">
        <f>4*3-(4-2*0.25)*(3-2*0.25)</f>
        <v>3.25</v>
      </c>
      <c r="F353" s="8">
        <f>Steel</f>
        <v>0.0034027777777777776</v>
      </c>
      <c r="G353" s="29">
        <v>1</v>
      </c>
      <c r="H353" s="29">
        <v>1</v>
      </c>
      <c r="I353">
        <f t="shared" si="22"/>
        <v>0.011059027777777777</v>
      </c>
      <c r="J353" s="12"/>
    </row>
    <row r="354" spans="1:10" ht="12.75">
      <c r="A354" s="216"/>
      <c r="B354"/>
      <c r="C354" s="20"/>
      <c r="D354" s="6" t="s">
        <v>344</v>
      </c>
      <c r="E354">
        <f>6*3-(6-2*0.1875)*(3-2*0.1875)</f>
        <v>3.234375</v>
      </c>
      <c r="F354" s="8">
        <f>Steel</f>
        <v>0.0034027777777777776</v>
      </c>
      <c r="G354" s="29">
        <v>1</v>
      </c>
      <c r="H354" s="29">
        <v>1</v>
      </c>
      <c r="I354">
        <f t="shared" si="22"/>
        <v>0.011005859375</v>
      </c>
      <c r="J354" s="12"/>
    </row>
    <row r="355" spans="1:10" ht="12.75">
      <c r="A355" s="216"/>
      <c r="B355" s="27"/>
      <c r="C355" s="11"/>
      <c r="D355" s="1" t="s">
        <v>352</v>
      </c>
      <c r="E355">
        <f>0.029/Steel</f>
        <v>8.522448979591838</v>
      </c>
      <c r="F355" s="8">
        <f>Steel</f>
        <v>0.0034027777777777776</v>
      </c>
      <c r="G355" s="29">
        <f>2.208</f>
        <v>2.208</v>
      </c>
      <c r="H355" s="29">
        <v>9.5</v>
      </c>
      <c r="I355">
        <f t="shared" si="22"/>
        <v>0.00674021052631579</v>
      </c>
      <c r="J355" s="12"/>
    </row>
    <row r="356" spans="1:10" ht="12.75">
      <c r="A356" s="216"/>
      <c r="B356" s="27"/>
      <c r="C356" s="11"/>
      <c r="D356" s="6" t="s">
        <v>318</v>
      </c>
      <c r="E356">
        <f>12*10</f>
        <v>120</v>
      </c>
      <c r="F356" s="8">
        <f>Steel</f>
        <v>0.0034027777777777776</v>
      </c>
      <c r="G356" s="29">
        <f>0.083</f>
        <v>0.083</v>
      </c>
      <c r="H356" s="29">
        <v>9.5</v>
      </c>
      <c r="I356">
        <f t="shared" si="22"/>
        <v>0.003567543859649123</v>
      </c>
      <c r="J356" s="12"/>
    </row>
    <row r="357" spans="1:10" ht="12.75">
      <c r="A357" s="216"/>
      <c r="B357" s="27"/>
      <c r="C357" s="11"/>
      <c r="D357" s="6" t="s">
        <v>288</v>
      </c>
      <c r="E357">
        <f>13.5*11.5</f>
        <v>155.25</v>
      </c>
      <c r="F357" s="8">
        <f>Conc</f>
        <v>0.0010416666666666667</v>
      </c>
      <c r="G357" s="29">
        <f>0.125</f>
        <v>0.125</v>
      </c>
      <c r="H357" s="29">
        <v>9.5</v>
      </c>
      <c r="I357">
        <f t="shared" si="22"/>
        <v>0.0021278782894736843</v>
      </c>
      <c r="J357" s="12"/>
    </row>
    <row r="358" spans="1:10" ht="12.75">
      <c r="A358" s="234"/>
      <c r="B358" s="39"/>
      <c r="C358" s="9"/>
      <c r="D358" s="7" t="s">
        <v>353</v>
      </c>
      <c r="E358" s="13">
        <f>16*10.5</f>
        <v>168</v>
      </c>
      <c r="F358" s="14">
        <f>Conc</f>
        <v>0.0010416666666666667</v>
      </c>
      <c r="G358" s="15">
        <v>1</v>
      </c>
      <c r="H358" s="15">
        <v>1</v>
      </c>
      <c r="I358" s="13">
        <f t="shared" si="22"/>
        <v>0.175</v>
      </c>
      <c r="J358" s="16">
        <f>SUM(I353:I358)</f>
        <v>0.20950051982821638</v>
      </c>
    </row>
    <row r="359" spans="1:10" ht="12.75">
      <c r="A359" s="219" t="s">
        <v>121</v>
      </c>
      <c r="B359" s="35" t="s">
        <v>97</v>
      </c>
      <c r="C359" s="20"/>
      <c r="D359" s="1" t="s">
        <v>363</v>
      </c>
      <c r="E359">
        <f>PI()*5*0.25</f>
        <v>3.9269908169872414</v>
      </c>
      <c r="F359" s="8">
        <f>Steel</f>
        <v>0.0034027777777777776</v>
      </c>
      <c r="G359" s="29">
        <v>1</v>
      </c>
      <c r="H359" s="29">
        <v>1</v>
      </c>
      <c r="I359">
        <f t="shared" si="22"/>
        <v>0.013362677085581585</v>
      </c>
      <c r="J359" s="12"/>
    </row>
    <row r="360" spans="1:10" ht="12.75">
      <c r="A360" s="216"/>
      <c r="B360" s="35"/>
      <c r="C360" s="20"/>
      <c r="D360" s="1" t="s">
        <v>364</v>
      </c>
      <c r="E360">
        <f>8*(5/16)+2*8*0.5</f>
        <v>10.5</v>
      </c>
      <c r="F360" s="8">
        <f>Steel</f>
        <v>0.0034027777777777776</v>
      </c>
      <c r="G360" s="29">
        <v>1.042</v>
      </c>
      <c r="H360" s="29">
        <v>8.5</v>
      </c>
      <c r="I360">
        <f t="shared" si="22"/>
        <v>0.0043799754901960785</v>
      </c>
      <c r="J360" s="12"/>
    </row>
    <row r="361" spans="1:10" ht="12.75">
      <c r="A361" s="234"/>
      <c r="B361" s="39"/>
      <c r="C361" s="9"/>
      <c r="D361" s="7" t="s">
        <v>365</v>
      </c>
      <c r="E361" s="13">
        <f>10.5*28.5+2*14.5/2+2*14+7*10/2+7*4</f>
        <v>404.75</v>
      </c>
      <c r="F361" s="14">
        <f>Conc</f>
        <v>0.0010416666666666667</v>
      </c>
      <c r="G361" s="15">
        <v>1</v>
      </c>
      <c r="H361" s="15">
        <v>1</v>
      </c>
      <c r="I361" s="13">
        <f t="shared" si="22"/>
        <v>0.42161458333333335</v>
      </c>
      <c r="J361" s="16">
        <f>SUM(I359:I361)</f>
        <v>0.439357235909111</v>
      </c>
    </row>
    <row r="362" spans="1:10" ht="12.75">
      <c r="A362" s="219" t="s">
        <v>122</v>
      </c>
      <c r="B362" s="35" t="s">
        <v>97</v>
      </c>
      <c r="C362" s="20"/>
      <c r="D362" s="1" t="s">
        <v>363</v>
      </c>
      <c r="E362">
        <f>PI()*5*0.25</f>
        <v>3.9269908169872414</v>
      </c>
      <c r="F362" s="8">
        <f>Steel</f>
        <v>0.0034027777777777776</v>
      </c>
      <c r="G362" s="29">
        <v>1</v>
      </c>
      <c r="H362" s="29">
        <v>1</v>
      </c>
      <c r="I362">
        <f t="shared" si="22"/>
        <v>0.013362677085581585</v>
      </c>
      <c r="J362" s="12"/>
    </row>
    <row r="363" spans="1:10" ht="12.75">
      <c r="A363" s="216"/>
      <c r="B363" s="35"/>
      <c r="C363" s="20"/>
      <c r="D363" s="1" t="s">
        <v>364</v>
      </c>
      <c r="E363">
        <f>8*(5/16)+2*8*0.5</f>
        <v>10.5</v>
      </c>
      <c r="F363" s="8">
        <f>Steel</f>
        <v>0.0034027777777777776</v>
      </c>
      <c r="G363" s="29">
        <v>1.042</v>
      </c>
      <c r="H363" s="29">
        <v>8.5</v>
      </c>
      <c r="I363">
        <f t="shared" si="22"/>
        <v>0.0043799754901960785</v>
      </c>
      <c r="J363" s="12"/>
    </row>
    <row r="364" spans="1:10" ht="12.75">
      <c r="A364" s="234"/>
      <c r="B364" s="39"/>
      <c r="C364" s="9"/>
      <c r="D364" s="7" t="s">
        <v>365</v>
      </c>
      <c r="E364" s="13">
        <f>10.5*28.5+2*14.5/2+2*14+7*10/2+7*4</f>
        <v>404.75</v>
      </c>
      <c r="F364" s="14">
        <f>Conc</f>
        <v>0.0010416666666666667</v>
      </c>
      <c r="G364" s="15">
        <v>1</v>
      </c>
      <c r="H364" s="15">
        <v>1</v>
      </c>
      <c r="I364" s="13">
        <f t="shared" si="22"/>
        <v>0.42161458333333335</v>
      </c>
      <c r="J364" s="16">
        <f>SUM(I362:I364)</f>
        <v>0.439357235909111</v>
      </c>
    </row>
    <row r="365" spans="1:10" ht="12.75">
      <c r="A365" s="219" t="s">
        <v>123</v>
      </c>
      <c r="B365" s="35" t="s">
        <v>100</v>
      </c>
      <c r="C365" s="20"/>
      <c r="D365" s="1" t="s">
        <v>343</v>
      </c>
      <c r="E365">
        <f>2*(4*3-(4-2*0.25)*(3-2*0.25))</f>
        <v>6.5</v>
      </c>
      <c r="F365" s="8">
        <f>Steel</f>
        <v>0.0034027777777777776</v>
      </c>
      <c r="G365" s="29">
        <v>1</v>
      </c>
      <c r="H365" s="29">
        <v>1</v>
      </c>
      <c r="I365">
        <f t="shared" si="22"/>
        <v>0.022118055555555554</v>
      </c>
      <c r="J365" s="12"/>
    </row>
    <row r="366" spans="1:10" ht="12.75">
      <c r="A366" s="216"/>
      <c r="B366" s="27"/>
      <c r="C366" s="11"/>
      <c r="D366" s="1" t="s">
        <v>344</v>
      </c>
      <c r="E366">
        <f>6*3-(6-2*0.1875)*(3-2*0.1875)</f>
        <v>3.234375</v>
      </c>
      <c r="F366" s="8">
        <f>Steel</f>
        <v>0.0034027777777777776</v>
      </c>
      <c r="G366" s="29">
        <v>1</v>
      </c>
      <c r="H366" s="29">
        <v>1</v>
      </c>
      <c r="I366">
        <f t="shared" si="22"/>
        <v>0.011005859375</v>
      </c>
      <c r="J366" s="12"/>
    </row>
    <row r="367" spans="1:10" ht="12.75">
      <c r="A367" s="216"/>
      <c r="B367" s="27"/>
      <c r="C367" s="11"/>
      <c r="D367" s="1" t="s">
        <v>366</v>
      </c>
      <c r="E367">
        <f>0.029/Steel</f>
        <v>8.522448979591838</v>
      </c>
      <c r="F367" s="8">
        <f>Steel</f>
        <v>0.0034027777777777776</v>
      </c>
      <c r="G367" s="29">
        <f>2.917</f>
        <v>2.917</v>
      </c>
      <c r="H367" s="29">
        <v>9.5</v>
      </c>
      <c r="I367">
        <f t="shared" si="22"/>
        <v>0.008904526315789474</v>
      </c>
      <c r="J367" s="12"/>
    </row>
    <row r="368" spans="1:10" ht="12.75">
      <c r="A368" s="216"/>
      <c r="B368" s="27"/>
      <c r="C368" s="11"/>
      <c r="D368" s="6" t="s">
        <v>318</v>
      </c>
      <c r="E368">
        <f>10*12</f>
        <v>120</v>
      </c>
      <c r="F368" s="8">
        <f>Steel</f>
        <v>0.0034027777777777776</v>
      </c>
      <c r="G368" s="29">
        <f>0.083</f>
        <v>0.083</v>
      </c>
      <c r="H368" s="29">
        <v>9.5</v>
      </c>
      <c r="I368">
        <f t="shared" si="22"/>
        <v>0.003567543859649123</v>
      </c>
      <c r="J368" s="12"/>
    </row>
    <row r="369" spans="1:10" ht="12.75">
      <c r="A369" s="234"/>
      <c r="B369" s="39"/>
      <c r="C369" s="9"/>
      <c r="D369" s="9" t="s">
        <v>288</v>
      </c>
      <c r="E369" s="13">
        <f>11.5*13.5</f>
        <v>155.25</v>
      </c>
      <c r="F369" s="14">
        <f>Conc</f>
        <v>0.0010416666666666667</v>
      </c>
      <c r="G369" s="15">
        <f>0.125</f>
        <v>0.125</v>
      </c>
      <c r="H369" s="15">
        <v>9.5</v>
      </c>
      <c r="I369" s="13">
        <f t="shared" si="22"/>
        <v>0.0021278782894736843</v>
      </c>
      <c r="J369" s="16">
        <f>SUM(I365:I369)</f>
        <v>0.04772386339546783</v>
      </c>
    </row>
    <row r="370" spans="1:10" ht="12.75">
      <c r="A370" s="219" t="s">
        <v>124</v>
      </c>
      <c r="B370" s="35" t="s">
        <v>113</v>
      </c>
      <c r="C370" s="20" t="s">
        <v>109</v>
      </c>
      <c r="D370" s="1" t="s">
        <v>371</v>
      </c>
      <c r="E370">
        <f>PI()*4*0.1875</f>
        <v>2.356194490192345</v>
      </c>
      <c r="F370" s="8">
        <f>Steel</f>
        <v>0.0034027777777777776</v>
      </c>
      <c r="G370" s="29">
        <v>1</v>
      </c>
      <c r="H370" s="29">
        <v>1</v>
      </c>
      <c r="I370">
        <f t="shared" si="22"/>
        <v>0.00801760625134895</v>
      </c>
      <c r="J370" s="12"/>
    </row>
    <row r="371" spans="1:10" ht="12.75">
      <c r="A371" s="216"/>
      <c r="B371"/>
      <c r="C371" s="20"/>
      <c r="D371" s="1" t="s">
        <v>372</v>
      </c>
      <c r="E371">
        <f>PI()*5*0.25</f>
        <v>3.9269908169872414</v>
      </c>
      <c r="F371" s="8">
        <f>Steel</f>
        <v>0.0034027777777777776</v>
      </c>
      <c r="G371" s="29">
        <v>1</v>
      </c>
      <c r="H371" s="29">
        <v>1</v>
      </c>
      <c r="I371">
        <f t="shared" si="22"/>
        <v>0.013362677085581585</v>
      </c>
      <c r="J371" s="12"/>
    </row>
    <row r="372" spans="1:10" ht="12.75">
      <c r="A372" s="216"/>
      <c r="B372" s="27"/>
      <c r="C372" s="11"/>
      <c r="D372" s="1" t="s">
        <v>364</v>
      </c>
      <c r="E372">
        <f>8*(5/16)+2*7*0.5</f>
        <v>9.5</v>
      </c>
      <c r="F372" s="8">
        <f>Steel</f>
        <v>0.0034027777777777776</v>
      </c>
      <c r="G372" s="29">
        <v>1.833</v>
      </c>
      <c r="H372" s="29">
        <v>8.5</v>
      </c>
      <c r="I372">
        <f t="shared" si="22"/>
        <v>0.006971090686274509</v>
      </c>
      <c r="J372" s="12"/>
    </row>
    <row r="373" spans="1:10" ht="12.75">
      <c r="A373" s="234"/>
      <c r="B373" s="39"/>
      <c r="C373" s="9"/>
      <c r="D373" s="9" t="s">
        <v>369</v>
      </c>
      <c r="E373" s="13">
        <f>10.5*18</f>
        <v>189</v>
      </c>
      <c r="F373" s="14">
        <f>Conc</f>
        <v>0.0010416666666666667</v>
      </c>
      <c r="G373" s="15">
        <v>1</v>
      </c>
      <c r="H373" s="15">
        <v>1</v>
      </c>
      <c r="I373" s="13">
        <f t="shared" si="22"/>
        <v>0.196875</v>
      </c>
      <c r="J373" s="16">
        <f>SUM(I370:I373)</f>
        <v>0.22522637402320503</v>
      </c>
    </row>
    <row r="374" spans="1:17" ht="12.75">
      <c r="A374" s="219" t="s">
        <v>125</v>
      </c>
      <c r="B374" s="27" t="s">
        <v>126</v>
      </c>
      <c r="C374" s="11"/>
      <c r="D374" s="11" t="s">
        <v>384</v>
      </c>
      <c r="E374" s="28">
        <f>10.5*21</f>
        <v>220.5</v>
      </c>
      <c r="F374" s="32">
        <f>Conc</f>
        <v>0.0010416666666666667</v>
      </c>
      <c r="G374" s="33">
        <v>1</v>
      </c>
      <c r="H374" s="33">
        <v>1</v>
      </c>
      <c r="I374" s="28">
        <f t="shared" si="22"/>
        <v>0.2296875</v>
      </c>
      <c r="J374" s="12"/>
      <c r="K374" s="28"/>
      <c r="L374" s="28"/>
      <c r="M374" s="28"/>
      <c r="N374" s="28"/>
      <c r="O374" s="28"/>
      <c r="P374" s="28"/>
      <c r="Q374" s="28"/>
    </row>
    <row r="375" spans="1:17" ht="12.75">
      <c r="A375" s="219"/>
      <c r="B375" s="27"/>
      <c r="C375" s="11"/>
      <c r="D375" s="20" t="s">
        <v>385</v>
      </c>
      <c r="E375" s="28">
        <f>-2*3.5*0.75</f>
        <v>-5.25</v>
      </c>
      <c r="F375" s="32">
        <f>Conc</f>
        <v>0.0010416666666666667</v>
      </c>
      <c r="G375" s="33">
        <v>1</v>
      </c>
      <c r="H375" s="33">
        <f>10.5/12</f>
        <v>0.875</v>
      </c>
      <c r="I375" s="28">
        <f t="shared" si="22"/>
        <v>-0.0062499999999999995</v>
      </c>
      <c r="J375" s="12"/>
      <c r="K375" s="28"/>
      <c r="L375" s="28"/>
      <c r="M375" s="28"/>
      <c r="N375" s="28"/>
      <c r="O375" s="28"/>
      <c r="P375" s="28"/>
      <c r="Q375" s="28"/>
    </row>
    <row r="376" spans="1:10" ht="12.75">
      <c r="A376" s="234"/>
      <c r="B376" s="39"/>
      <c r="C376" s="9"/>
      <c r="D376" s="9" t="s">
        <v>386</v>
      </c>
      <c r="E376" s="13">
        <f>20*11</f>
        <v>220</v>
      </c>
      <c r="F376" s="14">
        <f>Conc</f>
        <v>0.0010416666666666667</v>
      </c>
      <c r="G376" s="15">
        <v>1</v>
      </c>
      <c r="H376" s="15">
        <v>1</v>
      </c>
      <c r="I376" s="13">
        <f t="shared" si="22"/>
        <v>0.22916666666666666</v>
      </c>
      <c r="J376" s="16">
        <f>SUM(I374:I376)</f>
        <v>0.45260416666666664</v>
      </c>
    </row>
    <row r="377" spans="1:10" ht="12.75">
      <c r="A377" s="219" t="s">
        <v>127</v>
      </c>
      <c r="B377" s="27" t="s">
        <v>93</v>
      </c>
      <c r="C377" s="11"/>
      <c r="D377" s="1" t="s">
        <v>387</v>
      </c>
      <c r="E377">
        <f>0.00579/Steel</f>
        <v>1.7015510204081634</v>
      </c>
      <c r="F377" s="8">
        <f aca="true" t="shared" si="23" ref="F377:F382">Steel</f>
        <v>0.0034027777777777776</v>
      </c>
      <c r="G377" s="29">
        <v>1</v>
      </c>
      <c r="H377" s="29">
        <v>1</v>
      </c>
      <c r="I377">
        <f t="shared" si="22"/>
        <v>0.00579</v>
      </c>
      <c r="J377" s="12"/>
    </row>
    <row r="378" spans="1:10" ht="12.75">
      <c r="A378" s="219"/>
      <c r="B378" s="27"/>
      <c r="C378" s="11"/>
      <c r="D378" s="6" t="s">
        <v>388</v>
      </c>
      <c r="E378">
        <f>0.00078/Steel</f>
        <v>0.2292244897959184</v>
      </c>
      <c r="F378" s="8">
        <f t="shared" si="23"/>
        <v>0.0034027777777777776</v>
      </c>
      <c r="G378" s="29">
        <v>1</v>
      </c>
      <c r="H378" s="29">
        <v>1</v>
      </c>
      <c r="I378">
        <f t="shared" si="22"/>
        <v>0.00078</v>
      </c>
      <c r="J378" s="12"/>
    </row>
    <row r="379" spans="1:10" ht="12.75">
      <c r="A379" s="216"/>
      <c r="B379" s="27"/>
      <c r="C379" s="11"/>
      <c r="D379" s="6" t="s">
        <v>389</v>
      </c>
      <c r="E379">
        <f>0.0041/Steel</f>
        <v>1.2048979591836737</v>
      </c>
      <c r="F379" s="8">
        <f t="shared" si="23"/>
        <v>0.0034027777777777776</v>
      </c>
      <c r="G379" s="29">
        <v>1</v>
      </c>
      <c r="H379" s="29">
        <v>1</v>
      </c>
      <c r="I379">
        <f t="shared" si="22"/>
        <v>0.0041</v>
      </c>
      <c r="J379" s="12"/>
    </row>
    <row r="380" spans="1:10" ht="12.75">
      <c r="A380" s="216"/>
      <c r="B380" s="27"/>
      <c r="C380" s="11"/>
      <c r="D380" s="1" t="s">
        <v>390</v>
      </c>
      <c r="E380">
        <f>0.433</f>
        <v>0.433</v>
      </c>
      <c r="F380" s="8">
        <f t="shared" si="23"/>
        <v>0.0034027777777777776</v>
      </c>
      <c r="G380" s="29">
        <f>2.917-0.25</f>
        <v>2.667</v>
      </c>
      <c r="H380" s="29">
        <v>0.5</v>
      </c>
      <c r="I380">
        <f t="shared" si="22"/>
        <v>0.007859130416666665</v>
      </c>
      <c r="J380" s="12"/>
    </row>
    <row r="381" spans="1:10" ht="12.75">
      <c r="A381" s="216"/>
      <c r="B381" s="27"/>
      <c r="C381" s="11"/>
      <c r="D381" s="6" t="s">
        <v>391</v>
      </c>
      <c r="E381">
        <f>4^2-(4-2*0.1875)^2</f>
        <v>2.859375</v>
      </c>
      <c r="F381" s="8">
        <f t="shared" si="23"/>
        <v>0.0034027777777777776</v>
      </c>
      <c r="G381" s="29">
        <f>3.375</f>
        <v>3.375</v>
      </c>
      <c r="H381" s="29">
        <v>9</v>
      </c>
      <c r="I381">
        <f t="shared" si="22"/>
        <v>0.003648681640625</v>
      </c>
      <c r="J381" s="12"/>
    </row>
    <row r="382" spans="1:10" ht="12.75">
      <c r="A382" s="216"/>
      <c r="B382" s="27"/>
      <c r="C382" s="11"/>
      <c r="D382" s="1" t="s">
        <v>318</v>
      </c>
      <c r="E382">
        <f>6.25*8.5</f>
        <v>53.125</v>
      </c>
      <c r="F382" s="8">
        <f t="shared" si="23"/>
        <v>0.0034027777777777776</v>
      </c>
      <c r="G382" s="29">
        <f>0.75</f>
        <v>0.75</v>
      </c>
      <c r="H382" s="29">
        <v>9</v>
      </c>
      <c r="I382">
        <f t="shared" si="22"/>
        <v>0.015064380787037035</v>
      </c>
      <c r="J382" s="12"/>
    </row>
    <row r="383" spans="1:10" ht="12.75">
      <c r="A383" s="234"/>
      <c r="B383" s="39"/>
      <c r="C383" s="9"/>
      <c r="D383" s="9" t="s">
        <v>288</v>
      </c>
      <c r="E383" s="13">
        <f>7.75*10</f>
        <v>77.5</v>
      </c>
      <c r="F383" s="14">
        <f>Conc</f>
        <v>0.0010416666666666667</v>
      </c>
      <c r="G383" s="15">
        <f>0.125</f>
        <v>0.125</v>
      </c>
      <c r="H383" s="15">
        <v>9</v>
      </c>
      <c r="I383" s="13">
        <f t="shared" si="22"/>
        <v>0.001121238425925926</v>
      </c>
      <c r="J383" s="16">
        <f>SUM(I377:I383)</f>
        <v>0.03836343127025462</v>
      </c>
    </row>
    <row r="384" spans="1:10" ht="12.75">
      <c r="A384" s="233" t="s">
        <v>128</v>
      </c>
      <c r="B384" s="35" t="s">
        <v>113</v>
      </c>
      <c r="C384" s="20" t="s">
        <v>109</v>
      </c>
      <c r="D384" s="1" t="s">
        <v>371</v>
      </c>
      <c r="E384">
        <f>PI()*4*0.1875</f>
        <v>2.356194490192345</v>
      </c>
      <c r="F384" s="8">
        <f>Steel</f>
        <v>0.0034027777777777776</v>
      </c>
      <c r="G384" s="29">
        <v>1</v>
      </c>
      <c r="H384" s="29">
        <v>1</v>
      </c>
      <c r="I384">
        <f t="shared" si="22"/>
        <v>0.00801760625134895</v>
      </c>
      <c r="J384" s="12"/>
    </row>
    <row r="385" spans="1:10" ht="12.75">
      <c r="A385" s="216"/>
      <c r="B385"/>
      <c r="C385"/>
      <c r="D385" s="1" t="s">
        <v>372</v>
      </c>
      <c r="E385">
        <f>PI()*5*0.25</f>
        <v>3.9269908169872414</v>
      </c>
      <c r="F385" s="8">
        <f>Steel</f>
        <v>0.0034027777777777776</v>
      </c>
      <c r="G385" s="29">
        <v>1</v>
      </c>
      <c r="H385" s="29">
        <v>1</v>
      </c>
      <c r="I385">
        <f t="shared" si="22"/>
        <v>0.013362677085581585</v>
      </c>
      <c r="J385" s="12"/>
    </row>
    <row r="386" spans="1:10" ht="12.75">
      <c r="A386" s="216"/>
      <c r="B386" s="27"/>
      <c r="C386" s="11"/>
      <c r="D386" s="1" t="s">
        <v>364</v>
      </c>
      <c r="E386">
        <f>8*(5/16)+2*7*0.5</f>
        <v>9.5</v>
      </c>
      <c r="F386" s="8">
        <f>Steel</f>
        <v>0.0034027777777777776</v>
      </c>
      <c r="G386" s="29">
        <v>1.833</v>
      </c>
      <c r="H386" s="29">
        <v>8.5</v>
      </c>
      <c r="I386">
        <f t="shared" si="22"/>
        <v>0.006971090686274509</v>
      </c>
      <c r="J386" s="12"/>
    </row>
    <row r="387" spans="1:10" ht="12.75">
      <c r="A387" s="234"/>
      <c r="B387" s="39"/>
      <c r="C387" s="9"/>
      <c r="D387" s="9" t="s">
        <v>369</v>
      </c>
      <c r="E387" s="13">
        <f>10.5*18</f>
        <v>189</v>
      </c>
      <c r="F387" s="14">
        <f>Conc</f>
        <v>0.0010416666666666667</v>
      </c>
      <c r="G387" s="15">
        <v>1</v>
      </c>
      <c r="H387" s="15">
        <v>1</v>
      </c>
      <c r="I387" s="13">
        <f t="shared" si="22"/>
        <v>0.196875</v>
      </c>
      <c r="J387" s="16">
        <f>SUM(I384:I387)</f>
        <v>0.22522637402320503</v>
      </c>
    </row>
    <row r="388" spans="1:10" ht="12.75">
      <c r="A388" s="219" t="s">
        <v>129</v>
      </c>
      <c r="B388" s="35" t="s">
        <v>108</v>
      </c>
      <c r="C388" s="20" t="s">
        <v>109</v>
      </c>
      <c r="D388" s="1" t="s">
        <v>363</v>
      </c>
      <c r="E388">
        <f>PI()*5*0.25</f>
        <v>3.9269908169872414</v>
      </c>
      <c r="F388" s="8">
        <f>Steel</f>
        <v>0.0034027777777777776</v>
      </c>
      <c r="G388" s="29">
        <v>1</v>
      </c>
      <c r="H388" s="29">
        <v>1</v>
      </c>
      <c r="I388">
        <f t="shared" si="22"/>
        <v>0.013362677085581585</v>
      </c>
      <c r="J388" s="12"/>
    </row>
    <row r="389" spans="1:10" ht="12.75">
      <c r="A389" s="216"/>
      <c r="B389"/>
      <c r="C389" s="20"/>
      <c r="D389" s="1" t="s">
        <v>364</v>
      </c>
      <c r="E389">
        <f>8*(5/16)+2*8*0.5</f>
        <v>10.5</v>
      </c>
      <c r="F389" s="8">
        <f>Steel</f>
        <v>0.0034027777777777776</v>
      </c>
      <c r="G389" s="29">
        <v>1.042</v>
      </c>
      <c r="H389" s="29">
        <v>8.5</v>
      </c>
      <c r="I389">
        <f t="shared" si="22"/>
        <v>0.0043799754901960785</v>
      </c>
      <c r="J389" s="12"/>
    </row>
    <row r="390" spans="1:10" ht="12.75">
      <c r="A390" s="234"/>
      <c r="B390" s="39"/>
      <c r="C390" s="9"/>
      <c r="D390" s="9" t="s">
        <v>369</v>
      </c>
      <c r="E390" s="13">
        <f>10.5*18</f>
        <v>189</v>
      </c>
      <c r="F390" s="14">
        <f>Conc</f>
        <v>0.0010416666666666667</v>
      </c>
      <c r="G390" s="15">
        <v>1</v>
      </c>
      <c r="H390" s="15">
        <v>1</v>
      </c>
      <c r="I390" s="13">
        <f t="shared" si="22"/>
        <v>0.196875</v>
      </c>
      <c r="J390" s="16">
        <f>SUM(I388:I390)</f>
        <v>0.21461765257577767</v>
      </c>
    </row>
    <row r="391" spans="1:10" ht="12.75">
      <c r="A391" s="219" t="s">
        <v>129</v>
      </c>
      <c r="B391" s="35" t="s">
        <v>110</v>
      </c>
      <c r="C391" s="20" t="s">
        <v>111</v>
      </c>
      <c r="D391" s="1" t="s">
        <v>363</v>
      </c>
      <c r="E391">
        <f>PI()*5*0.25</f>
        <v>3.9269908169872414</v>
      </c>
      <c r="F391" s="8">
        <f>Steel</f>
        <v>0.0034027777777777776</v>
      </c>
      <c r="G391" s="29">
        <v>1</v>
      </c>
      <c r="H391" s="29">
        <v>1</v>
      </c>
      <c r="I391">
        <f t="shared" si="22"/>
        <v>0.013362677085581585</v>
      </c>
      <c r="J391" s="12"/>
    </row>
    <row r="392" spans="1:10" ht="12.75">
      <c r="A392" s="216"/>
      <c r="B392"/>
      <c r="C392" s="20"/>
      <c r="D392" s="1" t="s">
        <v>364</v>
      </c>
      <c r="E392">
        <f>8*(5/16)+2*8*0.5</f>
        <v>10.5</v>
      </c>
      <c r="F392" s="8">
        <f>Steel</f>
        <v>0.0034027777777777776</v>
      </c>
      <c r="G392" s="29">
        <v>1.042</v>
      </c>
      <c r="H392" s="29">
        <v>8.5</v>
      </c>
      <c r="I392">
        <f t="shared" si="22"/>
        <v>0.0043799754901960785</v>
      </c>
      <c r="J392" s="12"/>
    </row>
    <row r="393" spans="1:10" ht="12.75">
      <c r="A393" s="216"/>
      <c r="B393" s="27"/>
      <c r="C393" s="11"/>
      <c r="D393" s="6" t="s">
        <v>369</v>
      </c>
      <c r="E393">
        <f>10.5*18</f>
        <v>189</v>
      </c>
      <c r="F393" s="8">
        <f aca="true" t="shared" si="24" ref="F393:F399">Conc</f>
        <v>0.0010416666666666667</v>
      </c>
      <c r="G393" s="29">
        <v>1</v>
      </c>
      <c r="H393" s="29">
        <v>1</v>
      </c>
      <c r="I393">
        <f t="shared" si="22"/>
        <v>0.196875</v>
      </c>
      <c r="J393" s="12"/>
    </row>
    <row r="394" spans="1:10" ht="12.75">
      <c r="A394" s="234"/>
      <c r="B394" s="39"/>
      <c r="C394" s="9"/>
      <c r="D394" s="9" t="s">
        <v>370</v>
      </c>
      <c r="E394" s="13">
        <f>18*10.5</f>
        <v>189</v>
      </c>
      <c r="F394" s="14">
        <f t="shared" si="24"/>
        <v>0.0010416666666666667</v>
      </c>
      <c r="G394" s="15">
        <v>1</v>
      </c>
      <c r="H394" s="15">
        <v>1</v>
      </c>
      <c r="I394" s="13">
        <f t="shared" si="22"/>
        <v>0.196875</v>
      </c>
      <c r="J394" s="16">
        <f>SUM(I391:I394)</f>
        <v>0.41149265257577766</v>
      </c>
    </row>
    <row r="395" spans="1:10" ht="12.75">
      <c r="A395" s="219" t="s">
        <v>130</v>
      </c>
      <c r="B395" s="35" t="s">
        <v>131</v>
      </c>
      <c r="C395" s="20" t="s">
        <v>109</v>
      </c>
      <c r="D395" s="6" t="s">
        <v>392</v>
      </c>
      <c r="E395">
        <f>10.5*21</f>
        <v>220.5</v>
      </c>
      <c r="F395" s="8">
        <f t="shared" si="24"/>
        <v>0.0010416666666666667</v>
      </c>
      <c r="G395" s="29">
        <v>1</v>
      </c>
      <c r="H395" s="29">
        <v>1</v>
      </c>
      <c r="I395">
        <f t="shared" si="22"/>
        <v>0.2296875</v>
      </c>
      <c r="J395" s="12"/>
    </row>
    <row r="396" spans="1:10" ht="12.75">
      <c r="A396" s="220"/>
      <c r="B396" s="13"/>
      <c r="C396" s="7"/>
      <c r="D396" s="7" t="s">
        <v>385</v>
      </c>
      <c r="E396" s="13">
        <f>-2*3.5*0.75</f>
        <v>-5.25</v>
      </c>
      <c r="F396" s="14">
        <f t="shared" si="24"/>
        <v>0.0010416666666666667</v>
      </c>
      <c r="G396" s="15">
        <v>1</v>
      </c>
      <c r="H396" s="15">
        <f>10.5/12</f>
        <v>0.875</v>
      </c>
      <c r="I396" s="13">
        <f t="shared" si="22"/>
        <v>-0.0062499999999999995</v>
      </c>
      <c r="J396" s="16">
        <f>SUM(I395:I396)</f>
        <v>0.22343749999999998</v>
      </c>
    </row>
    <row r="397" spans="1:10" ht="12.75">
      <c r="A397" s="219" t="s">
        <v>130</v>
      </c>
      <c r="B397" s="35" t="s">
        <v>132</v>
      </c>
      <c r="C397" s="20" t="s">
        <v>111</v>
      </c>
      <c r="D397" s="6" t="s">
        <v>392</v>
      </c>
      <c r="E397">
        <f>10.5*21</f>
        <v>220.5</v>
      </c>
      <c r="F397" s="8">
        <f t="shared" si="24"/>
        <v>0.0010416666666666667</v>
      </c>
      <c r="G397" s="29">
        <v>1</v>
      </c>
      <c r="H397" s="29">
        <v>1</v>
      </c>
      <c r="I397">
        <f aca="true" t="shared" si="25" ref="I397:I460">E397*F397*G397/H397</f>
        <v>0.2296875</v>
      </c>
      <c r="J397" s="12"/>
    </row>
    <row r="398" spans="1:10" ht="12.75">
      <c r="A398" s="219"/>
      <c r="B398"/>
      <c r="C398" s="20"/>
      <c r="D398" s="1" t="s">
        <v>385</v>
      </c>
      <c r="E398">
        <f>-2*3.5*0.75</f>
        <v>-5.25</v>
      </c>
      <c r="F398" s="8">
        <f t="shared" si="24"/>
        <v>0.0010416666666666667</v>
      </c>
      <c r="G398" s="29">
        <v>1</v>
      </c>
      <c r="H398" s="29">
        <f>10.5/12</f>
        <v>0.875</v>
      </c>
      <c r="I398">
        <f t="shared" si="25"/>
        <v>-0.0062499999999999995</v>
      </c>
      <c r="J398" s="12"/>
    </row>
    <row r="399" spans="1:10" ht="12.75">
      <c r="A399" s="234"/>
      <c r="B399" s="39"/>
      <c r="C399" s="9"/>
      <c r="D399" s="9" t="s">
        <v>370</v>
      </c>
      <c r="E399" s="13">
        <f>18*10.5</f>
        <v>189</v>
      </c>
      <c r="F399" s="14">
        <f t="shared" si="24"/>
        <v>0.0010416666666666667</v>
      </c>
      <c r="G399" s="15">
        <v>1</v>
      </c>
      <c r="H399" s="15">
        <v>1</v>
      </c>
      <c r="I399" s="13">
        <f t="shared" si="25"/>
        <v>0.196875</v>
      </c>
      <c r="J399" s="16">
        <f>SUM(I397:I399)</f>
        <v>0.4203125</v>
      </c>
    </row>
    <row r="400" spans="1:10" ht="12.75">
      <c r="A400" s="219" t="s">
        <v>133</v>
      </c>
      <c r="B400" s="35" t="s">
        <v>134</v>
      </c>
      <c r="C400" s="20" t="s">
        <v>109</v>
      </c>
      <c r="D400" s="1" t="s">
        <v>363</v>
      </c>
      <c r="E400">
        <f>PI()*5*0.25</f>
        <v>3.9269908169872414</v>
      </c>
      <c r="F400" s="8">
        <f>Steel</f>
        <v>0.0034027777777777776</v>
      </c>
      <c r="G400" s="29">
        <v>1</v>
      </c>
      <c r="H400" s="29">
        <v>1</v>
      </c>
      <c r="I400">
        <f t="shared" si="25"/>
        <v>0.013362677085581585</v>
      </c>
      <c r="J400" s="95"/>
    </row>
    <row r="401" spans="1:10" ht="12.75">
      <c r="A401" s="216"/>
      <c r="B401"/>
      <c r="C401" s="20"/>
      <c r="D401" s="1" t="s">
        <v>364</v>
      </c>
      <c r="E401">
        <f>8*(5/16)+2*8*0.5</f>
        <v>10.5</v>
      </c>
      <c r="F401" s="8">
        <f>Steel</f>
        <v>0.0034027777777777776</v>
      </c>
      <c r="G401" s="29">
        <f>12.5/12</f>
        <v>1.0416666666666667</v>
      </c>
      <c r="H401" s="29">
        <v>8.5</v>
      </c>
      <c r="I401">
        <f t="shared" si="25"/>
        <v>0.004378574346405229</v>
      </c>
      <c r="J401" s="12"/>
    </row>
    <row r="402" spans="1:10" ht="12.75">
      <c r="A402" s="234"/>
      <c r="B402" s="39"/>
      <c r="C402" s="9"/>
      <c r="D402" s="9" t="s">
        <v>369</v>
      </c>
      <c r="E402" s="13">
        <f>10.5*18</f>
        <v>189</v>
      </c>
      <c r="F402" s="14">
        <f>Conc</f>
        <v>0.0010416666666666667</v>
      </c>
      <c r="G402" s="15">
        <v>1</v>
      </c>
      <c r="H402" s="15">
        <v>1</v>
      </c>
      <c r="I402" s="13">
        <f t="shared" si="25"/>
        <v>0.196875</v>
      </c>
      <c r="J402" s="16">
        <f>SUM(I400:I402)</f>
        <v>0.21461625143198682</v>
      </c>
    </row>
    <row r="403" spans="1:14" ht="12.75">
      <c r="A403" s="219" t="s">
        <v>135</v>
      </c>
      <c r="B403" s="35" t="s">
        <v>136</v>
      </c>
      <c r="C403" s="20" t="s">
        <v>137</v>
      </c>
      <c r="D403" s="20" t="s">
        <v>393</v>
      </c>
      <c r="E403" s="28">
        <f>2*(PI()*4*0.1875)</f>
        <v>4.71238898038469</v>
      </c>
      <c r="F403" s="32">
        <f>Steel</f>
        <v>0.0034027777777777776</v>
      </c>
      <c r="G403" s="33">
        <v>1</v>
      </c>
      <c r="H403" s="33">
        <v>1</v>
      </c>
      <c r="I403" s="28">
        <f t="shared" si="25"/>
        <v>0.0160352125026979</v>
      </c>
      <c r="J403" s="12"/>
      <c r="K403" s="28"/>
      <c r="L403" s="28"/>
      <c r="M403" s="28"/>
      <c r="N403" s="28"/>
    </row>
    <row r="404" spans="1:14" ht="12.75">
      <c r="A404" s="216"/>
      <c r="B404"/>
      <c r="C404" s="20"/>
      <c r="D404" s="20" t="s">
        <v>394</v>
      </c>
      <c r="E404" s="28">
        <f>8*(5/16)+2*7*0.5</f>
        <v>9.5</v>
      </c>
      <c r="F404" s="32">
        <f>Steel</f>
        <v>0.0034027777777777776</v>
      </c>
      <c r="G404" s="33">
        <f>1.875</f>
        <v>1.875</v>
      </c>
      <c r="H404" s="33">
        <v>7</v>
      </c>
      <c r="I404" s="28">
        <f t="shared" si="25"/>
        <v>0.008658854166666665</v>
      </c>
      <c r="J404" s="12"/>
      <c r="K404" s="28"/>
      <c r="L404" s="28"/>
      <c r="M404" s="28"/>
      <c r="N404" s="28"/>
    </row>
    <row r="405" spans="1:10" ht="12.75">
      <c r="A405" s="234"/>
      <c r="B405" s="36"/>
      <c r="C405" s="7"/>
      <c r="D405" s="9" t="s">
        <v>395</v>
      </c>
      <c r="E405" s="13">
        <f>10.5*18</f>
        <v>189</v>
      </c>
      <c r="F405" s="14">
        <f>Conc</f>
        <v>0.0010416666666666667</v>
      </c>
      <c r="G405" s="15">
        <v>1</v>
      </c>
      <c r="H405" s="15">
        <v>1</v>
      </c>
      <c r="I405" s="13">
        <f t="shared" si="25"/>
        <v>0.196875</v>
      </c>
      <c r="J405" s="16">
        <f>SUM(I403:I405)</f>
        <v>0.22156906666936454</v>
      </c>
    </row>
    <row r="406" spans="1:11" ht="12.75">
      <c r="A406" s="219" t="s">
        <v>135</v>
      </c>
      <c r="B406" s="35" t="s">
        <v>138</v>
      </c>
      <c r="C406" s="20" t="s">
        <v>139</v>
      </c>
      <c r="D406" s="20" t="s">
        <v>393</v>
      </c>
      <c r="E406" s="28">
        <f>2*(PI()*4*0.1875)</f>
        <v>4.71238898038469</v>
      </c>
      <c r="F406" s="32">
        <f>Steel</f>
        <v>0.0034027777777777776</v>
      </c>
      <c r="G406" s="33">
        <v>1</v>
      </c>
      <c r="H406" s="33">
        <v>1</v>
      </c>
      <c r="I406" s="28">
        <f t="shared" si="25"/>
        <v>0.0160352125026979</v>
      </c>
      <c r="J406" s="12"/>
      <c r="K406" s="28"/>
    </row>
    <row r="407" spans="1:11" ht="12.75">
      <c r="A407" s="216"/>
      <c r="B407"/>
      <c r="C407" s="20"/>
      <c r="D407" s="20" t="s">
        <v>394</v>
      </c>
      <c r="E407" s="28">
        <f>8*(5/16)+2*7*0.5</f>
        <v>9.5</v>
      </c>
      <c r="F407" s="32">
        <f>Steel</f>
        <v>0.0034027777777777776</v>
      </c>
      <c r="G407" s="33">
        <f>1.875</f>
        <v>1.875</v>
      </c>
      <c r="H407" s="33">
        <v>7</v>
      </c>
      <c r="I407" s="28">
        <f t="shared" si="25"/>
        <v>0.008658854166666665</v>
      </c>
      <c r="J407" s="12"/>
      <c r="K407" s="28"/>
    </row>
    <row r="408" spans="1:10" ht="12.75">
      <c r="A408" s="216"/>
      <c r="B408" s="35"/>
      <c r="C408" s="20"/>
      <c r="D408" s="11" t="s">
        <v>395</v>
      </c>
      <c r="E408" s="28">
        <f>10.5*18</f>
        <v>189</v>
      </c>
      <c r="F408" s="32">
        <f>Conc</f>
        <v>0.0010416666666666667</v>
      </c>
      <c r="G408" s="33">
        <v>1</v>
      </c>
      <c r="H408" s="33">
        <v>1</v>
      </c>
      <c r="I408" s="28">
        <f t="shared" si="25"/>
        <v>0.196875</v>
      </c>
      <c r="J408" s="12"/>
    </row>
    <row r="409" spans="1:10" ht="12.75">
      <c r="A409" s="234"/>
      <c r="B409" s="36"/>
      <c r="C409" s="7"/>
      <c r="D409" s="9" t="s">
        <v>396</v>
      </c>
      <c r="E409" s="13">
        <f>(36-1.5/2)*9.25</f>
        <v>326.0625</v>
      </c>
      <c r="F409" s="14">
        <f>Conc</f>
        <v>0.0010416666666666667</v>
      </c>
      <c r="G409" s="15">
        <v>1</v>
      </c>
      <c r="H409" s="15">
        <v>1</v>
      </c>
      <c r="I409" s="13">
        <f t="shared" si="25"/>
        <v>0.3396484375</v>
      </c>
      <c r="J409" s="16">
        <f>SUM(I406:I409)</f>
        <v>0.5612175041693646</v>
      </c>
    </row>
    <row r="410" spans="1:10" ht="12.75">
      <c r="A410" s="219" t="s">
        <v>140</v>
      </c>
      <c r="B410" s="35" t="s">
        <v>141</v>
      </c>
      <c r="C410" s="20"/>
      <c r="D410" s="1" t="s">
        <v>371</v>
      </c>
      <c r="E410">
        <f>PI()*4*0.1875</f>
        <v>2.356194490192345</v>
      </c>
      <c r="F410" s="8">
        <f>Steel</f>
        <v>0.0034027777777777776</v>
      </c>
      <c r="G410" s="29">
        <v>1</v>
      </c>
      <c r="H410" s="29">
        <v>1</v>
      </c>
      <c r="I410">
        <f t="shared" si="25"/>
        <v>0.00801760625134895</v>
      </c>
      <c r="J410" s="12"/>
    </row>
    <row r="411" spans="1:11" ht="12.75">
      <c r="A411" s="216"/>
      <c r="B411" s="35"/>
      <c r="C411" s="20"/>
      <c r="D411" s="20" t="s">
        <v>394</v>
      </c>
      <c r="E411" s="28">
        <f>8*(5/16)+2*7*0.5</f>
        <v>9.5</v>
      </c>
      <c r="F411" s="32">
        <f>Steel</f>
        <v>0.0034027777777777776</v>
      </c>
      <c r="G411" s="33">
        <v>1</v>
      </c>
      <c r="H411" s="33">
        <v>7</v>
      </c>
      <c r="I411" s="28">
        <f t="shared" si="25"/>
        <v>0.004618055555555555</v>
      </c>
      <c r="J411" s="12"/>
      <c r="K411" s="28"/>
    </row>
    <row r="412" spans="1:10" ht="12.75">
      <c r="A412" s="216"/>
      <c r="B412" s="35"/>
      <c r="C412" s="20"/>
      <c r="D412" s="11" t="s">
        <v>395</v>
      </c>
      <c r="E412" s="28">
        <f>10.5*18</f>
        <v>189</v>
      </c>
      <c r="F412" s="32">
        <f>Conc</f>
        <v>0.0010416666666666667</v>
      </c>
      <c r="G412" s="33">
        <v>1</v>
      </c>
      <c r="H412" s="33">
        <v>1</v>
      </c>
      <c r="I412" s="28">
        <f t="shared" si="25"/>
        <v>0.196875</v>
      </c>
      <c r="J412" s="12"/>
    </row>
    <row r="413" spans="1:10" ht="12.75">
      <c r="A413" s="234"/>
      <c r="B413" s="36"/>
      <c r="C413" s="7"/>
      <c r="D413" s="7" t="s">
        <v>396</v>
      </c>
      <c r="E413" s="13">
        <f>(36-1.5/2)*9.25</f>
        <v>326.0625</v>
      </c>
      <c r="F413" s="14">
        <f>Conc</f>
        <v>0.0010416666666666667</v>
      </c>
      <c r="G413" s="15">
        <v>1</v>
      </c>
      <c r="H413" s="15">
        <v>1</v>
      </c>
      <c r="I413" s="13">
        <f t="shared" si="25"/>
        <v>0.3396484375</v>
      </c>
      <c r="J413" s="16">
        <f>SUM(I410:I413)</f>
        <v>0.5491590993069045</v>
      </c>
    </row>
    <row r="414" spans="1:19" ht="12.75">
      <c r="A414" s="219" t="s">
        <v>140</v>
      </c>
      <c r="B414" s="35" t="s">
        <v>142</v>
      </c>
      <c r="C414" s="20"/>
      <c r="D414" s="20" t="s">
        <v>371</v>
      </c>
      <c r="E414" s="28">
        <f>PI()*4*0.1875</f>
        <v>2.356194490192345</v>
      </c>
      <c r="F414" s="32">
        <f>Steel</f>
        <v>0.0034027777777777776</v>
      </c>
      <c r="G414" s="33">
        <v>1</v>
      </c>
      <c r="H414" s="33">
        <v>1</v>
      </c>
      <c r="I414" s="28">
        <f t="shared" si="25"/>
        <v>0.00801760625134895</v>
      </c>
      <c r="J414" s="12"/>
      <c r="K414" s="28"/>
      <c r="L414" s="28"/>
      <c r="M414" s="28"/>
      <c r="N414" s="28"/>
      <c r="O414" s="28"/>
      <c r="P414" s="28"/>
      <c r="Q414" s="28"/>
      <c r="R414" s="28"/>
      <c r="S414" s="28"/>
    </row>
    <row r="415" spans="1:19" ht="12.75">
      <c r="A415" s="216"/>
      <c r="B415" s="35"/>
      <c r="C415" s="20"/>
      <c r="D415" s="20" t="s">
        <v>394</v>
      </c>
      <c r="E415" s="28">
        <f>8*(5/16)+2*7*0.5</f>
        <v>9.5</v>
      </c>
      <c r="F415" s="32">
        <f>Steel</f>
        <v>0.0034027777777777776</v>
      </c>
      <c r="G415" s="33">
        <v>1</v>
      </c>
      <c r="H415" s="33">
        <v>7</v>
      </c>
      <c r="I415" s="28">
        <f t="shared" si="25"/>
        <v>0.004618055555555555</v>
      </c>
      <c r="J415" s="12"/>
      <c r="K415" s="28"/>
      <c r="L415" s="28"/>
      <c r="M415" s="28"/>
      <c r="N415" s="28"/>
      <c r="O415" s="28"/>
      <c r="P415" s="28"/>
      <c r="Q415" s="28"/>
      <c r="R415" s="28"/>
      <c r="S415" s="28"/>
    </row>
    <row r="416" spans="1:19" ht="12.75">
      <c r="A416" s="216"/>
      <c r="B416" s="35"/>
      <c r="C416" s="20"/>
      <c r="D416" s="11" t="s">
        <v>395</v>
      </c>
      <c r="E416" s="28">
        <f>10.5*18</f>
        <v>189</v>
      </c>
      <c r="F416" s="32">
        <f aca="true" t="shared" si="26" ref="F416:F421">Conc</f>
        <v>0.0010416666666666667</v>
      </c>
      <c r="G416" s="33">
        <v>1</v>
      </c>
      <c r="H416" s="33">
        <v>1</v>
      </c>
      <c r="I416" s="28">
        <f t="shared" si="25"/>
        <v>0.196875</v>
      </c>
      <c r="J416" s="12"/>
      <c r="K416" s="28"/>
      <c r="L416" s="28"/>
      <c r="M416" s="28"/>
      <c r="N416" s="28"/>
      <c r="O416" s="28"/>
      <c r="P416" s="28"/>
      <c r="Q416" s="28"/>
      <c r="R416" s="28"/>
      <c r="S416" s="28"/>
    </row>
    <row r="417" spans="1:10" ht="12.75">
      <c r="A417" s="234"/>
      <c r="B417" s="36"/>
      <c r="C417" s="7"/>
      <c r="D417" s="7" t="s">
        <v>397</v>
      </c>
      <c r="E417" s="13">
        <f>15*9.25</f>
        <v>138.75</v>
      </c>
      <c r="F417" s="14">
        <f t="shared" si="26"/>
        <v>0.0010416666666666667</v>
      </c>
      <c r="G417" s="15">
        <v>1</v>
      </c>
      <c r="H417" s="15">
        <v>1</v>
      </c>
      <c r="I417" s="13">
        <f t="shared" si="25"/>
        <v>0.14453125</v>
      </c>
      <c r="J417" s="16">
        <f>SUM(I414:I417)</f>
        <v>0.3540419118069045</v>
      </c>
    </row>
    <row r="418" spans="1:10" ht="12.75">
      <c r="A418" s="219" t="s">
        <v>143</v>
      </c>
      <c r="B418" s="35" t="s">
        <v>144</v>
      </c>
      <c r="C418" s="20"/>
      <c r="D418" s="11" t="s">
        <v>398</v>
      </c>
      <c r="E418" s="28">
        <f>8.5*21</f>
        <v>178.5</v>
      </c>
      <c r="F418" s="32">
        <f t="shared" si="26"/>
        <v>0.0010416666666666667</v>
      </c>
      <c r="G418" s="33">
        <v>1</v>
      </c>
      <c r="H418" s="33">
        <v>1</v>
      </c>
      <c r="I418" s="28">
        <f t="shared" si="25"/>
        <v>0.1859375</v>
      </c>
      <c r="J418" s="12"/>
    </row>
    <row r="419" spans="1:10" ht="12.75">
      <c r="A419" s="234"/>
      <c r="B419" s="36"/>
      <c r="C419" s="7"/>
      <c r="D419" s="7" t="s">
        <v>399</v>
      </c>
      <c r="E419" s="13">
        <f>(34-1.5/2)*9.25</f>
        <v>307.5625</v>
      </c>
      <c r="F419" s="14">
        <f t="shared" si="26"/>
        <v>0.0010416666666666667</v>
      </c>
      <c r="G419" s="15">
        <v>1</v>
      </c>
      <c r="H419" s="15">
        <v>1</v>
      </c>
      <c r="I419" s="13">
        <f t="shared" si="25"/>
        <v>0.32037760416666666</v>
      </c>
      <c r="J419" s="16">
        <f>SUM(I418:I419)</f>
        <v>0.5063151041666667</v>
      </c>
    </row>
    <row r="420" spans="1:10" ht="12.75">
      <c r="A420" s="219" t="s">
        <v>143</v>
      </c>
      <c r="B420" s="35" t="s">
        <v>145</v>
      </c>
      <c r="C420" s="20"/>
      <c r="D420" s="11" t="s">
        <v>398</v>
      </c>
      <c r="E420" s="28">
        <f>8.5*21</f>
        <v>178.5</v>
      </c>
      <c r="F420" s="32">
        <f t="shared" si="26"/>
        <v>0.0010416666666666667</v>
      </c>
      <c r="G420" s="33">
        <v>1</v>
      </c>
      <c r="H420" s="33">
        <v>1</v>
      </c>
      <c r="I420" s="28">
        <f t="shared" si="25"/>
        <v>0.1859375</v>
      </c>
      <c r="J420" s="12"/>
    </row>
    <row r="421" spans="1:10" ht="12.75">
      <c r="A421" s="234"/>
      <c r="B421" s="36"/>
      <c r="C421" s="7"/>
      <c r="D421" s="7" t="s">
        <v>400</v>
      </c>
      <c r="E421" s="13">
        <f>13*9</f>
        <v>117</v>
      </c>
      <c r="F421" s="14">
        <f t="shared" si="26"/>
        <v>0.0010416666666666667</v>
      </c>
      <c r="G421" s="15">
        <v>1</v>
      </c>
      <c r="H421" s="15">
        <v>1</v>
      </c>
      <c r="I421" s="13">
        <f t="shared" si="25"/>
        <v>0.121875</v>
      </c>
      <c r="J421" s="16">
        <f>SUM(I420:I421)</f>
        <v>0.3078125</v>
      </c>
    </row>
    <row r="422" spans="1:16" ht="12.75">
      <c r="A422" s="219" t="s">
        <v>146</v>
      </c>
      <c r="B422" s="35" t="s">
        <v>141</v>
      </c>
      <c r="C422" s="20"/>
      <c r="D422" s="20" t="s">
        <v>371</v>
      </c>
      <c r="E422" s="28">
        <f>PI()*4*0.1875</f>
        <v>2.356194490192345</v>
      </c>
      <c r="F422" s="32">
        <f>Steel</f>
        <v>0.0034027777777777776</v>
      </c>
      <c r="G422" s="33">
        <v>1</v>
      </c>
      <c r="H422" s="33">
        <v>1</v>
      </c>
      <c r="I422" s="28">
        <f t="shared" si="25"/>
        <v>0.00801760625134895</v>
      </c>
      <c r="J422" s="12"/>
      <c r="K422" s="28"/>
      <c r="L422" s="28"/>
      <c r="M422" s="28"/>
      <c r="N422" s="28"/>
      <c r="O422" s="28"/>
      <c r="P422" s="28"/>
    </row>
    <row r="423" spans="1:16" ht="12.75">
      <c r="A423" s="216"/>
      <c r="B423" s="35"/>
      <c r="C423" s="20"/>
      <c r="D423" s="20" t="s">
        <v>394</v>
      </c>
      <c r="E423" s="28">
        <f>8*(3/8)+2*6*0.5</f>
        <v>9</v>
      </c>
      <c r="F423" s="32">
        <f>Steel</f>
        <v>0.0034027777777777776</v>
      </c>
      <c r="G423" s="33">
        <v>1</v>
      </c>
      <c r="H423" s="33">
        <v>7</v>
      </c>
      <c r="I423" s="28">
        <f t="shared" si="25"/>
        <v>0.0043749999999999995</v>
      </c>
      <c r="J423" s="12"/>
      <c r="K423" s="28"/>
      <c r="L423" s="28"/>
      <c r="M423" s="28"/>
      <c r="N423" s="28"/>
      <c r="O423" s="28"/>
      <c r="P423" s="28"/>
    </row>
    <row r="424" spans="1:16" ht="12.75">
      <c r="A424" s="216"/>
      <c r="B424" s="35"/>
      <c r="C424" s="20"/>
      <c r="D424" s="11" t="s">
        <v>395</v>
      </c>
      <c r="E424" s="28">
        <f>10.5*18</f>
        <v>189</v>
      </c>
      <c r="F424" s="32">
        <f>Conc</f>
        <v>0.0010416666666666667</v>
      </c>
      <c r="G424" s="33">
        <v>1</v>
      </c>
      <c r="H424" s="33">
        <v>1</v>
      </c>
      <c r="I424" s="28">
        <f t="shared" si="25"/>
        <v>0.196875</v>
      </c>
      <c r="J424" s="12"/>
      <c r="K424" s="28"/>
      <c r="L424" s="28"/>
      <c r="M424" s="28"/>
      <c r="N424" s="28"/>
      <c r="O424" s="28"/>
      <c r="P424" s="28"/>
    </row>
    <row r="425" spans="1:10" ht="12.75">
      <c r="A425" s="234"/>
      <c r="B425" s="36"/>
      <c r="C425" s="7"/>
      <c r="D425" s="7" t="s">
        <v>401</v>
      </c>
      <c r="E425" s="13">
        <f>(30-1.5/2)*9.25</f>
        <v>270.5625</v>
      </c>
      <c r="F425" s="14">
        <f>Conc</f>
        <v>0.0010416666666666667</v>
      </c>
      <c r="G425" s="15">
        <v>1</v>
      </c>
      <c r="H425" s="15">
        <v>1</v>
      </c>
      <c r="I425" s="13">
        <f t="shared" si="25"/>
        <v>0.2818359375</v>
      </c>
      <c r="J425" s="16">
        <f>SUM(I422:I425)</f>
        <v>0.49110354375134896</v>
      </c>
    </row>
    <row r="426" spans="1:11" ht="12.75">
      <c r="A426" s="219" t="s">
        <v>146</v>
      </c>
      <c r="B426" s="35" t="s">
        <v>142</v>
      </c>
      <c r="C426" s="20"/>
      <c r="D426" s="20" t="s">
        <v>371</v>
      </c>
      <c r="E426" s="28">
        <f>PI()*4*0.1875</f>
        <v>2.356194490192345</v>
      </c>
      <c r="F426" s="32">
        <f>Steel</f>
        <v>0.0034027777777777776</v>
      </c>
      <c r="G426" s="33">
        <v>1</v>
      </c>
      <c r="H426" s="33">
        <v>1</v>
      </c>
      <c r="I426" s="28">
        <f t="shared" si="25"/>
        <v>0.00801760625134895</v>
      </c>
      <c r="J426" s="12"/>
      <c r="K426" s="28"/>
    </row>
    <row r="427" spans="1:11" ht="12.75">
      <c r="A427" s="216"/>
      <c r="B427" s="35"/>
      <c r="C427" s="20"/>
      <c r="D427" s="20" t="s">
        <v>394</v>
      </c>
      <c r="E427" s="28">
        <f>8*(3/8)+2*6*0.5</f>
        <v>9</v>
      </c>
      <c r="F427" s="32">
        <f>Steel</f>
        <v>0.0034027777777777776</v>
      </c>
      <c r="G427" s="33">
        <v>1</v>
      </c>
      <c r="H427" s="33">
        <v>7</v>
      </c>
      <c r="I427" s="28">
        <f t="shared" si="25"/>
        <v>0.0043749999999999995</v>
      </c>
      <c r="J427" s="12"/>
      <c r="K427" s="28"/>
    </row>
    <row r="428" spans="1:11" ht="12.75">
      <c r="A428" s="216"/>
      <c r="B428" s="35"/>
      <c r="C428" s="20"/>
      <c r="D428" s="11" t="s">
        <v>395</v>
      </c>
      <c r="E428" s="28">
        <f>10.5*18</f>
        <v>189</v>
      </c>
      <c r="F428" s="32">
        <f>Conc</f>
        <v>0.0010416666666666667</v>
      </c>
      <c r="G428" s="33">
        <v>1</v>
      </c>
      <c r="H428" s="33">
        <v>1</v>
      </c>
      <c r="I428" s="28">
        <f t="shared" si="25"/>
        <v>0.196875</v>
      </c>
      <c r="J428" s="12"/>
      <c r="K428" s="28"/>
    </row>
    <row r="429" spans="1:10" ht="12.75">
      <c r="A429" s="234"/>
      <c r="B429" s="36"/>
      <c r="C429" s="7"/>
      <c r="D429" s="7" t="s">
        <v>397</v>
      </c>
      <c r="E429" s="13">
        <f>15*9.25</f>
        <v>138.75</v>
      </c>
      <c r="F429" s="14">
        <f>Conc</f>
        <v>0.0010416666666666667</v>
      </c>
      <c r="G429" s="15">
        <v>1</v>
      </c>
      <c r="H429" s="15">
        <v>1</v>
      </c>
      <c r="I429" s="13">
        <f t="shared" si="25"/>
        <v>0.14453125</v>
      </c>
      <c r="J429" s="16">
        <f>SUM(I426:I429)</f>
        <v>0.35379885625134894</v>
      </c>
    </row>
    <row r="430" spans="1:12" ht="12.75">
      <c r="A430" s="233" t="s">
        <v>147</v>
      </c>
      <c r="B430" s="35" t="s">
        <v>148</v>
      </c>
      <c r="C430" s="20" t="s">
        <v>109</v>
      </c>
      <c r="D430" s="20" t="s">
        <v>393</v>
      </c>
      <c r="E430" s="28">
        <f>2*(PI()*4*0.1875)</f>
        <v>4.71238898038469</v>
      </c>
      <c r="F430" s="32">
        <f>Steel</f>
        <v>0.0034027777777777776</v>
      </c>
      <c r="G430" s="33">
        <v>1</v>
      </c>
      <c r="H430" s="33">
        <v>1</v>
      </c>
      <c r="I430" s="28">
        <f t="shared" si="25"/>
        <v>0.0160352125026979</v>
      </c>
      <c r="J430" s="12"/>
      <c r="K430" s="28"/>
      <c r="L430" s="28"/>
    </row>
    <row r="431" spans="1:12" ht="12.75">
      <c r="A431" s="216"/>
      <c r="B431"/>
      <c r="C431" s="20"/>
      <c r="D431" s="20" t="s">
        <v>394</v>
      </c>
      <c r="E431" s="28">
        <f>8*(5/16)+2*6*0.5</f>
        <v>8.5</v>
      </c>
      <c r="F431" s="32">
        <f>Steel</f>
        <v>0.0034027777777777776</v>
      </c>
      <c r="G431" s="33">
        <f>1.875</f>
        <v>1.875</v>
      </c>
      <c r="H431" s="33">
        <v>7</v>
      </c>
      <c r="I431" s="28">
        <f t="shared" si="25"/>
        <v>0.007747395833333333</v>
      </c>
      <c r="J431" s="12"/>
      <c r="K431" s="28"/>
      <c r="L431" s="28"/>
    </row>
    <row r="432" spans="1:10" ht="12.75">
      <c r="A432" s="234"/>
      <c r="B432" s="36"/>
      <c r="C432" s="7"/>
      <c r="D432" s="9" t="s">
        <v>402</v>
      </c>
      <c r="E432" s="13">
        <f>10.5*18</f>
        <v>189</v>
      </c>
      <c r="F432" s="14">
        <f>Conc</f>
        <v>0.0010416666666666667</v>
      </c>
      <c r="G432" s="15">
        <v>1</v>
      </c>
      <c r="H432" s="15">
        <v>1</v>
      </c>
      <c r="I432" s="13">
        <f t="shared" si="25"/>
        <v>0.196875</v>
      </c>
      <c r="J432" s="16">
        <f>SUM(I430:I432)</f>
        <v>0.22065760833603124</v>
      </c>
    </row>
    <row r="433" spans="1:11" ht="12.75">
      <c r="A433" s="219" t="s">
        <v>147</v>
      </c>
      <c r="B433" s="35" t="s">
        <v>149</v>
      </c>
      <c r="C433" s="20" t="s">
        <v>139</v>
      </c>
      <c r="D433" s="20" t="s">
        <v>393</v>
      </c>
      <c r="E433" s="28">
        <f>2*(PI()*4*0.1875)</f>
        <v>4.71238898038469</v>
      </c>
      <c r="F433" s="32">
        <f>Steel</f>
        <v>0.0034027777777777776</v>
      </c>
      <c r="G433" s="33">
        <v>1</v>
      </c>
      <c r="H433" s="33">
        <v>1</v>
      </c>
      <c r="I433" s="28">
        <f t="shared" si="25"/>
        <v>0.0160352125026979</v>
      </c>
      <c r="J433" s="12"/>
      <c r="K433" s="28"/>
    </row>
    <row r="434" spans="1:11" ht="12.75">
      <c r="A434" s="216"/>
      <c r="B434"/>
      <c r="C434" s="20"/>
      <c r="D434" s="20" t="s">
        <v>394</v>
      </c>
      <c r="E434" s="28">
        <f>8*(5/16)+2*6*0.5</f>
        <v>8.5</v>
      </c>
      <c r="F434" s="32">
        <f>Steel</f>
        <v>0.0034027777777777776</v>
      </c>
      <c r="G434" s="33">
        <f>1.875</f>
        <v>1.875</v>
      </c>
      <c r="H434" s="33">
        <v>7</v>
      </c>
      <c r="I434" s="28">
        <f t="shared" si="25"/>
        <v>0.007747395833333333</v>
      </c>
      <c r="J434" s="12"/>
      <c r="K434" s="28"/>
    </row>
    <row r="435" spans="1:11" ht="12.75">
      <c r="A435" s="216"/>
      <c r="B435" s="35"/>
      <c r="C435" s="20"/>
      <c r="D435" s="11" t="s">
        <v>402</v>
      </c>
      <c r="E435" s="28">
        <f>10.5*18</f>
        <v>189</v>
      </c>
      <c r="F435" s="32">
        <f>Conc</f>
        <v>0.0010416666666666667</v>
      </c>
      <c r="G435" s="33">
        <v>1</v>
      </c>
      <c r="H435" s="33">
        <v>1</v>
      </c>
      <c r="I435" s="28">
        <f t="shared" si="25"/>
        <v>0.196875</v>
      </c>
      <c r="J435" s="12"/>
      <c r="K435" s="28"/>
    </row>
    <row r="436" spans="1:10" ht="12.75">
      <c r="A436" s="234"/>
      <c r="B436" s="19"/>
      <c r="C436" s="13"/>
      <c r="D436" s="7" t="s">
        <v>403</v>
      </c>
      <c r="E436" s="13">
        <f>(30-1.5/2)*9</f>
        <v>263.25</v>
      </c>
      <c r="F436" s="14">
        <f>Conc</f>
        <v>0.0010416666666666667</v>
      </c>
      <c r="G436" s="13">
        <v>1</v>
      </c>
      <c r="H436" s="13">
        <v>1</v>
      </c>
      <c r="I436" s="13">
        <f t="shared" si="25"/>
        <v>0.27421875</v>
      </c>
      <c r="J436" s="16">
        <f>SUM(I433:I436)</f>
        <v>0.4948763583360313</v>
      </c>
    </row>
    <row r="437" spans="1:11" ht="12.75">
      <c r="A437" s="219" t="s">
        <v>150</v>
      </c>
      <c r="B437" s="35" t="s">
        <v>151</v>
      </c>
      <c r="C437" s="20" t="s">
        <v>152</v>
      </c>
      <c r="D437" s="20" t="s">
        <v>404</v>
      </c>
      <c r="E437" s="28">
        <f>3.68</f>
        <v>3.68</v>
      </c>
      <c r="F437" s="32">
        <f aca="true" t="shared" si="27" ref="F437:F443">Steel</f>
        <v>0.0034027777777777776</v>
      </c>
      <c r="G437" s="28">
        <v>1</v>
      </c>
      <c r="H437" s="28">
        <v>1</v>
      </c>
      <c r="I437" s="28">
        <f t="shared" si="25"/>
        <v>0.012522222222222223</v>
      </c>
      <c r="J437" s="12"/>
      <c r="K437" s="28"/>
    </row>
    <row r="438" spans="1:11" ht="12.75">
      <c r="A438" s="216"/>
      <c r="C438" s="20"/>
      <c r="D438" s="20" t="s">
        <v>405</v>
      </c>
      <c r="E438" s="28">
        <f>0.0071/Steel</f>
        <v>2.086530612244898</v>
      </c>
      <c r="F438" s="32">
        <f t="shared" si="27"/>
        <v>0.0034027777777777776</v>
      </c>
      <c r="G438" s="28">
        <v>1</v>
      </c>
      <c r="H438" s="28">
        <v>1</v>
      </c>
      <c r="I438" s="28">
        <f t="shared" si="25"/>
        <v>0.0071</v>
      </c>
      <c r="J438" s="12"/>
      <c r="K438" s="28"/>
    </row>
    <row r="439" spans="1:11" ht="12.75">
      <c r="A439" s="216"/>
      <c r="D439" s="20" t="s">
        <v>406</v>
      </c>
      <c r="E439" s="28">
        <f>0.00186/Steel</f>
        <v>0.5466122448979592</v>
      </c>
      <c r="F439" s="32">
        <f t="shared" si="27"/>
        <v>0.0034027777777777776</v>
      </c>
      <c r="G439" s="28">
        <v>1</v>
      </c>
      <c r="H439" s="28">
        <v>1</v>
      </c>
      <c r="I439" s="28">
        <f t="shared" si="25"/>
        <v>0.00186</v>
      </c>
      <c r="J439" s="12"/>
      <c r="K439" s="28"/>
    </row>
    <row r="440" spans="1:11" ht="12.75">
      <c r="A440" s="216"/>
      <c r="D440" s="20" t="s">
        <v>407</v>
      </c>
      <c r="E440" s="28">
        <f>0.005/Steel</f>
        <v>1.469387755102041</v>
      </c>
      <c r="F440" s="32">
        <f t="shared" si="27"/>
        <v>0.0034027777777777776</v>
      </c>
      <c r="G440" s="28">
        <v>1</v>
      </c>
      <c r="H440" s="28">
        <v>1</v>
      </c>
      <c r="I440" s="28">
        <f t="shared" si="25"/>
        <v>0.005</v>
      </c>
      <c r="J440" s="12"/>
      <c r="K440" s="28"/>
    </row>
    <row r="441" spans="1:11" ht="12.75">
      <c r="A441" s="216"/>
      <c r="D441" s="11" t="s">
        <v>408</v>
      </c>
      <c r="E441" s="28">
        <f>0.75^2</f>
        <v>0.5625</v>
      </c>
      <c r="F441" s="32">
        <f t="shared" si="27"/>
        <v>0.0034027777777777776</v>
      </c>
      <c r="G441" s="28">
        <f>8.5/12</f>
        <v>0.7083333333333334</v>
      </c>
      <c r="H441" s="28">
        <v>0.5</v>
      </c>
      <c r="I441" s="28">
        <f t="shared" si="25"/>
        <v>0.002711588541666667</v>
      </c>
      <c r="J441" s="12"/>
      <c r="K441" s="28"/>
    </row>
    <row r="442" spans="1:11" ht="12.75">
      <c r="A442" s="216"/>
      <c r="D442" s="20" t="s">
        <v>409</v>
      </c>
      <c r="E442" s="28">
        <f>0.75^2</f>
        <v>0.5625</v>
      </c>
      <c r="F442" s="32">
        <f t="shared" si="27"/>
        <v>0.0034027777777777776</v>
      </c>
      <c r="G442" s="28">
        <v>1.958</v>
      </c>
      <c r="H442" s="28">
        <v>0.5</v>
      </c>
      <c r="I442" s="28">
        <f t="shared" si="25"/>
        <v>0.0074954687499999995</v>
      </c>
      <c r="J442" s="12"/>
      <c r="K442" s="28"/>
    </row>
    <row r="443" spans="1:11" ht="12.75">
      <c r="A443" s="216"/>
      <c r="D443" s="11" t="s">
        <v>410</v>
      </c>
      <c r="E443" s="28">
        <f>0.02/Steel</f>
        <v>5.877551020408164</v>
      </c>
      <c r="F443" s="32">
        <f t="shared" si="27"/>
        <v>0.0034027777777777776</v>
      </c>
      <c r="G443" s="28">
        <v>4.5</v>
      </c>
      <c r="H443" s="28">
        <v>6</v>
      </c>
      <c r="I443" s="28">
        <f t="shared" si="25"/>
        <v>0.015</v>
      </c>
      <c r="J443" s="12"/>
      <c r="K443" s="28"/>
    </row>
    <row r="444" spans="1:10" ht="12.75">
      <c r="A444" s="234"/>
      <c r="B444" s="19"/>
      <c r="C444" s="13"/>
      <c r="D444" s="9" t="s">
        <v>411</v>
      </c>
      <c r="E444" s="13">
        <f>(30-1.5/2)*8</f>
        <v>234</v>
      </c>
      <c r="F444" s="14">
        <f>Conc</f>
        <v>0.0010416666666666667</v>
      </c>
      <c r="G444" s="13">
        <v>1</v>
      </c>
      <c r="H444" s="13">
        <v>1</v>
      </c>
      <c r="I444" s="13">
        <f t="shared" si="25"/>
        <v>0.24375</v>
      </c>
      <c r="J444" s="16">
        <f>SUM(I437:I444)</f>
        <v>0.2954392795138889</v>
      </c>
    </row>
    <row r="445" spans="1:10" ht="12.75">
      <c r="A445" s="219" t="s">
        <v>153</v>
      </c>
      <c r="B445" s="35" t="s">
        <v>148</v>
      </c>
      <c r="C445" s="20" t="s">
        <v>109</v>
      </c>
      <c r="D445" s="20" t="s">
        <v>393</v>
      </c>
      <c r="E445" s="28">
        <f>2*(PI()*4*0.1875)</f>
        <v>4.71238898038469</v>
      </c>
      <c r="F445" s="32">
        <f>Steel</f>
        <v>0.0034027777777777776</v>
      </c>
      <c r="G445" s="33">
        <v>1</v>
      </c>
      <c r="H445" s="33">
        <v>1</v>
      </c>
      <c r="I445" s="28">
        <f t="shared" si="25"/>
        <v>0.0160352125026979</v>
      </c>
      <c r="J445" s="12"/>
    </row>
    <row r="446" spans="1:10" ht="12.75">
      <c r="A446" s="216"/>
      <c r="C446" s="20"/>
      <c r="D446" s="20" t="s">
        <v>394</v>
      </c>
      <c r="E446" s="28">
        <f>8*(5/16)+2*6*0.5</f>
        <v>8.5</v>
      </c>
      <c r="F446" s="32">
        <f>Steel</f>
        <v>0.0034027777777777776</v>
      </c>
      <c r="G446" s="33">
        <f>1.875</f>
        <v>1.875</v>
      </c>
      <c r="H446" s="33">
        <v>7</v>
      </c>
      <c r="I446" s="28">
        <f t="shared" si="25"/>
        <v>0.007747395833333333</v>
      </c>
      <c r="J446" s="12"/>
    </row>
    <row r="447" spans="1:10" ht="12.75">
      <c r="A447" s="234"/>
      <c r="B447" s="36"/>
      <c r="C447" s="7"/>
      <c r="D447" s="9" t="s">
        <v>402</v>
      </c>
      <c r="E447" s="13">
        <f>10.5*18</f>
        <v>189</v>
      </c>
      <c r="F447" s="14">
        <f>Conc</f>
        <v>0.0010416666666666667</v>
      </c>
      <c r="G447" s="15">
        <v>1</v>
      </c>
      <c r="H447" s="15">
        <v>1</v>
      </c>
      <c r="I447" s="13">
        <f t="shared" si="25"/>
        <v>0.196875</v>
      </c>
      <c r="J447" s="16">
        <f>SUM(I445:I447)</f>
        <v>0.22065760833603124</v>
      </c>
    </row>
    <row r="448" spans="1:16" ht="12.75">
      <c r="A448" s="219" t="s">
        <v>153</v>
      </c>
      <c r="B448" s="35" t="s">
        <v>149</v>
      </c>
      <c r="C448" s="20" t="s">
        <v>139</v>
      </c>
      <c r="D448" s="20" t="s">
        <v>393</v>
      </c>
      <c r="E448" s="28">
        <f>2*(PI()*4*0.1875)</f>
        <v>4.71238898038469</v>
      </c>
      <c r="F448" s="32">
        <f>Steel</f>
        <v>0.0034027777777777776</v>
      </c>
      <c r="G448" s="33">
        <v>1</v>
      </c>
      <c r="H448" s="33">
        <v>1</v>
      </c>
      <c r="I448" s="28">
        <f t="shared" si="25"/>
        <v>0.0160352125026979</v>
      </c>
      <c r="J448" s="12"/>
      <c r="K448" s="28"/>
      <c r="L448" s="28"/>
      <c r="M448" s="28"/>
      <c r="N448" s="28"/>
      <c r="O448" s="28"/>
      <c r="P448" s="28"/>
    </row>
    <row r="449" spans="1:16" ht="12.75">
      <c r="A449" s="216"/>
      <c r="C449" s="20"/>
      <c r="D449" s="20" t="s">
        <v>394</v>
      </c>
      <c r="E449" s="28">
        <f>8*(5/16)+2*6*0.5</f>
        <v>8.5</v>
      </c>
      <c r="F449" s="32">
        <f>Steel</f>
        <v>0.0034027777777777776</v>
      </c>
      <c r="G449" s="33">
        <f>1.875</f>
        <v>1.875</v>
      </c>
      <c r="H449" s="33">
        <v>7</v>
      </c>
      <c r="I449" s="28">
        <f t="shared" si="25"/>
        <v>0.007747395833333333</v>
      </c>
      <c r="J449" s="12"/>
      <c r="K449" s="28"/>
      <c r="L449" s="28"/>
      <c r="M449" s="28"/>
      <c r="N449" s="28"/>
      <c r="O449" s="28"/>
      <c r="P449" s="28"/>
    </row>
    <row r="450" spans="1:16" ht="12.75">
      <c r="A450" s="216"/>
      <c r="B450" s="35"/>
      <c r="C450" s="20"/>
      <c r="D450" s="11" t="s">
        <v>402</v>
      </c>
      <c r="E450" s="28">
        <f>10.5*18</f>
        <v>189</v>
      </c>
      <c r="F450" s="32">
        <f>Conc</f>
        <v>0.0010416666666666667</v>
      </c>
      <c r="G450" s="33">
        <v>1</v>
      </c>
      <c r="H450" s="33">
        <v>1</v>
      </c>
      <c r="I450" s="28">
        <f t="shared" si="25"/>
        <v>0.196875</v>
      </c>
      <c r="J450" s="12"/>
      <c r="K450" s="28"/>
      <c r="L450" s="28"/>
      <c r="M450" s="28"/>
      <c r="N450" s="28"/>
      <c r="O450" s="28"/>
      <c r="P450" s="28"/>
    </row>
    <row r="451" spans="1:10" ht="12.75">
      <c r="A451" s="234"/>
      <c r="B451" s="19"/>
      <c r="C451" s="13"/>
      <c r="D451" s="7" t="s">
        <v>403</v>
      </c>
      <c r="E451" s="13">
        <f>(30-1.5/2)*9</f>
        <v>263.25</v>
      </c>
      <c r="F451" s="14">
        <f>Conc</f>
        <v>0.0010416666666666667</v>
      </c>
      <c r="G451" s="13">
        <v>1</v>
      </c>
      <c r="H451" s="13">
        <v>1</v>
      </c>
      <c r="I451" s="13">
        <f t="shared" si="25"/>
        <v>0.27421875</v>
      </c>
      <c r="J451" s="16">
        <f>SUM(I448:I451)</f>
        <v>0.4948763583360313</v>
      </c>
    </row>
    <row r="452" spans="1:11" ht="12.75">
      <c r="A452" s="219" t="s">
        <v>154</v>
      </c>
      <c r="B452" s="35" t="s">
        <v>155</v>
      </c>
      <c r="C452" s="20" t="s">
        <v>139</v>
      </c>
      <c r="D452" s="20" t="s">
        <v>371</v>
      </c>
      <c r="E452" s="28">
        <f>PI()*4*0.1875</f>
        <v>2.356194490192345</v>
      </c>
      <c r="F452" s="32">
        <f>Steel</f>
        <v>0.0034027777777777776</v>
      </c>
      <c r="G452" s="33">
        <v>1</v>
      </c>
      <c r="H452" s="33">
        <v>1</v>
      </c>
      <c r="I452" s="28">
        <f t="shared" si="25"/>
        <v>0.00801760625134895</v>
      </c>
      <c r="J452" s="12"/>
      <c r="K452" s="28"/>
    </row>
    <row r="453" spans="1:11" ht="12.75">
      <c r="A453" s="216"/>
      <c r="C453" s="20"/>
      <c r="D453" s="20" t="s">
        <v>394</v>
      </c>
      <c r="E453" s="28">
        <f>8*(3/8)+2*6*0.5</f>
        <v>9</v>
      </c>
      <c r="F453" s="32">
        <f>Steel</f>
        <v>0.0034027777777777776</v>
      </c>
      <c r="G453" s="33">
        <v>1</v>
      </c>
      <c r="H453" s="33">
        <v>7</v>
      </c>
      <c r="I453" s="28">
        <f t="shared" si="25"/>
        <v>0.0043749999999999995</v>
      </c>
      <c r="J453" s="12"/>
      <c r="K453" s="28"/>
    </row>
    <row r="454" spans="1:11" ht="12.75">
      <c r="A454" s="216"/>
      <c r="D454" s="11" t="s">
        <v>395</v>
      </c>
      <c r="E454" s="28">
        <f>10.5*18</f>
        <v>189</v>
      </c>
      <c r="F454" s="32">
        <f>Conc</f>
        <v>0.0010416666666666667</v>
      </c>
      <c r="G454" s="33">
        <v>1</v>
      </c>
      <c r="H454" s="33">
        <v>1</v>
      </c>
      <c r="I454" s="28">
        <f t="shared" si="25"/>
        <v>0.196875</v>
      </c>
      <c r="J454" s="12"/>
      <c r="K454" s="28"/>
    </row>
    <row r="455" spans="1:10" ht="12.75">
      <c r="A455" s="234"/>
      <c r="B455" s="19"/>
      <c r="C455" s="13"/>
      <c r="D455" s="7" t="s">
        <v>403</v>
      </c>
      <c r="E455" s="13">
        <f>(30-1.5/2)*9</f>
        <v>263.25</v>
      </c>
      <c r="F455" s="14">
        <f>Conc</f>
        <v>0.0010416666666666667</v>
      </c>
      <c r="G455" s="15">
        <v>1</v>
      </c>
      <c r="H455" s="15">
        <v>1</v>
      </c>
      <c r="I455" s="13">
        <f t="shared" si="25"/>
        <v>0.27421875</v>
      </c>
      <c r="J455" s="16">
        <f>SUM(I452:I455)</f>
        <v>0.48348635625134895</v>
      </c>
    </row>
    <row r="456" spans="1:12" ht="12.75">
      <c r="A456" s="219" t="s">
        <v>156</v>
      </c>
      <c r="B456" s="35" t="s">
        <v>148</v>
      </c>
      <c r="C456" s="20" t="s">
        <v>109</v>
      </c>
      <c r="D456" s="11" t="s">
        <v>371</v>
      </c>
      <c r="E456" s="28">
        <f>PI()*4*0.1875</f>
        <v>2.356194490192345</v>
      </c>
      <c r="F456" s="32">
        <f>Steel</f>
        <v>0.0034027777777777776</v>
      </c>
      <c r="G456" s="33">
        <v>1</v>
      </c>
      <c r="H456" s="33">
        <v>1</v>
      </c>
      <c r="I456" s="28">
        <f t="shared" si="25"/>
        <v>0.00801760625134895</v>
      </c>
      <c r="J456" s="12"/>
      <c r="K456" s="28"/>
      <c r="L456" s="28"/>
    </row>
    <row r="457" spans="1:12" ht="12.75">
      <c r="A457" s="219"/>
      <c r="C457" s="20"/>
      <c r="D457" s="20" t="s">
        <v>412</v>
      </c>
      <c r="E457" s="28">
        <f>PI()*3.5*0.1875</f>
        <v>2.061670178918302</v>
      </c>
      <c r="F457" s="32">
        <f>Steel</f>
        <v>0.0034027777777777776</v>
      </c>
      <c r="G457" s="33">
        <v>1</v>
      </c>
      <c r="H457" s="33">
        <v>1</v>
      </c>
      <c r="I457" s="28">
        <f t="shared" si="25"/>
        <v>0.007015405469930332</v>
      </c>
      <c r="J457" s="12"/>
      <c r="K457" s="28"/>
      <c r="L457" s="28"/>
    </row>
    <row r="458" spans="1:12" ht="12.75">
      <c r="A458" s="216"/>
      <c r="D458" s="20" t="s">
        <v>394</v>
      </c>
      <c r="E458" s="28">
        <f>10*(3/16)+2*5*(5/16)</f>
        <v>5</v>
      </c>
      <c r="F458" s="32">
        <f>Steel</f>
        <v>0.0034027777777777776</v>
      </c>
      <c r="G458" s="33">
        <f>1.875</f>
        <v>1.875</v>
      </c>
      <c r="H458" s="33">
        <v>7</v>
      </c>
      <c r="I458" s="28">
        <f t="shared" si="25"/>
        <v>0.004557291666666666</v>
      </c>
      <c r="J458" s="12"/>
      <c r="K458" s="28"/>
      <c r="L458" s="28"/>
    </row>
    <row r="459" spans="1:10" ht="12.75">
      <c r="A459" s="234"/>
      <c r="B459" s="36"/>
      <c r="C459" s="7"/>
      <c r="D459" s="7" t="s">
        <v>413</v>
      </c>
      <c r="E459" s="13">
        <f>11*18</f>
        <v>198</v>
      </c>
      <c r="F459" s="14">
        <f>Conc</f>
        <v>0.0010416666666666667</v>
      </c>
      <c r="G459" s="15">
        <v>1</v>
      </c>
      <c r="H459" s="15">
        <v>1</v>
      </c>
      <c r="I459" s="13">
        <f t="shared" si="25"/>
        <v>0.20625</v>
      </c>
      <c r="J459" s="16">
        <f>SUM(I456:I459)</f>
        <v>0.22584030338794595</v>
      </c>
    </row>
    <row r="460" spans="1:10" ht="12.75">
      <c r="A460" s="219" t="s">
        <v>156</v>
      </c>
      <c r="B460" s="35" t="s">
        <v>149</v>
      </c>
      <c r="C460" s="20" t="s">
        <v>139</v>
      </c>
      <c r="D460" s="11" t="s">
        <v>371</v>
      </c>
      <c r="E460" s="28">
        <f>PI()*4*0.1875</f>
        <v>2.356194490192345</v>
      </c>
      <c r="F460" s="32">
        <f>Steel</f>
        <v>0.0034027777777777776</v>
      </c>
      <c r="G460" s="33">
        <v>1</v>
      </c>
      <c r="H460" s="33">
        <v>1</v>
      </c>
      <c r="I460" s="28">
        <f t="shared" si="25"/>
        <v>0.00801760625134895</v>
      </c>
      <c r="J460" s="12"/>
    </row>
    <row r="461" spans="1:10" ht="12.75">
      <c r="A461" s="219"/>
      <c r="C461" s="20"/>
      <c r="D461" s="20" t="s">
        <v>412</v>
      </c>
      <c r="E461" s="28">
        <f>PI()*3.5*0.1875</f>
        <v>2.061670178918302</v>
      </c>
      <c r="F461" s="32">
        <f>Steel</f>
        <v>0.0034027777777777776</v>
      </c>
      <c r="G461" s="33">
        <v>1</v>
      </c>
      <c r="H461" s="33">
        <v>1</v>
      </c>
      <c r="I461" s="28">
        <f aca="true" t="shared" si="28" ref="I461:I524">E461*F461*G461/H461</f>
        <v>0.007015405469930332</v>
      </c>
      <c r="J461" s="12"/>
    </row>
    <row r="462" spans="1:10" ht="12.75">
      <c r="A462" s="216"/>
      <c r="D462" s="20" t="s">
        <v>394</v>
      </c>
      <c r="E462" s="28">
        <f>10*(3/16)+2*5*(5/16)</f>
        <v>5</v>
      </c>
      <c r="F462" s="32">
        <f>Steel</f>
        <v>0.0034027777777777776</v>
      </c>
      <c r="G462" s="33">
        <f>1.5</f>
        <v>1.5</v>
      </c>
      <c r="H462" s="33">
        <v>7</v>
      </c>
      <c r="I462" s="28">
        <f t="shared" si="28"/>
        <v>0.0036458333333333334</v>
      </c>
      <c r="J462" s="12"/>
    </row>
    <row r="463" spans="1:10" ht="12.75">
      <c r="A463" s="216"/>
      <c r="B463" s="35"/>
      <c r="C463" s="20"/>
      <c r="D463" s="20" t="s">
        <v>413</v>
      </c>
      <c r="E463" s="28">
        <f>11*18</f>
        <v>198</v>
      </c>
      <c r="F463" s="32">
        <f>Conc</f>
        <v>0.0010416666666666667</v>
      </c>
      <c r="G463" s="33">
        <v>1</v>
      </c>
      <c r="H463" s="33">
        <v>1</v>
      </c>
      <c r="I463" s="28">
        <f t="shared" si="28"/>
        <v>0.20625</v>
      </c>
      <c r="J463" s="12"/>
    </row>
    <row r="464" spans="1:10" ht="12.75">
      <c r="A464" s="234"/>
      <c r="B464" s="36"/>
      <c r="C464" s="7"/>
      <c r="D464" s="9" t="s">
        <v>403</v>
      </c>
      <c r="E464" s="13">
        <f>30*9</f>
        <v>270</v>
      </c>
      <c r="F464" s="14">
        <f>Conc</f>
        <v>0.0010416666666666667</v>
      </c>
      <c r="G464" s="15">
        <v>1</v>
      </c>
      <c r="H464" s="15">
        <v>1</v>
      </c>
      <c r="I464" s="13">
        <f t="shared" si="28"/>
        <v>0.28125</v>
      </c>
      <c r="J464" s="16">
        <f>SUM(I460:I464)</f>
        <v>0.5061788450546126</v>
      </c>
    </row>
    <row r="465" spans="1:10" ht="12.75">
      <c r="A465" s="219" t="s">
        <v>157</v>
      </c>
      <c r="B465" s="35" t="s">
        <v>158</v>
      </c>
      <c r="C465" s="20"/>
      <c r="D465" s="20" t="s">
        <v>414</v>
      </c>
      <c r="E465" s="28">
        <f>8.5*21</f>
        <v>178.5</v>
      </c>
      <c r="F465" s="32">
        <f>Conc</f>
        <v>0.0010416666666666667</v>
      </c>
      <c r="G465" s="33">
        <v>1</v>
      </c>
      <c r="H465" s="33">
        <v>1</v>
      </c>
      <c r="I465" s="28">
        <f t="shared" si="28"/>
        <v>0.1859375</v>
      </c>
      <c r="J465" s="12"/>
    </row>
    <row r="466" spans="1:10" ht="12.75">
      <c r="A466" s="219"/>
      <c r="B466" s="35"/>
      <c r="C466" s="20"/>
      <c r="D466" s="20" t="s">
        <v>385</v>
      </c>
      <c r="E466" s="28">
        <f>-2*3.5*0.75</f>
        <v>-5.25</v>
      </c>
      <c r="F466" s="32">
        <f>Conc</f>
        <v>0.0010416666666666667</v>
      </c>
      <c r="G466" s="33">
        <v>1</v>
      </c>
      <c r="H466" s="33">
        <f>10.5/12</f>
        <v>0.875</v>
      </c>
      <c r="I466" s="28">
        <f t="shared" si="28"/>
        <v>-0.0062499999999999995</v>
      </c>
      <c r="J466" s="12"/>
    </row>
    <row r="467" spans="1:10" ht="12.75">
      <c r="A467" s="234"/>
      <c r="B467" s="36"/>
      <c r="C467" s="7"/>
      <c r="D467" s="7" t="s">
        <v>415</v>
      </c>
      <c r="E467" s="13">
        <f>(34-1.5/2)*9</f>
        <v>299.25</v>
      </c>
      <c r="F467" s="14">
        <f>Conc</f>
        <v>0.0010416666666666667</v>
      </c>
      <c r="G467" s="15">
        <v>1</v>
      </c>
      <c r="H467" s="15">
        <v>1</v>
      </c>
      <c r="I467" s="13">
        <f t="shared" si="28"/>
        <v>0.31171875</v>
      </c>
      <c r="J467" s="16">
        <f>SUM(I465:I467)</f>
        <v>0.49140625</v>
      </c>
    </row>
    <row r="468" spans="1:10" ht="12.75">
      <c r="A468" s="219" t="s">
        <v>157</v>
      </c>
      <c r="B468" s="35" t="s">
        <v>159</v>
      </c>
      <c r="C468" s="20"/>
      <c r="D468" s="20" t="s">
        <v>416</v>
      </c>
      <c r="E468" s="28">
        <f>2.5*9.5</f>
        <v>23.75</v>
      </c>
      <c r="F468" s="32">
        <f>Tmbr</f>
        <v>0.00022222222222222223</v>
      </c>
      <c r="G468" s="33">
        <v>1</v>
      </c>
      <c r="H468" s="33">
        <v>1</v>
      </c>
      <c r="I468" s="28">
        <f t="shared" si="28"/>
        <v>0.005277777777777778</v>
      </c>
      <c r="J468" s="12"/>
    </row>
    <row r="469" spans="1:10" ht="12.75">
      <c r="A469" s="216"/>
      <c r="B469" s="35"/>
      <c r="C469" s="20"/>
      <c r="D469" s="20" t="s">
        <v>417</v>
      </c>
      <c r="E469" s="28">
        <f>7.5^2</f>
        <v>56.25</v>
      </c>
      <c r="F469" s="32">
        <f>Tmbr</f>
        <v>0.00022222222222222223</v>
      </c>
      <c r="G469" s="33">
        <v>4</v>
      </c>
      <c r="H469" s="33">
        <v>4</v>
      </c>
      <c r="I469" s="28">
        <f t="shared" si="28"/>
        <v>0.0125</v>
      </c>
      <c r="J469" s="12"/>
    </row>
    <row r="470" spans="1:10" ht="12.75">
      <c r="A470" s="234"/>
      <c r="B470" s="36"/>
      <c r="C470" s="7"/>
      <c r="D470" s="7" t="s">
        <v>418</v>
      </c>
      <c r="E470" s="37">
        <f>(25.5-1.5/2)*10.25</f>
        <v>253.6875</v>
      </c>
      <c r="F470" s="14">
        <f>Conc</f>
        <v>0.0010416666666666667</v>
      </c>
      <c r="G470" s="15">
        <v>1</v>
      </c>
      <c r="H470" s="15">
        <v>1</v>
      </c>
      <c r="I470" s="13">
        <f t="shared" si="28"/>
        <v>0.2642578125</v>
      </c>
      <c r="J470" s="16">
        <f>SUM(I468:I470)</f>
        <v>0.2820355902777778</v>
      </c>
    </row>
    <row r="471" spans="1:10" ht="12.75">
      <c r="A471" s="219" t="s">
        <v>160</v>
      </c>
      <c r="B471" s="27" t="s">
        <v>161</v>
      </c>
      <c r="C471" s="11"/>
      <c r="D471" s="20" t="s">
        <v>419</v>
      </c>
      <c r="E471" s="38">
        <f>8.5*21</f>
        <v>178.5</v>
      </c>
      <c r="F471" s="32">
        <f>Conc</f>
        <v>0.0010416666666666667</v>
      </c>
      <c r="G471" s="33">
        <v>1</v>
      </c>
      <c r="H471" s="33">
        <v>1</v>
      </c>
      <c r="I471" s="28">
        <f t="shared" si="28"/>
        <v>0.1859375</v>
      </c>
      <c r="J471" s="12"/>
    </row>
    <row r="472" spans="1:10" ht="12.75">
      <c r="A472" s="219"/>
      <c r="B472" s="27"/>
      <c r="C472" s="11"/>
      <c r="D472" s="20" t="s">
        <v>385</v>
      </c>
      <c r="E472" s="28">
        <f>-2*3.5*0.75</f>
        <v>-5.25</v>
      </c>
      <c r="F472" s="32">
        <f>Conc</f>
        <v>0.0010416666666666667</v>
      </c>
      <c r="G472" s="33">
        <v>1</v>
      </c>
      <c r="H472" s="33">
        <f>10.5/12</f>
        <v>0.875</v>
      </c>
      <c r="I472" s="28">
        <f t="shared" si="28"/>
        <v>-0.0062499999999999995</v>
      </c>
      <c r="J472" s="12"/>
    </row>
    <row r="473" spans="1:10" ht="12.75">
      <c r="A473" s="234"/>
      <c r="B473" s="36"/>
      <c r="C473" s="7"/>
      <c r="D473" s="9" t="s">
        <v>420</v>
      </c>
      <c r="E473" s="37">
        <f>(28-1.5/2)*9</f>
        <v>245.25</v>
      </c>
      <c r="F473" s="14">
        <f>Conc</f>
        <v>0.0010416666666666667</v>
      </c>
      <c r="G473" s="15">
        <v>1</v>
      </c>
      <c r="H473" s="15">
        <v>1</v>
      </c>
      <c r="I473" s="13">
        <f t="shared" si="28"/>
        <v>0.25546875</v>
      </c>
      <c r="J473" s="16">
        <f>SUM(I471:I473)</f>
        <v>0.43515625</v>
      </c>
    </row>
    <row r="474" spans="1:10" ht="12.75">
      <c r="A474" s="233" t="s">
        <v>162</v>
      </c>
      <c r="B474" s="35" t="s">
        <v>155</v>
      </c>
      <c r="C474" s="20" t="s">
        <v>139</v>
      </c>
      <c r="D474" s="20" t="s">
        <v>371</v>
      </c>
      <c r="E474" s="28">
        <f>PI()*4*0.1875</f>
        <v>2.356194490192345</v>
      </c>
      <c r="F474" s="32">
        <f>Steel</f>
        <v>0.0034027777777777776</v>
      </c>
      <c r="G474" s="33">
        <v>1</v>
      </c>
      <c r="H474" s="33">
        <v>1</v>
      </c>
      <c r="I474" s="28">
        <f t="shared" si="28"/>
        <v>0.00801760625134895</v>
      </c>
      <c r="J474" s="12"/>
    </row>
    <row r="475" spans="1:10" ht="12.75">
      <c r="A475" s="216"/>
      <c r="C475" s="20"/>
      <c r="D475" s="20" t="s">
        <v>394</v>
      </c>
      <c r="E475" s="28">
        <f>8*(3/8)+2*6*0.5</f>
        <v>9</v>
      </c>
      <c r="F475" s="32">
        <f>Steel</f>
        <v>0.0034027777777777776</v>
      </c>
      <c r="G475" s="33">
        <v>1</v>
      </c>
      <c r="H475" s="33">
        <v>7</v>
      </c>
      <c r="I475" s="28">
        <f t="shared" si="28"/>
        <v>0.0043749999999999995</v>
      </c>
      <c r="J475" s="12"/>
    </row>
    <row r="476" spans="1:10" ht="12.75">
      <c r="A476" s="216"/>
      <c r="D476" s="11" t="s">
        <v>395</v>
      </c>
      <c r="E476" s="28">
        <f>10.5*18</f>
        <v>189</v>
      </c>
      <c r="F476" s="32">
        <f>Conc</f>
        <v>0.0010416666666666667</v>
      </c>
      <c r="G476" s="33">
        <v>1</v>
      </c>
      <c r="H476" s="33">
        <v>1</v>
      </c>
      <c r="I476" s="28">
        <f t="shared" si="28"/>
        <v>0.196875</v>
      </c>
      <c r="J476" s="12"/>
    </row>
    <row r="477" spans="1:10" ht="12.75">
      <c r="A477" s="234"/>
      <c r="B477" s="19"/>
      <c r="C477" s="13"/>
      <c r="D477" s="7" t="s">
        <v>421</v>
      </c>
      <c r="E477" s="13">
        <f>15*9</f>
        <v>135</v>
      </c>
      <c r="F477" s="14">
        <f>Conc</f>
        <v>0.0010416666666666667</v>
      </c>
      <c r="G477" s="15">
        <v>1</v>
      </c>
      <c r="H477" s="15">
        <v>1</v>
      </c>
      <c r="I477" s="13">
        <f t="shared" si="28"/>
        <v>0.140625</v>
      </c>
      <c r="J477" s="16">
        <f>SUM(I474:I477)</f>
        <v>0.34989260625134894</v>
      </c>
    </row>
    <row r="478" spans="1:11" ht="12.75">
      <c r="A478" s="233" t="s">
        <v>163</v>
      </c>
      <c r="B478" s="35" t="s">
        <v>155</v>
      </c>
      <c r="C478" s="20" t="s">
        <v>139</v>
      </c>
      <c r="D478" s="20" t="s">
        <v>371</v>
      </c>
      <c r="E478" s="28">
        <f>PI()*4*0.1875</f>
        <v>2.356194490192345</v>
      </c>
      <c r="F478" s="32">
        <f>Steel</f>
        <v>0.0034027777777777776</v>
      </c>
      <c r="G478" s="33">
        <v>1</v>
      </c>
      <c r="H478" s="33">
        <v>1</v>
      </c>
      <c r="I478" s="28">
        <f t="shared" si="28"/>
        <v>0.00801760625134895</v>
      </c>
      <c r="J478" s="12"/>
      <c r="K478" s="28"/>
    </row>
    <row r="479" spans="1:11" ht="12.75">
      <c r="A479" s="216"/>
      <c r="C479" s="20"/>
      <c r="D479" s="20" t="s">
        <v>394</v>
      </c>
      <c r="E479" s="28">
        <f>8*(3/8)+2*6*0.5</f>
        <v>9</v>
      </c>
      <c r="F479" s="32">
        <f>Steel</f>
        <v>0.0034027777777777776</v>
      </c>
      <c r="G479" s="33">
        <v>1</v>
      </c>
      <c r="H479" s="33">
        <v>7</v>
      </c>
      <c r="I479" s="28">
        <f t="shared" si="28"/>
        <v>0.0043749999999999995</v>
      </c>
      <c r="J479" s="12"/>
      <c r="K479" s="28"/>
    </row>
    <row r="480" spans="1:11" ht="12.75">
      <c r="A480" s="216"/>
      <c r="D480" s="11" t="s">
        <v>395</v>
      </c>
      <c r="E480" s="28">
        <f>10.5*18</f>
        <v>189</v>
      </c>
      <c r="F480" s="32">
        <f>Conc</f>
        <v>0.0010416666666666667</v>
      </c>
      <c r="G480" s="33">
        <v>1</v>
      </c>
      <c r="H480" s="33">
        <v>1</v>
      </c>
      <c r="I480" s="28">
        <f t="shared" si="28"/>
        <v>0.196875</v>
      </c>
      <c r="J480" s="12"/>
      <c r="K480" s="28"/>
    </row>
    <row r="481" spans="1:10" ht="12.75">
      <c r="A481" s="234"/>
      <c r="B481" s="19"/>
      <c r="C481" s="13"/>
      <c r="D481" s="7" t="s">
        <v>403</v>
      </c>
      <c r="E481" s="13">
        <f>(30-1.5/2)*9</f>
        <v>263.25</v>
      </c>
      <c r="F481" s="14">
        <f>Conc</f>
        <v>0.0010416666666666667</v>
      </c>
      <c r="G481" s="15">
        <v>1</v>
      </c>
      <c r="H481" s="15">
        <v>1</v>
      </c>
      <c r="I481" s="13">
        <f t="shared" si="28"/>
        <v>0.27421875</v>
      </c>
      <c r="J481" s="16">
        <f>SUM(I478:I481)</f>
        <v>0.48348635625134895</v>
      </c>
    </row>
    <row r="482" spans="1:11" ht="12.75">
      <c r="A482" s="219" t="s">
        <v>164</v>
      </c>
      <c r="B482" s="35" t="s">
        <v>165</v>
      </c>
      <c r="C482" s="20"/>
      <c r="D482" s="11" t="s">
        <v>419</v>
      </c>
      <c r="E482" s="28">
        <f>8.5*21</f>
        <v>178.5</v>
      </c>
      <c r="F482" s="32">
        <f>Conc</f>
        <v>0.0010416666666666667</v>
      </c>
      <c r="G482" s="33">
        <v>1</v>
      </c>
      <c r="H482" s="33">
        <v>1</v>
      </c>
      <c r="I482" s="28">
        <f t="shared" si="28"/>
        <v>0.1859375</v>
      </c>
      <c r="J482" s="12"/>
      <c r="K482" s="28"/>
    </row>
    <row r="483" spans="1:11" ht="12.75">
      <c r="A483" s="216"/>
      <c r="D483" s="20" t="s">
        <v>385</v>
      </c>
      <c r="E483" s="28">
        <f>-2*3.5*0.75</f>
        <v>-5.25</v>
      </c>
      <c r="F483" s="32">
        <f>Conc</f>
        <v>0.0010416666666666667</v>
      </c>
      <c r="G483" s="33">
        <v>1</v>
      </c>
      <c r="H483" s="33">
        <f>10.5/12</f>
        <v>0.875</v>
      </c>
      <c r="I483" s="28">
        <f t="shared" si="28"/>
        <v>-0.0062499999999999995</v>
      </c>
      <c r="J483" s="12"/>
      <c r="K483" s="28"/>
    </row>
    <row r="484" spans="1:10" ht="12.75">
      <c r="A484" s="234"/>
      <c r="B484" s="19"/>
      <c r="C484" s="13"/>
      <c r="D484" s="9" t="s">
        <v>422</v>
      </c>
      <c r="E484" s="13">
        <f>(29-1.5/2)*9</f>
        <v>254.25</v>
      </c>
      <c r="F484" s="14">
        <f>Conc</f>
        <v>0.0010416666666666667</v>
      </c>
      <c r="G484" s="15">
        <v>1</v>
      </c>
      <c r="H484" s="15">
        <v>1</v>
      </c>
      <c r="I484" s="13">
        <f t="shared" si="28"/>
        <v>0.26484375</v>
      </c>
      <c r="J484" s="16">
        <f>SUM(I482:I484)</f>
        <v>0.44453125</v>
      </c>
    </row>
    <row r="485" spans="1:11" ht="12.75">
      <c r="A485" s="219" t="s">
        <v>166</v>
      </c>
      <c r="B485" s="35" t="s">
        <v>167</v>
      </c>
      <c r="C485" s="20" t="s">
        <v>139</v>
      </c>
      <c r="D485" s="20" t="s">
        <v>423</v>
      </c>
      <c r="E485" s="28">
        <f>2.25</f>
        <v>2.25</v>
      </c>
      <c r="F485" s="32">
        <f aca="true" t="shared" si="29" ref="F485:F490">Steel</f>
        <v>0.0034027777777777776</v>
      </c>
      <c r="G485" s="28">
        <v>1</v>
      </c>
      <c r="H485" s="28">
        <v>1</v>
      </c>
      <c r="I485" s="28">
        <f t="shared" si="28"/>
        <v>0.00765625</v>
      </c>
      <c r="J485" s="12"/>
      <c r="K485" s="28"/>
    </row>
    <row r="486" spans="1:11" ht="12.75">
      <c r="A486" s="216"/>
      <c r="C486" s="20"/>
      <c r="D486" s="20" t="s">
        <v>424</v>
      </c>
      <c r="E486" s="28">
        <f>0.00232/Steel</f>
        <v>0.681795918367347</v>
      </c>
      <c r="F486" s="32">
        <f t="shared" si="29"/>
        <v>0.0034027777777777776</v>
      </c>
      <c r="G486" s="28">
        <v>1</v>
      </c>
      <c r="H486" s="28">
        <v>1</v>
      </c>
      <c r="I486" s="28">
        <f t="shared" si="28"/>
        <v>0.00232</v>
      </c>
      <c r="J486" s="12"/>
      <c r="K486" s="28"/>
    </row>
    <row r="487" spans="1:11" ht="12.75">
      <c r="A487" s="216"/>
      <c r="D487" s="20" t="s">
        <v>406</v>
      </c>
      <c r="E487" s="28">
        <f>0.00186/Steel</f>
        <v>0.5466122448979592</v>
      </c>
      <c r="F487" s="32">
        <f t="shared" si="29"/>
        <v>0.0034027777777777776</v>
      </c>
      <c r="G487" s="28">
        <v>1</v>
      </c>
      <c r="H487" s="28">
        <v>1</v>
      </c>
      <c r="I487" s="28">
        <f t="shared" si="28"/>
        <v>0.00186</v>
      </c>
      <c r="J487" s="12"/>
      <c r="K487" s="28"/>
    </row>
    <row r="488" spans="1:11" ht="12.75">
      <c r="A488" s="216"/>
      <c r="D488" s="20" t="s">
        <v>407</v>
      </c>
      <c r="E488" s="28">
        <f>0.005/Steel</f>
        <v>1.469387755102041</v>
      </c>
      <c r="F488" s="32">
        <f t="shared" si="29"/>
        <v>0.0034027777777777776</v>
      </c>
      <c r="G488" s="28">
        <v>1</v>
      </c>
      <c r="H488" s="28">
        <v>1</v>
      </c>
      <c r="I488" s="28">
        <f t="shared" si="28"/>
        <v>0.005</v>
      </c>
      <c r="J488" s="12"/>
      <c r="K488" s="28"/>
    </row>
    <row r="489" spans="1:11" ht="12.75">
      <c r="A489" s="216"/>
      <c r="D489" s="20" t="s">
        <v>408</v>
      </c>
      <c r="E489" s="28">
        <f>0.75^2</f>
        <v>0.5625</v>
      </c>
      <c r="F489" s="32">
        <f t="shared" si="29"/>
        <v>0.0034027777777777776</v>
      </c>
      <c r="G489" s="28">
        <f>8.5/12</f>
        <v>0.7083333333333334</v>
      </c>
      <c r="H489" s="28">
        <v>0.5</v>
      </c>
      <c r="I489" s="28">
        <f t="shared" si="28"/>
        <v>0.002711588541666667</v>
      </c>
      <c r="J489" s="12"/>
      <c r="K489" s="28"/>
    </row>
    <row r="490" spans="1:11" ht="12.75">
      <c r="A490" s="216"/>
      <c r="D490" s="20" t="s">
        <v>425</v>
      </c>
      <c r="E490" s="28">
        <f>0.75^2</f>
        <v>0.5625</v>
      </c>
      <c r="F490" s="32">
        <f t="shared" si="29"/>
        <v>0.0034027777777777776</v>
      </c>
      <c r="G490" s="28">
        <f>2+0.75/12</f>
        <v>2.0625</v>
      </c>
      <c r="H490" s="28">
        <v>0.5</v>
      </c>
      <c r="I490" s="28">
        <f t="shared" si="28"/>
        <v>0.007895507812499999</v>
      </c>
      <c r="J490" s="12"/>
      <c r="K490" s="28"/>
    </row>
    <row r="491" spans="1:11" ht="12.75">
      <c r="A491" s="216"/>
      <c r="D491" s="20" t="s">
        <v>426</v>
      </c>
      <c r="E491" s="28">
        <f>12^2</f>
        <v>144</v>
      </c>
      <c r="F491" s="32">
        <f>Conc</f>
        <v>0.0010416666666666667</v>
      </c>
      <c r="G491" s="28">
        <f>4.042-1</f>
        <v>3.042</v>
      </c>
      <c r="H491" s="28">
        <v>7</v>
      </c>
      <c r="I491" s="28">
        <f t="shared" si="28"/>
        <v>0.06518571428571428</v>
      </c>
      <c r="J491" s="12"/>
      <c r="K491" s="28"/>
    </row>
    <row r="492" spans="1:10" ht="12.75">
      <c r="A492" s="234"/>
      <c r="B492" s="19"/>
      <c r="C492" s="13"/>
      <c r="D492" s="7" t="s">
        <v>427</v>
      </c>
      <c r="E492" s="13">
        <f>(30-1.5/2)*12</f>
        <v>351</v>
      </c>
      <c r="F492" s="14">
        <f>Conc</f>
        <v>0.0010416666666666667</v>
      </c>
      <c r="G492" s="13">
        <v>1</v>
      </c>
      <c r="H492" s="13">
        <v>1</v>
      </c>
      <c r="I492" s="13">
        <f t="shared" si="28"/>
        <v>0.365625</v>
      </c>
      <c r="J492" s="16">
        <f>SUM(I485:I492)</f>
        <v>0.45825406063988094</v>
      </c>
    </row>
    <row r="493" spans="1:13" ht="12.75">
      <c r="A493" s="219" t="s">
        <v>166</v>
      </c>
      <c r="B493" s="35" t="s">
        <v>168</v>
      </c>
      <c r="C493" s="20" t="s">
        <v>169</v>
      </c>
      <c r="D493" s="20" t="s">
        <v>423</v>
      </c>
      <c r="E493" s="28">
        <f>2.25</f>
        <v>2.25</v>
      </c>
      <c r="F493" s="32">
        <f aca="true" t="shared" si="30" ref="F493:F498">Steel</f>
        <v>0.0034027777777777776</v>
      </c>
      <c r="G493" s="28">
        <v>1</v>
      </c>
      <c r="H493" s="28">
        <v>1</v>
      </c>
      <c r="I493" s="28">
        <f t="shared" si="28"/>
        <v>0.00765625</v>
      </c>
      <c r="J493" s="12"/>
      <c r="K493" s="28"/>
      <c r="L493" s="28"/>
      <c r="M493" s="28"/>
    </row>
    <row r="494" spans="1:13" ht="12.75">
      <c r="A494" s="216"/>
      <c r="C494" s="20"/>
      <c r="D494" s="20" t="s">
        <v>424</v>
      </c>
      <c r="E494" s="28">
        <f>0.00232/Steel</f>
        <v>0.681795918367347</v>
      </c>
      <c r="F494" s="32">
        <f t="shared" si="30"/>
        <v>0.0034027777777777776</v>
      </c>
      <c r="G494" s="28">
        <v>1</v>
      </c>
      <c r="H494" s="28">
        <v>1</v>
      </c>
      <c r="I494" s="28">
        <f t="shared" si="28"/>
        <v>0.00232</v>
      </c>
      <c r="J494" s="12"/>
      <c r="K494" s="28"/>
      <c r="L494" s="28"/>
      <c r="M494" s="28"/>
    </row>
    <row r="495" spans="1:13" ht="12.75">
      <c r="A495" s="216"/>
      <c r="D495" s="20" t="s">
        <v>406</v>
      </c>
      <c r="E495" s="28">
        <f>0.00186/Steel</f>
        <v>0.5466122448979592</v>
      </c>
      <c r="F495" s="32">
        <f t="shared" si="30"/>
        <v>0.0034027777777777776</v>
      </c>
      <c r="G495" s="28">
        <v>1</v>
      </c>
      <c r="H495" s="28">
        <v>1</v>
      </c>
      <c r="I495" s="28">
        <f t="shared" si="28"/>
        <v>0.00186</v>
      </c>
      <c r="J495" s="12"/>
      <c r="K495" s="28"/>
      <c r="L495" s="28"/>
      <c r="M495" s="28"/>
    </row>
    <row r="496" spans="1:13" ht="12.75">
      <c r="A496" s="216"/>
      <c r="D496" s="20" t="s">
        <v>407</v>
      </c>
      <c r="E496" s="28">
        <f>0.005/Steel</f>
        <v>1.469387755102041</v>
      </c>
      <c r="F496" s="32">
        <f t="shared" si="30"/>
        <v>0.0034027777777777776</v>
      </c>
      <c r="G496" s="28">
        <v>1</v>
      </c>
      <c r="H496" s="28">
        <v>1</v>
      </c>
      <c r="I496" s="28">
        <f t="shared" si="28"/>
        <v>0.005</v>
      </c>
      <c r="J496" s="12"/>
      <c r="K496" s="28"/>
      <c r="L496" s="28"/>
      <c r="M496" s="28"/>
    </row>
    <row r="497" spans="1:13" ht="12.75">
      <c r="A497" s="216"/>
      <c r="D497" s="20" t="s">
        <v>408</v>
      </c>
      <c r="E497" s="28">
        <f>0.75^2</f>
        <v>0.5625</v>
      </c>
      <c r="F497" s="32">
        <f t="shared" si="30"/>
        <v>0.0034027777777777776</v>
      </c>
      <c r="G497" s="28">
        <f>8.5/12</f>
        <v>0.7083333333333334</v>
      </c>
      <c r="H497" s="28">
        <v>0.5</v>
      </c>
      <c r="I497" s="28">
        <f t="shared" si="28"/>
        <v>0.002711588541666667</v>
      </c>
      <c r="J497" s="12"/>
      <c r="K497" s="28"/>
      <c r="L497" s="28"/>
      <c r="M497" s="28"/>
    </row>
    <row r="498" spans="1:13" ht="12.75">
      <c r="A498" s="216"/>
      <c r="D498" s="20" t="s">
        <v>425</v>
      </c>
      <c r="E498" s="28">
        <f>0.75^2</f>
        <v>0.5625</v>
      </c>
      <c r="F498" s="32">
        <f t="shared" si="30"/>
        <v>0.0034027777777777776</v>
      </c>
      <c r="G498" s="28">
        <f>2+0.75/12</f>
        <v>2.0625</v>
      </c>
      <c r="H498" s="28">
        <v>0.5</v>
      </c>
      <c r="I498" s="28">
        <f t="shared" si="28"/>
        <v>0.007895507812499999</v>
      </c>
      <c r="J498" s="12"/>
      <c r="K498" s="28"/>
      <c r="L498" s="28"/>
      <c r="M498" s="28"/>
    </row>
    <row r="499" spans="1:13" ht="12.75">
      <c r="A499" s="216"/>
      <c r="D499" s="20" t="s">
        <v>426</v>
      </c>
      <c r="E499" s="28">
        <f>12^2</f>
        <v>144</v>
      </c>
      <c r="F499" s="32">
        <f aca="true" t="shared" si="31" ref="F499:F507">Conc</f>
        <v>0.0010416666666666667</v>
      </c>
      <c r="G499" s="28">
        <f>4.042-1</f>
        <v>3.042</v>
      </c>
      <c r="H499" s="28">
        <v>7</v>
      </c>
      <c r="I499" s="28">
        <f t="shared" si="28"/>
        <v>0.06518571428571428</v>
      </c>
      <c r="J499" s="12"/>
      <c r="K499" s="28"/>
      <c r="L499" s="28"/>
      <c r="M499" s="28"/>
    </row>
    <row r="500" spans="1:10" ht="12.75">
      <c r="A500" s="234"/>
      <c r="B500" s="19"/>
      <c r="C500" s="13"/>
      <c r="D500" s="7" t="s">
        <v>428</v>
      </c>
      <c r="E500" s="13">
        <f>9*6</f>
        <v>54</v>
      </c>
      <c r="F500" s="14">
        <f t="shared" si="31"/>
        <v>0.0010416666666666667</v>
      </c>
      <c r="G500" s="13">
        <v>1</v>
      </c>
      <c r="H500" s="13">
        <v>1</v>
      </c>
      <c r="I500" s="13">
        <f t="shared" si="28"/>
        <v>0.05625</v>
      </c>
      <c r="J500" s="16">
        <f>SUM(I493:I500)</f>
        <v>0.14887906063988093</v>
      </c>
    </row>
    <row r="501" spans="1:11" ht="12.75">
      <c r="A501" s="219" t="s">
        <v>170</v>
      </c>
      <c r="B501" s="35" t="s">
        <v>171</v>
      </c>
      <c r="C501" s="20"/>
      <c r="D501" s="20" t="s">
        <v>419</v>
      </c>
      <c r="E501" s="28">
        <f>8.5*21</f>
        <v>178.5</v>
      </c>
      <c r="F501" s="32">
        <f t="shared" si="31"/>
        <v>0.0010416666666666667</v>
      </c>
      <c r="G501" s="33">
        <v>1</v>
      </c>
      <c r="H501" s="33">
        <v>1</v>
      </c>
      <c r="I501" s="28">
        <f t="shared" si="28"/>
        <v>0.1859375</v>
      </c>
      <c r="J501" s="12"/>
      <c r="K501" s="28"/>
    </row>
    <row r="502" spans="1:11" ht="12.75">
      <c r="A502" s="216"/>
      <c r="D502" s="20" t="s">
        <v>385</v>
      </c>
      <c r="E502" s="28">
        <f>-2*3.5*0.75</f>
        <v>-5.25</v>
      </c>
      <c r="F502" s="32">
        <f t="shared" si="31"/>
        <v>0.0010416666666666667</v>
      </c>
      <c r="G502" s="33">
        <v>1</v>
      </c>
      <c r="H502" s="33">
        <f>10.5/12</f>
        <v>0.875</v>
      </c>
      <c r="I502" s="28">
        <f t="shared" si="28"/>
        <v>-0.0062499999999999995</v>
      </c>
      <c r="J502" s="12"/>
      <c r="K502" s="28"/>
    </row>
    <row r="503" spans="1:10" ht="12.75">
      <c r="A503" s="234"/>
      <c r="B503" s="19"/>
      <c r="C503" s="13"/>
      <c r="D503" s="7" t="s">
        <v>429</v>
      </c>
      <c r="E503" s="13">
        <f>13*9</f>
        <v>117</v>
      </c>
      <c r="F503" s="14">
        <f t="shared" si="31"/>
        <v>0.0010416666666666667</v>
      </c>
      <c r="G503" s="15">
        <v>1</v>
      </c>
      <c r="H503" s="15">
        <v>1</v>
      </c>
      <c r="I503" s="13">
        <f t="shared" si="28"/>
        <v>0.121875</v>
      </c>
      <c r="J503" s="16">
        <f>SUM(I501:I503)</f>
        <v>0.3015625</v>
      </c>
    </row>
    <row r="504" spans="1:11" ht="12.75">
      <c r="A504" s="233" t="s">
        <v>172</v>
      </c>
      <c r="B504" s="35" t="s">
        <v>173</v>
      </c>
      <c r="C504" s="20"/>
      <c r="D504" s="20" t="s">
        <v>419</v>
      </c>
      <c r="E504" s="28">
        <f>0.5*(7+8.5)*21</f>
        <v>162.75</v>
      </c>
      <c r="F504" s="32">
        <f t="shared" si="31"/>
        <v>0.0010416666666666667</v>
      </c>
      <c r="G504" s="33">
        <v>1</v>
      </c>
      <c r="H504" s="33">
        <v>1</v>
      </c>
      <c r="I504" s="28">
        <f t="shared" si="28"/>
        <v>0.16953125</v>
      </c>
      <c r="J504" s="12"/>
      <c r="K504" s="28"/>
    </row>
    <row r="505" spans="1:11" ht="12.75">
      <c r="A505" s="216"/>
      <c r="D505" s="20" t="s">
        <v>430</v>
      </c>
      <c r="E505" s="28">
        <f>-3.5*0.75</f>
        <v>-2.625</v>
      </c>
      <c r="F505" s="32">
        <f t="shared" si="31"/>
        <v>0.0010416666666666667</v>
      </c>
      <c r="G505" s="33">
        <v>1</v>
      </c>
      <c r="H505" s="33">
        <f>10.5/12</f>
        <v>0.875</v>
      </c>
      <c r="I505" s="28">
        <f t="shared" si="28"/>
        <v>-0.0031249999999999997</v>
      </c>
      <c r="J505" s="12"/>
      <c r="K505" s="28"/>
    </row>
    <row r="506" spans="1:11" ht="12.75">
      <c r="A506" s="216"/>
      <c r="D506" s="11" t="s">
        <v>429</v>
      </c>
      <c r="E506" s="28">
        <f>13*9</f>
        <v>117</v>
      </c>
      <c r="F506" s="32">
        <f t="shared" si="31"/>
        <v>0.0010416666666666667</v>
      </c>
      <c r="G506" s="33">
        <v>1</v>
      </c>
      <c r="H506" s="33">
        <v>1</v>
      </c>
      <c r="I506" s="28">
        <f t="shared" si="28"/>
        <v>0.121875</v>
      </c>
      <c r="J506" s="12"/>
      <c r="K506" s="28"/>
    </row>
    <row r="507" spans="1:10" ht="12.75">
      <c r="A507" s="234"/>
      <c r="B507" s="19"/>
      <c r="C507" s="13"/>
      <c r="D507" s="9" t="s">
        <v>431</v>
      </c>
      <c r="E507" s="13">
        <f>11*12-0.5*(7+8.5)*12</f>
        <v>39</v>
      </c>
      <c r="F507" s="14">
        <f t="shared" si="31"/>
        <v>0.0010416666666666667</v>
      </c>
      <c r="G507" s="15">
        <v>1.75</v>
      </c>
      <c r="H507" s="15">
        <v>8</v>
      </c>
      <c r="I507" s="13">
        <f t="shared" si="28"/>
        <v>0.00888671875</v>
      </c>
      <c r="J507" s="16">
        <f>SUM(I504:I507)</f>
        <v>0.29716796875</v>
      </c>
    </row>
    <row r="508" spans="1:12" ht="12.75">
      <c r="A508" s="219" t="s">
        <v>174</v>
      </c>
      <c r="B508" s="35" t="s">
        <v>175</v>
      </c>
      <c r="C508" s="20" t="s">
        <v>139</v>
      </c>
      <c r="D508" s="20" t="s">
        <v>371</v>
      </c>
      <c r="E508" s="28">
        <f>PI()*4*0.1875</f>
        <v>2.356194490192345</v>
      </c>
      <c r="F508" s="32">
        <f>Steel</f>
        <v>0.0034027777777777776</v>
      </c>
      <c r="G508" s="33">
        <v>1</v>
      </c>
      <c r="H508" s="33">
        <v>1</v>
      </c>
      <c r="I508" s="28">
        <f t="shared" si="28"/>
        <v>0.00801760625134895</v>
      </c>
      <c r="J508" s="12"/>
      <c r="K508" s="28"/>
      <c r="L508" s="28"/>
    </row>
    <row r="509" spans="1:12" ht="12.75">
      <c r="A509" s="216"/>
      <c r="C509" s="20"/>
      <c r="D509" s="20" t="s">
        <v>394</v>
      </c>
      <c r="E509" s="28">
        <f>8*(3/8)+2*6*0.5</f>
        <v>9</v>
      </c>
      <c r="F509" s="32">
        <f>Steel</f>
        <v>0.0034027777777777776</v>
      </c>
      <c r="G509" s="33">
        <v>1</v>
      </c>
      <c r="H509" s="33">
        <v>7</v>
      </c>
      <c r="I509" s="28">
        <f t="shared" si="28"/>
        <v>0.0043749999999999995</v>
      </c>
      <c r="J509" s="12"/>
      <c r="K509" s="28"/>
      <c r="L509" s="28"/>
    </row>
    <row r="510" spans="1:12" ht="12.75">
      <c r="A510" s="216"/>
      <c r="D510" s="11" t="s">
        <v>395</v>
      </c>
      <c r="E510" s="28">
        <f>10.5*18</f>
        <v>189</v>
      </c>
      <c r="F510" s="32">
        <f>Conc</f>
        <v>0.0010416666666666667</v>
      </c>
      <c r="G510" s="33">
        <v>1</v>
      </c>
      <c r="H510" s="33">
        <v>1</v>
      </c>
      <c r="I510" s="28">
        <f t="shared" si="28"/>
        <v>0.196875</v>
      </c>
      <c r="J510" s="12"/>
      <c r="K510" s="28"/>
      <c r="L510" s="28"/>
    </row>
    <row r="511" spans="1:10" ht="12.75">
      <c r="A511" s="234"/>
      <c r="B511" s="19"/>
      <c r="C511" s="13"/>
      <c r="D511" s="7" t="s">
        <v>403</v>
      </c>
      <c r="E511" s="13">
        <f>(30-1.5/2)*9-1.542*0.1875/2</f>
        <v>263.1054375</v>
      </c>
      <c r="F511" s="14">
        <f>Conc</f>
        <v>0.0010416666666666667</v>
      </c>
      <c r="G511" s="15">
        <v>1</v>
      </c>
      <c r="H511" s="15">
        <v>1</v>
      </c>
      <c r="I511" s="13">
        <f t="shared" si="28"/>
        <v>0.2740681640625</v>
      </c>
      <c r="J511" s="16">
        <f>SUM(I508:I511)</f>
        <v>0.48333577031384894</v>
      </c>
    </row>
    <row r="512" spans="1:12" ht="12.75">
      <c r="A512" s="233" t="s">
        <v>176</v>
      </c>
      <c r="B512" s="35" t="s">
        <v>177</v>
      </c>
      <c r="C512" s="20" t="s">
        <v>139</v>
      </c>
      <c r="D512" s="11" t="s">
        <v>419</v>
      </c>
      <c r="E512" s="28">
        <f>8.5*21</f>
        <v>178.5</v>
      </c>
      <c r="F512" s="32">
        <f>Conc</f>
        <v>0.0010416666666666667</v>
      </c>
      <c r="G512" s="33">
        <v>1</v>
      </c>
      <c r="H512" s="33">
        <v>1</v>
      </c>
      <c r="I512" s="28">
        <f t="shared" si="28"/>
        <v>0.1859375</v>
      </c>
      <c r="J512" s="12"/>
      <c r="K512" s="28"/>
      <c r="L512" s="28"/>
    </row>
    <row r="513" spans="1:12" ht="12.75">
      <c r="A513" s="216"/>
      <c r="C513" s="20"/>
      <c r="D513" s="20" t="s">
        <v>385</v>
      </c>
      <c r="E513" s="28">
        <f>-2*3.5*0.75</f>
        <v>-5.25</v>
      </c>
      <c r="F513" s="32">
        <f>Conc</f>
        <v>0.0010416666666666667</v>
      </c>
      <c r="G513" s="33">
        <v>1</v>
      </c>
      <c r="H513" s="33">
        <f>10.5/12</f>
        <v>0.875</v>
      </c>
      <c r="I513" s="28">
        <f t="shared" si="28"/>
        <v>-0.0062499999999999995</v>
      </c>
      <c r="J513" s="12"/>
      <c r="K513" s="28"/>
      <c r="L513" s="28"/>
    </row>
    <row r="514" spans="1:10" ht="12.75">
      <c r="A514" s="234"/>
      <c r="B514" s="19"/>
      <c r="C514" s="13"/>
      <c r="D514" s="9" t="s">
        <v>420</v>
      </c>
      <c r="E514" s="13">
        <f>(28-1.5/2)*9</f>
        <v>245.25</v>
      </c>
      <c r="F514" s="14">
        <f>Conc</f>
        <v>0.0010416666666666667</v>
      </c>
      <c r="G514" s="15">
        <v>1</v>
      </c>
      <c r="H514" s="15">
        <v>1</v>
      </c>
      <c r="I514" s="13">
        <f t="shared" si="28"/>
        <v>0.25546875</v>
      </c>
      <c r="J514" s="16">
        <f>SUM(I512:I514)</f>
        <v>0.43515625</v>
      </c>
    </row>
    <row r="515" spans="1:10" ht="12.75">
      <c r="A515" s="219" t="s">
        <v>178</v>
      </c>
      <c r="B515" s="35" t="s">
        <v>179</v>
      </c>
      <c r="C515" s="20" t="s">
        <v>139</v>
      </c>
      <c r="D515" s="20" t="s">
        <v>432</v>
      </c>
      <c r="E515" s="28">
        <f>3.68</f>
        <v>3.68</v>
      </c>
      <c r="F515" s="32">
        <f>Alum</f>
        <v>0.0011458333333333333</v>
      </c>
      <c r="G515" s="28">
        <v>1</v>
      </c>
      <c r="H515" s="28">
        <v>1</v>
      </c>
      <c r="I515" s="28">
        <f t="shared" si="28"/>
        <v>0.004216666666666667</v>
      </c>
      <c r="J515" s="12"/>
    </row>
    <row r="516" spans="1:10" ht="12.75">
      <c r="A516" s="216"/>
      <c r="C516" s="20"/>
      <c r="D516" s="20" t="s">
        <v>433</v>
      </c>
      <c r="E516" s="28">
        <f>0.375*2.5</f>
        <v>0.9375</v>
      </c>
      <c r="F516" s="32">
        <f>Alum</f>
        <v>0.0011458333333333333</v>
      </c>
      <c r="G516" s="28">
        <v>1</v>
      </c>
      <c r="H516" s="28">
        <v>1</v>
      </c>
      <c r="I516" s="28">
        <f t="shared" si="28"/>
        <v>0.00107421875</v>
      </c>
      <c r="J516" s="12"/>
    </row>
    <row r="517" spans="1:10" ht="12.75">
      <c r="A517" s="216"/>
      <c r="D517" s="20" t="s">
        <v>434</v>
      </c>
      <c r="E517" s="28">
        <f>0.00332/Alum</f>
        <v>2.8974545454545453</v>
      </c>
      <c r="F517" s="32">
        <f>Alum</f>
        <v>0.0011458333333333333</v>
      </c>
      <c r="G517" s="28">
        <v>1</v>
      </c>
      <c r="H517" s="28">
        <v>1</v>
      </c>
      <c r="I517" s="28">
        <f t="shared" si="28"/>
        <v>0.00332</v>
      </c>
      <c r="J517" s="12"/>
    </row>
    <row r="518" spans="1:10" ht="12.75">
      <c r="A518" s="216"/>
      <c r="D518" s="20" t="s">
        <v>435</v>
      </c>
      <c r="E518" s="28">
        <f>0.75^2</f>
        <v>0.5625</v>
      </c>
      <c r="F518" s="32">
        <f>Alum</f>
        <v>0.0011458333333333333</v>
      </c>
      <c r="G518" s="28">
        <v>0.667</v>
      </c>
      <c r="H518" s="28">
        <f>6.5/12</f>
        <v>0.5416666666666666</v>
      </c>
      <c r="I518" s="28">
        <f t="shared" si="28"/>
        <v>0.0007936658653846156</v>
      </c>
      <c r="J518" s="12"/>
    </row>
    <row r="519" spans="1:10" ht="12.75">
      <c r="A519" s="216"/>
      <c r="D519" s="20" t="s">
        <v>436</v>
      </c>
      <c r="E519" s="28">
        <f>0.75^2</f>
        <v>0.5625</v>
      </c>
      <c r="F519" s="32">
        <f>Alum</f>
        <v>0.0011458333333333333</v>
      </c>
      <c r="G519" s="28">
        <v>2</v>
      </c>
      <c r="H519" s="28">
        <f>6.5/12</f>
        <v>0.5416666666666666</v>
      </c>
      <c r="I519" s="28">
        <f t="shared" si="28"/>
        <v>0.002379807692307693</v>
      </c>
      <c r="J519" s="12"/>
    </row>
    <row r="520" spans="1:16" ht="12.75">
      <c r="A520" s="216"/>
      <c r="D520" s="20" t="s">
        <v>426</v>
      </c>
      <c r="E520" s="28">
        <f>12^2</f>
        <v>144</v>
      </c>
      <c r="F520" s="32">
        <f>Conc</f>
        <v>0.0010416666666666667</v>
      </c>
      <c r="G520" s="28">
        <v>3.625</v>
      </c>
      <c r="H520" s="28">
        <v>7</v>
      </c>
      <c r="I520" s="28">
        <f t="shared" si="28"/>
        <v>0.07767857142857142</v>
      </c>
      <c r="J520" s="12"/>
      <c r="K520" s="28"/>
      <c r="L520" s="28"/>
      <c r="M520" s="28"/>
      <c r="N520" s="28"/>
      <c r="O520" s="28"/>
      <c r="P520" s="28"/>
    </row>
    <row r="521" spans="1:16" ht="12.75">
      <c r="A521" s="234"/>
      <c r="B521" s="19"/>
      <c r="C521" s="13"/>
      <c r="D521" s="7" t="s">
        <v>403</v>
      </c>
      <c r="E521" s="13">
        <f>(30-1.5/2)*9</f>
        <v>263.25</v>
      </c>
      <c r="F521" s="14">
        <f>Conc</f>
        <v>0.0010416666666666667</v>
      </c>
      <c r="G521" s="13">
        <v>1</v>
      </c>
      <c r="H521" s="13">
        <v>1</v>
      </c>
      <c r="I521" s="13">
        <f t="shared" si="28"/>
        <v>0.27421875</v>
      </c>
      <c r="J521" s="16">
        <f>SUM(I515:I521)</f>
        <v>0.3636816804029304</v>
      </c>
      <c r="K521" s="28"/>
      <c r="L521" s="28"/>
      <c r="M521" s="28"/>
      <c r="N521" s="28"/>
      <c r="O521" s="28"/>
      <c r="P521" s="28"/>
    </row>
    <row r="522" spans="1:16" ht="12.75">
      <c r="A522" s="233" t="s">
        <v>178</v>
      </c>
      <c r="B522" s="48" t="s">
        <v>180</v>
      </c>
      <c r="C522" s="20" t="s">
        <v>169</v>
      </c>
      <c r="D522" s="42" t="s">
        <v>432</v>
      </c>
      <c r="E522" s="45">
        <f>3.68</f>
        <v>3.68</v>
      </c>
      <c r="F522" s="49">
        <f>Alum</f>
        <v>0.0011458333333333333</v>
      </c>
      <c r="G522" s="45">
        <v>1</v>
      </c>
      <c r="H522" s="45">
        <v>1</v>
      </c>
      <c r="I522" s="45">
        <f t="shared" si="28"/>
        <v>0.004216666666666667</v>
      </c>
      <c r="J522" s="95"/>
      <c r="K522" s="28"/>
      <c r="L522" s="28"/>
      <c r="M522" s="28"/>
      <c r="N522" s="28"/>
      <c r="O522" s="28"/>
      <c r="P522" s="28"/>
    </row>
    <row r="523" spans="1:16" ht="12.75">
      <c r="A523" s="216"/>
      <c r="C523" s="20"/>
      <c r="D523" s="20" t="s">
        <v>433</v>
      </c>
      <c r="E523" s="28">
        <f>0.375*2.5</f>
        <v>0.9375</v>
      </c>
      <c r="F523" s="32">
        <f>Alum</f>
        <v>0.0011458333333333333</v>
      </c>
      <c r="G523" s="28">
        <v>1</v>
      </c>
      <c r="H523" s="28">
        <v>1</v>
      </c>
      <c r="I523" s="28">
        <f t="shared" si="28"/>
        <v>0.00107421875</v>
      </c>
      <c r="J523" s="12"/>
      <c r="K523" s="28"/>
      <c r="L523" s="28"/>
      <c r="M523" s="28"/>
      <c r="N523" s="28"/>
      <c r="O523" s="28"/>
      <c r="P523" s="28"/>
    </row>
    <row r="524" spans="1:16" ht="12.75">
      <c r="A524" s="216"/>
      <c r="D524" s="20" t="s">
        <v>434</v>
      </c>
      <c r="E524" s="28">
        <f>0.00332/Alum</f>
        <v>2.8974545454545453</v>
      </c>
      <c r="F524" s="32">
        <f>Alum</f>
        <v>0.0011458333333333333</v>
      </c>
      <c r="G524" s="28">
        <v>1</v>
      </c>
      <c r="H524" s="28">
        <v>1</v>
      </c>
      <c r="I524" s="28">
        <f t="shared" si="28"/>
        <v>0.00332</v>
      </c>
      <c r="J524" s="12"/>
      <c r="K524" s="28"/>
      <c r="L524" s="28"/>
      <c r="M524" s="28"/>
      <c r="N524" s="28"/>
      <c r="O524" s="28"/>
      <c r="P524" s="28"/>
    </row>
    <row r="525" spans="1:16" ht="12.75">
      <c r="A525" s="216"/>
      <c r="D525" s="20" t="s">
        <v>435</v>
      </c>
      <c r="E525" s="28">
        <f>0.75^2</f>
        <v>0.5625</v>
      </c>
      <c r="F525" s="32">
        <f>Alum</f>
        <v>0.0011458333333333333</v>
      </c>
      <c r="G525" s="28">
        <v>0.667</v>
      </c>
      <c r="H525" s="28">
        <f>6.5/12</f>
        <v>0.5416666666666666</v>
      </c>
      <c r="I525" s="28">
        <f aca="true" t="shared" si="32" ref="I525:I588">E525*F525*G525/H525</f>
        <v>0.0007936658653846156</v>
      </c>
      <c r="J525" s="12"/>
      <c r="K525" s="28"/>
      <c r="L525" s="28"/>
      <c r="M525" s="28"/>
      <c r="N525" s="28"/>
      <c r="O525" s="28"/>
      <c r="P525" s="28"/>
    </row>
    <row r="526" spans="1:16" ht="12.75">
      <c r="A526" s="216"/>
      <c r="D526" s="20" t="s">
        <v>436</v>
      </c>
      <c r="E526" s="28">
        <f>0.75^2</f>
        <v>0.5625</v>
      </c>
      <c r="F526" s="32">
        <f>Alum</f>
        <v>0.0011458333333333333</v>
      </c>
      <c r="G526" s="28">
        <v>2</v>
      </c>
      <c r="H526" s="28">
        <f>6.5/12</f>
        <v>0.5416666666666666</v>
      </c>
      <c r="I526" s="28">
        <f t="shared" si="32"/>
        <v>0.002379807692307693</v>
      </c>
      <c r="J526" s="12"/>
      <c r="K526" s="28"/>
      <c r="L526" s="28"/>
      <c r="M526" s="28"/>
      <c r="N526" s="28"/>
      <c r="O526" s="28"/>
      <c r="P526" s="28"/>
    </row>
    <row r="527" spans="1:16" ht="12.75">
      <c r="A527" s="216"/>
      <c r="D527" s="20" t="s">
        <v>426</v>
      </c>
      <c r="E527" s="28">
        <f>12^2</f>
        <v>144</v>
      </c>
      <c r="F527" s="32">
        <f>Conc</f>
        <v>0.0010416666666666667</v>
      </c>
      <c r="G527" s="28">
        <v>3.625</v>
      </c>
      <c r="H527" s="28">
        <v>7</v>
      </c>
      <c r="I527" s="28">
        <f t="shared" si="32"/>
        <v>0.07767857142857142</v>
      </c>
      <c r="J527" s="12"/>
      <c r="K527" s="28"/>
      <c r="L527" s="28"/>
      <c r="M527" s="28"/>
      <c r="N527" s="28"/>
      <c r="O527" s="28"/>
      <c r="P527" s="28"/>
    </row>
    <row r="528" spans="1:16" ht="12.75">
      <c r="A528" s="234"/>
      <c r="B528" s="19"/>
      <c r="C528" s="13"/>
      <c r="D528" s="7" t="s">
        <v>428</v>
      </c>
      <c r="E528" s="13">
        <f>9*6</f>
        <v>54</v>
      </c>
      <c r="F528" s="14">
        <f>Conc</f>
        <v>0.0010416666666666667</v>
      </c>
      <c r="G528" s="13">
        <v>1</v>
      </c>
      <c r="H528" s="13">
        <v>1</v>
      </c>
      <c r="I528" s="13">
        <f t="shared" si="32"/>
        <v>0.05625</v>
      </c>
      <c r="J528" s="16">
        <f>SUM(I522:I528)</f>
        <v>0.1457129304029304</v>
      </c>
      <c r="K528" s="28"/>
      <c r="L528" s="28"/>
      <c r="M528" s="28"/>
      <c r="N528" s="28"/>
      <c r="O528" s="28"/>
      <c r="P528" s="28"/>
    </row>
    <row r="529" spans="1:16" ht="12.75">
      <c r="A529" s="219" t="s">
        <v>181</v>
      </c>
      <c r="B529" s="35" t="s">
        <v>161</v>
      </c>
      <c r="C529" s="20"/>
      <c r="D529" s="20" t="s">
        <v>356</v>
      </c>
      <c r="E529" s="28">
        <v>1.7</v>
      </c>
      <c r="F529" s="32">
        <f>Steel</f>
        <v>0.0034027777777777776</v>
      </c>
      <c r="G529" s="28">
        <v>1</v>
      </c>
      <c r="H529" s="28">
        <v>1</v>
      </c>
      <c r="I529" s="28">
        <f t="shared" si="32"/>
        <v>0.0057847222222222215</v>
      </c>
      <c r="J529" s="12"/>
      <c r="K529" s="28"/>
      <c r="L529" s="28"/>
      <c r="M529" s="28"/>
      <c r="N529" s="28"/>
      <c r="O529" s="28"/>
      <c r="P529" s="28"/>
    </row>
    <row r="530" spans="1:16" ht="12.75">
      <c r="A530" s="216"/>
      <c r="D530" s="11" t="s">
        <v>437</v>
      </c>
      <c r="E530" s="28">
        <f>0.013/Steel</f>
        <v>3.820408163265306</v>
      </c>
      <c r="F530" s="32">
        <f>Steel</f>
        <v>0.0034027777777777776</v>
      </c>
      <c r="G530" s="28">
        <v>1</v>
      </c>
      <c r="H530" s="28">
        <v>8</v>
      </c>
      <c r="I530" s="28">
        <f t="shared" si="32"/>
        <v>0.001625</v>
      </c>
      <c r="J530" s="12"/>
      <c r="K530" s="28"/>
      <c r="L530" s="28"/>
      <c r="M530" s="28"/>
      <c r="N530" s="28"/>
      <c r="O530" s="28"/>
      <c r="P530" s="28"/>
    </row>
    <row r="531" spans="1:16" ht="12.75">
      <c r="A531" s="216"/>
      <c r="D531" s="20" t="s">
        <v>318</v>
      </c>
      <c r="E531" s="28">
        <f>8*7.5</f>
        <v>60</v>
      </c>
      <c r="F531" s="32">
        <f>Steel</f>
        <v>0.0034027777777777776</v>
      </c>
      <c r="G531" s="28">
        <v>0.083</v>
      </c>
      <c r="H531" s="28">
        <v>8</v>
      </c>
      <c r="I531" s="28">
        <f t="shared" si="32"/>
        <v>0.0021182291666666667</v>
      </c>
      <c r="J531" s="12"/>
      <c r="K531" s="28"/>
      <c r="L531" s="28"/>
      <c r="M531" s="28"/>
      <c r="N531" s="28"/>
      <c r="O531" s="28"/>
      <c r="P531" s="28"/>
    </row>
    <row r="532" spans="1:10" ht="12.75">
      <c r="A532" s="216"/>
      <c r="D532" s="11" t="s">
        <v>438</v>
      </c>
      <c r="E532" s="28">
        <f>8.5*19</f>
        <v>161.5</v>
      </c>
      <c r="F532" s="32">
        <f aca="true" t="shared" si="33" ref="F532:F552">Conc</f>
        <v>0.0010416666666666667</v>
      </c>
      <c r="G532" s="28">
        <v>1</v>
      </c>
      <c r="H532" s="28">
        <v>1</v>
      </c>
      <c r="I532" s="28">
        <f t="shared" si="32"/>
        <v>0.16822916666666665</v>
      </c>
      <c r="J532" s="12"/>
    </row>
    <row r="533" spans="1:10" ht="12.75">
      <c r="A533" s="216"/>
      <c r="D533" s="20" t="s">
        <v>385</v>
      </c>
      <c r="E533" s="28">
        <f>-2*3.5*0.75</f>
        <v>-5.25</v>
      </c>
      <c r="F533" s="32">
        <f t="shared" si="33"/>
        <v>0.0010416666666666667</v>
      </c>
      <c r="G533" s="33">
        <v>1</v>
      </c>
      <c r="H533" s="33">
        <f>10.5/12</f>
        <v>0.875</v>
      </c>
      <c r="I533" s="28">
        <f t="shared" si="32"/>
        <v>-0.0062499999999999995</v>
      </c>
      <c r="J533" s="12"/>
    </row>
    <row r="534" spans="1:10" ht="12.75">
      <c r="A534" s="234"/>
      <c r="B534" s="19"/>
      <c r="C534" s="13"/>
      <c r="D534" s="9" t="s">
        <v>420</v>
      </c>
      <c r="E534" s="13">
        <f>(28-1.5/2)*9-2*16/2</f>
        <v>229.25</v>
      </c>
      <c r="F534" s="14">
        <f t="shared" si="33"/>
        <v>0.0010416666666666667</v>
      </c>
      <c r="G534" s="13">
        <v>1</v>
      </c>
      <c r="H534" s="13">
        <v>1</v>
      </c>
      <c r="I534" s="13">
        <f t="shared" si="32"/>
        <v>0.23880208333333333</v>
      </c>
      <c r="J534" s="16">
        <f>SUM(I529:I534)</f>
        <v>0.4103092013888889</v>
      </c>
    </row>
    <row r="535" spans="1:10" ht="12.75">
      <c r="A535" s="233" t="s">
        <v>182</v>
      </c>
      <c r="B535" s="35" t="s">
        <v>183</v>
      </c>
      <c r="C535" s="20"/>
      <c r="D535" s="20" t="s">
        <v>398</v>
      </c>
      <c r="E535" s="21">
        <f>8.5*21</f>
        <v>178.5</v>
      </c>
      <c r="F535" s="24">
        <f t="shared" si="33"/>
        <v>0.0010416666666666667</v>
      </c>
      <c r="G535" s="46">
        <v>1</v>
      </c>
      <c r="H535" s="46">
        <v>1</v>
      </c>
      <c r="I535" s="28">
        <f t="shared" si="32"/>
        <v>0.1859375</v>
      </c>
      <c r="J535" s="97"/>
    </row>
    <row r="536" spans="1:10" ht="12.75">
      <c r="A536" s="219"/>
      <c r="B536" s="35"/>
      <c r="C536" s="20"/>
      <c r="D536" s="20" t="s">
        <v>385</v>
      </c>
      <c r="E536" s="28">
        <f>-2*3.5*0.75</f>
        <v>-5.25</v>
      </c>
      <c r="F536" s="32">
        <f t="shared" si="33"/>
        <v>0.0010416666666666667</v>
      </c>
      <c r="G536" s="33">
        <v>1</v>
      </c>
      <c r="H536" s="33">
        <f>10.5/12</f>
        <v>0.875</v>
      </c>
      <c r="I536" s="28">
        <f t="shared" si="32"/>
        <v>-0.0062499999999999995</v>
      </c>
      <c r="J536" s="12"/>
    </row>
    <row r="537" spans="1:10" ht="12.75">
      <c r="A537" s="234"/>
      <c r="B537" s="39"/>
      <c r="C537" s="9"/>
      <c r="D537" s="7" t="s">
        <v>439</v>
      </c>
      <c r="E537" s="13">
        <f>(28-1.5/2)*9-2*16/2</f>
        <v>229.25</v>
      </c>
      <c r="F537" s="25">
        <f t="shared" si="33"/>
        <v>0.0010416666666666667</v>
      </c>
      <c r="G537" s="23">
        <v>1</v>
      </c>
      <c r="H537" s="23">
        <v>1</v>
      </c>
      <c r="I537" s="13">
        <f t="shared" si="32"/>
        <v>0.23880208333333333</v>
      </c>
      <c r="J537" s="16">
        <f>SUM(I535:I537)</f>
        <v>0.4184895833333333</v>
      </c>
    </row>
    <row r="538" spans="1:12" ht="12.75">
      <c r="A538" s="219" t="s">
        <v>184</v>
      </c>
      <c r="B538" s="35" t="s">
        <v>183</v>
      </c>
      <c r="C538" s="20"/>
      <c r="D538" s="20" t="s">
        <v>398</v>
      </c>
      <c r="E538" s="21">
        <f>8.5*21</f>
        <v>178.5</v>
      </c>
      <c r="F538" s="24">
        <f t="shared" si="33"/>
        <v>0.0010416666666666667</v>
      </c>
      <c r="G538" s="46">
        <v>1</v>
      </c>
      <c r="H538" s="46">
        <v>1</v>
      </c>
      <c r="I538" s="28">
        <f t="shared" si="32"/>
        <v>0.1859375</v>
      </c>
      <c r="J538" s="97"/>
      <c r="K538" s="28"/>
      <c r="L538" s="28"/>
    </row>
    <row r="539" spans="1:12" ht="12.75">
      <c r="A539" s="216"/>
      <c r="B539" s="27"/>
      <c r="C539" s="11"/>
      <c r="D539" s="20" t="s">
        <v>385</v>
      </c>
      <c r="E539" s="28">
        <f>-2*3.5*0.75</f>
        <v>-5.25</v>
      </c>
      <c r="F539" s="32">
        <f t="shared" si="33"/>
        <v>0.0010416666666666667</v>
      </c>
      <c r="G539" s="33">
        <v>1</v>
      </c>
      <c r="H539" s="33">
        <f>10.5/12</f>
        <v>0.875</v>
      </c>
      <c r="I539" s="28">
        <f t="shared" si="32"/>
        <v>-0.0062499999999999995</v>
      </c>
      <c r="J539" s="12"/>
      <c r="K539" s="28"/>
      <c r="L539" s="28"/>
    </row>
    <row r="540" spans="1:10" ht="12.75">
      <c r="A540" s="234"/>
      <c r="B540" s="39"/>
      <c r="C540" s="9"/>
      <c r="D540" s="7" t="s">
        <v>439</v>
      </c>
      <c r="E540" s="13">
        <f>(28-1.5/2)*9-2*16/2</f>
        <v>229.25</v>
      </c>
      <c r="F540" s="25">
        <f t="shared" si="33"/>
        <v>0.0010416666666666667</v>
      </c>
      <c r="G540" s="23">
        <v>1</v>
      </c>
      <c r="H540" s="23">
        <v>1</v>
      </c>
      <c r="I540" s="13">
        <f t="shared" si="32"/>
        <v>0.23880208333333333</v>
      </c>
      <c r="J540" s="16">
        <f>SUM(I538:I540)</f>
        <v>0.4184895833333333</v>
      </c>
    </row>
    <row r="541" spans="1:13" ht="12.75">
      <c r="A541" s="219" t="s">
        <v>185</v>
      </c>
      <c r="B541" s="35" t="s">
        <v>183</v>
      </c>
      <c r="C541" s="20"/>
      <c r="D541" s="20" t="s">
        <v>398</v>
      </c>
      <c r="E541" s="21">
        <f>8.5*21</f>
        <v>178.5</v>
      </c>
      <c r="F541" s="24">
        <f t="shared" si="33"/>
        <v>0.0010416666666666667</v>
      </c>
      <c r="G541" s="46">
        <v>1</v>
      </c>
      <c r="H541" s="46">
        <v>1</v>
      </c>
      <c r="I541" s="28">
        <f t="shared" si="32"/>
        <v>0.1859375</v>
      </c>
      <c r="J541" s="97"/>
      <c r="K541" s="28"/>
      <c r="L541" s="28"/>
      <c r="M541" s="28"/>
    </row>
    <row r="542" spans="1:13" ht="12.75">
      <c r="A542" s="216"/>
      <c r="B542" s="27"/>
      <c r="C542" s="11"/>
      <c r="D542" s="20" t="s">
        <v>430</v>
      </c>
      <c r="E542" s="28">
        <f>-3.5*0.75</f>
        <v>-2.625</v>
      </c>
      <c r="F542" s="32">
        <f t="shared" si="33"/>
        <v>0.0010416666666666667</v>
      </c>
      <c r="G542" s="33">
        <v>1</v>
      </c>
      <c r="H542" s="33">
        <f>10.5/12</f>
        <v>0.875</v>
      </c>
      <c r="I542" s="28">
        <f t="shared" si="32"/>
        <v>-0.0031249999999999997</v>
      </c>
      <c r="J542" s="12"/>
      <c r="K542" s="28"/>
      <c r="L542" s="28"/>
      <c r="M542" s="28"/>
    </row>
    <row r="543" spans="1:10" ht="12.75">
      <c r="A543" s="234"/>
      <c r="B543" s="39"/>
      <c r="C543" s="9"/>
      <c r="D543" s="7" t="s">
        <v>439</v>
      </c>
      <c r="E543" s="13">
        <f>(28-1.5/2)*9-2*16/2</f>
        <v>229.25</v>
      </c>
      <c r="F543" s="25">
        <f t="shared" si="33"/>
        <v>0.0010416666666666667</v>
      </c>
      <c r="G543" s="23">
        <v>1</v>
      </c>
      <c r="H543" s="23">
        <v>1</v>
      </c>
      <c r="I543" s="13">
        <f t="shared" si="32"/>
        <v>0.23880208333333333</v>
      </c>
      <c r="J543" s="16">
        <f>SUM(I541:I543)</f>
        <v>0.42161458333333335</v>
      </c>
    </row>
    <row r="544" spans="1:13" ht="12.75">
      <c r="A544" s="219" t="s">
        <v>186</v>
      </c>
      <c r="B544" s="35" t="s">
        <v>183</v>
      </c>
      <c r="C544" s="20"/>
      <c r="D544" s="20" t="s">
        <v>398</v>
      </c>
      <c r="E544" s="28">
        <f>0.5*(7+8.5)*21</f>
        <v>162.75</v>
      </c>
      <c r="F544" s="24">
        <f t="shared" si="33"/>
        <v>0.0010416666666666667</v>
      </c>
      <c r="G544" s="46">
        <v>1</v>
      </c>
      <c r="H544" s="46">
        <v>1</v>
      </c>
      <c r="I544" s="28">
        <f t="shared" si="32"/>
        <v>0.16953125</v>
      </c>
      <c r="J544" s="97"/>
      <c r="K544" s="28"/>
      <c r="L544" s="28"/>
      <c r="M544" s="28"/>
    </row>
    <row r="545" spans="1:13" ht="12.75">
      <c r="A545" s="216"/>
      <c r="B545" s="27"/>
      <c r="C545" s="11"/>
      <c r="D545" s="20" t="s">
        <v>430</v>
      </c>
      <c r="E545" s="28">
        <f>-3.5*0.75</f>
        <v>-2.625</v>
      </c>
      <c r="F545" s="32">
        <f t="shared" si="33"/>
        <v>0.0010416666666666667</v>
      </c>
      <c r="G545" s="33">
        <v>1</v>
      </c>
      <c r="H545" s="33">
        <f>10.5/12</f>
        <v>0.875</v>
      </c>
      <c r="I545" s="28">
        <f t="shared" si="32"/>
        <v>-0.0031249999999999997</v>
      </c>
      <c r="J545" s="12"/>
      <c r="K545" s="28"/>
      <c r="L545" s="28"/>
      <c r="M545" s="28"/>
    </row>
    <row r="546" spans="1:10" ht="12.75">
      <c r="A546" s="234"/>
      <c r="B546" s="39"/>
      <c r="C546" s="9"/>
      <c r="D546" s="7" t="s">
        <v>439</v>
      </c>
      <c r="E546" s="13">
        <f>(28-1.5/2)*9-2*16/2</f>
        <v>229.25</v>
      </c>
      <c r="F546" s="25">
        <f t="shared" si="33"/>
        <v>0.0010416666666666667</v>
      </c>
      <c r="G546" s="23">
        <v>1</v>
      </c>
      <c r="H546" s="23">
        <v>1</v>
      </c>
      <c r="I546" s="13">
        <f t="shared" si="32"/>
        <v>0.23880208333333333</v>
      </c>
      <c r="J546" s="16">
        <f>SUM(I544:I546)</f>
        <v>0.40520833333333334</v>
      </c>
    </row>
    <row r="547" spans="1:15" ht="12.75">
      <c r="A547" s="219" t="s">
        <v>187</v>
      </c>
      <c r="B547" s="27" t="s">
        <v>188</v>
      </c>
      <c r="C547" s="11"/>
      <c r="D547" s="20" t="s">
        <v>440</v>
      </c>
      <c r="E547" s="21">
        <f>9*21</f>
        <v>189</v>
      </c>
      <c r="F547" s="24">
        <f t="shared" si="33"/>
        <v>0.0010416666666666667</v>
      </c>
      <c r="G547" s="46">
        <v>1</v>
      </c>
      <c r="H547" s="46">
        <v>1</v>
      </c>
      <c r="I547" s="28">
        <f t="shared" si="32"/>
        <v>0.196875</v>
      </c>
      <c r="J547" s="97"/>
      <c r="K547" s="28"/>
      <c r="L547" s="28"/>
      <c r="M547" s="28"/>
      <c r="N547" s="28"/>
      <c r="O547" s="28"/>
    </row>
    <row r="548" spans="1:15" ht="12.75">
      <c r="A548" s="216"/>
      <c r="B548" s="27"/>
      <c r="C548" s="11"/>
      <c r="D548" s="20" t="s">
        <v>441</v>
      </c>
      <c r="E548" s="28">
        <f>-2*2*0.75</f>
        <v>-3</v>
      </c>
      <c r="F548" s="32">
        <f t="shared" si="33"/>
        <v>0.0010416666666666667</v>
      </c>
      <c r="G548" s="33">
        <v>1</v>
      </c>
      <c r="H548" s="33">
        <f>10.5/12</f>
        <v>0.875</v>
      </c>
      <c r="I548" s="28">
        <f t="shared" si="32"/>
        <v>-0.0035714285714285718</v>
      </c>
      <c r="J548" s="12"/>
      <c r="K548" s="28"/>
      <c r="L548" s="28"/>
      <c r="M548" s="28"/>
      <c r="N548" s="28"/>
      <c r="O548" s="28"/>
    </row>
    <row r="549" spans="1:10" ht="12.75">
      <c r="A549" s="234"/>
      <c r="B549" s="39"/>
      <c r="C549" s="9"/>
      <c r="D549" s="7" t="s">
        <v>442</v>
      </c>
      <c r="E549" s="13">
        <f>(28.5-1.5/2)*10.5</f>
        <v>291.375</v>
      </c>
      <c r="F549" s="25">
        <f t="shared" si="33"/>
        <v>0.0010416666666666667</v>
      </c>
      <c r="G549" s="23">
        <v>1</v>
      </c>
      <c r="H549" s="23">
        <v>1</v>
      </c>
      <c r="I549" s="13">
        <f t="shared" si="32"/>
        <v>0.303515625</v>
      </c>
      <c r="J549" s="16">
        <f>SUM(I547:I549)</f>
        <v>0.4968191964285714</v>
      </c>
    </row>
    <row r="550" spans="1:13" ht="12.75">
      <c r="A550" s="219" t="s">
        <v>189</v>
      </c>
      <c r="B550" s="35" t="s">
        <v>183</v>
      </c>
      <c r="C550" s="20"/>
      <c r="D550" s="20" t="s">
        <v>398</v>
      </c>
      <c r="E550" s="28">
        <f>0.5*(7+8.5)*21</f>
        <v>162.75</v>
      </c>
      <c r="F550" s="24">
        <f t="shared" si="33"/>
        <v>0.0010416666666666667</v>
      </c>
      <c r="G550" s="46">
        <v>1</v>
      </c>
      <c r="H550" s="46">
        <v>1</v>
      </c>
      <c r="I550" s="28">
        <f t="shared" si="32"/>
        <v>0.16953125</v>
      </c>
      <c r="J550" s="97"/>
      <c r="K550" s="28"/>
      <c r="L550" s="28"/>
      <c r="M550" s="28"/>
    </row>
    <row r="551" spans="1:13" ht="12.75">
      <c r="A551" s="216"/>
      <c r="B551" s="27"/>
      <c r="C551" s="11"/>
      <c r="D551" s="20" t="s">
        <v>443</v>
      </c>
      <c r="E551" s="28">
        <f>-3.625*0.75</f>
        <v>-2.71875</v>
      </c>
      <c r="F551" s="32">
        <f t="shared" si="33"/>
        <v>0.0010416666666666667</v>
      </c>
      <c r="G551" s="33">
        <v>1</v>
      </c>
      <c r="H551" s="33">
        <f>10.625/12</f>
        <v>0.8854166666666666</v>
      </c>
      <c r="I551" s="28">
        <f t="shared" si="32"/>
        <v>-0.003198529411764706</v>
      </c>
      <c r="J551" s="12"/>
      <c r="K551" s="28"/>
      <c r="L551" s="28"/>
      <c r="M551" s="28"/>
    </row>
    <row r="552" spans="1:10" ht="12.75">
      <c r="A552" s="234"/>
      <c r="B552" s="39"/>
      <c r="C552" s="9"/>
      <c r="D552" s="7" t="s">
        <v>439</v>
      </c>
      <c r="E552" s="13">
        <f>(28-1.5/2)*9-2*16/2</f>
        <v>229.25</v>
      </c>
      <c r="F552" s="25">
        <f t="shared" si="33"/>
        <v>0.0010416666666666667</v>
      </c>
      <c r="G552" s="23">
        <v>1</v>
      </c>
      <c r="H552" s="23">
        <v>1</v>
      </c>
      <c r="I552" s="13">
        <f t="shared" si="32"/>
        <v>0.23880208333333333</v>
      </c>
      <c r="J552" s="16">
        <f>SUM(I550:I552)</f>
        <v>0.40513480392156864</v>
      </c>
    </row>
    <row r="553" spans="1:13" ht="12.75">
      <c r="A553" s="219" t="s">
        <v>190</v>
      </c>
      <c r="B553" s="35" t="s">
        <v>151</v>
      </c>
      <c r="C553" s="20" t="s">
        <v>191</v>
      </c>
      <c r="D553" s="20" t="s">
        <v>423</v>
      </c>
      <c r="E553" s="28">
        <f>2.25</f>
        <v>2.25</v>
      </c>
      <c r="F553" s="32">
        <f aca="true" t="shared" si="34" ref="F553:F558">Steel</f>
        <v>0.0034027777777777776</v>
      </c>
      <c r="G553" s="28">
        <v>1</v>
      </c>
      <c r="H553" s="28">
        <v>1</v>
      </c>
      <c r="I553" s="28">
        <f t="shared" si="32"/>
        <v>0.00765625</v>
      </c>
      <c r="J553" s="12"/>
      <c r="K553" s="28"/>
      <c r="L553" s="28"/>
      <c r="M553" s="28"/>
    </row>
    <row r="554" spans="1:13" ht="12.75">
      <c r="A554" s="216"/>
      <c r="C554" s="20"/>
      <c r="D554" s="20" t="s">
        <v>424</v>
      </c>
      <c r="E554" s="28">
        <f>0.00232/Steel</f>
        <v>0.681795918367347</v>
      </c>
      <c r="F554" s="32">
        <f t="shared" si="34"/>
        <v>0.0034027777777777776</v>
      </c>
      <c r="G554" s="28">
        <v>1</v>
      </c>
      <c r="H554" s="28">
        <v>1</v>
      </c>
      <c r="I554" s="28">
        <f t="shared" si="32"/>
        <v>0.00232</v>
      </c>
      <c r="J554" s="12"/>
      <c r="K554" s="28"/>
      <c r="L554" s="28"/>
      <c r="M554" s="28"/>
    </row>
    <row r="555" spans="1:13" ht="12.75">
      <c r="A555" s="216"/>
      <c r="D555" s="20" t="s">
        <v>406</v>
      </c>
      <c r="E555" s="28">
        <f>0.00186/Steel</f>
        <v>0.5466122448979592</v>
      </c>
      <c r="F555" s="32">
        <f t="shared" si="34"/>
        <v>0.0034027777777777776</v>
      </c>
      <c r="G555" s="28">
        <v>1</v>
      </c>
      <c r="H555" s="28">
        <v>1</v>
      </c>
      <c r="I555" s="28">
        <f t="shared" si="32"/>
        <v>0.00186</v>
      </c>
      <c r="J555" s="12"/>
      <c r="K555" s="28"/>
      <c r="L555" s="28"/>
      <c r="M555" s="28"/>
    </row>
    <row r="556" spans="1:13" ht="12.75">
      <c r="A556" s="216"/>
      <c r="D556" s="20" t="s">
        <v>407</v>
      </c>
      <c r="E556" s="28">
        <f>0.005/Steel</f>
        <v>1.469387755102041</v>
      </c>
      <c r="F556" s="32">
        <f t="shared" si="34"/>
        <v>0.0034027777777777776</v>
      </c>
      <c r="G556" s="28">
        <v>1</v>
      </c>
      <c r="H556" s="28">
        <v>1</v>
      </c>
      <c r="I556" s="28">
        <f t="shared" si="32"/>
        <v>0.005</v>
      </c>
      <c r="J556" s="12"/>
      <c r="K556" s="28"/>
      <c r="L556" s="28"/>
      <c r="M556" s="28"/>
    </row>
    <row r="557" spans="1:13" ht="12.75">
      <c r="A557" s="216"/>
      <c r="D557" s="20" t="s">
        <v>408</v>
      </c>
      <c r="E557" s="28">
        <f>0.75^2</f>
        <v>0.5625</v>
      </c>
      <c r="F557" s="32">
        <f t="shared" si="34"/>
        <v>0.0034027777777777776</v>
      </c>
      <c r="G557" s="28">
        <f>8.5/12</f>
        <v>0.7083333333333334</v>
      </c>
      <c r="H557" s="28">
        <v>0.5</v>
      </c>
      <c r="I557" s="28">
        <f t="shared" si="32"/>
        <v>0.002711588541666667</v>
      </c>
      <c r="J557" s="12"/>
      <c r="K557" s="28"/>
      <c r="L557" s="28"/>
      <c r="M557" s="28"/>
    </row>
    <row r="558" spans="1:13" ht="12.75">
      <c r="A558" s="216"/>
      <c r="D558" s="20" t="s">
        <v>425</v>
      </c>
      <c r="E558" s="28">
        <f>0.75^2</f>
        <v>0.5625</v>
      </c>
      <c r="F558" s="32">
        <f t="shared" si="34"/>
        <v>0.0034027777777777776</v>
      </c>
      <c r="G558" s="28">
        <f>2+0.75/12</f>
        <v>2.0625</v>
      </c>
      <c r="H558" s="28">
        <v>0.5</v>
      </c>
      <c r="I558" s="28">
        <f t="shared" si="32"/>
        <v>0.007895507812499999</v>
      </c>
      <c r="J558" s="12"/>
      <c r="K558" s="28"/>
      <c r="L558" s="28"/>
      <c r="M558" s="28"/>
    </row>
    <row r="559" spans="1:13" ht="12.75">
      <c r="A559" s="216"/>
      <c r="D559" s="20" t="s">
        <v>444</v>
      </c>
      <c r="E559" s="28">
        <f>12*13</f>
        <v>156</v>
      </c>
      <c r="F559" s="32">
        <f>Conc</f>
        <v>0.0010416666666666667</v>
      </c>
      <c r="G559" s="28">
        <f>3.542</f>
        <v>3.542</v>
      </c>
      <c r="H559" s="28">
        <v>8</v>
      </c>
      <c r="I559" s="28">
        <f t="shared" si="32"/>
        <v>0.071946875</v>
      </c>
      <c r="J559" s="12"/>
      <c r="K559" s="28"/>
      <c r="L559" s="28"/>
      <c r="M559" s="28"/>
    </row>
    <row r="560" spans="1:10" ht="12.75">
      <c r="A560" s="234"/>
      <c r="B560" s="19"/>
      <c r="C560" s="13"/>
      <c r="D560" s="7" t="s">
        <v>445</v>
      </c>
      <c r="E560" s="13">
        <f>10*6</f>
        <v>60</v>
      </c>
      <c r="F560" s="14">
        <f>Conc</f>
        <v>0.0010416666666666667</v>
      </c>
      <c r="G560" s="13">
        <v>1</v>
      </c>
      <c r="H560" s="13">
        <v>1</v>
      </c>
      <c r="I560" s="13">
        <f t="shared" si="32"/>
        <v>0.0625</v>
      </c>
      <c r="J560" s="16">
        <f>SUM(I553:I560)</f>
        <v>0.16189022135416667</v>
      </c>
    </row>
    <row r="561" spans="1:13" ht="12.75">
      <c r="A561" s="219" t="s">
        <v>192</v>
      </c>
      <c r="B561" s="35" t="s">
        <v>183</v>
      </c>
      <c r="C561" s="20"/>
      <c r="D561" s="20" t="s">
        <v>398</v>
      </c>
      <c r="E561" s="28">
        <f>0.5*(7+8.5)*21</f>
        <v>162.75</v>
      </c>
      <c r="F561" s="24">
        <f>Conc</f>
        <v>0.0010416666666666667</v>
      </c>
      <c r="G561" s="46">
        <v>1</v>
      </c>
      <c r="H561" s="46">
        <v>1</v>
      </c>
      <c r="I561" s="28">
        <f t="shared" si="32"/>
        <v>0.16953125</v>
      </c>
      <c r="J561" s="97"/>
      <c r="K561" s="28"/>
      <c r="L561" s="28"/>
      <c r="M561" s="28"/>
    </row>
    <row r="562" spans="1:13" ht="12.75">
      <c r="A562" s="216"/>
      <c r="B562" s="27"/>
      <c r="C562" s="11"/>
      <c r="D562" s="20" t="s">
        <v>443</v>
      </c>
      <c r="E562" s="28">
        <f>-3.625*0.75</f>
        <v>-2.71875</v>
      </c>
      <c r="F562" s="32">
        <f>Conc</f>
        <v>0.0010416666666666667</v>
      </c>
      <c r="G562" s="33">
        <v>1</v>
      </c>
      <c r="H562" s="33">
        <f>10.625/12</f>
        <v>0.8854166666666666</v>
      </c>
      <c r="I562" s="28">
        <f t="shared" si="32"/>
        <v>-0.003198529411764706</v>
      </c>
      <c r="J562" s="12"/>
      <c r="K562" s="28"/>
      <c r="L562" s="28"/>
      <c r="M562" s="28"/>
    </row>
    <row r="563" spans="1:10" ht="12.75">
      <c r="A563" s="234"/>
      <c r="B563" s="39"/>
      <c r="C563" s="9"/>
      <c r="D563" s="7" t="s">
        <v>439</v>
      </c>
      <c r="E563" s="13">
        <f>(28-1.5/2)*9-2*16/2</f>
        <v>229.25</v>
      </c>
      <c r="F563" s="25">
        <f>Conc</f>
        <v>0.0010416666666666667</v>
      </c>
      <c r="G563" s="23">
        <v>1</v>
      </c>
      <c r="H563" s="23">
        <v>1</v>
      </c>
      <c r="I563" s="13">
        <f t="shared" si="32"/>
        <v>0.23880208333333333</v>
      </c>
      <c r="J563" s="16">
        <f>SUM(I561:I563)</f>
        <v>0.40513480392156864</v>
      </c>
    </row>
    <row r="564" spans="1:10" ht="12.75">
      <c r="A564" s="219" t="s">
        <v>193</v>
      </c>
      <c r="B564" s="27" t="s">
        <v>194</v>
      </c>
      <c r="C564" s="20" t="s">
        <v>195</v>
      </c>
      <c r="D564" s="11" t="s">
        <v>446</v>
      </c>
      <c r="E564" s="28">
        <f>2*1.9874</f>
        <v>3.9748</v>
      </c>
      <c r="F564" s="24">
        <f>Steel</f>
        <v>0.0034027777777777776</v>
      </c>
      <c r="G564" s="21">
        <v>1</v>
      </c>
      <c r="H564" s="21">
        <v>1</v>
      </c>
      <c r="I564" s="28">
        <f t="shared" si="32"/>
        <v>0.013525361111111111</v>
      </c>
      <c r="J564" s="97"/>
    </row>
    <row r="565" spans="1:10" ht="12.75">
      <c r="A565" s="216"/>
      <c r="B565" s="35"/>
      <c r="C565" s="20"/>
      <c r="D565" s="20" t="s">
        <v>447</v>
      </c>
      <c r="E565" s="21">
        <f>2*6*12</f>
        <v>144</v>
      </c>
      <c r="F565" s="24">
        <f>Tmbr</f>
        <v>0.00022222222222222223</v>
      </c>
      <c r="G565" s="21">
        <v>1</v>
      </c>
      <c r="H565" s="21">
        <v>6.25</v>
      </c>
      <c r="I565" s="28">
        <f t="shared" si="32"/>
        <v>0.00512</v>
      </c>
      <c r="J565" s="97"/>
    </row>
    <row r="566" spans="1:10" ht="12.75">
      <c r="A566" s="216"/>
      <c r="B566" s="27"/>
      <c r="C566" s="11"/>
      <c r="D566" s="11" t="s">
        <v>448</v>
      </c>
      <c r="E566" s="21">
        <f>0.024/Steel</f>
        <v>7.053061224489796</v>
      </c>
      <c r="F566" s="24">
        <f>Steel</f>
        <v>0.0034027777777777776</v>
      </c>
      <c r="G566" s="21">
        <f>0.583+1.917+1.583+0.583</f>
        <v>4.666</v>
      </c>
      <c r="H566" s="21">
        <v>6.26</v>
      </c>
      <c r="I566" s="28">
        <f t="shared" si="32"/>
        <v>0.017888817891373806</v>
      </c>
      <c r="J566" s="12"/>
    </row>
    <row r="567" spans="1:10" ht="12.75">
      <c r="A567" s="216"/>
      <c r="B567" s="27"/>
      <c r="C567" s="11"/>
      <c r="D567" s="20" t="s">
        <v>449</v>
      </c>
      <c r="E567" s="21">
        <f>8*14</f>
        <v>112</v>
      </c>
      <c r="F567" s="24">
        <f>Tmbr</f>
        <v>0.00022222222222222223</v>
      </c>
      <c r="G567" s="21">
        <v>1</v>
      </c>
      <c r="H567" s="21">
        <v>1</v>
      </c>
      <c r="I567" s="28">
        <f t="shared" si="32"/>
        <v>0.02488888888888889</v>
      </c>
      <c r="J567" s="12"/>
    </row>
    <row r="568" spans="1:10" ht="12.75">
      <c r="A568" s="234"/>
      <c r="B568" s="39"/>
      <c r="C568" s="9"/>
      <c r="D568" s="7" t="s">
        <v>450</v>
      </c>
      <c r="E568" s="40">
        <f>6*12</f>
        <v>72</v>
      </c>
      <c r="F568" s="25">
        <f>Tmbr</f>
        <v>0.00022222222222222223</v>
      </c>
      <c r="G568" s="40">
        <v>1</v>
      </c>
      <c r="H568" s="40">
        <v>6.25</v>
      </c>
      <c r="I568" s="13">
        <f t="shared" si="32"/>
        <v>0.00256</v>
      </c>
      <c r="J568" s="98">
        <f>SUM(I564:I568)</f>
        <v>0.06398306789137381</v>
      </c>
    </row>
    <row r="569" spans="1:14" ht="12.75">
      <c r="A569" s="233" t="s">
        <v>196</v>
      </c>
      <c r="B569" s="27" t="s">
        <v>197</v>
      </c>
      <c r="C569" s="11"/>
      <c r="D569" s="20" t="s">
        <v>451</v>
      </c>
      <c r="E569" s="21">
        <f>14*6</f>
        <v>84</v>
      </c>
      <c r="F569" s="24">
        <f>Conc</f>
        <v>0.0010416666666666667</v>
      </c>
      <c r="G569" s="21">
        <v>1</v>
      </c>
      <c r="H569" s="21">
        <v>1</v>
      </c>
      <c r="I569" s="28">
        <f t="shared" si="32"/>
        <v>0.0875</v>
      </c>
      <c r="J569" s="97"/>
      <c r="K569" s="28"/>
      <c r="L569" s="28"/>
      <c r="M569" s="28"/>
      <c r="N569" s="28"/>
    </row>
    <row r="570" spans="1:14" ht="12.75">
      <c r="A570" s="216"/>
      <c r="D570" s="11" t="s">
        <v>452</v>
      </c>
      <c r="E570" s="21">
        <f>0.005/Steel</f>
        <v>1.469387755102041</v>
      </c>
      <c r="F570" s="24">
        <f aca="true" t="shared" si="35" ref="F570:F575">Steel</f>
        <v>0.0034027777777777776</v>
      </c>
      <c r="G570" s="21">
        <v>1</v>
      </c>
      <c r="H570" s="21">
        <v>1</v>
      </c>
      <c r="I570" s="28">
        <f t="shared" si="32"/>
        <v>0.005</v>
      </c>
      <c r="J570" s="97"/>
      <c r="K570" s="28"/>
      <c r="L570" s="28"/>
      <c r="M570" s="28"/>
      <c r="N570" s="28"/>
    </row>
    <row r="571" spans="1:14" ht="12.75">
      <c r="A571" s="216"/>
      <c r="B571" s="27"/>
      <c r="C571" s="11"/>
      <c r="D571" s="11" t="s">
        <v>453</v>
      </c>
      <c r="E571" s="21">
        <f>0.00186/Steel</f>
        <v>0.5466122448979592</v>
      </c>
      <c r="F571" s="24">
        <f t="shared" si="35"/>
        <v>0.0034027777777777776</v>
      </c>
      <c r="G571" s="21">
        <v>1</v>
      </c>
      <c r="H571" s="21">
        <v>1</v>
      </c>
      <c r="I571" s="28">
        <f t="shared" si="32"/>
        <v>0.00186</v>
      </c>
      <c r="J571" s="97"/>
      <c r="K571" s="28"/>
      <c r="L571" s="28"/>
      <c r="M571" s="28"/>
      <c r="N571" s="28"/>
    </row>
    <row r="572" spans="1:14" ht="12.75">
      <c r="A572" s="216"/>
      <c r="B572" s="27"/>
      <c r="C572" s="11"/>
      <c r="D572" s="20" t="s">
        <v>454</v>
      </c>
      <c r="E572" s="21">
        <f>0.005/Steel</f>
        <v>1.469387755102041</v>
      </c>
      <c r="F572" s="24">
        <f t="shared" si="35"/>
        <v>0.0034027777777777776</v>
      </c>
      <c r="G572" s="21">
        <v>1</v>
      </c>
      <c r="H572" s="21">
        <v>1</v>
      </c>
      <c r="I572" s="28">
        <f t="shared" si="32"/>
        <v>0.005</v>
      </c>
      <c r="J572" s="97"/>
      <c r="K572" s="28"/>
      <c r="L572" s="28"/>
      <c r="M572" s="28"/>
      <c r="N572" s="28"/>
    </row>
    <row r="573" spans="1:14" ht="12.75">
      <c r="A573" s="216"/>
      <c r="B573" s="27"/>
      <c r="C573" s="11"/>
      <c r="D573" s="20" t="s">
        <v>408</v>
      </c>
      <c r="E573" s="28">
        <f>0.75^2</f>
        <v>0.5625</v>
      </c>
      <c r="F573" s="32">
        <f t="shared" si="35"/>
        <v>0.0034027777777777776</v>
      </c>
      <c r="G573" s="28">
        <f>8.5/12</f>
        <v>0.7083333333333334</v>
      </c>
      <c r="H573" s="28">
        <v>0.5</v>
      </c>
      <c r="I573" s="28">
        <f t="shared" si="32"/>
        <v>0.002711588541666667</v>
      </c>
      <c r="J573" s="97"/>
      <c r="K573" s="28"/>
      <c r="L573" s="28"/>
      <c r="M573" s="28"/>
      <c r="N573" s="28"/>
    </row>
    <row r="574" spans="1:14" ht="12.75">
      <c r="A574" s="216"/>
      <c r="B574" s="27"/>
      <c r="C574" s="11"/>
      <c r="D574" s="20" t="s">
        <v>425</v>
      </c>
      <c r="E574" s="28">
        <f>0.75^2</f>
        <v>0.5625</v>
      </c>
      <c r="F574" s="32">
        <f t="shared" si="35"/>
        <v>0.0034027777777777776</v>
      </c>
      <c r="G574" s="28">
        <f>2+0.75/12</f>
        <v>2.0625</v>
      </c>
      <c r="H574" s="28">
        <v>0.5</v>
      </c>
      <c r="I574" s="28">
        <f t="shared" si="32"/>
        <v>0.007895507812499999</v>
      </c>
      <c r="J574" s="97"/>
      <c r="K574" s="28"/>
      <c r="L574" s="28"/>
      <c r="M574" s="28"/>
      <c r="N574" s="28"/>
    </row>
    <row r="575" spans="1:11" ht="12.75">
      <c r="A575" s="216"/>
      <c r="B575" s="27"/>
      <c r="C575" s="11"/>
      <c r="D575" s="11" t="s">
        <v>455</v>
      </c>
      <c r="E575" s="21">
        <f>14*9</f>
        <v>126</v>
      </c>
      <c r="F575" s="24">
        <f t="shared" si="35"/>
        <v>0.0034027777777777776</v>
      </c>
      <c r="G575" s="21">
        <v>1</v>
      </c>
      <c r="H575" s="21">
        <v>1</v>
      </c>
      <c r="I575" s="28">
        <f t="shared" si="32"/>
        <v>0.42874999999999996</v>
      </c>
      <c r="J575" s="97"/>
      <c r="K575" s="28"/>
    </row>
    <row r="576" spans="1:10" ht="12.75">
      <c r="A576" s="234"/>
      <c r="B576" s="39"/>
      <c r="C576" s="9"/>
      <c r="D576" s="7" t="s">
        <v>456</v>
      </c>
      <c r="E576" s="40">
        <f>14*18</f>
        <v>252</v>
      </c>
      <c r="F576" s="25">
        <f>Conc</f>
        <v>0.0010416666666666667</v>
      </c>
      <c r="G576" s="40">
        <v>3.167</v>
      </c>
      <c r="H576" s="40">
        <v>9.5</v>
      </c>
      <c r="I576" s="13">
        <f t="shared" si="32"/>
        <v>0.08750921052631579</v>
      </c>
      <c r="J576" s="98">
        <f>SUM(I569:I576)</f>
        <v>0.6262263068804824</v>
      </c>
    </row>
    <row r="577" spans="1:10" ht="12.75">
      <c r="A577" s="219" t="s">
        <v>198</v>
      </c>
      <c r="B577" s="35" t="s">
        <v>167</v>
      </c>
      <c r="C577" s="20" t="s">
        <v>139</v>
      </c>
      <c r="D577" s="20" t="s">
        <v>423</v>
      </c>
      <c r="E577" s="28">
        <f>2.25</f>
        <v>2.25</v>
      </c>
      <c r="F577" s="32">
        <f aca="true" t="shared" si="36" ref="F577:F582">Steel</f>
        <v>0.0034027777777777776</v>
      </c>
      <c r="G577" s="28">
        <v>1</v>
      </c>
      <c r="H577" s="28">
        <v>1</v>
      </c>
      <c r="I577" s="28">
        <f t="shared" si="32"/>
        <v>0.00765625</v>
      </c>
      <c r="J577" s="12"/>
    </row>
    <row r="578" spans="1:10" ht="12.75">
      <c r="A578" s="216"/>
      <c r="B578" s="35"/>
      <c r="C578" s="20"/>
      <c r="D578" s="20" t="s">
        <v>424</v>
      </c>
      <c r="E578" s="28">
        <f>0.00232/Steel</f>
        <v>0.681795918367347</v>
      </c>
      <c r="F578" s="32">
        <f t="shared" si="36"/>
        <v>0.0034027777777777776</v>
      </c>
      <c r="G578" s="28">
        <v>1</v>
      </c>
      <c r="H578" s="28">
        <v>1</v>
      </c>
      <c r="I578" s="28">
        <f t="shared" si="32"/>
        <v>0.00232</v>
      </c>
      <c r="J578" s="12"/>
    </row>
    <row r="579" spans="1:10" ht="12.75">
      <c r="A579" s="216"/>
      <c r="D579" s="20" t="s">
        <v>406</v>
      </c>
      <c r="E579" s="28">
        <f>0.00186/Steel</f>
        <v>0.5466122448979592</v>
      </c>
      <c r="F579" s="32">
        <f t="shared" si="36"/>
        <v>0.0034027777777777776</v>
      </c>
      <c r="G579" s="28">
        <v>1</v>
      </c>
      <c r="H579" s="28">
        <v>1</v>
      </c>
      <c r="I579" s="28">
        <f t="shared" si="32"/>
        <v>0.00186</v>
      </c>
      <c r="J579" s="12"/>
    </row>
    <row r="580" spans="1:10" ht="12.75">
      <c r="A580" s="216"/>
      <c r="D580" s="20" t="s">
        <v>407</v>
      </c>
      <c r="E580" s="28">
        <f>0.005/Steel</f>
        <v>1.469387755102041</v>
      </c>
      <c r="F580" s="32">
        <f t="shared" si="36"/>
        <v>0.0034027777777777776</v>
      </c>
      <c r="G580" s="28">
        <v>1</v>
      </c>
      <c r="H580" s="28">
        <v>1</v>
      </c>
      <c r="I580" s="28">
        <f t="shared" si="32"/>
        <v>0.005</v>
      </c>
      <c r="J580" s="12"/>
    </row>
    <row r="581" spans="1:10" ht="12.75">
      <c r="A581" s="216"/>
      <c r="D581" s="20" t="s">
        <v>408</v>
      </c>
      <c r="E581" s="28">
        <f>0.75^2</f>
        <v>0.5625</v>
      </c>
      <c r="F581" s="32">
        <f t="shared" si="36"/>
        <v>0.0034027777777777776</v>
      </c>
      <c r="G581" s="28">
        <f>8.5/12</f>
        <v>0.7083333333333334</v>
      </c>
      <c r="H581" s="28">
        <v>0.5</v>
      </c>
      <c r="I581" s="28">
        <f t="shared" si="32"/>
        <v>0.002711588541666667</v>
      </c>
      <c r="J581" s="12"/>
    </row>
    <row r="582" spans="1:10" ht="12.75">
      <c r="A582" s="216"/>
      <c r="D582" s="20" t="s">
        <v>457</v>
      </c>
      <c r="E582" s="28">
        <f>0.75^2</f>
        <v>0.5625</v>
      </c>
      <c r="F582" s="32">
        <f t="shared" si="36"/>
        <v>0.0034027777777777776</v>
      </c>
      <c r="G582" s="28">
        <f>1+11.875/12</f>
        <v>1.9895833333333335</v>
      </c>
      <c r="H582" s="28">
        <v>0.5</v>
      </c>
      <c r="I582" s="28">
        <f t="shared" si="32"/>
        <v>0.007616373697916667</v>
      </c>
      <c r="J582" s="12"/>
    </row>
    <row r="583" spans="1:10" ht="12.75">
      <c r="A583" s="216"/>
      <c r="D583" s="20" t="s">
        <v>426</v>
      </c>
      <c r="E583" s="28">
        <f>12^2</f>
        <v>144</v>
      </c>
      <c r="F583" s="32">
        <f>Conc</f>
        <v>0.0010416666666666667</v>
      </c>
      <c r="G583" s="28">
        <f>3.042</f>
        <v>3.042</v>
      </c>
      <c r="H583" s="28">
        <v>7</v>
      </c>
      <c r="I583" s="28">
        <f t="shared" si="32"/>
        <v>0.06518571428571428</v>
      </c>
      <c r="J583" s="12"/>
    </row>
    <row r="584" spans="1:10" ht="12.75">
      <c r="A584" s="234"/>
      <c r="B584" s="19"/>
      <c r="C584" s="13"/>
      <c r="D584" s="7" t="s">
        <v>403</v>
      </c>
      <c r="E584" s="13">
        <f>(30-1.5/2)*9</f>
        <v>263.25</v>
      </c>
      <c r="F584" s="14">
        <f>Conc</f>
        <v>0.0010416666666666667</v>
      </c>
      <c r="G584" s="13">
        <v>1</v>
      </c>
      <c r="H584" s="13">
        <v>1</v>
      </c>
      <c r="I584" s="13">
        <f t="shared" si="32"/>
        <v>0.27421875</v>
      </c>
      <c r="J584" s="16">
        <f>SUM(I577:I584)</f>
        <v>0.3665686765252976</v>
      </c>
    </row>
    <row r="585" spans="1:10" ht="12.75">
      <c r="A585" s="219" t="s">
        <v>198</v>
      </c>
      <c r="B585" s="35" t="s">
        <v>168</v>
      </c>
      <c r="C585" s="20" t="s">
        <v>169</v>
      </c>
      <c r="D585" s="20" t="s">
        <v>423</v>
      </c>
      <c r="E585" s="28">
        <f>2.25</f>
        <v>2.25</v>
      </c>
      <c r="F585" s="32">
        <f aca="true" t="shared" si="37" ref="F585:F590">Steel</f>
        <v>0.0034027777777777776</v>
      </c>
      <c r="G585" s="28">
        <v>1</v>
      </c>
      <c r="H585" s="28">
        <v>1</v>
      </c>
      <c r="I585" s="28">
        <f t="shared" si="32"/>
        <v>0.00765625</v>
      </c>
      <c r="J585" s="12"/>
    </row>
    <row r="586" spans="1:10" ht="12.75">
      <c r="A586" s="216"/>
      <c r="B586" s="35"/>
      <c r="C586" s="20"/>
      <c r="D586" s="20" t="s">
        <v>424</v>
      </c>
      <c r="E586" s="28">
        <f>0.00232/Steel</f>
        <v>0.681795918367347</v>
      </c>
      <c r="F586" s="32">
        <f t="shared" si="37"/>
        <v>0.0034027777777777776</v>
      </c>
      <c r="G586" s="28">
        <v>1</v>
      </c>
      <c r="H586" s="28">
        <v>1</v>
      </c>
      <c r="I586" s="28">
        <f t="shared" si="32"/>
        <v>0.00232</v>
      </c>
      <c r="J586" s="12"/>
    </row>
    <row r="587" spans="1:10" ht="12.75">
      <c r="A587" s="216"/>
      <c r="D587" s="20" t="s">
        <v>406</v>
      </c>
      <c r="E587" s="28">
        <f>0.00186/Steel</f>
        <v>0.5466122448979592</v>
      </c>
      <c r="F587" s="32">
        <f t="shared" si="37"/>
        <v>0.0034027777777777776</v>
      </c>
      <c r="G587" s="28">
        <v>1</v>
      </c>
      <c r="H587" s="28">
        <v>1</v>
      </c>
      <c r="I587" s="28">
        <f t="shared" si="32"/>
        <v>0.00186</v>
      </c>
      <c r="J587" s="12"/>
    </row>
    <row r="588" spans="1:10" ht="12.75">
      <c r="A588" s="216"/>
      <c r="D588" s="20" t="s">
        <v>407</v>
      </c>
      <c r="E588" s="28">
        <f>0.005/Steel</f>
        <v>1.469387755102041</v>
      </c>
      <c r="F588" s="32">
        <f t="shared" si="37"/>
        <v>0.0034027777777777776</v>
      </c>
      <c r="G588" s="28">
        <v>1</v>
      </c>
      <c r="H588" s="28">
        <v>1</v>
      </c>
      <c r="I588" s="28">
        <f t="shared" si="32"/>
        <v>0.005</v>
      </c>
      <c r="J588" s="12"/>
    </row>
    <row r="589" spans="1:10" ht="12.75">
      <c r="A589" s="216"/>
      <c r="D589" s="20" t="s">
        <v>408</v>
      </c>
      <c r="E589" s="28">
        <f>0.75^2</f>
        <v>0.5625</v>
      </c>
      <c r="F589" s="32">
        <f t="shared" si="37"/>
        <v>0.0034027777777777776</v>
      </c>
      <c r="G589" s="28">
        <f>8.5/12</f>
        <v>0.7083333333333334</v>
      </c>
      <c r="H589" s="28">
        <v>0.5</v>
      </c>
      <c r="I589" s="28">
        <f aca="true" t="shared" si="38" ref="I589:I652">E589*F589*G589/H589</f>
        <v>0.002711588541666667</v>
      </c>
      <c r="J589" s="12"/>
    </row>
    <row r="590" spans="1:10" ht="12.75">
      <c r="A590" s="216"/>
      <c r="D590" s="20" t="s">
        <v>457</v>
      </c>
      <c r="E590" s="28">
        <f>0.75^2</f>
        <v>0.5625</v>
      </c>
      <c r="F590" s="32">
        <f t="shared" si="37"/>
        <v>0.0034027777777777776</v>
      </c>
      <c r="G590" s="28">
        <f>1+11.875/12</f>
        <v>1.9895833333333335</v>
      </c>
      <c r="H590" s="28">
        <v>0.5</v>
      </c>
      <c r="I590" s="28">
        <f t="shared" si="38"/>
        <v>0.007616373697916667</v>
      </c>
      <c r="J590" s="12"/>
    </row>
    <row r="591" spans="1:10" ht="12.75">
      <c r="A591" s="216"/>
      <c r="D591" s="20" t="s">
        <v>426</v>
      </c>
      <c r="E591" s="28">
        <f>12^2</f>
        <v>144</v>
      </c>
      <c r="F591" s="32">
        <f>Conc</f>
        <v>0.0010416666666666667</v>
      </c>
      <c r="G591" s="28">
        <f>3.042</f>
        <v>3.042</v>
      </c>
      <c r="H591" s="28">
        <v>7</v>
      </c>
      <c r="I591" s="28">
        <f t="shared" si="38"/>
        <v>0.06518571428571428</v>
      </c>
      <c r="J591" s="12"/>
    </row>
    <row r="592" spans="1:10" ht="12.75">
      <c r="A592" s="234"/>
      <c r="B592" s="19"/>
      <c r="C592" s="13"/>
      <c r="D592" s="7" t="s">
        <v>428</v>
      </c>
      <c r="E592" s="13">
        <f>9*6</f>
        <v>54</v>
      </c>
      <c r="F592" s="14">
        <f>Conc</f>
        <v>0.0010416666666666667</v>
      </c>
      <c r="G592" s="13">
        <v>1</v>
      </c>
      <c r="H592" s="13">
        <v>1</v>
      </c>
      <c r="I592" s="13">
        <f t="shared" si="38"/>
        <v>0.05625</v>
      </c>
      <c r="J592" s="16">
        <f>SUM(I585:I592)</f>
        <v>0.1485999265252976</v>
      </c>
    </row>
    <row r="593" spans="1:10" ht="12.75">
      <c r="A593" s="233" t="s">
        <v>199</v>
      </c>
      <c r="B593" s="35" t="s">
        <v>200</v>
      </c>
      <c r="C593" s="20" t="s">
        <v>139</v>
      </c>
      <c r="D593" s="20" t="s">
        <v>458</v>
      </c>
      <c r="E593" s="28">
        <f>2*2.86</f>
        <v>5.72</v>
      </c>
      <c r="F593" s="32">
        <f>Steel</f>
        <v>0.0034027777777777776</v>
      </c>
      <c r="G593" s="28">
        <v>1</v>
      </c>
      <c r="H593" s="28">
        <v>1</v>
      </c>
      <c r="I593" s="28">
        <f t="shared" si="38"/>
        <v>0.019463888888888888</v>
      </c>
      <c r="J593" s="12"/>
    </row>
    <row r="594" spans="1:10" ht="12.75">
      <c r="A594" s="216"/>
      <c r="B594" s="35"/>
      <c r="C594" s="20"/>
      <c r="D594" s="20" t="s">
        <v>459</v>
      </c>
      <c r="E594" s="28">
        <f>9*9</f>
        <v>81</v>
      </c>
      <c r="F594" s="32">
        <f>Conc</f>
        <v>0.0010416666666666667</v>
      </c>
      <c r="G594" s="28">
        <f>2.417</f>
        <v>2.417</v>
      </c>
      <c r="H594" s="28">
        <v>8</v>
      </c>
      <c r="I594" s="28">
        <f t="shared" si="38"/>
        <v>0.025491796875</v>
      </c>
      <c r="J594" s="12"/>
    </row>
    <row r="595" spans="1:10" ht="12.75">
      <c r="A595" s="234"/>
      <c r="B595" s="36"/>
      <c r="C595" s="7"/>
      <c r="D595" s="9" t="s">
        <v>460</v>
      </c>
      <c r="E595" s="13">
        <f>(24-1.5/2)*9</f>
        <v>209.25</v>
      </c>
      <c r="F595" s="14">
        <f>Conc</f>
        <v>0.0010416666666666667</v>
      </c>
      <c r="G595" s="13">
        <v>1</v>
      </c>
      <c r="H595" s="13">
        <v>1</v>
      </c>
      <c r="I595" s="13">
        <f t="shared" si="38"/>
        <v>0.21796875</v>
      </c>
      <c r="J595" s="16">
        <f>SUM(I593:I595)</f>
        <v>0.2629244357638889</v>
      </c>
    </row>
    <row r="596" spans="1:10" ht="12.75">
      <c r="A596" s="219" t="s">
        <v>199</v>
      </c>
      <c r="B596" s="35" t="s">
        <v>201</v>
      </c>
      <c r="C596" s="20" t="s">
        <v>169</v>
      </c>
      <c r="D596" s="20" t="s">
        <v>458</v>
      </c>
      <c r="E596" s="28">
        <f>2*2.86</f>
        <v>5.72</v>
      </c>
      <c r="F596" s="32">
        <f>Steel</f>
        <v>0.0034027777777777776</v>
      </c>
      <c r="G596" s="28">
        <v>1</v>
      </c>
      <c r="H596" s="28">
        <v>1</v>
      </c>
      <c r="I596" s="28">
        <f t="shared" si="38"/>
        <v>0.019463888888888888</v>
      </c>
      <c r="J596" s="12"/>
    </row>
    <row r="597" spans="1:10" ht="12.75">
      <c r="A597" s="216"/>
      <c r="B597" s="35"/>
      <c r="C597" s="20"/>
      <c r="D597" s="20" t="s">
        <v>459</v>
      </c>
      <c r="E597" s="28">
        <f>9*9</f>
        <v>81</v>
      </c>
      <c r="F597" s="32">
        <f aca="true" t="shared" si="39" ref="F597:F602">Conc</f>
        <v>0.0010416666666666667</v>
      </c>
      <c r="G597" s="28">
        <f>2.417</f>
        <v>2.417</v>
      </c>
      <c r="H597" s="28">
        <v>8</v>
      </c>
      <c r="I597" s="28">
        <f t="shared" si="38"/>
        <v>0.025491796875</v>
      </c>
      <c r="J597" s="12"/>
    </row>
    <row r="598" spans="1:10" ht="12.75">
      <c r="A598" s="234"/>
      <c r="B598" s="36"/>
      <c r="C598" s="7"/>
      <c r="D598" s="7" t="s">
        <v>461</v>
      </c>
      <c r="E598" s="13">
        <f>8*6</f>
        <v>48</v>
      </c>
      <c r="F598" s="14">
        <f t="shared" si="39"/>
        <v>0.0010416666666666667</v>
      </c>
      <c r="G598" s="13">
        <v>1</v>
      </c>
      <c r="H598" s="13">
        <v>1</v>
      </c>
      <c r="I598" s="13">
        <f t="shared" si="38"/>
        <v>0.05</v>
      </c>
      <c r="J598" s="16">
        <f>SUM(I596:I598)</f>
        <v>0.0949556857638889</v>
      </c>
    </row>
    <row r="599" spans="1:10" ht="12.75">
      <c r="A599" s="219" t="s">
        <v>202</v>
      </c>
      <c r="B599" s="27" t="s">
        <v>203</v>
      </c>
      <c r="C599" s="20" t="s">
        <v>139</v>
      </c>
      <c r="D599" s="11" t="s">
        <v>462</v>
      </c>
      <c r="E599" s="21">
        <f>12*7</f>
        <v>84</v>
      </c>
      <c r="F599" s="24">
        <f t="shared" si="39"/>
        <v>0.0010416666666666667</v>
      </c>
      <c r="G599" s="21">
        <v>1</v>
      </c>
      <c r="H599" s="21">
        <v>1</v>
      </c>
      <c r="I599" s="28">
        <f t="shared" si="38"/>
        <v>0.0875</v>
      </c>
      <c r="J599" s="97"/>
    </row>
    <row r="600" spans="1:10" ht="12.75">
      <c r="A600" s="216"/>
      <c r="B600" s="35"/>
      <c r="C600" s="20"/>
      <c r="D600" s="20" t="s">
        <v>463</v>
      </c>
      <c r="E600" s="21">
        <f>9*3</f>
        <v>27</v>
      </c>
      <c r="F600" s="24">
        <f t="shared" si="39"/>
        <v>0.0010416666666666667</v>
      </c>
      <c r="G600" s="21">
        <v>1</v>
      </c>
      <c r="H600" s="21">
        <v>1</v>
      </c>
      <c r="I600" s="28">
        <f t="shared" si="38"/>
        <v>0.028125</v>
      </c>
      <c r="J600" s="97"/>
    </row>
    <row r="601" spans="1:10" ht="12.75">
      <c r="A601" s="216"/>
      <c r="B601" s="27"/>
      <c r="C601" s="11"/>
      <c r="D601" s="20" t="s">
        <v>464</v>
      </c>
      <c r="E601" s="21">
        <f>18*9</f>
        <v>162</v>
      </c>
      <c r="F601" s="24">
        <f t="shared" si="39"/>
        <v>0.0010416666666666667</v>
      </c>
      <c r="G601" s="21">
        <v>1</v>
      </c>
      <c r="H601" s="21">
        <v>5.5</v>
      </c>
      <c r="I601" s="28">
        <f t="shared" si="38"/>
        <v>0.030681818181818185</v>
      </c>
      <c r="J601" s="97"/>
    </row>
    <row r="602" spans="1:10" ht="12.75">
      <c r="A602" s="234"/>
      <c r="B602" s="39"/>
      <c r="C602" s="9"/>
      <c r="D602" s="9" t="s">
        <v>465</v>
      </c>
      <c r="E602" s="40">
        <f>(24-1.5/2)*9</f>
        <v>209.25</v>
      </c>
      <c r="F602" s="25">
        <f t="shared" si="39"/>
        <v>0.0010416666666666667</v>
      </c>
      <c r="G602" s="40">
        <v>1</v>
      </c>
      <c r="H602" s="40">
        <v>1</v>
      </c>
      <c r="I602" s="13">
        <f t="shared" si="38"/>
        <v>0.21796875</v>
      </c>
      <c r="J602" s="16">
        <f>SUM(I599:I602)</f>
        <v>0.36427556818181817</v>
      </c>
    </row>
    <row r="603" spans="1:10" ht="12.75">
      <c r="A603" s="219" t="s">
        <v>204</v>
      </c>
      <c r="B603" s="35" t="s">
        <v>167</v>
      </c>
      <c r="C603" s="20" t="s">
        <v>139</v>
      </c>
      <c r="D603" s="20" t="s">
        <v>423</v>
      </c>
      <c r="E603" s="28">
        <f>2.25</f>
        <v>2.25</v>
      </c>
      <c r="F603" s="32">
        <f aca="true" t="shared" si="40" ref="F603:F608">Steel</f>
        <v>0.0034027777777777776</v>
      </c>
      <c r="G603" s="28">
        <v>1</v>
      </c>
      <c r="H603" s="28">
        <v>1</v>
      </c>
      <c r="I603" s="28">
        <f t="shared" si="38"/>
        <v>0.00765625</v>
      </c>
      <c r="J603" s="12"/>
    </row>
    <row r="604" spans="1:10" ht="12.75">
      <c r="A604" s="216"/>
      <c r="B604" s="35"/>
      <c r="C604" s="20"/>
      <c r="D604" s="20" t="s">
        <v>424</v>
      </c>
      <c r="E604" s="28">
        <f>0.00232/Steel</f>
        <v>0.681795918367347</v>
      </c>
      <c r="F604" s="32">
        <f t="shared" si="40"/>
        <v>0.0034027777777777776</v>
      </c>
      <c r="G604" s="28">
        <v>1</v>
      </c>
      <c r="H604" s="28">
        <v>1</v>
      </c>
      <c r="I604" s="28">
        <f t="shared" si="38"/>
        <v>0.00232</v>
      </c>
      <c r="J604" s="12"/>
    </row>
    <row r="605" spans="1:10" ht="12.75">
      <c r="A605" s="216"/>
      <c r="D605" s="20" t="s">
        <v>406</v>
      </c>
      <c r="E605" s="28">
        <f>0.00186/Steel</f>
        <v>0.5466122448979592</v>
      </c>
      <c r="F605" s="32">
        <f t="shared" si="40"/>
        <v>0.0034027777777777776</v>
      </c>
      <c r="G605" s="28">
        <v>1</v>
      </c>
      <c r="H605" s="28">
        <v>1</v>
      </c>
      <c r="I605" s="28">
        <f t="shared" si="38"/>
        <v>0.00186</v>
      </c>
      <c r="J605" s="12"/>
    </row>
    <row r="606" spans="1:10" ht="12.75">
      <c r="A606" s="216"/>
      <c r="D606" s="20" t="s">
        <v>407</v>
      </c>
      <c r="E606" s="28">
        <f>0.005/Steel</f>
        <v>1.469387755102041</v>
      </c>
      <c r="F606" s="32">
        <f t="shared" si="40"/>
        <v>0.0034027777777777776</v>
      </c>
      <c r="G606" s="28">
        <v>1</v>
      </c>
      <c r="H606" s="28">
        <v>1</v>
      </c>
      <c r="I606" s="28">
        <f t="shared" si="38"/>
        <v>0.005</v>
      </c>
      <c r="J606" s="12"/>
    </row>
    <row r="607" spans="1:10" ht="12.75">
      <c r="A607" s="216"/>
      <c r="D607" s="20" t="s">
        <v>408</v>
      </c>
      <c r="E607" s="28">
        <f>0.75^2</f>
        <v>0.5625</v>
      </c>
      <c r="F607" s="32">
        <f t="shared" si="40"/>
        <v>0.0034027777777777776</v>
      </c>
      <c r="G607" s="28">
        <f>8.5/12</f>
        <v>0.7083333333333334</v>
      </c>
      <c r="H607" s="28">
        <v>0.5</v>
      </c>
      <c r="I607" s="28">
        <f t="shared" si="38"/>
        <v>0.002711588541666667</v>
      </c>
      <c r="J607" s="12"/>
    </row>
    <row r="608" spans="1:10" ht="12.75">
      <c r="A608" s="216"/>
      <c r="D608" s="20" t="s">
        <v>425</v>
      </c>
      <c r="E608" s="28">
        <f>0.75^2</f>
        <v>0.5625</v>
      </c>
      <c r="F608" s="32">
        <f t="shared" si="40"/>
        <v>0.0034027777777777776</v>
      </c>
      <c r="G608" s="28">
        <f>2+0.75/12</f>
        <v>2.0625</v>
      </c>
      <c r="H608" s="28">
        <v>0.5</v>
      </c>
      <c r="I608" s="28">
        <f t="shared" si="38"/>
        <v>0.007895507812499999</v>
      </c>
      <c r="J608" s="12"/>
    </row>
    <row r="609" spans="1:10" ht="12.75">
      <c r="A609" s="216"/>
      <c r="D609" s="20" t="s">
        <v>426</v>
      </c>
      <c r="E609" s="28">
        <f>12^2</f>
        <v>144</v>
      </c>
      <c r="F609" s="32">
        <f>Conc</f>
        <v>0.0010416666666666667</v>
      </c>
      <c r="G609" s="28">
        <f>3.042</f>
        <v>3.042</v>
      </c>
      <c r="H609" s="28">
        <v>7</v>
      </c>
      <c r="I609" s="28">
        <f t="shared" si="38"/>
        <v>0.06518571428571428</v>
      </c>
      <c r="J609" s="12"/>
    </row>
    <row r="610" spans="1:10" ht="12.75">
      <c r="A610" s="234"/>
      <c r="B610" s="19"/>
      <c r="C610" s="13"/>
      <c r="D610" s="7" t="s">
        <v>403</v>
      </c>
      <c r="E610" s="13">
        <f>(30-1.5/2)*9</f>
        <v>263.25</v>
      </c>
      <c r="F610" s="14">
        <f>Conc</f>
        <v>0.0010416666666666667</v>
      </c>
      <c r="G610" s="13">
        <v>1</v>
      </c>
      <c r="H610" s="13">
        <v>1</v>
      </c>
      <c r="I610" s="13">
        <f t="shared" si="38"/>
        <v>0.27421875</v>
      </c>
      <c r="J610" s="16">
        <f>SUM(I603:I610)</f>
        <v>0.3668478106398809</v>
      </c>
    </row>
    <row r="611" spans="1:16" ht="12.75">
      <c r="A611" s="219" t="s">
        <v>204</v>
      </c>
      <c r="B611" s="35" t="s">
        <v>168</v>
      </c>
      <c r="C611" s="20" t="s">
        <v>169</v>
      </c>
      <c r="D611" s="20" t="s">
        <v>423</v>
      </c>
      <c r="E611" s="28">
        <f>2.25</f>
        <v>2.25</v>
      </c>
      <c r="F611" s="32">
        <f aca="true" t="shared" si="41" ref="F611:F616">Steel</f>
        <v>0.0034027777777777776</v>
      </c>
      <c r="G611" s="28">
        <v>1</v>
      </c>
      <c r="H611" s="28">
        <v>1</v>
      </c>
      <c r="I611" s="28">
        <f t="shared" si="38"/>
        <v>0.00765625</v>
      </c>
      <c r="J611" s="12"/>
      <c r="K611" s="28"/>
      <c r="L611" s="28"/>
      <c r="M611" s="28"/>
      <c r="N611" s="28"/>
      <c r="O611" s="28"/>
      <c r="P611" s="28"/>
    </row>
    <row r="612" spans="1:16" ht="12.75">
      <c r="A612" s="216"/>
      <c r="B612" s="35"/>
      <c r="C612" s="20"/>
      <c r="D612" s="20" t="s">
        <v>424</v>
      </c>
      <c r="E612" s="28">
        <f>0.00232/Steel</f>
        <v>0.681795918367347</v>
      </c>
      <c r="F612" s="32">
        <f t="shared" si="41"/>
        <v>0.0034027777777777776</v>
      </c>
      <c r="G612" s="28">
        <v>1</v>
      </c>
      <c r="H612" s="28">
        <v>1</v>
      </c>
      <c r="I612" s="28">
        <f t="shared" si="38"/>
        <v>0.00232</v>
      </c>
      <c r="J612" s="12"/>
      <c r="K612" s="28"/>
      <c r="L612" s="28"/>
      <c r="M612" s="28"/>
      <c r="N612" s="28"/>
      <c r="O612" s="28"/>
      <c r="P612" s="28"/>
    </row>
    <row r="613" spans="1:16" ht="12.75">
      <c r="A613" s="216"/>
      <c r="D613" s="20" t="s">
        <v>406</v>
      </c>
      <c r="E613" s="28">
        <f>0.00186/Steel</f>
        <v>0.5466122448979592</v>
      </c>
      <c r="F613" s="32">
        <f t="shared" si="41"/>
        <v>0.0034027777777777776</v>
      </c>
      <c r="G613" s="28">
        <v>1</v>
      </c>
      <c r="H613" s="28">
        <v>1</v>
      </c>
      <c r="I613" s="28">
        <f t="shared" si="38"/>
        <v>0.00186</v>
      </c>
      <c r="J613" s="12"/>
      <c r="K613" s="28"/>
      <c r="L613" s="28"/>
      <c r="M613" s="28"/>
      <c r="N613" s="28"/>
      <c r="O613" s="28"/>
      <c r="P613" s="28"/>
    </row>
    <row r="614" spans="1:16" ht="12.75">
      <c r="A614" s="216"/>
      <c r="D614" s="20" t="s">
        <v>407</v>
      </c>
      <c r="E614" s="28">
        <f>0.005/Steel</f>
        <v>1.469387755102041</v>
      </c>
      <c r="F614" s="32">
        <f t="shared" si="41"/>
        <v>0.0034027777777777776</v>
      </c>
      <c r="G614" s="28">
        <v>1</v>
      </c>
      <c r="H614" s="28">
        <v>1</v>
      </c>
      <c r="I614" s="28">
        <f t="shared" si="38"/>
        <v>0.005</v>
      </c>
      <c r="J614" s="12"/>
      <c r="K614" s="28"/>
      <c r="L614" s="28"/>
      <c r="M614" s="28"/>
      <c r="N614" s="28"/>
      <c r="O614" s="28"/>
      <c r="P614" s="28"/>
    </row>
    <row r="615" spans="1:16" ht="12.75">
      <c r="A615" s="216"/>
      <c r="D615" s="20" t="s">
        <v>408</v>
      </c>
      <c r="E615" s="28">
        <f>0.75^2</f>
        <v>0.5625</v>
      </c>
      <c r="F615" s="32">
        <f t="shared" si="41"/>
        <v>0.0034027777777777776</v>
      </c>
      <c r="G615" s="28">
        <f>8.5/12</f>
        <v>0.7083333333333334</v>
      </c>
      <c r="H615" s="28">
        <v>0.5</v>
      </c>
      <c r="I615" s="28">
        <f t="shared" si="38"/>
        <v>0.002711588541666667</v>
      </c>
      <c r="J615" s="12"/>
      <c r="K615" s="28"/>
      <c r="L615" s="28"/>
      <c r="M615" s="28"/>
      <c r="N615" s="28"/>
      <c r="O615" s="28"/>
      <c r="P615" s="28"/>
    </row>
    <row r="616" spans="1:16" ht="12.75">
      <c r="A616" s="216"/>
      <c r="D616" s="20" t="s">
        <v>425</v>
      </c>
      <c r="E616" s="28">
        <f>0.75^2</f>
        <v>0.5625</v>
      </c>
      <c r="F616" s="32">
        <f t="shared" si="41"/>
        <v>0.0034027777777777776</v>
      </c>
      <c r="G616" s="28">
        <f>2+0.75/12</f>
        <v>2.0625</v>
      </c>
      <c r="H616" s="28">
        <v>0.5</v>
      </c>
      <c r="I616" s="28">
        <f t="shared" si="38"/>
        <v>0.007895507812499999</v>
      </c>
      <c r="J616" s="12"/>
      <c r="K616" s="28"/>
      <c r="L616" s="28"/>
      <c r="M616" s="28"/>
      <c r="N616" s="28"/>
      <c r="O616" s="28"/>
      <c r="P616" s="28"/>
    </row>
    <row r="617" spans="1:16" ht="12.75">
      <c r="A617" s="216"/>
      <c r="D617" s="20" t="s">
        <v>426</v>
      </c>
      <c r="E617" s="28">
        <f>12^2</f>
        <v>144</v>
      </c>
      <c r="F617" s="32">
        <f>Conc</f>
        <v>0.0010416666666666667</v>
      </c>
      <c r="G617" s="28">
        <f>3.042</f>
        <v>3.042</v>
      </c>
      <c r="H617" s="28">
        <v>7</v>
      </c>
      <c r="I617" s="28">
        <f t="shared" si="38"/>
        <v>0.06518571428571428</v>
      </c>
      <c r="J617" s="12"/>
      <c r="K617" s="28"/>
      <c r="L617" s="28"/>
      <c r="M617" s="28"/>
      <c r="N617" s="28"/>
      <c r="O617" s="28"/>
      <c r="P617" s="28"/>
    </row>
    <row r="618" spans="1:10" ht="12.75">
      <c r="A618" s="234"/>
      <c r="B618" s="19"/>
      <c r="C618" s="13"/>
      <c r="D618" s="7" t="s">
        <v>428</v>
      </c>
      <c r="E618" s="13">
        <f>9*6</f>
        <v>54</v>
      </c>
      <c r="F618" s="14">
        <f>Conc</f>
        <v>0.0010416666666666667</v>
      </c>
      <c r="G618" s="13">
        <v>1</v>
      </c>
      <c r="H618" s="13">
        <v>1</v>
      </c>
      <c r="I618" s="13">
        <f t="shared" si="38"/>
        <v>0.05625</v>
      </c>
      <c r="J618" s="16">
        <f>SUM(I611:I618)</f>
        <v>0.14887906063988093</v>
      </c>
    </row>
    <row r="619" spans="1:11" ht="12.75">
      <c r="A619" s="233" t="s">
        <v>205</v>
      </c>
      <c r="B619" s="35" t="s">
        <v>151</v>
      </c>
      <c r="C619" s="20" t="s">
        <v>139</v>
      </c>
      <c r="D619" s="20" t="s">
        <v>423</v>
      </c>
      <c r="E619" s="28">
        <f>2.25</f>
        <v>2.25</v>
      </c>
      <c r="F619" s="32">
        <f aca="true" t="shared" si="42" ref="F619:F624">Steel</f>
        <v>0.0034027777777777776</v>
      </c>
      <c r="G619" s="28">
        <v>1</v>
      </c>
      <c r="H619" s="28">
        <v>1</v>
      </c>
      <c r="I619" s="28">
        <f t="shared" si="38"/>
        <v>0.00765625</v>
      </c>
      <c r="J619" s="12"/>
      <c r="K619" s="28"/>
    </row>
    <row r="620" spans="1:11" ht="12.75">
      <c r="A620" s="216"/>
      <c r="B620" s="35"/>
      <c r="C620" s="20"/>
      <c r="D620" s="20" t="s">
        <v>424</v>
      </c>
      <c r="E620" s="28">
        <f>0.00232/Steel</f>
        <v>0.681795918367347</v>
      </c>
      <c r="F620" s="32">
        <f t="shared" si="42"/>
        <v>0.0034027777777777776</v>
      </c>
      <c r="G620" s="28">
        <v>1</v>
      </c>
      <c r="H620" s="28">
        <v>1</v>
      </c>
      <c r="I620" s="28">
        <f t="shared" si="38"/>
        <v>0.00232</v>
      </c>
      <c r="J620" s="12"/>
      <c r="K620" s="28"/>
    </row>
    <row r="621" spans="1:11" ht="12.75">
      <c r="A621" s="216"/>
      <c r="D621" s="20" t="s">
        <v>406</v>
      </c>
      <c r="E621" s="28">
        <f>0.00186/Steel</f>
        <v>0.5466122448979592</v>
      </c>
      <c r="F621" s="32">
        <f t="shared" si="42"/>
        <v>0.0034027777777777776</v>
      </c>
      <c r="G621" s="28">
        <v>1</v>
      </c>
      <c r="H621" s="28">
        <v>1</v>
      </c>
      <c r="I621" s="28">
        <f t="shared" si="38"/>
        <v>0.00186</v>
      </c>
      <c r="J621" s="12"/>
      <c r="K621" s="28"/>
    </row>
    <row r="622" spans="1:11" ht="12.75">
      <c r="A622" s="216"/>
      <c r="D622" s="20" t="s">
        <v>407</v>
      </c>
      <c r="E622" s="28">
        <f>0.005/Steel</f>
        <v>1.469387755102041</v>
      </c>
      <c r="F622" s="32">
        <f t="shared" si="42"/>
        <v>0.0034027777777777776</v>
      </c>
      <c r="G622" s="28">
        <v>1</v>
      </c>
      <c r="H622" s="28">
        <v>1</v>
      </c>
      <c r="I622" s="28">
        <f t="shared" si="38"/>
        <v>0.005</v>
      </c>
      <c r="J622" s="12"/>
      <c r="K622" s="28"/>
    </row>
    <row r="623" spans="1:11" ht="12.75">
      <c r="A623" s="216"/>
      <c r="D623" s="20" t="s">
        <v>408</v>
      </c>
      <c r="E623" s="28">
        <f>0.75^2</f>
        <v>0.5625</v>
      </c>
      <c r="F623" s="32">
        <f t="shared" si="42"/>
        <v>0.0034027777777777776</v>
      </c>
      <c r="G623" s="28">
        <f>8.5/12</f>
        <v>0.7083333333333334</v>
      </c>
      <c r="H623" s="28">
        <v>0.5</v>
      </c>
      <c r="I623" s="28">
        <f t="shared" si="38"/>
        <v>0.002711588541666667</v>
      </c>
      <c r="J623" s="12"/>
      <c r="K623" s="28"/>
    </row>
    <row r="624" spans="1:11" ht="12.75">
      <c r="A624" s="216"/>
      <c r="D624" s="20" t="s">
        <v>425</v>
      </c>
      <c r="E624" s="28">
        <f>0.75^2</f>
        <v>0.5625</v>
      </c>
      <c r="F624" s="32">
        <f t="shared" si="42"/>
        <v>0.0034027777777777776</v>
      </c>
      <c r="G624" s="28">
        <f>2+0.75/12</f>
        <v>2.0625</v>
      </c>
      <c r="H624" s="28">
        <v>0.5</v>
      </c>
      <c r="I624" s="28">
        <f t="shared" si="38"/>
        <v>0.007895507812499999</v>
      </c>
      <c r="J624" s="12"/>
      <c r="K624" s="28"/>
    </row>
    <row r="625" spans="1:11" ht="12.75">
      <c r="A625" s="216"/>
      <c r="D625" s="20" t="s">
        <v>426</v>
      </c>
      <c r="E625" s="28">
        <f>12^2</f>
        <v>144</v>
      </c>
      <c r="F625" s="32">
        <f aca="true" t="shared" si="43" ref="F625:F630">Conc</f>
        <v>0.0010416666666666667</v>
      </c>
      <c r="G625" s="28">
        <f>3.042</f>
        <v>3.042</v>
      </c>
      <c r="H625" s="28">
        <v>7</v>
      </c>
      <c r="I625" s="28">
        <f t="shared" si="38"/>
        <v>0.06518571428571428</v>
      </c>
      <c r="J625" s="12"/>
      <c r="K625" s="28"/>
    </row>
    <row r="626" spans="1:10" ht="12.75">
      <c r="A626" s="234"/>
      <c r="B626" s="19"/>
      <c r="C626" s="13"/>
      <c r="D626" s="7" t="s">
        <v>403</v>
      </c>
      <c r="E626" s="13">
        <f>(30-1.5/2)*9</f>
        <v>263.25</v>
      </c>
      <c r="F626" s="14">
        <f t="shared" si="43"/>
        <v>0.0010416666666666667</v>
      </c>
      <c r="G626" s="13">
        <v>1</v>
      </c>
      <c r="H626" s="13">
        <v>1</v>
      </c>
      <c r="I626" s="13">
        <f t="shared" si="38"/>
        <v>0.27421875</v>
      </c>
      <c r="J626" s="16">
        <f>SUM(I619:I626)</f>
        <v>0.3668478106398809</v>
      </c>
    </row>
    <row r="627" spans="1:10" ht="12.75">
      <c r="A627" s="219" t="s">
        <v>205</v>
      </c>
      <c r="B627" s="27" t="s">
        <v>161</v>
      </c>
      <c r="C627" s="20" t="s">
        <v>206</v>
      </c>
      <c r="D627" s="11" t="s">
        <v>466</v>
      </c>
      <c r="E627" s="21">
        <f>9*13</f>
        <v>117</v>
      </c>
      <c r="F627" s="24">
        <f t="shared" si="43"/>
        <v>0.0010416666666666667</v>
      </c>
      <c r="G627" s="21">
        <v>1</v>
      </c>
      <c r="H627" s="21">
        <v>1</v>
      </c>
      <c r="I627" s="28">
        <f t="shared" si="38"/>
        <v>0.121875</v>
      </c>
      <c r="J627" s="97"/>
    </row>
    <row r="628" spans="1:10" ht="12.75">
      <c r="A628" s="216"/>
      <c r="B628" s="35"/>
      <c r="C628" s="20"/>
      <c r="D628" s="20" t="s">
        <v>467</v>
      </c>
      <c r="E628" s="28">
        <f>-2*1.5*0.75</f>
        <v>-2.25</v>
      </c>
      <c r="F628" s="32">
        <f t="shared" si="43"/>
        <v>0.0010416666666666667</v>
      </c>
      <c r="G628" s="33">
        <v>0.625</v>
      </c>
      <c r="H628" s="33">
        <f>0.583</f>
        <v>0.583</v>
      </c>
      <c r="I628" s="28">
        <f t="shared" si="38"/>
        <v>-0.0025125964837049743</v>
      </c>
      <c r="J628" s="97"/>
    </row>
    <row r="629" spans="1:10" ht="12.75">
      <c r="A629" s="216"/>
      <c r="B629" s="27"/>
      <c r="C629" s="11"/>
      <c r="D629" s="20" t="s">
        <v>468</v>
      </c>
      <c r="E629" s="21">
        <f>(27.75-1.5-9)*15</f>
        <v>258.75</v>
      </c>
      <c r="F629" s="24">
        <f t="shared" si="43"/>
        <v>0.0010416666666666667</v>
      </c>
      <c r="G629" s="21">
        <v>1</v>
      </c>
      <c r="H629" s="21">
        <v>1</v>
      </c>
      <c r="I629" s="28">
        <f t="shared" si="38"/>
        <v>0.26953125</v>
      </c>
      <c r="J629" s="97"/>
    </row>
    <row r="630" spans="1:10" ht="12.75">
      <c r="A630" s="234"/>
      <c r="B630" s="39"/>
      <c r="C630" s="9"/>
      <c r="D630" s="9" t="s">
        <v>469</v>
      </c>
      <c r="E630" s="40">
        <f>(27.75-1.5-1.5/2)*9</f>
        <v>229.5</v>
      </c>
      <c r="F630" s="25">
        <f t="shared" si="43"/>
        <v>0.0010416666666666667</v>
      </c>
      <c r="G630" s="40">
        <v>1</v>
      </c>
      <c r="H630" s="40">
        <v>1</v>
      </c>
      <c r="I630" s="13">
        <f t="shared" si="38"/>
        <v>0.23906249999999998</v>
      </c>
      <c r="J630" s="98">
        <f>SUM(I627:I630)</f>
        <v>0.627956153516295</v>
      </c>
    </row>
    <row r="631" spans="1:10" ht="12.75">
      <c r="A631" s="219" t="s">
        <v>207</v>
      </c>
      <c r="B631" s="35" t="s">
        <v>208</v>
      </c>
      <c r="C631" s="20" t="s">
        <v>191</v>
      </c>
      <c r="D631" s="20" t="s">
        <v>470</v>
      </c>
      <c r="E631" s="21">
        <f>2*2.625*7.625</f>
        <v>40.03125</v>
      </c>
      <c r="F631" s="24">
        <f>Tmbr</f>
        <v>0.00022222222222222223</v>
      </c>
      <c r="G631" s="21">
        <v>1</v>
      </c>
      <c r="H631" s="21">
        <v>1</v>
      </c>
      <c r="I631" s="28">
        <f t="shared" si="38"/>
        <v>0.008895833333333334</v>
      </c>
      <c r="J631" s="97"/>
    </row>
    <row r="632" spans="1:10" ht="12.75">
      <c r="A632" s="216"/>
      <c r="B632" s="35"/>
      <c r="C632" s="20"/>
      <c r="D632" s="20" t="s">
        <v>471</v>
      </c>
      <c r="E632" s="21">
        <f>1.625*11.625</f>
        <v>18.890625</v>
      </c>
      <c r="F632" s="24">
        <f>Tmbr</f>
        <v>0.00022222222222222223</v>
      </c>
      <c r="G632" s="21">
        <v>1</v>
      </c>
      <c r="H632" s="21">
        <v>1</v>
      </c>
      <c r="I632" s="28">
        <f t="shared" si="38"/>
        <v>0.004197916666666667</v>
      </c>
      <c r="J632" s="97"/>
    </row>
    <row r="633" spans="1:10" ht="12.75">
      <c r="A633" s="216"/>
      <c r="B633" s="35"/>
      <c r="C633" s="20"/>
      <c r="D633" s="20" t="s">
        <v>472</v>
      </c>
      <c r="E633" s="21">
        <f>5.625*7.625</f>
        <v>42.890625</v>
      </c>
      <c r="F633" s="24">
        <f>Tmbr</f>
        <v>0.00022222222222222223</v>
      </c>
      <c r="G633" s="21">
        <v>1</v>
      </c>
      <c r="H633" s="21">
        <v>1</v>
      </c>
      <c r="I633" s="28">
        <f t="shared" si="38"/>
        <v>0.00953125</v>
      </c>
      <c r="J633" s="97"/>
    </row>
    <row r="634" spans="1:10" ht="12.75">
      <c r="A634" s="234"/>
      <c r="B634" s="19"/>
      <c r="C634" s="13"/>
      <c r="D634" s="7" t="s">
        <v>473</v>
      </c>
      <c r="E634" s="40">
        <f>5.625*7.625</f>
        <v>42.890625</v>
      </c>
      <c r="F634" s="25">
        <f>Tmbr</f>
        <v>0.00022222222222222223</v>
      </c>
      <c r="G634" s="40">
        <v>4.5</v>
      </c>
      <c r="H634" s="40">
        <v>4</v>
      </c>
      <c r="I634" s="13">
        <f t="shared" si="38"/>
        <v>0.01072265625</v>
      </c>
      <c r="J634" s="98">
        <f>SUM(I631:I634)</f>
        <v>0.033347656249999996</v>
      </c>
    </row>
    <row r="635" spans="1:10" ht="12.75">
      <c r="A635" s="219" t="s">
        <v>209</v>
      </c>
      <c r="B635" s="27" t="s">
        <v>161</v>
      </c>
      <c r="C635" s="20" t="s">
        <v>206</v>
      </c>
      <c r="D635" s="11" t="s">
        <v>466</v>
      </c>
      <c r="E635" s="21">
        <f>9*13</f>
        <v>117</v>
      </c>
      <c r="F635" s="24">
        <f aca="true" t="shared" si="44" ref="F635:F640">Conc</f>
        <v>0.0010416666666666667</v>
      </c>
      <c r="G635" s="21">
        <v>1</v>
      </c>
      <c r="H635" s="21">
        <v>1</v>
      </c>
      <c r="I635" s="28">
        <f t="shared" si="38"/>
        <v>0.121875</v>
      </c>
      <c r="J635" s="97"/>
    </row>
    <row r="636" spans="1:10" ht="12.75">
      <c r="A636" s="216"/>
      <c r="B636" s="35"/>
      <c r="C636" s="20"/>
      <c r="D636" s="20" t="s">
        <v>467</v>
      </c>
      <c r="E636" s="28">
        <f>-2*1.5*0.75</f>
        <v>-2.25</v>
      </c>
      <c r="F636" s="32">
        <f t="shared" si="44"/>
        <v>0.0010416666666666667</v>
      </c>
      <c r="G636" s="33">
        <v>0.625</v>
      </c>
      <c r="H636" s="33">
        <f>0.583</f>
        <v>0.583</v>
      </c>
      <c r="I636" s="28">
        <f t="shared" si="38"/>
        <v>-0.0025125964837049743</v>
      </c>
      <c r="J636" s="97"/>
    </row>
    <row r="637" spans="1:10" ht="12.75">
      <c r="A637" s="216"/>
      <c r="B637" s="27"/>
      <c r="C637" s="11"/>
      <c r="D637" s="20" t="s">
        <v>468</v>
      </c>
      <c r="E637" s="21">
        <f>(27.75-1.5-9)*15</f>
        <v>258.75</v>
      </c>
      <c r="F637" s="24">
        <f t="shared" si="44"/>
        <v>0.0010416666666666667</v>
      </c>
      <c r="G637" s="21">
        <v>1</v>
      </c>
      <c r="H637" s="21">
        <v>1</v>
      </c>
      <c r="I637" s="28">
        <f t="shared" si="38"/>
        <v>0.26953125</v>
      </c>
      <c r="J637" s="97"/>
    </row>
    <row r="638" spans="1:10" ht="12.75">
      <c r="A638" s="234"/>
      <c r="B638" s="39"/>
      <c r="C638" s="9"/>
      <c r="D638" s="9" t="s">
        <v>469</v>
      </c>
      <c r="E638" s="40">
        <f>(27.75-1.5-1.5/2)*9</f>
        <v>229.5</v>
      </c>
      <c r="F638" s="25">
        <f t="shared" si="44"/>
        <v>0.0010416666666666667</v>
      </c>
      <c r="G638" s="40">
        <v>1</v>
      </c>
      <c r="H638" s="40">
        <v>1</v>
      </c>
      <c r="I638" s="13">
        <f t="shared" si="38"/>
        <v>0.23906249999999998</v>
      </c>
      <c r="J638" s="98">
        <f>SUM(I635:I638)</f>
        <v>0.627956153516295</v>
      </c>
    </row>
    <row r="639" spans="1:10" ht="12.75">
      <c r="A639" s="219" t="s">
        <v>209</v>
      </c>
      <c r="B639" s="27" t="s">
        <v>210</v>
      </c>
      <c r="C639" s="11"/>
      <c r="D639" s="11" t="s">
        <v>474</v>
      </c>
      <c r="E639" s="21">
        <f>(6+1.1875/2)*6</f>
        <v>39.5625</v>
      </c>
      <c r="F639" s="24">
        <f t="shared" si="44"/>
        <v>0.0010416666666666667</v>
      </c>
      <c r="G639" s="21">
        <v>1</v>
      </c>
      <c r="H639" s="21">
        <v>1</v>
      </c>
      <c r="I639" s="28">
        <f t="shared" si="38"/>
        <v>0.0412109375</v>
      </c>
      <c r="J639" s="97"/>
    </row>
    <row r="640" spans="1:10" ht="12.75">
      <c r="A640" s="234"/>
      <c r="B640" s="39"/>
      <c r="C640" s="9"/>
      <c r="D640" s="9" t="s">
        <v>475</v>
      </c>
      <c r="E640" s="40">
        <f>(10.1875+1.5/2)*9</f>
        <v>98.4375</v>
      </c>
      <c r="F640" s="25">
        <f t="shared" si="44"/>
        <v>0.0010416666666666667</v>
      </c>
      <c r="G640" s="40">
        <v>1</v>
      </c>
      <c r="H640" s="40">
        <v>1</v>
      </c>
      <c r="I640" s="13">
        <f t="shared" si="38"/>
        <v>0.1025390625</v>
      </c>
      <c r="J640" s="98">
        <f>SUM(I639:I640)</f>
        <v>0.14375</v>
      </c>
    </row>
    <row r="641" spans="1:10" ht="12.75">
      <c r="A641" s="219" t="s">
        <v>211</v>
      </c>
      <c r="B641" s="35" t="s">
        <v>212</v>
      </c>
      <c r="C641" s="20" t="s">
        <v>139</v>
      </c>
      <c r="D641" s="20" t="s">
        <v>476</v>
      </c>
      <c r="E641" s="21">
        <f>8*4</f>
        <v>32</v>
      </c>
      <c r="F641" s="24">
        <f>Tmbr</f>
        <v>0.00022222222222222223</v>
      </c>
      <c r="G641" s="21">
        <v>1</v>
      </c>
      <c r="H641" s="21">
        <v>1</v>
      </c>
      <c r="I641" s="28">
        <f t="shared" si="38"/>
        <v>0.0071111111111111115</v>
      </c>
      <c r="J641" s="97"/>
    </row>
    <row r="642" spans="1:10" ht="12.75">
      <c r="A642" s="216"/>
      <c r="B642" s="35"/>
      <c r="C642" s="20"/>
      <c r="D642" s="20" t="s">
        <v>477</v>
      </c>
      <c r="E642" s="21">
        <f>2*1.0625*2</f>
        <v>4.25</v>
      </c>
      <c r="F642" s="24">
        <f>Tmbr</f>
        <v>0.00022222222222222223</v>
      </c>
      <c r="G642" s="21">
        <v>1</v>
      </c>
      <c r="H642" s="21">
        <v>1</v>
      </c>
      <c r="I642" s="28">
        <f t="shared" si="38"/>
        <v>0.0009444444444444445</v>
      </c>
      <c r="J642" s="97"/>
    </row>
    <row r="643" spans="1:10" ht="12.75">
      <c r="A643" s="216"/>
      <c r="B643" s="27"/>
      <c r="C643" s="11"/>
      <c r="D643" s="20" t="s">
        <v>478</v>
      </c>
      <c r="E643" s="46">
        <f>2*1.625*3.625</f>
        <v>11.78125</v>
      </c>
      <c r="F643" s="24">
        <f>Tmbr</f>
        <v>0.00022222222222222223</v>
      </c>
      <c r="G643" s="21">
        <v>1</v>
      </c>
      <c r="H643" s="21">
        <v>1</v>
      </c>
      <c r="I643" s="28">
        <f t="shared" si="38"/>
        <v>0.0026180555555555558</v>
      </c>
      <c r="J643" s="97"/>
    </row>
    <row r="644" spans="1:10" ht="12.75">
      <c r="A644" s="216"/>
      <c r="B644" s="27"/>
      <c r="C644" s="11"/>
      <c r="D644" s="20" t="s">
        <v>479</v>
      </c>
      <c r="E644" s="21">
        <f>1.625^2</f>
        <v>2.640625</v>
      </c>
      <c r="F644" s="24">
        <f>Tmbr</f>
        <v>0.00022222222222222223</v>
      </c>
      <c r="G644" s="21">
        <f>2.083</f>
        <v>2.083</v>
      </c>
      <c r="H644" s="21">
        <v>0.5</v>
      </c>
      <c r="I644" s="28">
        <f t="shared" si="38"/>
        <v>0.0024446319444444446</v>
      </c>
      <c r="J644" s="97"/>
    </row>
    <row r="645" spans="1:10" ht="12.75">
      <c r="A645" s="216"/>
      <c r="B645" s="27"/>
      <c r="C645" s="11"/>
      <c r="D645" s="20" t="s">
        <v>480</v>
      </c>
      <c r="E645" s="21">
        <f>12^2</f>
        <v>144</v>
      </c>
      <c r="F645" s="24">
        <f>Conc</f>
        <v>0.0010416666666666667</v>
      </c>
      <c r="G645" s="46">
        <f>3+9.5/12-0.75</f>
        <v>3.0416666666666665</v>
      </c>
      <c r="H645" s="21">
        <v>7</v>
      </c>
      <c r="I645" s="28">
        <f t="shared" si="38"/>
        <v>0.06517857142857142</v>
      </c>
      <c r="J645" s="97"/>
    </row>
    <row r="646" spans="1:10" ht="12.75">
      <c r="A646" s="234"/>
      <c r="B646" s="39"/>
      <c r="C646" s="9"/>
      <c r="D646" s="9" t="s">
        <v>481</v>
      </c>
      <c r="E646" s="40">
        <f>(18-1.5/2)*9</f>
        <v>155.25</v>
      </c>
      <c r="F646" s="25">
        <f>Conc</f>
        <v>0.0010416666666666667</v>
      </c>
      <c r="G646" s="40">
        <v>1</v>
      </c>
      <c r="H646" s="40">
        <v>1</v>
      </c>
      <c r="I646" s="13">
        <f t="shared" si="38"/>
        <v>0.16171875</v>
      </c>
      <c r="J646" s="98">
        <f>SUM(I641:I646)</f>
        <v>0.24001556448412698</v>
      </c>
    </row>
    <row r="647" spans="1:10" ht="12.75">
      <c r="A647" s="233" t="s">
        <v>211</v>
      </c>
      <c r="B647" s="35" t="s">
        <v>213</v>
      </c>
      <c r="C647" s="20" t="s">
        <v>169</v>
      </c>
      <c r="D647" s="20" t="s">
        <v>476</v>
      </c>
      <c r="E647" s="21">
        <f>8*4</f>
        <v>32</v>
      </c>
      <c r="F647" s="24">
        <f>Tmbr</f>
        <v>0.00022222222222222223</v>
      </c>
      <c r="G647" s="21">
        <v>1</v>
      </c>
      <c r="H647" s="21">
        <v>1</v>
      </c>
      <c r="I647" s="28">
        <f t="shared" si="38"/>
        <v>0.0071111111111111115</v>
      </c>
      <c r="J647" s="97"/>
    </row>
    <row r="648" spans="1:10" ht="12.75">
      <c r="A648" s="216"/>
      <c r="B648" s="35"/>
      <c r="C648" s="20"/>
      <c r="D648" s="20" t="s">
        <v>477</v>
      </c>
      <c r="E648" s="21">
        <f>2*1.0625*2</f>
        <v>4.25</v>
      </c>
      <c r="F648" s="24">
        <f>Tmbr</f>
        <v>0.00022222222222222223</v>
      </c>
      <c r="G648" s="21">
        <v>1</v>
      </c>
      <c r="H648" s="21">
        <v>1</v>
      </c>
      <c r="I648" s="28">
        <f t="shared" si="38"/>
        <v>0.0009444444444444445</v>
      </c>
      <c r="J648" s="97"/>
    </row>
    <row r="649" spans="1:10" ht="12.75">
      <c r="A649" s="216"/>
      <c r="B649" s="27"/>
      <c r="C649" s="11"/>
      <c r="D649" s="20" t="s">
        <v>478</v>
      </c>
      <c r="E649" s="46">
        <f>2*1.625*3.625</f>
        <v>11.78125</v>
      </c>
      <c r="F649" s="24">
        <f>Tmbr</f>
        <v>0.00022222222222222223</v>
      </c>
      <c r="G649" s="21">
        <v>1</v>
      </c>
      <c r="H649" s="21">
        <v>1</v>
      </c>
      <c r="I649" s="28">
        <f t="shared" si="38"/>
        <v>0.0026180555555555558</v>
      </c>
      <c r="J649" s="97"/>
    </row>
    <row r="650" spans="1:10" ht="12.75">
      <c r="A650" s="216"/>
      <c r="B650" s="27"/>
      <c r="C650" s="11"/>
      <c r="D650" s="20" t="s">
        <v>479</v>
      </c>
      <c r="E650" s="21">
        <f>1.625^2</f>
        <v>2.640625</v>
      </c>
      <c r="F650" s="24">
        <f>Tmbr</f>
        <v>0.00022222222222222223</v>
      </c>
      <c r="G650" s="21">
        <f>2.083</f>
        <v>2.083</v>
      </c>
      <c r="H650" s="21">
        <v>0.5</v>
      </c>
      <c r="I650" s="28">
        <f t="shared" si="38"/>
        <v>0.0024446319444444446</v>
      </c>
      <c r="J650" s="97"/>
    </row>
    <row r="651" spans="1:10" ht="12.75">
      <c r="A651" s="216"/>
      <c r="B651" s="27"/>
      <c r="C651" s="11"/>
      <c r="D651" s="20" t="s">
        <v>480</v>
      </c>
      <c r="E651" s="21">
        <f>12^2</f>
        <v>144</v>
      </c>
      <c r="F651" s="24">
        <f>Conc</f>
        <v>0.0010416666666666667</v>
      </c>
      <c r="G651" s="46">
        <f>3+9.5/12-0.75</f>
        <v>3.0416666666666665</v>
      </c>
      <c r="H651" s="21">
        <v>7</v>
      </c>
      <c r="I651" s="28">
        <f t="shared" si="38"/>
        <v>0.06517857142857142</v>
      </c>
      <c r="J651" s="97"/>
    </row>
    <row r="652" spans="1:10" ht="12.75">
      <c r="A652" s="234"/>
      <c r="B652" s="39"/>
      <c r="C652" s="9"/>
      <c r="D652" s="7" t="s">
        <v>428</v>
      </c>
      <c r="E652" s="40">
        <f>9*6</f>
        <v>54</v>
      </c>
      <c r="F652" s="25">
        <f>Conc</f>
        <v>0.0010416666666666667</v>
      </c>
      <c r="G652" s="40">
        <v>1</v>
      </c>
      <c r="H652" s="40">
        <v>1</v>
      </c>
      <c r="I652" s="13">
        <f t="shared" si="38"/>
        <v>0.05625</v>
      </c>
      <c r="J652" s="98">
        <f>SUM(I647:I652)</f>
        <v>0.13454681448412698</v>
      </c>
    </row>
    <row r="653" spans="1:10" ht="12.75">
      <c r="A653" s="219" t="s">
        <v>214</v>
      </c>
      <c r="B653" s="35" t="s">
        <v>215</v>
      </c>
      <c r="C653" s="20" t="s">
        <v>169</v>
      </c>
      <c r="D653" s="20" t="s">
        <v>423</v>
      </c>
      <c r="E653" s="28">
        <f>2.25</f>
        <v>2.25</v>
      </c>
      <c r="F653" s="32">
        <f aca="true" t="shared" si="45" ref="F653:F658">Steel</f>
        <v>0.0034027777777777776</v>
      </c>
      <c r="G653" s="28">
        <v>1</v>
      </c>
      <c r="H653" s="28">
        <v>1</v>
      </c>
      <c r="I653" s="28">
        <f aca="true" t="shared" si="46" ref="I653:I716">E653*F653*G653/H653</f>
        <v>0.00765625</v>
      </c>
      <c r="J653" s="12"/>
    </row>
    <row r="654" spans="1:10" ht="12.75">
      <c r="A654" s="216"/>
      <c r="B654" s="35"/>
      <c r="C654" s="20"/>
      <c r="D654" s="20" t="s">
        <v>424</v>
      </c>
      <c r="E654" s="28">
        <f>0.00232/Steel</f>
        <v>0.681795918367347</v>
      </c>
      <c r="F654" s="32">
        <f t="shared" si="45"/>
        <v>0.0034027777777777776</v>
      </c>
      <c r="G654" s="28">
        <v>1</v>
      </c>
      <c r="H654" s="28">
        <v>1</v>
      </c>
      <c r="I654" s="28">
        <f t="shared" si="46"/>
        <v>0.00232</v>
      </c>
      <c r="J654" s="12"/>
    </row>
    <row r="655" spans="1:10" ht="12.75">
      <c r="A655" s="216"/>
      <c r="D655" s="20" t="s">
        <v>482</v>
      </c>
      <c r="E655" s="28">
        <f>0.00228/Steel</f>
        <v>0.6700408163265307</v>
      </c>
      <c r="F655" s="32">
        <f t="shared" si="45"/>
        <v>0.0034027777777777776</v>
      </c>
      <c r="G655" s="28">
        <v>1</v>
      </c>
      <c r="H655" s="28">
        <v>1</v>
      </c>
      <c r="I655" s="28">
        <f t="shared" si="46"/>
        <v>0.00228</v>
      </c>
      <c r="J655" s="12"/>
    </row>
    <row r="656" spans="1:10" ht="12.75">
      <c r="A656" s="216"/>
      <c r="D656" s="20" t="s">
        <v>407</v>
      </c>
      <c r="E656" s="28">
        <f>0.005/Steel</f>
        <v>1.469387755102041</v>
      </c>
      <c r="F656" s="32">
        <f t="shared" si="45"/>
        <v>0.0034027777777777776</v>
      </c>
      <c r="G656" s="28">
        <v>1</v>
      </c>
      <c r="H656" s="28">
        <v>1</v>
      </c>
      <c r="I656" s="28">
        <f t="shared" si="46"/>
        <v>0.005</v>
      </c>
      <c r="J656" s="12"/>
    </row>
    <row r="657" spans="1:10" ht="12.75">
      <c r="A657" s="216"/>
      <c r="D657" s="20" t="s">
        <v>408</v>
      </c>
      <c r="E657" s="28">
        <f>0.75^2</f>
        <v>0.5625</v>
      </c>
      <c r="F657" s="32">
        <f t="shared" si="45"/>
        <v>0.0034027777777777776</v>
      </c>
      <c r="G657" s="28">
        <f>8.5/12</f>
        <v>0.7083333333333334</v>
      </c>
      <c r="H657" s="28">
        <v>0.5</v>
      </c>
      <c r="I657" s="28">
        <f t="shared" si="46"/>
        <v>0.002711588541666667</v>
      </c>
      <c r="J657" s="12"/>
    </row>
    <row r="658" spans="1:10" ht="12.75">
      <c r="A658" s="216"/>
      <c r="D658" s="20" t="s">
        <v>425</v>
      </c>
      <c r="E658" s="28">
        <f>0.75^2</f>
        <v>0.5625</v>
      </c>
      <c r="F658" s="32">
        <f t="shared" si="45"/>
        <v>0.0034027777777777776</v>
      </c>
      <c r="G658" s="28">
        <f>2+0.75/12</f>
        <v>2.0625</v>
      </c>
      <c r="H658" s="28">
        <v>0.5</v>
      </c>
      <c r="I658" s="28">
        <f t="shared" si="46"/>
        <v>0.007895507812499999</v>
      </c>
      <c r="J658" s="12"/>
    </row>
    <row r="659" spans="1:10" ht="12.75">
      <c r="A659" s="216"/>
      <c r="D659" s="20" t="s">
        <v>426</v>
      </c>
      <c r="E659" s="28">
        <f>12^2</f>
        <v>144</v>
      </c>
      <c r="F659" s="32">
        <f>Conc</f>
        <v>0.0010416666666666667</v>
      </c>
      <c r="G659" s="28">
        <f>3.042</f>
        <v>3.042</v>
      </c>
      <c r="H659" s="28">
        <v>7</v>
      </c>
      <c r="I659" s="28">
        <f t="shared" si="46"/>
        <v>0.06518571428571428</v>
      </c>
      <c r="J659" s="12"/>
    </row>
    <row r="660" spans="1:10" ht="12.75">
      <c r="A660" s="234"/>
      <c r="B660" s="19"/>
      <c r="C660" s="13"/>
      <c r="D660" s="7" t="s">
        <v>428</v>
      </c>
      <c r="E660" s="13">
        <f>9*6</f>
        <v>54</v>
      </c>
      <c r="F660" s="14">
        <f>Conc</f>
        <v>0.0010416666666666667</v>
      </c>
      <c r="G660" s="13">
        <v>1</v>
      </c>
      <c r="H660" s="13">
        <v>1</v>
      </c>
      <c r="I660" s="13">
        <f t="shared" si="46"/>
        <v>0.05625</v>
      </c>
      <c r="J660" s="16">
        <f>SUM(I653:I660)</f>
        <v>0.14929906063988094</v>
      </c>
    </row>
    <row r="661" spans="1:10" ht="12.75">
      <c r="A661" s="219" t="s">
        <v>214</v>
      </c>
      <c r="B661" s="35" t="s">
        <v>167</v>
      </c>
      <c r="C661" s="20" t="s">
        <v>139</v>
      </c>
      <c r="D661" s="20" t="s">
        <v>423</v>
      </c>
      <c r="E661" s="28">
        <f>2.25</f>
        <v>2.25</v>
      </c>
      <c r="F661" s="32">
        <f aca="true" t="shared" si="47" ref="F661:F666">Steel</f>
        <v>0.0034027777777777776</v>
      </c>
      <c r="G661" s="28">
        <v>1</v>
      </c>
      <c r="H661" s="28">
        <v>1</v>
      </c>
      <c r="I661" s="28">
        <f t="shared" si="46"/>
        <v>0.00765625</v>
      </c>
      <c r="J661" s="12"/>
    </row>
    <row r="662" spans="1:10" ht="12.75">
      <c r="A662" s="216"/>
      <c r="B662" s="35"/>
      <c r="C662" s="20"/>
      <c r="D662" s="20" t="s">
        <v>424</v>
      </c>
      <c r="E662" s="28">
        <f>0.00232/Steel</f>
        <v>0.681795918367347</v>
      </c>
      <c r="F662" s="32">
        <f t="shared" si="47"/>
        <v>0.0034027777777777776</v>
      </c>
      <c r="G662" s="28">
        <v>1</v>
      </c>
      <c r="H662" s="28">
        <v>1</v>
      </c>
      <c r="I662" s="28">
        <f t="shared" si="46"/>
        <v>0.00232</v>
      </c>
      <c r="J662" s="12"/>
    </row>
    <row r="663" spans="1:10" ht="12.75">
      <c r="A663" s="216"/>
      <c r="D663" s="20" t="s">
        <v>482</v>
      </c>
      <c r="E663" s="28">
        <f>0.00228/Steel</f>
        <v>0.6700408163265307</v>
      </c>
      <c r="F663" s="32">
        <f t="shared" si="47"/>
        <v>0.0034027777777777776</v>
      </c>
      <c r="G663" s="28">
        <v>1</v>
      </c>
      <c r="H663" s="28">
        <v>1</v>
      </c>
      <c r="I663" s="28">
        <f t="shared" si="46"/>
        <v>0.00228</v>
      </c>
      <c r="J663" s="12"/>
    </row>
    <row r="664" spans="1:10" ht="12.75">
      <c r="A664" s="216"/>
      <c r="D664" s="20" t="s">
        <v>407</v>
      </c>
      <c r="E664" s="28">
        <f>0.005/Steel</f>
        <v>1.469387755102041</v>
      </c>
      <c r="F664" s="32">
        <f t="shared" si="47"/>
        <v>0.0034027777777777776</v>
      </c>
      <c r="G664" s="28">
        <v>1</v>
      </c>
      <c r="H664" s="28">
        <v>1</v>
      </c>
      <c r="I664" s="28">
        <f t="shared" si="46"/>
        <v>0.005</v>
      </c>
      <c r="J664" s="12"/>
    </row>
    <row r="665" spans="1:10" ht="12.75">
      <c r="A665" s="216"/>
      <c r="D665" s="20" t="s">
        <v>408</v>
      </c>
      <c r="E665" s="28">
        <f>0.75^2</f>
        <v>0.5625</v>
      </c>
      <c r="F665" s="32">
        <f t="shared" si="47"/>
        <v>0.0034027777777777776</v>
      </c>
      <c r="G665" s="28">
        <f>8.5/12</f>
        <v>0.7083333333333334</v>
      </c>
      <c r="H665" s="28">
        <v>0.5</v>
      </c>
      <c r="I665" s="28">
        <f t="shared" si="46"/>
        <v>0.002711588541666667</v>
      </c>
      <c r="J665" s="12"/>
    </row>
    <row r="666" spans="1:10" ht="12.75">
      <c r="A666" s="216"/>
      <c r="D666" s="20" t="s">
        <v>425</v>
      </c>
      <c r="E666" s="28">
        <f>0.75^2</f>
        <v>0.5625</v>
      </c>
      <c r="F666" s="32">
        <f t="shared" si="47"/>
        <v>0.0034027777777777776</v>
      </c>
      <c r="G666" s="28">
        <f>2+0.75/12</f>
        <v>2.0625</v>
      </c>
      <c r="H666" s="28">
        <v>0.5</v>
      </c>
      <c r="I666" s="28">
        <f t="shared" si="46"/>
        <v>0.007895507812499999</v>
      </c>
      <c r="J666" s="12"/>
    </row>
    <row r="667" spans="1:10" ht="12.75">
      <c r="A667" s="216"/>
      <c r="D667" s="20" t="s">
        <v>426</v>
      </c>
      <c r="E667" s="28">
        <f>12^2</f>
        <v>144</v>
      </c>
      <c r="F667" s="32">
        <f>Conc</f>
        <v>0.0010416666666666667</v>
      </c>
      <c r="G667" s="28">
        <f>3.042</f>
        <v>3.042</v>
      </c>
      <c r="H667" s="28">
        <v>7</v>
      </c>
      <c r="I667" s="28">
        <f t="shared" si="46"/>
        <v>0.06518571428571428</v>
      </c>
      <c r="J667" s="12"/>
    </row>
    <row r="668" spans="1:10" ht="12.75">
      <c r="A668" s="234"/>
      <c r="B668" s="19"/>
      <c r="C668" s="13"/>
      <c r="D668" s="7" t="s">
        <v>481</v>
      </c>
      <c r="E668" s="13">
        <f>(18-1.5/2)*9</f>
        <v>155.25</v>
      </c>
      <c r="F668" s="14">
        <f>Conc</f>
        <v>0.0010416666666666667</v>
      </c>
      <c r="G668" s="13">
        <v>1</v>
      </c>
      <c r="H668" s="13">
        <v>1</v>
      </c>
      <c r="I668" s="13">
        <f t="shared" si="46"/>
        <v>0.16171875</v>
      </c>
      <c r="J668" s="16">
        <f>SUM(I661:I668)</f>
        <v>0.25476781063988096</v>
      </c>
    </row>
    <row r="669" spans="1:10" ht="12.75">
      <c r="A669" s="219" t="s">
        <v>216</v>
      </c>
      <c r="B669" s="35" t="s">
        <v>161</v>
      </c>
      <c r="C669" s="20"/>
      <c r="D669" s="20" t="s">
        <v>483</v>
      </c>
      <c r="E669" s="21">
        <f>2*6*6</f>
        <v>72</v>
      </c>
      <c r="F669" s="24">
        <f>Conc</f>
        <v>0.0010416666666666667</v>
      </c>
      <c r="G669" s="21">
        <v>1</v>
      </c>
      <c r="H669" s="21">
        <v>1</v>
      </c>
      <c r="I669" s="28">
        <f t="shared" si="46"/>
        <v>0.075</v>
      </c>
      <c r="J669" s="97"/>
    </row>
    <row r="670" spans="1:10" ht="12.75">
      <c r="A670" s="216"/>
      <c r="D670" s="20" t="s">
        <v>484</v>
      </c>
      <c r="E670" s="21">
        <f>15*14</f>
        <v>210</v>
      </c>
      <c r="F670" s="24">
        <f>Conc</f>
        <v>0.0010416666666666667</v>
      </c>
      <c r="G670" s="21">
        <f>3.458</f>
        <v>3.458</v>
      </c>
      <c r="H670" s="21">
        <v>8</v>
      </c>
      <c r="I670" s="28">
        <f t="shared" si="46"/>
        <v>0.09455468750000001</v>
      </c>
      <c r="J670" s="97"/>
    </row>
    <row r="671" spans="1:10" ht="12.75">
      <c r="A671" s="234"/>
      <c r="B671" s="19"/>
      <c r="C671" s="13"/>
      <c r="D671" s="7" t="s">
        <v>428</v>
      </c>
      <c r="E671" s="40">
        <f>9*6</f>
        <v>54</v>
      </c>
      <c r="F671" s="25">
        <f>Conc</f>
        <v>0.0010416666666666667</v>
      </c>
      <c r="G671" s="40">
        <v>1</v>
      </c>
      <c r="H671" s="40">
        <v>1</v>
      </c>
      <c r="I671" s="13">
        <f t="shared" si="46"/>
        <v>0.05625</v>
      </c>
      <c r="J671" s="98">
        <f>SUM(I669:I671)</f>
        <v>0.22580468750000002</v>
      </c>
    </row>
    <row r="672" spans="1:10" ht="12.75">
      <c r="A672" s="219" t="s">
        <v>217</v>
      </c>
      <c r="B672" s="35" t="s">
        <v>151</v>
      </c>
      <c r="C672" s="20" t="s">
        <v>218</v>
      </c>
      <c r="D672" s="20" t="s">
        <v>423</v>
      </c>
      <c r="E672" s="28">
        <f>2.25</f>
        <v>2.25</v>
      </c>
      <c r="F672" s="32">
        <f aca="true" t="shared" si="48" ref="F672:F677">Steel</f>
        <v>0.0034027777777777776</v>
      </c>
      <c r="G672" s="28">
        <v>1</v>
      </c>
      <c r="H672" s="28">
        <v>1</v>
      </c>
      <c r="I672" s="28">
        <f t="shared" si="46"/>
        <v>0.00765625</v>
      </c>
      <c r="J672" s="12"/>
    </row>
    <row r="673" spans="1:10" ht="12.75">
      <c r="A673" s="216"/>
      <c r="B673" s="35"/>
      <c r="C673" s="20"/>
      <c r="D673" s="20" t="s">
        <v>424</v>
      </c>
      <c r="E673" s="28">
        <f>0.00232/Steel</f>
        <v>0.681795918367347</v>
      </c>
      <c r="F673" s="32">
        <f t="shared" si="48"/>
        <v>0.0034027777777777776</v>
      </c>
      <c r="G673" s="28">
        <v>1</v>
      </c>
      <c r="H673" s="28">
        <v>1</v>
      </c>
      <c r="I673" s="28">
        <f t="shared" si="46"/>
        <v>0.00232</v>
      </c>
      <c r="J673" s="12"/>
    </row>
    <row r="674" spans="1:10" ht="12.75">
      <c r="A674" s="216"/>
      <c r="D674" s="20" t="s">
        <v>482</v>
      </c>
      <c r="E674" s="28">
        <f>0.00228/Steel</f>
        <v>0.6700408163265307</v>
      </c>
      <c r="F674" s="32">
        <f t="shared" si="48"/>
        <v>0.0034027777777777776</v>
      </c>
      <c r="G674" s="28">
        <v>1</v>
      </c>
      <c r="H674" s="28">
        <v>1</v>
      </c>
      <c r="I674" s="28">
        <f t="shared" si="46"/>
        <v>0.00228</v>
      </c>
      <c r="J674" s="12"/>
    </row>
    <row r="675" spans="1:10" ht="12.75">
      <c r="A675" s="216"/>
      <c r="D675" s="20" t="s">
        <v>407</v>
      </c>
      <c r="E675" s="28">
        <f>0.005/Steel</f>
        <v>1.469387755102041</v>
      </c>
      <c r="F675" s="32">
        <f t="shared" si="48"/>
        <v>0.0034027777777777776</v>
      </c>
      <c r="G675" s="28">
        <v>1</v>
      </c>
      <c r="H675" s="28">
        <v>1</v>
      </c>
      <c r="I675" s="28">
        <f t="shared" si="46"/>
        <v>0.005</v>
      </c>
      <c r="J675" s="12"/>
    </row>
    <row r="676" spans="1:10" ht="12.75">
      <c r="A676" s="216"/>
      <c r="D676" s="20" t="s">
        <v>408</v>
      </c>
      <c r="E676" s="28">
        <f>0.75^2</f>
        <v>0.5625</v>
      </c>
      <c r="F676" s="32">
        <f t="shared" si="48"/>
        <v>0.0034027777777777776</v>
      </c>
      <c r="G676" s="28">
        <f>8.5/12</f>
        <v>0.7083333333333334</v>
      </c>
      <c r="H676" s="28">
        <v>0.5</v>
      </c>
      <c r="I676" s="28">
        <f t="shared" si="46"/>
        <v>0.002711588541666667</v>
      </c>
      <c r="J676" s="12"/>
    </row>
    <row r="677" spans="1:10" ht="12.75">
      <c r="A677" s="216"/>
      <c r="D677" s="20" t="s">
        <v>485</v>
      </c>
      <c r="E677" s="28">
        <f>0.75^2</f>
        <v>0.5625</v>
      </c>
      <c r="F677" s="32">
        <f t="shared" si="48"/>
        <v>0.0034027777777777776</v>
      </c>
      <c r="G677" s="28">
        <f>2.083</f>
        <v>2.083</v>
      </c>
      <c r="H677" s="28">
        <v>0.5</v>
      </c>
      <c r="I677" s="28">
        <f t="shared" si="46"/>
        <v>0.007973984375</v>
      </c>
      <c r="J677" s="12"/>
    </row>
    <row r="678" spans="1:10" ht="12.75">
      <c r="A678" s="216"/>
      <c r="D678" s="20" t="s">
        <v>486</v>
      </c>
      <c r="E678" s="28">
        <f>12*15</f>
        <v>180</v>
      </c>
      <c r="F678" s="32">
        <f aca="true" t="shared" si="49" ref="F678:F691">Conc</f>
        <v>0.0010416666666666667</v>
      </c>
      <c r="G678" s="28">
        <f>3.5-0.5</f>
        <v>3</v>
      </c>
      <c r="H678" s="28">
        <v>9</v>
      </c>
      <c r="I678" s="28">
        <f t="shared" si="46"/>
        <v>0.0625</v>
      </c>
      <c r="J678" s="12"/>
    </row>
    <row r="679" spans="1:10" ht="12.75">
      <c r="A679" s="234"/>
      <c r="B679" s="19"/>
      <c r="C679" s="13"/>
      <c r="D679" s="7" t="s">
        <v>487</v>
      </c>
      <c r="E679" s="13">
        <f>9*8</f>
        <v>72</v>
      </c>
      <c r="F679" s="14">
        <f t="shared" si="49"/>
        <v>0.0010416666666666667</v>
      </c>
      <c r="G679" s="13">
        <v>1</v>
      </c>
      <c r="H679" s="13">
        <v>1</v>
      </c>
      <c r="I679" s="13">
        <f t="shared" si="46"/>
        <v>0.075</v>
      </c>
      <c r="J679" s="16">
        <f>SUM(I672:I679)</f>
        <v>0.16544182291666665</v>
      </c>
    </row>
    <row r="680" spans="1:10" ht="12.75">
      <c r="A680" s="233" t="s">
        <v>219</v>
      </c>
      <c r="B680" s="35" t="s">
        <v>220</v>
      </c>
      <c r="C680" s="20" t="s">
        <v>169</v>
      </c>
      <c r="D680" s="20" t="s">
        <v>483</v>
      </c>
      <c r="E680" s="21">
        <f>2*6*6</f>
        <v>72</v>
      </c>
      <c r="F680" s="24">
        <f t="shared" si="49"/>
        <v>0.0010416666666666667</v>
      </c>
      <c r="G680" s="21">
        <v>1</v>
      </c>
      <c r="H680" s="21">
        <v>1</v>
      </c>
      <c r="I680" s="28">
        <f t="shared" si="46"/>
        <v>0.075</v>
      </c>
      <c r="J680" s="97"/>
    </row>
    <row r="681" spans="1:10" ht="12.75">
      <c r="A681" s="216"/>
      <c r="B681" s="35"/>
      <c r="C681" s="20"/>
      <c r="D681" s="20" t="s">
        <v>484</v>
      </c>
      <c r="E681" s="21">
        <f>15*14</f>
        <v>210</v>
      </c>
      <c r="F681" s="24">
        <f t="shared" si="49"/>
        <v>0.0010416666666666667</v>
      </c>
      <c r="G681" s="21">
        <f>3.458</f>
        <v>3.458</v>
      </c>
      <c r="H681" s="21">
        <v>8</v>
      </c>
      <c r="I681" s="28">
        <f t="shared" si="46"/>
        <v>0.09455468750000001</v>
      </c>
      <c r="J681" s="97"/>
    </row>
    <row r="682" spans="1:10" ht="12.75">
      <c r="A682" s="234"/>
      <c r="B682" s="19"/>
      <c r="C682" s="13"/>
      <c r="D682" s="7" t="s">
        <v>428</v>
      </c>
      <c r="E682" s="40">
        <f>9*6</f>
        <v>54</v>
      </c>
      <c r="F682" s="25">
        <f t="shared" si="49"/>
        <v>0.0010416666666666667</v>
      </c>
      <c r="G682" s="40">
        <v>1</v>
      </c>
      <c r="H682" s="40">
        <v>1</v>
      </c>
      <c r="I682" s="13">
        <f t="shared" si="46"/>
        <v>0.05625</v>
      </c>
      <c r="J682" s="98">
        <f>SUM(I680:I682)</f>
        <v>0.22580468750000002</v>
      </c>
    </row>
    <row r="683" spans="1:10" ht="12.75">
      <c r="A683" s="219" t="s">
        <v>219</v>
      </c>
      <c r="B683" s="35" t="s">
        <v>221</v>
      </c>
      <c r="C683" s="20" t="s">
        <v>139</v>
      </c>
      <c r="D683" s="20" t="s">
        <v>483</v>
      </c>
      <c r="E683" s="21">
        <f>2*6*6</f>
        <v>72</v>
      </c>
      <c r="F683" s="24">
        <f t="shared" si="49"/>
        <v>0.0010416666666666667</v>
      </c>
      <c r="G683" s="21">
        <v>1</v>
      </c>
      <c r="H683" s="21">
        <v>1</v>
      </c>
      <c r="I683" s="28">
        <f t="shared" si="46"/>
        <v>0.075</v>
      </c>
      <c r="J683" s="97"/>
    </row>
    <row r="684" spans="1:10" ht="12.75">
      <c r="A684" s="216"/>
      <c r="B684" s="35"/>
      <c r="C684" s="20"/>
      <c r="D684" s="20" t="s">
        <v>484</v>
      </c>
      <c r="E684" s="21">
        <f>15*14</f>
        <v>210</v>
      </c>
      <c r="F684" s="24">
        <f t="shared" si="49"/>
        <v>0.0010416666666666667</v>
      </c>
      <c r="G684" s="21">
        <f>3.333</f>
        <v>3.333</v>
      </c>
      <c r="H684" s="21">
        <v>8</v>
      </c>
      <c r="I684" s="28">
        <f t="shared" si="46"/>
        <v>0.09113671875000001</v>
      </c>
      <c r="J684" s="97"/>
    </row>
    <row r="685" spans="1:10" ht="12.75">
      <c r="A685" s="234"/>
      <c r="B685" s="19"/>
      <c r="C685" s="13"/>
      <c r="D685" s="7" t="s">
        <v>488</v>
      </c>
      <c r="E685" s="40">
        <f>20*9</f>
        <v>180</v>
      </c>
      <c r="F685" s="25">
        <f t="shared" si="49"/>
        <v>0.0010416666666666667</v>
      </c>
      <c r="G685" s="40">
        <v>1</v>
      </c>
      <c r="H685" s="40">
        <v>1</v>
      </c>
      <c r="I685" s="13">
        <f t="shared" si="46"/>
        <v>0.1875</v>
      </c>
      <c r="J685" s="98">
        <f>SUM(I683:I685)</f>
        <v>0.35363671875</v>
      </c>
    </row>
    <row r="686" spans="1:10" ht="12.75">
      <c r="A686" s="219" t="s">
        <v>222</v>
      </c>
      <c r="B686" s="35" t="s">
        <v>220</v>
      </c>
      <c r="C686" s="20" t="s">
        <v>169</v>
      </c>
      <c r="D686" s="20" t="s">
        <v>483</v>
      </c>
      <c r="E686" s="21">
        <f>2*6*6</f>
        <v>72</v>
      </c>
      <c r="F686" s="24">
        <f t="shared" si="49"/>
        <v>0.0010416666666666667</v>
      </c>
      <c r="G686" s="21">
        <v>1</v>
      </c>
      <c r="H686" s="21">
        <v>1</v>
      </c>
      <c r="I686" s="28">
        <f t="shared" si="46"/>
        <v>0.075</v>
      </c>
      <c r="J686" s="97"/>
    </row>
    <row r="687" spans="1:10" ht="12.75">
      <c r="A687" s="216"/>
      <c r="B687" s="35"/>
      <c r="C687" s="20"/>
      <c r="D687" s="20" t="s">
        <v>484</v>
      </c>
      <c r="E687" s="21">
        <f>15*14</f>
        <v>210</v>
      </c>
      <c r="F687" s="24">
        <f t="shared" si="49"/>
        <v>0.0010416666666666667</v>
      </c>
      <c r="G687" s="21">
        <f>3.333</f>
        <v>3.333</v>
      </c>
      <c r="H687" s="21">
        <v>8</v>
      </c>
      <c r="I687" s="28">
        <f t="shared" si="46"/>
        <v>0.09113671875000001</v>
      </c>
      <c r="J687" s="97"/>
    </row>
    <row r="688" spans="1:10" ht="12.75">
      <c r="A688" s="234"/>
      <c r="B688" s="19"/>
      <c r="C688" s="13"/>
      <c r="D688" s="7" t="s">
        <v>428</v>
      </c>
      <c r="E688" s="40">
        <f>9*6</f>
        <v>54</v>
      </c>
      <c r="F688" s="25">
        <f t="shared" si="49"/>
        <v>0.0010416666666666667</v>
      </c>
      <c r="G688" s="40">
        <v>1</v>
      </c>
      <c r="H688" s="40">
        <v>1</v>
      </c>
      <c r="I688" s="13">
        <f t="shared" si="46"/>
        <v>0.05625</v>
      </c>
      <c r="J688" s="98">
        <f>SUM(I686:I688)</f>
        <v>0.22238671875000002</v>
      </c>
    </row>
    <row r="689" spans="1:10" ht="12.75">
      <c r="A689" s="219" t="s">
        <v>222</v>
      </c>
      <c r="B689" s="35" t="s">
        <v>221</v>
      </c>
      <c r="C689" s="20" t="s">
        <v>139</v>
      </c>
      <c r="D689" s="20" t="s">
        <v>483</v>
      </c>
      <c r="E689" s="21">
        <f>2*6*6</f>
        <v>72</v>
      </c>
      <c r="F689" s="24">
        <f t="shared" si="49"/>
        <v>0.0010416666666666667</v>
      </c>
      <c r="G689" s="21">
        <v>1</v>
      </c>
      <c r="H689" s="21">
        <v>1</v>
      </c>
      <c r="I689" s="28">
        <f t="shared" si="46"/>
        <v>0.075</v>
      </c>
      <c r="J689" s="97"/>
    </row>
    <row r="690" spans="1:10" ht="12.75">
      <c r="A690" s="216"/>
      <c r="B690" s="35"/>
      <c r="C690" s="20"/>
      <c r="D690" s="20" t="s">
        <v>484</v>
      </c>
      <c r="E690" s="21">
        <f>15*14</f>
        <v>210</v>
      </c>
      <c r="F690" s="24">
        <f t="shared" si="49"/>
        <v>0.0010416666666666667</v>
      </c>
      <c r="G690" s="21">
        <f>3.333</f>
        <v>3.333</v>
      </c>
      <c r="H690" s="21">
        <v>8</v>
      </c>
      <c r="I690" s="28">
        <f t="shared" si="46"/>
        <v>0.09113671875000001</v>
      </c>
      <c r="J690" s="97"/>
    </row>
    <row r="691" spans="1:10" ht="12.75">
      <c r="A691" s="234"/>
      <c r="B691" s="19"/>
      <c r="C691" s="13"/>
      <c r="D691" s="7" t="s">
        <v>488</v>
      </c>
      <c r="E691" s="40">
        <f>20*9</f>
        <v>180</v>
      </c>
      <c r="F691" s="25">
        <f t="shared" si="49"/>
        <v>0.0010416666666666667</v>
      </c>
      <c r="G691" s="40">
        <v>1</v>
      </c>
      <c r="H691" s="40">
        <v>1</v>
      </c>
      <c r="I691" s="13">
        <f t="shared" si="46"/>
        <v>0.1875</v>
      </c>
      <c r="J691" s="98">
        <f>SUM(I689:I691)</f>
        <v>0.35363671875</v>
      </c>
    </row>
    <row r="692" spans="1:11" ht="12.75">
      <c r="A692" s="233" t="s">
        <v>223</v>
      </c>
      <c r="B692" s="48" t="s">
        <v>224</v>
      </c>
      <c r="C692" s="42"/>
      <c r="D692" s="42" t="s">
        <v>489</v>
      </c>
      <c r="E692" s="43">
        <f>2*(0.005/Steel)</f>
        <v>2.938775510204082</v>
      </c>
      <c r="F692" s="44">
        <f aca="true" t="shared" si="50" ref="F692:F703">Steel</f>
        <v>0.0034027777777777776</v>
      </c>
      <c r="G692" s="43">
        <v>1</v>
      </c>
      <c r="H692" s="43">
        <v>1</v>
      </c>
      <c r="I692" s="45">
        <f t="shared" si="46"/>
        <v>0.01</v>
      </c>
      <c r="J692" s="99"/>
      <c r="K692" s="28"/>
    </row>
    <row r="693" spans="1:11" ht="12.75">
      <c r="A693" s="216"/>
      <c r="D693" s="20" t="s">
        <v>490</v>
      </c>
      <c r="E693" s="21">
        <f>2*0.5*0.75</f>
        <v>0.75</v>
      </c>
      <c r="F693" s="24">
        <f t="shared" si="50"/>
        <v>0.0034027777777777776</v>
      </c>
      <c r="G693" s="21">
        <v>1</v>
      </c>
      <c r="H693" s="21">
        <v>1</v>
      </c>
      <c r="I693" s="28">
        <f t="shared" si="46"/>
        <v>0.0025520833333333333</v>
      </c>
      <c r="J693" s="97"/>
      <c r="K693" s="28"/>
    </row>
    <row r="694" spans="1:11" ht="12.75">
      <c r="A694" s="216"/>
      <c r="D694" s="20" t="s">
        <v>491</v>
      </c>
      <c r="E694" s="21">
        <f>0.5*0.75</f>
        <v>0.375</v>
      </c>
      <c r="F694" s="24">
        <f t="shared" si="50"/>
        <v>0.0034027777777777776</v>
      </c>
      <c r="G694" s="21">
        <v>2</v>
      </c>
      <c r="H694" s="21">
        <v>2</v>
      </c>
      <c r="I694" s="28">
        <f t="shared" si="46"/>
        <v>0.0012760416666666666</v>
      </c>
      <c r="J694" s="97"/>
      <c r="K694" s="28"/>
    </row>
    <row r="695" spans="1:11" ht="12.75">
      <c r="A695" s="216"/>
      <c r="D695" s="20" t="s">
        <v>492</v>
      </c>
      <c r="E695" s="21">
        <f>2*0.5*1.5</f>
        <v>1.5</v>
      </c>
      <c r="F695" s="24">
        <f t="shared" si="50"/>
        <v>0.0034027777777777776</v>
      </c>
      <c r="G695" s="21">
        <v>2</v>
      </c>
      <c r="H695" s="21">
        <v>2</v>
      </c>
      <c r="I695" s="28">
        <f t="shared" si="46"/>
        <v>0.005104166666666667</v>
      </c>
      <c r="J695" s="97"/>
      <c r="K695" s="28"/>
    </row>
    <row r="696" spans="1:10" ht="12.75">
      <c r="A696" s="216"/>
      <c r="D696" s="20" t="s">
        <v>493</v>
      </c>
      <c r="E696" s="21">
        <f>2*0.5*0.75*1.414</f>
        <v>1.0605</v>
      </c>
      <c r="F696" s="24">
        <f t="shared" si="50"/>
        <v>0.0034027777777777776</v>
      </c>
      <c r="G696" s="21">
        <v>1</v>
      </c>
      <c r="H696" s="21">
        <v>1</v>
      </c>
      <c r="I696" s="28">
        <f t="shared" si="46"/>
        <v>0.003608645833333333</v>
      </c>
      <c r="J696" s="97"/>
    </row>
    <row r="697" spans="1:10" ht="12.75">
      <c r="A697" s="234"/>
      <c r="B697" s="19"/>
      <c r="C697" s="13"/>
      <c r="D697" s="7" t="s">
        <v>494</v>
      </c>
      <c r="E697" s="40">
        <f>0.0138/Steel</f>
        <v>4.055510204081632</v>
      </c>
      <c r="F697" s="25">
        <f t="shared" si="50"/>
        <v>0.0034027777777777776</v>
      </c>
      <c r="G697" s="40">
        <v>3.5</v>
      </c>
      <c r="H697" s="40">
        <v>7.083</v>
      </c>
      <c r="I697" s="13">
        <f t="shared" si="46"/>
        <v>0.0068191444303261324</v>
      </c>
      <c r="J697" s="98">
        <f>SUM(I692:I697)</f>
        <v>0.029360081930326132</v>
      </c>
    </row>
    <row r="698" spans="1:10" ht="12.75">
      <c r="A698" s="219" t="s">
        <v>225</v>
      </c>
      <c r="B698" s="35" t="s">
        <v>226</v>
      </c>
      <c r="C698" s="20" t="s">
        <v>227</v>
      </c>
      <c r="D698" s="20" t="s">
        <v>495</v>
      </c>
      <c r="E698" s="28">
        <f>2*1.7</f>
        <v>3.4</v>
      </c>
      <c r="F698" s="32">
        <f t="shared" si="50"/>
        <v>0.0034027777777777776</v>
      </c>
      <c r="G698" s="28">
        <v>1</v>
      </c>
      <c r="H698" s="28">
        <v>1</v>
      </c>
      <c r="I698" s="28">
        <f t="shared" si="46"/>
        <v>0.011569444444444443</v>
      </c>
      <c r="J698" s="12"/>
    </row>
    <row r="699" spans="1:10" ht="12.75">
      <c r="A699" s="216"/>
      <c r="B699" s="35"/>
      <c r="C699" s="20"/>
      <c r="D699" s="20" t="s">
        <v>496</v>
      </c>
      <c r="E699" s="28">
        <f>2*0.00232/Steel</f>
        <v>1.363591836734694</v>
      </c>
      <c r="F699" s="32">
        <f t="shared" si="50"/>
        <v>0.0034027777777777776</v>
      </c>
      <c r="G699" s="28">
        <v>1</v>
      </c>
      <c r="H699" s="28">
        <v>1</v>
      </c>
      <c r="I699" s="28">
        <f t="shared" si="46"/>
        <v>0.00464</v>
      </c>
      <c r="J699" s="97"/>
    </row>
    <row r="700" spans="1:10" ht="12.75">
      <c r="A700" s="216"/>
      <c r="D700" s="20" t="s">
        <v>497</v>
      </c>
      <c r="E700" s="21">
        <f>(0.375^2)*1.414</f>
        <v>0.19884374999999999</v>
      </c>
      <c r="F700" s="24">
        <f t="shared" si="50"/>
        <v>0.0034027777777777776</v>
      </c>
      <c r="G700" s="21">
        <v>1</v>
      </c>
      <c r="H700" s="21">
        <v>1</v>
      </c>
      <c r="I700" s="28">
        <f t="shared" si="46"/>
        <v>0.0006766210937499999</v>
      </c>
      <c r="J700" s="97"/>
    </row>
    <row r="701" spans="1:10" ht="12.75">
      <c r="A701" s="216"/>
      <c r="D701" s="20" t="s">
        <v>498</v>
      </c>
      <c r="E701" s="21">
        <f>0.5*2</f>
        <v>1</v>
      </c>
      <c r="F701" s="24">
        <f t="shared" si="50"/>
        <v>0.0034027777777777776</v>
      </c>
      <c r="G701" s="21">
        <v>1</v>
      </c>
      <c r="H701" s="21">
        <v>1</v>
      </c>
      <c r="I701" s="28">
        <f t="shared" si="46"/>
        <v>0.0034027777777777776</v>
      </c>
      <c r="J701" s="97"/>
    </row>
    <row r="702" spans="1:10" ht="12.75">
      <c r="A702" s="216"/>
      <c r="D702" s="20" t="s">
        <v>499</v>
      </c>
      <c r="E702" s="21">
        <f>0.5*1</f>
        <v>0.5</v>
      </c>
      <c r="F702" s="24">
        <f t="shared" si="50"/>
        <v>0.0034027777777777776</v>
      </c>
      <c r="G702" s="21">
        <f>1+9.75/12</f>
        <v>1.8125</v>
      </c>
      <c r="H702" s="21">
        <f>0.417</f>
        <v>0.417</v>
      </c>
      <c r="I702" s="28">
        <f t="shared" si="46"/>
        <v>0.0073951255662136955</v>
      </c>
      <c r="J702" s="97"/>
    </row>
    <row r="703" spans="1:10" ht="12.75">
      <c r="A703" s="216"/>
      <c r="D703" s="20" t="s">
        <v>500</v>
      </c>
      <c r="E703" s="21">
        <f>3*0.5</f>
        <v>1.5</v>
      </c>
      <c r="F703" s="24">
        <f t="shared" si="50"/>
        <v>0.0034027777777777776</v>
      </c>
      <c r="G703" s="21">
        <v>1.333</v>
      </c>
      <c r="H703" s="21">
        <v>2.36</v>
      </c>
      <c r="I703" s="28">
        <f t="shared" si="46"/>
        <v>0.0028829890536723165</v>
      </c>
      <c r="J703" s="97"/>
    </row>
    <row r="704" spans="1:10" ht="12.75">
      <c r="A704" s="234"/>
      <c r="B704" s="19"/>
      <c r="C704" s="13"/>
      <c r="D704" s="7" t="s">
        <v>501</v>
      </c>
      <c r="E704" s="40">
        <f>10*8</f>
        <v>80</v>
      </c>
      <c r="F704" s="25">
        <f>Conc</f>
        <v>0.0010416666666666667</v>
      </c>
      <c r="G704" s="40">
        <v>1</v>
      </c>
      <c r="H704" s="40">
        <v>1</v>
      </c>
      <c r="I704" s="13">
        <f t="shared" si="46"/>
        <v>0.08333333333333333</v>
      </c>
      <c r="J704" s="98">
        <f>SUM(I698:I704)</f>
        <v>0.11390029126919156</v>
      </c>
    </row>
    <row r="705" spans="1:10" ht="12.75">
      <c r="A705" s="219" t="s">
        <v>228</v>
      </c>
      <c r="B705" s="35" t="s">
        <v>229</v>
      </c>
      <c r="C705" s="20" t="s">
        <v>139</v>
      </c>
      <c r="D705" s="20" t="s">
        <v>502</v>
      </c>
      <c r="E705" s="28">
        <f>1.7</f>
        <v>1.7</v>
      </c>
      <c r="F705" s="32">
        <f>Steel</f>
        <v>0.0034027777777777776</v>
      </c>
      <c r="G705" s="28">
        <v>1</v>
      </c>
      <c r="H705" s="28">
        <v>1</v>
      </c>
      <c r="I705" s="28">
        <f t="shared" si="46"/>
        <v>0.0057847222222222215</v>
      </c>
      <c r="J705" s="97"/>
    </row>
    <row r="706" spans="1:10" ht="12.75">
      <c r="A706" s="216"/>
      <c r="B706" s="35"/>
      <c r="C706" s="20"/>
      <c r="D706" s="20" t="s">
        <v>503</v>
      </c>
      <c r="E706" s="28">
        <f>0.00232/Steel</f>
        <v>0.681795918367347</v>
      </c>
      <c r="F706" s="32">
        <f>Steel</f>
        <v>0.0034027777777777776</v>
      </c>
      <c r="G706" s="28">
        <v>1</v>
      </c>
      <c r="H706" s="28">
        <v>1</v>
      </c>
      <c r="I706" s="28">
        <f t="shared" si="46"/>
        <v>0.00232</v>
      </c>
      <c r="J706" s="97"/>
    </row>
    <row r="707" spans="1:10" ht="12.75">
      <c r="A707" s="216"/>
      <c r="D707" s="20" t="s">
        <v>504</v>
      </c>
      <c r="E707" s="21">
        <f>0.5^2</f>
        <v>0.25</v>
      </c>
      <c r="F707" s="24">
        <f>Steel</f>
        <v>0.0034027777777777776</v>
      </c>
      <c r="G707" s="21">
        <v>1</v>
      </c>
      <c r="H707" s="21">
        <v>1</v>
      </c>
      <c r="I707" s="28">
        <f t="shared" si="46"/>
        <v>0.0008506944444444444</v>
      </c>
      <c r="J707" s="97"/>
    </row>
    <row r="708" spans="1:10" ht="12.75">
      <c r="A708" s="216"/>
      <c r="D708" s="20" t="s">
        <v>505</v>
      </c>
      <c r="E708" s="21">
        <f>0.0115/Steel</f>
        <v>3.379591836734694</v>
      </c>
      <c r="F708" s="24">
        <f>Steel</f>
        <v>0.0034027777777777776</v>
      </c>
      <c r="G708" s="21">
        <v>1</v>
      </c>
      <c r="H708" s="21">
        <v>1</v>
      </c>
      <c r="I708" s="28">
        <f t="shared" si="46"/>
        <v>0.0115</v>
      </c>
      <c r="J708" s="97"/>
    </row>
    <row r="709" spans="1:10" ht="12.75">
      <c r="A709" s="216"/>
      <c r="D709" s="20" t="s">
        <v>506</v>
      </c>
      <c r="E709" s="21">
        <f>0.5*1</f>
        <v>0.5</v>
      </c>
      <c r="F709" s="24">
        <f>Steel</f>
        <v>0.0034027777777777776</v>
      </c>
      <c r="G709" s="21">
        <f>2.167-0.25</f>
        <v>1.9169999999999998</v>
      </c>
      <c r="H709" s="21">
        <v>0.417</v>
      </c>
      <c r="I709" s="28">
        <f t="shared" si="46"/>
        <v>0.007821492805755394</v>
      </c>
      <c r="J709" s="97"/>
    </row>
    <row r="710" spans="1:10" ht="12.75">
      <c r="A710" s="216"/>
      <c r="D710" s="20" t="s">
        <v>507</v>
      </c>
      <c r="E710" s="21">
        <f>10*12</f>
        <v>120</v>
      </c>
      <c r="F710" s="24">
        <f>Conc</f>
        <v>0.0010416666666666667</v>
      </c>
      <c r="G710" s="21">
        <f>3.083-0.75</f>
        <v>2.333</v>
      </c>
      <c r="H710" s="21">
        <v>8</v>
      </c>
      <c r="I710" s="28">
        <f t="shared" si="46"/>
        <v>0.036453125</v>
      </c>
      <c r="J710" s="97"/>
    </row>
    <row r="711" spans="1:10" ht="12.75">
      <c r="A711" s="234"/>
      <c r="B711" s="19"/>
      <c r="C711" s="13"/>
      <c r="D711" s="7" t="s">
        <v>508</v>
      </c>
      <c r="E711" s="40">
        <f>(16-1.5/2)*9</f>
        <v>137.25</v>
      </c>
      <c r="F711" s="25">
        <f>Conc</f>
        <v>0.0010416666666666667</v>
      </c>
      <c r="G711" s="40">
        <v>1</v>
      </c>
      <c r="H711" s="40">
        <v>1</v>
      </c>
      <c r="I711" s="13">
        <f t="shared" si="46"/>
        <v>0.14296875</v>
      </c>
      <c r="J711" s="98">
        <f>SUM(I705:I711)</f>
        <v>0.20769878447242207</v>
      </c>
    </row>
    <row r="712" spans="1:14" ht="12.75">
      <c r="A712" s="219" t="s">
        <v>228</v>
      </c>
      <c r="B712" s="35" t="s">
        <v>230</v>
      </c>
      <c r="C712" s="20" t="s">
        <v>169</v>
      </c>
      <c r="D712" s="20" t="s">
        <v>502</v>
      </c>
      <c r="E712" s="28">
        <f>1.7</f>
        <v>1.7</v>
      </c>
      <c r="F712" s="32">
        <f>Steel</f>
        <v>0.0034027777777777776</v>
      </c>
      <c r="G712" s="28">
        <v>1</v>
      </c>
      <c r="H712" s="28">
        <v>1</v>
      </c>
      <c r="I712" s="28">
        <f t="shared" si="46"/>
        <v>0.0057847222222222215</v>
      </c>
      <c r="J712" s="97"/>
      <c r="K712" s="28"/>
      <c r="L712" s="28"/>
      <c r="M712" s="28"/>
      <c r="N712" s="28"/>
    </row>
    <row r="713" spans="1:14" ht="12.75">
      <c r="A713" s="216"/>
      <c r="B713" s="35"/>
      <c r="C713" s="20"/>
      <c r="D713" s="20" t="s">
        <v>503</v>
      </c>
      <c r="E713" s="28">
        <f>0.00232/Steel</f>
        <v>0.681795918367347</v>
      </c>
      <c r="F713" s="32">
        <f>Steel</f>
        <v>0.0034027777777777776</v>
      </c>
      <c r="G713" s="28">
        <v>1</v>
      </c>
      <c r="H713" s="28">
        <v>1</v>
      </c>
      <c r="I713" s="28">
        <f t="shared" si="46"/>
        <v>0.00232</v>
      </c>
      <c r="J713" s="97"/>
      <c r="K713" s="28"/>
      <c r="L713" s="28"/>
      <c r="M713" s="28"/>
      <c r="N713" s="28"/>
    </row>
    <row r="714" spans="1:14" ht="12.75">
      <c r="A714" s="216"/>
      <c r="D714" s="20" t="s">
        <v>504</v>
      </c>
      <c r="E714" s="21">
        <f>0.5^2</f>
        <v>0.25</v>
      </c>
      <c r="F714" s="24">
        <f>Steel</f>
        <v>0.0034027777777777776</v>
      </c>
      <c r="G714" s="21">
        <v>1</v>
      </c>
      <c r="H714" s="21">
        <v>1</v>
      </c>
      <c r="I714" s="28">
        <f t="shared" si="46"/>
        <v>0.0008506944444444444</v>
      </c>
      <c r="J714" s="97"/>
      <c r="K714" s="28"/>
      <c r="L714" s="28"/>
      <c r="M714" s="28"/>
      <c r="N714" s="28"/>
    </row>
    <row r="715" spans="1:14" ht="12.75">
      <c r="A715" s="216"/>
      <c r="D715" s="20" t="s">
        <v>505</v>
      </c>
      <c r="E715" s="21">
        <f>0.0115/Steel</f>
        <v>3.379591836734694</v>
      </c>
      <c r="F715" s="24">
        <f>Steel</f>
        <v>0.0034027777777777776</v>
      </c>
      <c r="G715" s="21">
        <v>1</v>
      </c>
      <c r="H715" s="21">
        <v>1</v>
      </c>
      <c r="I715" s="28">
        <f t="shared" si="46"/>
        <v>0.0115</v>
      </c>
      <c r="J715" s="97"/>
      <c r="K715" s="28"/>
      <c r="L715" s="28"/>
      <c r="M715" s="28"/>
      <c r="N715" s="28"/>
    </row>
    <row r="716" spans="1:14" ht="12.75">
      <c r="A716" s="216"/>
      <c r="D716" s="20" t="s">
        <v>506</v>
      </c>
      <c r="E716" s="21">
        <f>0.5*1</f>
        <v>0.5</v>
      </c>
      <c r="F716" s="24">
        <f>Steel</f>
        <v>0.0034027777777777776</v>
      </c>
      <c r="G716" s="21">
        <f>2.167-0.25</f>
        <v>1.9169999999999998</v>
      </c>
      <c r="H716" s="21">
        <v>0.417</v>
      </c>
      <c r="I716" s="28">
        <f t="shared" si="46"/>
        <v>0.007821492805755394</v>
      </c>
      <c r="J716" s="97"/>
      <c r="K716" s="28"/>
      <c r="L716" s="28"/>
      <c r="M716" s="28"/>
      <c r="N716" s="28"/>
    </row>
    <row r="717" spans="1:14" ht="12.75">
      <c r="A717" s="216"/>
      <c r="D717" s="20" t="s">
        <v>507</v>
      </c>
      <c r="E717" s="21">
        <f>10*12</f>
        <v>120</v>
      </c>
      <c r="F717" s="24">
        <f>Conc</f>
        <v>0.0010416666666666667</v>
      </c>
      <c r="G717" s="21">
        <f>3.083-0.75</f>
        <v>2.333</v>
      </c>
      <c r="H717" s="21">
        <v>8</v>
      </c>
      <c r="I717" s="28">
        <f aca="true" t="shared" si="51" ref="I717:I734">E717*F717*G717/H717</f>
        <v>0.036453125</v>
      </c>
      <c r="J717" s="97"/>
      <c r="K717" s="28"/>
      <c r="L717" s="28"/>
      <c r="M717" s="28"/>
      <c r="N717" s="28"/>
    </row>
    <row r="718" spans="1:10" ht="12.75">
      <c r="A718" s="234"/>
      <c r="B718" s="19"/>
      <c r="C718" s="13"/>
      <c r="D718" s="7" t="s">
        <v>445</v>
      </c>
      <c r="E718" s="40">
        <f>10*6</f>
        <v>60</v>
      </c>
      <c r="F718" s="25">
        <f>Conc</f>
        <v>0.0010416666666666667</v>
      </c>
      <c r="G718" s="40">
        <v>1</v>
      </c>
      <c r="H718" s="40">
        <v>1</v>
      </c>
      <c r="I718" s="13">
        <f t="shared" si="51"/>
        <v>0.0625</v>
      </c>
      <c r="J718" s="98">
        <f>SUM(I712:I718)</f>
        <v>0.12723003447242207</v>
      </c>
    </row>
    <row r="719" spans="1:10" ht="12.75">
      <c r="A719" s="219" t="s">
        <v>231</v>
      </c>
      <c r="B719" s="35" t="s">
        <v>151</v>
      </c>
      <c r="C719" s="20" t="s">
        <v>218</v>
      </c>
      <c r="D719" s="20" t="s">
        <v>423</v>
      </c>
      <c r="E719" s="28">
        <f>2.25</f>
        <v>2.25</v>
      </c>
      <c r="F719" s="32">
        <f aca="true" t="shared" si="52" ref="F719:F724">Steel</f>
        <v>0.0034027777777777776</v>
      </c>
      <c r="G719" s="28">
        <v>1</v>
      </c>
      <c r="H719" s="28">
        <v>1</v>
      </c>
      <c r="I719" s="28">
        <f t="shared" si="51"/>
        <v>0.00765625</v>
      </c>
      <c r="J719" s="12"/>
    </row>
    <row r="720" spans="1:10" ht="12.75">
      <c r="A720" s="216"/>
      <c r="B720" s="35"/>
      <c r="C720" s="20"/>
      <c r="D720" s="20" t="s">
        <v>424</v>
      </c>
      <c r="E720" s="28">
        <f>0.00232/Steel</f>
        <v>0.681795918367347</v>
      </c>
      <c r="F720" s="32">
        <f t="shared" si="52"/>
        <v>0.0034027777777777776</v>
      </c>
      <c r="G720" s="28">
        <v>1</v>
      </c>
      <c r="H720" s="28">
        <v>1</v>
      </c>
      <c r="I720" s="28">
        <f t="shared" si="51"/>
        <v>0.00232</v>
      </c>
      <c r="J720" s="12"/>
    </row>
    <row r="721" spans="1:10" ht="12.75">
      <c r="A721" s="216"/>
      <c r="D721" s="20" t="s">
        <v>509</v>
      </c>
      <c r="E721" s="28">
        <f>2*0.5</f>
        <v>1</v>
      </c>
      <c r="F721" s="32">
        <f t="shared" si="52"/>
        <v>0.0034027777777777776</v>
      </c>
      <c r="G721" s="28">
        <v>1</v>
      </c>
      <c r="H721" s="28">
        <v>1</v>
      </c>
      <c r="I721" s="28">
        <f t="shared" si="51"/>
        <v>0.0034027777777777776</v>
      </c>
      <c r="J721" s="12"/>
    </row>
    <row r="722" spans="1:10" ht="12.75">
      <c r="A722" s="216"/>
      <c r="D722" s="20" t="s">
        <v>407</v>
      </c>
      <c r="E722" s="28">
        <f>0.005/Steel</f>
        <v>1.469387755102041</v>
      </c>
      <c r="F722" s="32">
        <f t="shared" si="52"/>
        <v>0.0034027777777777776</v>
      </c>
      <c r="G722" s="28">
        <v>1</v>
      </c>
      <c r="H722" s="28">
        <v>1</v>
      </c>
      <c r="I722" s="28">
        <f t="shared" si="51"/>
        <v>0.005</v>
      </c>
      <c r="J722" s="12"/>
    </row>
    <row r="723" spans="1:10" ht="12.75">
      <c r="A723" s="216"/>
      <c r="D723" s="20" t="s">
        <v>408</v>
      </c>
      <c r="E723" s="28">
        <f>0.75^2</f>
        <v>0.5625</v>
      </c>
      <c r="F723" s="32">
        <f t="shared" si="52"/>
        <v>0.0034027777777777776</v>
      </c>
      <c r="G723" s="28">
        <f>8.5/12</f>
        <v>0.7083333333333334</v>
      </c>
      <c r="H723" s="28">
        <v>0.5</v>
      </c>
      <c r="I723" s="28">
        <f t="shared" si="51"/>
        <v>0.002711588541666667</v>
      </c>
      <c r="J723" s="12"/>
    </row>
    <row r="724" spans="1:10" ht="12.75">
      <c r="A724" s="216"/>
      <c r="D724" s="20" t="s">
        <v>485</v>
      </c>
      <c r="E724" s="28">
        <f>0.75^2</f>
        <v>0.5625</v>
      </c>
      <c r="F724" s="32">
        <f t="shared" si="52"/>
        <v>0.0034027777777777776</v>
      </c>
      <c r="G724" s="28">
        <f>2.083</f>
        <v>2.083</v>
      </c>
      <c r="H724" s="28">
        <v>0.5</v>
      </c>
      <c r="I724" s="28">
        <f t="shared" si="51"/>
        <v>0.007973984375</v>
      </c>
      <c r="J724" s="12"/>
    </row>
    <row r="725" spans="1:10" ht="12.75">
      <c r="A725" s="216"/>
      <c r="D725" s="20" t="s">
        <v>510</v>
      </c>
      <c r="E725" s="28">
        <f>12*15</f>
        <v>180</v>
      </c>
      <c r="F725" s="32">
        <f aca="true" t="shared" si="53" ref="F725:F750">Conc</f>
        <v>0.0010416666666666667</v>
      </c>
      <c r="G725" s="28">
        <f>3.5-0.5</f>
        <v>3</v>
      </c>
      <c r="H725" s="28">
        <v>12</v>
      </c>
      <c r="I725" s="28">
        <f t="shared" si="51"/>
        <v>0.046875</v>
      </c>
      <c r="J725" s="12"/>
    </row>
    <row r="726" spans="1:10" ht="12.75">
      <c r="A726" s="234"/>
      <c r="B726" s="19"/>
      <c r="C726" s="13"/>
      <c r="D726" s="7" t="s">
        <v>501</v>
      </c>
      <c r="E726" s="13">
        <f>10*8</f>
        <v>80</v>
      </c>
      <c r="F726" s="14">
        <f t="shared" si="53"/>
        <v>0.0010416666666666667</v>
      </c>
      <c r="G726" s="13">
        <v>1</v>
      </c>
      <c r="H726" s="13">
        <v>1</v>
      </c>
      <c r="I726" s="13">
        <f t="shared" si="51"/>
        <v>0.08333333333333333</v>
      </c>
      <c r="J726" s="16">
        <f>SUM(I719:I726)</f>
        <v>0.15927293402777776</v>
      </c>
    </row>
    <row r="727" spans="1:10" ht="12.75">
      <c r="A727" s="219" t="s">
        <v>232</v>
      </c>
      <c r="B727" s="35" t="s">
        <v>233</v>
      </c>
      <c r="C727" s="20" t="s">
        <v>139</v>
      </c>
      <c r="D727" s="20" t="s">
        <v>483</v>
      </c>
      <c r="E727" s="21">
        <f>2*6*6</f>
        <v>72</v>
      </c>
      <c r="F727" s="24">
        <f t="shared" si="53"/>
        <v>0.0010416666666666667</v>
      </c>
      <c r="G727" s="21">
        <v>1</v>
      </c>
      <c r="H727" s="21">
        <v>1</v>
      </c>
      <c r="I727" s="28">
        <f t="shared" si="51"/>
        <v>0.075</v>
      </c>
      <c r="J727" s="97"/>
    </row>
    <row r="728" spans="1:10" ht="12.75">
      <c r="A728" s="219"/>
      <c r="B728" s="35"/>
      <c r="C728" s="20"/>
      <c r="D728" s="20" t="s">
        <v>511</v>
      </c>
      <c r="E728" s="21">
        <f>3*3</f>
        <v>9</v>
      </c>
      <c r="F728" s="24">
        <f t="shared" si="53"/>
        <v>0.0010416666666666667</v>
      </c>
      <c r="G728" s="21">
        <f>1.917-2*1.414*0.5+0.25</f>
        <v>0.7530000000000001</v>
      </c>
      <c r="H728" s="21">
        <v>0.75</v>
      </c>
      <c r="I728" s="28">
        <f t="shared" si="51"/>
        <v>0.0094125</v>
      </c>
      <c r="J728" s="97"/>
    </row>
    <row r="729" spans="1:10" ht="12.75">
      <c r="A729" s="216"/>
      <c r="D729" s="20" t="s">
        <v>484</v>
      </c>
      <c r="E729" s="21">
        <f>15*14</f>
        <v>210</v>
      </c>
      <c r="F729" s="24">
        <f t="shared" si="53"/>
        <v>0.0010416666666666667</v>
      </c>
      <c r="G729" s="21">
        <f>3.458</f>
        <v>3.458</v>
      </c>
      <c r="H729" s="21">
        <v>8</v>
      </c>
      <c r="I729" s="28">
        <f t="shared" si="51"/>
        <v>0.09455468750000001</v>
      </c>
      <c r="J729" s="97"/>
    </row>
    <row r="730" spans="1:10" ht="12.75">
      <c r="A730" s="234"/>
      <c r="B730" s="19"/>
      <c r="C730" s="13"/>
      <c r="D730" s="7" t="s">
        <v>512</v>
      </c>
      <c r="E730" s="40">
        <f>(20-1.5/2)*9</f>
        <v>173.25</v>
      </c>
      <c r="F730" s="25">
        <f t="shared" si="53"/>
        <v>0.0010416666666666667</v>
      </c>
      <c r="G730" s="40">
        <v>1</v>
      </c>
      <c r="H730" s="40">
        <v>1</v>
      </c>
      <c r="I730" s="13">
        <f t="shared" si="51"/>
        <v>0.18046875</v>
      </c>
      <c r="J730" s="98">
        <f>SUM(I727:I730)</f>
        <v>0.3594359375</v>
      </c>
    </row>
    <row r="731" spans="1:11" ht="12.75">
      <c r="A731" s="219" t="s">
        <v>232</v>
      </c>
      <c r="B731" s="35" t="s">
        <v>234</v>
      </c>
      <c r="C731" s="20" t="s">
        <v>169</v>
      </c>
      <c r="D731" s="20" t="s">
        <v>483</v>
      </c>
      <c r="E731" s="21">
        <f>2*6*6</f>
        <v>72</v>
      </c>
      <c r="F731" s="24">
        <f t="shared" si="53"/>
        <v>0.0010416666666666667</v>
      </c>
      <c r="G731" s="21">
        <v>1</v>
      </c>
      <c r="H731" s="21">
        <v>1</v>
      </c>
      <c r="I731" s="28">
        <f t="shared" si="51"/>
        <v>0.075</v>
      </c>
      <c r="J731" s="97"/>
      <c r="K731" s="28"/>
    </row>
    <row r="732" spans="1:11" ht="12.75">
      <c r="A732" s="219"/>
      <c r="B732" s="35"/>
      <c r="C732" s="20"/>
      <c r="D732" s="20" t="s">
        <v>511</v>
      </c>
      <c r="E732" s="21">
        <f>3*3</f>
        <v>9</v>
      </c>
      <c r="F732" s="24">
        <f t="shared" si="53"/>
        <v>0.0010416666666666667</v>
      </c>
      <c r="G732" s="21">
        <f>2.083-2*1.414*0.5+0.25</f>
        <v>0.9190000000000003</v>
      </c>
      <c r="H732" s="21">
        <v>0.75</v>
      </c>
      <c r="I732" s="28">
        <f t="shared" si="51"/>
        <v>0.011487500000000003</v>
      </c>
      <c r="J732" s="97"/>
      <c r="K732" s="28"/>
    </row>
    <row r="733" spans="1:11" ht="12.75">
      <c r="A733" s="216"/>
      <c r="D733" s="20" t="s">
        <v>484</v>
      </c>
      <c r="E733" s="21">
        <f>15*14</f>
        <v>210</v>
      </c>
      <c r="F733" s="24">
        <f t="shared" si="53"/>
        <v>0.0010416666666666667</v>
      </c>
      <c r="G733" s="21">
        <f>3.458</f>
        <v>3.458</v>
      </c>
      <c r="H733" s="21">
        <v>8</v>
      </c>
      <c r="I733" s="28">
        <f t="shared" si="51"/>
        <v>0.09455468750000001</v>
      </c>
      <c r="J733" s="97"/>
      <c r="K733" s="28"/>
    </row>
    <row r="734" spans="1:10" ht="12.75">
      <c r="A734" s="234"/>
      <c r="B734" s="19"/>
      <c r="C734" s="13"/>
      <c r="D734" s="7" t="s">
        <v>428</v>
      </c>
      <c r="E734" s="40">
        <f>9*6</f>
        <v>54</v>
      </c>
      <c r="F734" s="25">
        <f t="shared" si="53"/>
        <v>0.0010416666666666667</v>
      </c>
      <c r="G734" s="40">
        <v>1</v>
      </c>
      <c r="H734" s="40">
        <v>1</v>
      </c>
      <c r="I734" s="13">
        <f t="shared" si="51"/>
        <v>0.05625</v>
      </c>
      <c r="J734" s="98">
        <f>SUM(I731:I734)</f>
        <v>0.2372921875</v>
      </c>
    </row>
    <row r="735" spans="1:10" ht="12.75">
      <c r="A735" s="219" t="s">
        <v>235</v>
      </c>
      <c r="B735" s="35" t="s">
        <v>236</v>
      </c>
      <c r="C735" s="20" t="s">
        <v>191</v>
      </c>
      <c r="D735" s="11" t="s">
        <v>513</v>
      </c>
      <c r="E735" s="21">
        <f>13*6-2*(6.5*1/2+PI()*1.5^2/4+2.5*1)</f>
        <v>62.96570826471148</v>
      </c>
      <c r="F735" s="24">
        <f t="shared" si="53"/>
        <v>0.0010416666666666667</v>
      </c>
      <c r="G735" s="21">
        <v>1</v>
      </c>
      <c r="H735" s="21">
        <v>1</v>
      </c>
      <c r="I735" s="28">
        <f aca="true" t="shared" si="54" ref="I735:I741">(E735*F735*G735/H735)*(30-1.333-1.833)/30</f>
        <v>0.05866742415191903</v>
      </c>
      <c r="J735" s="97"/>
    </row>
    <row r="736" spans="1:10" ht="12.75">
      <c r="A736" s="216"/>
      <c r="B736" s="35"/>
      <c r="C736" s="20"/>
      <c r="D736" s="20" t="s">
        <v>514</v>
      </c>
      <c r="E736" s="21">
        <f>4.5*4</f>
        <v>18</v>
      </c>
      <c r="F736" s="24">
        <f t="shared" si="53"/>
        <v>0.0010416666666666667</v>
      </c>
      <c r="G736" s="21">
        <v>1</v>
      </c>
      <c r="H736" s="21">
        <v>1</v>
      </c>
      <c r="I736" s="28">
        <f t="shared" si="54"/>
        <v>0.01677125</v>
      </c>
      <c r="J736" s="97"/>
    </row>
    <row r="737" spans="1:10" ht="12.75">
      <c r="A737" s="216"/>
      <c r="D737" s="11" t="s">
        <v>515</v>
      </c>
      <c r="E737" s="21">
        <f>4.5^2-4*PI()*0.5^2/4</f>
        <v>19.46460183660255</v>
      </c>
      <c r="F737" s="24">
        <f t="shared" si="53"/>
        <v>0.0010416666666666667</v>
      </c>
      <c r="G737" s="21">
        <f>3.25-0.5-0.583</f>
        <v>2.167</v>
      </c>
      <c r="H737" s="21">
        <v>1.25</v>
      </c>
      <c r="I737" s="28">
        <f t="shared" si="54"/>
        <v>0.03144034842655312</v>
      </c>
      <c r="J737" s="97"/>
    </row>
    <row r="738" spans="1:10" ht="12.75">
      <c r="A738" s="216"/>
      <c r="D738" s="20" t="s">
        <v>516</v>
      </c>
      <c r="E738" s="21">
        <f>2*3*0.5</f>
        <v>3</v>
      </c>
      <c r="F738" s="24">
        <f t="shared" si="53"/>
        <v>0.0010416666666666667</v>
      </c>
      <c r="G738" s="21">
        <f>13.5/12</f>
        <v>1.125</v>
      </c>
      <c r="H738" s="21">
        <v>1.25</v>
      </c>
      <c r="I738" s="28">
        <f t="shared" si="54"/>
        <v>0.0025156875</v>
      </c>
      <c r="J738" s="97"/>
    </row>
    <row r="739" spans="1:10" ht="12.75">
      <c r="A739" s="216"/>
      <c r="D739" s="20" t="s">
        <v>517</v>
      </c>
      <c r="E739" s="21">
        <f>2*3*0.5</f>
        <v>3</v>
      </c>
      <c r="F739" s="24">
        <f t="shared" si="53"/>
        <v>0.0010416666666666667</v>
      </c>
      <c r="G739" s="21">
        <f>7.5/12</f>
        <v>0.625</v>
      </c>
      <c r="H739" s="21">
        <v>1.25</v>
      </c>
      <c r="I739" s="28">
        <f t="shared" si="54"/>
        <v>0.001397604166666667</v>
      </c>
      <c r="J739" s="97"/>
    </row>
    <row r="740" spans="1:10" ht="12.75">
      <c r="A740" s="216"/>
      <c r="D740" s="20" t="s">
        <v>518</v>
      </c>
      <c r="E740" s="21">
        <f>2*3*0.5</f>
        <v>3</v>
      </c>
      <c r="F740" s="24">
        <f t="shared" si="53"/>
        <v>0.0010416666666666667</v>
      </c>
      <c r="G740" s="21">
        <v>0.833</v>
      </c>
      <c r="H740" s="21">
        <v>1.25</v>
      </c>
      <c r="I740" s="28">
        <f t="shared" si="54"/>
        <v>0.0018627268333333339</v>
      </c>
      <c r="J740" s="97"/>
    </row>
    <row r="741" spans="1:10" ht="12.75">
      <c r="A741" s="216"/>
      <c r="D741" s="20" t="s">
        <v>519</v>
      </c>
      <c r="E741" s="21">
        <f>4.5*(15-4.5)/2</f>
        <v>23.625</v>
      </c>
      <c r="F741" s="24">
        <f t="shared" si="53"/>
        <v>0.0010416666666666667</v>
      </c>
      <c r="G741" s="21">
        <f>(11.25-4)/12</f>
        <v>0.6041666666666666</v>
      </c>
      <c r="H741" s="21">
        <v>1.25</v>
      </c>
      <c r="I741" s="28">
        <f t="shared" si="54"/>
        <v>0.01063926171875</v>
      </c>
      <c r="J741" s="97"/>
    </row>
    <row r="742" spans="1:10" ht="12.75">
      <c r="A742" s="216"/>
      <c r="D742" s="11" t="s">
        <v>520</v>
      </c>
      <c r="E742" s="21">
        <f>14*6</f>
        <v>84</v>
      </c>
      <c r="F742" s="24">
        <f t="shared" si="53"/>
        <v>0.0010416666666666667</v>
      </c>
      <c r="G742" s="21">
        <v>1</v>
      </c>
      <c r="H742" s="21">
        <v>1</v>
      </c>
      <c r="I742" s="28">
        <f aca="true" t="shared" si="55" ref="I742:I753">E742*F742*G742/H742</f>
        <v>0.0875</v>
      </c>
      <c r="J742" s="97"/>
    </row>
    <row r="743" spans="1:10" ht="12.75">
      <c r="A743" s="216"/>
      <c r="D743" s="20" t="s">
        <v>521</v>
      </c>
      <c r="E743" s="21">
        <f>10*16</f>
        <v>160</v>
      </c>
      <c r="F743" s="24">
        <f t="shared" si="53"/>
        <v>0.0010416666666666667</v>
      </c>
      <c r="G743" s="21">
        <f>3.25-0.5</f>
        <v>2.75</v>
      </c>
      <c r="H743" s="21">
        <v>30</v>
      </c>
      <c r="I743" s="28">
        <f t="shared" si="55"/>
        <v>0.015277777777777777</v>
      </c>
      <c r="J743" s="97"/>
    </row>
    <row r="744" spans="1:10" ht="12.75">
      <c r="A744" s="234"/>
      <c r="B744" s="19"/>
      <c r="C744" s="13"/>
      <c r="D744" s="7" t="s">
        <v>522</v>
      </c>
      <c r="E744" s="40">
        <f>16.5*22</f>
        <v>363</v>
      </c>
      <c r="F744" s="25">
        <f t="shared" si="53"/>
        <v>0.0010416666666666667</v>
      </c>
      <c r="G744" s="40">
        <f>3.292-0.5</f>
        <v>2.792</v>
      </c>
      <c r="H744" s="40">
        <v>30</v>
      </c>
      <c r="I744" s="13">
        <f t="shared" si="55"/>
        <v>0.035190833333333324</v>
      </c>
      <c r="J744" s="98">
        <f>SUM(I735:I744)</f>
        <v>0.2612629139083332</v>
      </c>
    </row>
    <row r="745" spans="1:10" ht="12.75">
      <c r="A745" s="219" t="s">
        <v>237</v>
      </c>
      <c r="B745" s="35" t="s">
        <v>220</v>
      </c>
      <c r="C745" s="20" t="s">
        <v>169</v>
      </c>
      <c r="D745" s="20" t="s">
        <v>483</v>
      </c>
      <c r="E745" s="21">
        <f>2*6*6</f>
        <v>72</v>
      </c>
      <c r="F745" s="24">
        <f t="shared" si="53"/>
        <v>0.0010416666666666667</v>
      </c>
      <c r="G745" s="21">
        <v>1</v>
      </c>
      <c r="H745" s="21">
        <v>1</v>
      </c>
      <c r="I745" s="28">
        <f t="shared" si="55"/>
        <v>0.075</v>
      </c>
      <c r="J745" s="97"/>
    </row>
    <row r="746" spans="1:10" ht="12.75">
      <c r="A746" s="216"/>
      <c r="B746" s="35"/>
      <c r="C746" s="20"/>
      <c r="D746" s="20" t="s">
        <v>484</v>
      </c>
      <c r="E746" s="21">
        <f>15*14</f>
        <v>210</v>
      </c>
      <c r="F746" s="24">
        <f t="shared" si="53"/>
        <v>0.0010416666666666667</v>
      </c>
      <c r="G746" s="21">
        <f>3.458</f>
        <v>3.458</v>
      </c>
      <c r="H746" s="21">
        <v>8</v>
      </c>
      <c r="I746" s="28">
        <f t="shared" si="55"/>
        <v>0.09455468750000001</v>
      </c>
      <c r="J746" s="97"/>
    </row>
    <row r="747" spans="1:10" ht="12.75">
      <c r="A747" s="234"/>
      <c r="B747" s="19"/>
      <c r="C747" s="13"/>
      <c r="D747" s="7" t="s">
        <v>428</v>
      </c>
      <c r="E747" s="40">
        <f>9*6</f>
        <v>54</v>
      </c>
      <c r="F747" s="25">
        <f t="shared" si="53"/>
        <v>0.0010416666666666667</v>
      </c>
      <c r="G747" s="40">
        <v>1</v>
      </c>
      <c r="H747" s="40">
        <v>1</v>
      </c>
      <c r="I747" s="13">
        <f t="shared" si="55"/>
        <v>0.05625</v>
      </c>
      <c r="J747" s="98">
        <f>SUM(I745:I747)</f>
        <v>0.22580468750000002</v>
      </c>
    </row>
    <row r="748" spans="1:10" ht="12.75">
      <c r="A748" s="219" t="s">
        <v>237</v>
      </c>
      <c r="B748" s="35" t="s">
        <v>221</v>
      </c>
      <c r="C748" s="20" t="s">
        <v>139</v>
      </c>
      <c r="D748" s="20" t="s">
        <v>483</v>
      </c>
      <c r="E748" s="21">
        <f>2*6*6</f>
        <v>72</v>
      </c>
      <c r="F748" s="24">
        <f t="shared" si="53"/>
        <v>0.0010416666666666667</v>
      </c>
      <c r="G748" s="21">
        <v>1</v>
      </c>
      <c r="H748" s="21">
        <v>1</v>
      </c>
      <c r="I748" s="28">
        <f t="shared" si="55"/>
        <v>0.075</v>
      </c>
      <c r="J748" s="97"/>
    </row>
    <row r="749" spans="1:10" ht="12.75">
      <c r="A749" s="216"/>
      <c r="B749" s="35"/>
      <c r="C749" s="20"/>
      <c r="D749" s="20" t="s">
        <v>484</v>
      </c>
      <c r="E749" s="21">
        <f>15*14</f>
        <v>210</v>
      </c>
      <c r="F749" s="24">
        <f t="shared" si="53"/>
        <v>0.0010416666666666667</v>
      </c>
      <c r="G749" s="21">
        <f>3.333</f>
        <v>3.333</v>
      </c>
      <c r="H749" s="21">
        <v>8</v>
      </c>
      <c r="I749" s="28">
        <f t="shared" si="55"/>
        <v>0.09113671875000001</v>
      </c>
      <c r="J749" s="97"/>
    </row>
    <row r="750" spans="1:10" ht="12.75">
      <c r="A750" s="234"/>
      <c r="B750" s="19"/>
      <c r="C750" s="13"/>
      <c r="D750" s="7" t="s">
        <v>488</v>
      </c>
      <c r="E750" s="40">
        <f>(20-1.5/2)*9</f>
        <v>173.25</v>
      </c>
      <c r="F750" s="25">
        <f t="shared" si="53"/>
        <v>0.0010416666666666667</v>
      </c>
      <c r="G750" s="40">
        <v>1</v>
      </c>
      <c r="H750" s="40">
        <v>1</v>
      </c>
      <c r="I750" s="13">
        <f t="shared" si="55"/>
        <v>0.18046875</v>
      </c>
      <c r="J750" s="98">
        <f>SUM(I748:I750)</f>
        <v>0.34660546875000003</v>
      </c>
    </row>
    <row r="751" spans="1:10" ht="12.75">
      <c r="A751" s="219" t="s">
        <v>238</v>
      </c>
      <c r="B751" s="35" t="s">
        <v>208</v>
      </c>
      <c r="C751" s="20" t="s">
        <v>191</v>
      </c>
      <c r="D751" s="20" t="s">
        <v>470</v>
      </c>
      <c r="E751" s="21">
        <f>2*2.625*7.625</f>
        <v>40.03125</v>
      </c>
      <c r="F751" s="24">
        <f>Tmbr</f>
        <v>0.00022222222222222223</v>
      </c>
      <c r="G751" s="21">
        <v>1</v>
      </c>
      <c r="H751" s="21">
        <v>1</v>
      </c>
      <c r="I751" s="28">
        <f t="shared" si="55"/>
        <v>0.008895833333333334</v>
      </c>
      <c r="J751" s="97"/>
    </row>
    <row r="752" spans="1:10" ht="12.75">
      <c r="A752" s="216"/>
      <c r="B752" s="35"/>
      <c r="C752" s="20"/>
      <c r="D752" s="20" t="s">
        <v>471</v>
      </c>
      <c r="E752" s="21">
        <f>1.625*11.625</f>
        <v>18.890625</v>
      </c>
      <c r="F752" s="24">
        <f>Tmbr</f>
        <v>0.00022222222222222223</v>
      </c>
      <c r="G752" s="21">
        <v>1</v>
      </c>
      <c r="H752" s="21">
        <v>1</v>
      </c>
      <c r="I752" s="28">
        <f t="shared" si="55"/>
        <v>0.004197916666666667</v>
      </c>
      <c r="J752" s="97"/>
    </row>
    <row r="753" spans="1:10" ht="12.75">
      <c r="A753" s="234"/>
      <c r="B753" s="19"/>
      <c r="C753" s="13"/>
      <c r="D753" s="7" t="s">
        <v>473</v>
      </c>
      <c r="E753" s="40">
        <f>5.625*7.625</f>
        <v>42.890625</v>
      </c>
      <c r="F753" s="25">
        <f>Tmbr</f>
        <v>0.00022222222222222223</v>
      </c>
      <c r="G753" s="40">
        <v>4.5</v>
      </c>
      <c r="H753" s="40">
        <v>4</v>
      </c>
      <c r="I753" s="13">
        <f t="shared" si="55"/>
        <v>0.01072265625</v>
      </c>
      <c r="J753" s="98">
        <f>SUM(I751:I753)</f>
        <v>0.02381640625</v>
      </c>
    </row>
    <row r="754" spans="1:10" ht="12.75">
      <c r="A754" s="219" t="s">
        <v>239</v>
      </c>
      <c r="B754" s="35" t="s">
        <v>240</v>
      </c>
      <c r="C754" s="20" t="s">
        <v>191</v>
      </c>
      <c r="D754" s="11" t="s">
        <v>513</v>
      </c>
      <c r="E754" s="21">
        <f>13*7-2*(6.5*1/2+PI()*1.5^2/4+2.5*1)</f>
        <v>75.96570826471148</v>
      </c>
      <c r="F754" s="24">
        <f aca="true" t="shared" si="56" ref="F754:F770">Conc</f>
        <v>0.0010416666666666667</v>
      </c>
      <c r="G754" s="21">
        <v>1</v>
      </c>
      <c r="H754" s="21">
        <v>1</v>
      </c>
      <c r="I754" s="28">
        <f aca="true" t="shared" si="57" ref="I754:I760">(E754*F754*G754/H754)*(15-1.75)/15</f>
        <v>0.0698990023963491</v>
      </c>
      <c r="J754" s="97"/>
    </row>
    <row r="755" spans="1:10" ht="12.75">
      <c r="A755" s="216"/>
      <c r="B755" s="35"/>
      <c r="C755" s="20"/>
      <c r="D755" s="20" t="s">
        <v>514</v>
      </c>
      <c r="E755" s="21">
        <f>4.5*4</f>
        <v>18</v>
      </c>
      <c r="F755" s="24">
        <f t="shared" si="56"/>
        <v>0.0010416666666666667</v>
      </c>
      <c r="G755" s="21">
        <v>1</v>
      </c>
      <c r="H755" s="21">
        <v>1</v>
      </c>
      <c r="I755" s="28">
        <f t="shared" si="57"/>
        <v>0.016562499999999997</v>
      </c>
      <c r="J755" s="97"/>
    </row>
    <row r="756" spans="1:10" ht="12.75">
      <c r="A756" s="216"/>
      <c r="D756" s="11" t="s">
        <v>515</v>
      </c>
      <c r="E756" s="21">
        <f>4.5^2-4*PI()*0.5^2/4</f>
        <v>19.46460183660255</v>
      </c>
      <c r="F756" s="24">
        <f t="shared" si="56"/>
        <v>0.0010416666666666667</v>
      </c>
      <c r="G756" s="21">
        <f>3.25-0.5-0.583</f>
        <v>2.167</v>
      </c>
      <c r="H756" s="21">
        <v>1.25</v>
      </c>
      <c r="I756" s="28">
        <f t="shared" si="57"/>
        <v>0.03104901368799499</v>
      </c>
      <c r="J756" s="97"/>
    </row>
    <row r="757" spans="1:10" ht="12.75">
      <c r="A757" s="216"/>
      <c r="D757" s="20" t="s">
        <v>516</v>
      </c>
      <c r="E757" s="21">
        <f>2*3*0.5</f>
        <v>3</v>
      </c>
      <c r="F757" s="24">
        <f t="shared" si="56"/>
        <v>0.0010416666666666667</v>
      </c>
      <c r="G757" s="21">
        <f>13.5/12</f>
        <v>1.125</v>
      </c>
      <c r="H757" s="21">
        <v>1.25</v>
      </c>
      <c r="I757" s="28">
        <f t="shared" si="57"/>
        <v>0.0024843749999999996</v>
      </c>
      <c r="J757" s="97"/>
    </row>
    <row r="758" spans="1:10" ht="12.75">
      <c r="A758" s="216"/>
      <c r="D758" s="20" t="s">
        <v>517</v>
      </c>
      <c r="E758" s="21">
        <f>2*3*0.5</f>
        <v>3</v>
      </c>
      <c r="F758" s="24">
        <f t="shared" si="56"/>
        <v>0.0010416666666666667</v>
      </c>
      <c r="G758" s="21">
        <f>7.5/12</f>
        <v>0.625</v>
      </c>
      <c r="H758" s="21">
        <v>1.25</v>
      </c>
      <c r="I758" s="28">
        <f t="shared" si="57"/>
        <v>0.0013802083333333335</v>
      </c>
      <c r="J758" s="97"/>
    </row>
    <row r="759" spans="1:10" ht="12.75">
      <c r="A759" s="216"/>
      <c r="D759" s="20" t="s">
        <v>518</v>
      </c>
      <c r="E759" s="21">
        <f>2*3*0.5</f>
        <v>3</v>
      </c>
      <c r="F759" s="24">
        <f t="shared" si="56"/>
        <v>0.0010416666666666667</v>
      </c>
      <c r="G759" s="21">
        <v>0.833</v>
      </c>
      <c r="H759" s="21">
        <v>1.25</v>
      </c>
      <c r="I759" s="28">
        <f t="shared" si="57"/>
        <v>0.0018395416666666668</v>
      </c>
      <c r="J759" s="97"/>
    </row>
    <row r="760" spans="1:10" ht="12.75">
      <c r="A760" s="216"/>
      <c r="D760" s="20" t="s">
        <v>519</v>
      </c>
      <c r="E760" s="21">
        <f>4.5*(15-4.5)/2</f>
        <v>23.625</v>
      </c>
      <c r="F760" s="24">
        <f t="shared" si="56"/>
        <v>0.0010416666666666667</v>
      </c>
      <c r="G760" s="21">
        <f>(11.25-4)/12</f>
        <v>0.6041666666666666</v>
      </c>
      <c r="H760" s="21">
        <v>1.25</v>
      </c>
      <c r="I760" s="28">
        <f t="shared" si="57"/>
        <v>0.010506835937499997</v>
      </c>
      <c r="J760" s="97"/>
    </row>
    <row r="761" spans="1:10" ht="12.75">
      <c r="A761" s="216"/>
      <c r="D761" s="11" t="s">
        <v>520</v>
      </c>
      <c r="E761" s="21">
        <f>14*6</f>
        <v>84</v>
      </c>
      <c r="F761" s="24">
        <f t="shared" si="56"/>
        <v>0.0010416666666666667</v>
      </c>
      <c r="G761" s="21">
        <v>1</v>
      </c>
      <c r="H761" s="21">
        <v>1</v>
      </c>
      <c r="I761" s="28">
        <f>E761*F761*G761/H761</f>
        <v>0.0875</v>
      </c>
      <c r="J761" s="97"/>
    </row>
    <row r="762" spans="1:10" ht="12.75">
      <c r="A762" s="234"/>
      <c r="B762" s="19"/>
      <c r="C762" s="13"/>
      <c r="D762" s="7" t="s">
        <v>523</v>
      </c>
      <c r="E762" s="40">
        <f>14*21</f>
        <v>294</v>
      </c>
      <c r="F762" s="25">
        <f t="shared" si="56"/>
        <v>0.0010416666666666667</v>
      </c>
      <c r="G762" s="40">
        <f>3.563-0.5</f>
        <v>3.063</v>
      </c>
      <c r="H762" s="40">
        <v>15</v>
      </c>
      <c r="I762" s="13">
        <f>E762*F762*G762/H762</f>
        <v>0.06253625</v>
      </c>
      <c r="J762" s="98">
        <f>SUM(I754:I762)</f>
        <v>0.28375772702184404</v>
      </c>
    </row>
    <row r="763" spans="1:13" ht="12.75">
      <c r="A763" s="233" t="s">
        <v>241</v>
      </c>
      <c r="B763" s="35" t="s">
        <v>242</v>
      </c>
      <c r="C763" s="20" t="s">
        <v>139</v>
      </c>
      <c r="D763" s="11" t="s">
        <v>513</v>
      </c>
      <c r="E763" s="21">
        <f>13*7-2*(6.5*1/2+PI()*1.5^2/4+2.5*1)</f>
        <v>75.96570826471148</v>
      </c>
      <c r="F763" s="24">
        <f t="shared" si="56"/>
        <v>0.0010416666666666667</v>
      </c>
      <c r="G763" s="21">
        <v>1</v>
      </c>
      <c r="H763" s="21">
        <v>1</v>
      </c>
      <c r="I763" s="28">
        <f aca="true" t="shared" si="58" ref="I763:I768">(E763*F763*G763/H763)*(15-1.75)/15</f>
        <v>0.0698990023963491</v>
      </c>
      <c r="J763" s="97"/>
      <c r="K763" s="28"/>
      <c r="L763" s="28"/>
      <c r="M763" s="28"/>
    </row>
    <row r="764" spans="1:13" ht="12.75">
      <c r="A764" s="216"/>
      <c r="C764" s="20"/>
      <c r="D764" s="20" t="s">
        <v>514</v>
      </c>
      <c r="E764" s="21">
        <f>4.5*4</f>
        <v>18</v>
      </c>
      <c r="F764" s="24">
        <f t="shared" si="56"/>
        <v>0.0010416666666666667</v>
      </c>
      <c r="G764" s="21">
        <v>1</v>
      </c>
      <c r="H764" s="21">
        <v>1</v>
      </c>
      <c r="I764" s="28">
        <f t="shared" si="58"/>
        <v>0.016562499999999997</v>
      </c>
      <c r="J764" s="97"/>
      <c r="K764" s="28"/>
      <c r="L764" s="28"/>
      <c r="M764" s="28"/>
    </row>
    <row r="765" spans="1:13" ht="12.75">
      <c r="A765" s="216"/>
      <c r="D765" s="11" t="s">
        <v>515</v>
      </c>
      <c r="E765" s="21">
        <f>4.5^2-4*PI()*0.5^2/4</f>
        <v>19.46460183660255</v>
      </c>
      <c r="F765" s="24">
        <f t="shared" si="56"/>
        <v>0.0010416666666666667</v>
      </c>
      <c r="G765" s="21">
        <f>3.25-0.917-0.583</f>
        <v>1.7500000000000002</v>
      </c>
      <c r="H765" s="21">
        <v>1.25</v>
      </c>
      <c r="I765" s="28">
        <f t="shared" si="58"/>
        <v>0.02507419194923454</v>
      </c>
      <c r="J765" s="97"/>
      <c r="K765" s="28"/>
      <c r="L765" s="28"/>
      <c r="M765" s="28"/>
    </row>
    <row r="766" spans="1:13" ht="12.75">
      <c r="A766" s="216"/>
      <c r="D766" s="20" t="s">
        <v>524</v>
      </c>
      <c r="E766" s="21">
        <f>2*3*0.75</f>
        <v>4.5</v>
      </c>
      <c r="F766" s="24">
        <f t="shared" si="56"/>
        <v>0.0010416666666666667</v>
      </c>
      <c r="G766" s="21">
        <v>0.5</v>
      </c>
      <c r="H766" s="21">
        <v>1.25</v>
      </c>
      <c r="I766" s="28">
        <f t="shared" si="58"/>
        <v>0.00165625</v>
      </c>
      <c r="J766" s="97"/>
      <c r="K766" s="28"/>
      <c r="L766" s="28"/>
      <c r="M766" s="28"/>
    </row>
    <row r="767" spans="1:13" ht="12.75">
      <c r="A767" s="216"/>
      <c r="D767" s="20" t="s">
        <v>518</v>
      </c>
      <c r="E767" s="21">
        <f>2*3*0.75</f>
        <v>4.5</v>
      </c>
      <c r="F767" s="24">
        <f t="shared" si="56"/>
        <v>0.0010416666666666667</v>
      </c>
      <c r="G767" s="21">
        <v>0.667</v>
      </c>
      <c r="H767" s="21">
        <v>1.25</v>
      </c>
      <c r="I767" s="28">
        <f t="shared" si="58"/>
        <v>0.0022094375</v>
      </c>
      <c r="J767" s="97"/>
      <c r="K767" s="28"/>
      <c r="L767" s="28"/>
      <c r="M767" s="28"/>
    </row>
    <row r="768" spans="1:13" ht="12.75">
      <c r="A768" s="216"/>
      <c r="D768" s="20" t="s">
        <v>519</v>
      </c>
      <c r="E768" s="21">
        <f>4.5*(15-4.5)/2</f>
        <v>23.625</v>
      </c>
      <c r="F768" s="24">
        <f t="shared" si="56"/>
        <v>0.0010416666666666667</v>
      </c>
      <c r="G768" s="21">
        <f>(11.25-4)/12</f>
        <v>0.6041666666666666</v>
      </c>
      <c r="H768" s="21">
        <v>1.25</v>
      </c>
      <c r="I768" s="28">
        <f t="shared" si="58"/>
        <v>0.010506835937499997</v>
      </c>
      <c r="J768" s="97"/>
      <c r="K768" s="28"/>
      <c r="L768" s="28"/>
      <c r="M768" s="28"/>
    </row>
    <row r="769" spans="1:13" ht="12.75">
      <c r="A769" s="216"/>
      <c r="D769" s="20" t="s">
        <v>386</v>
      </c>
      <c r="E769" s="21">
        <f>20*11</f>
        <v>220</v>
      </c>
      <c r="F769" s="24">
        <f t="shared" si="56"/>
        <v>0.0010416666666666667</v>
      </c>
      <c r="G769" s="21">
        <v>1</v>
      </c>
      <c r="H769" s="21">
        <v>1</v>
      </c>
      <c r="I769" s="28">
        <f aca="true" t="shared" si="59" ref="I769:I787">E769*F769*G769/H769</f>
        <v>0.22916666666666666</v>
      </c>
      <c r="J769" s="97"/>
      <c r="K769" s="28"/>
      <c r="L769" s="28"/>
      <c r="M769" s="28"/>
    </row>
    <row r="770" spans="1:10" ht="12.75">
      <c r="A770" s="234"/>
      <c r="B770" s="19"/>
      <c r="C770" s="13"/>
      <c r="D770" s="7" t="s">
        <v>523</v>
      </c>
      <c r="E770" s="40">
        <f>14*21</f>
        <v>294</v>
      </c>
      <c r="F770" s="25">
        <f t="shared" si="56"/>
        <v>0.0010416666666666667</v>
      </c>
      <c r="G770" s="40">
        <f>3.563-0.917</f>
        <v>2.646</v>
      </c>
      <c r="H770" s="40">
        <v>15</v>
      </c>
      <c r="I770" s="13">
        <f t="shared" si="59"/>
        <v>0.0540225</v>
      </c>
      <c r="J770" s="98">
        <f>SUM(I763:I770)</f>
        <v>0.4090973844497503</v>
      </c>
    </row>
    <row r="771" spans="1:10" ht="12.75">
      <c r="A771" s="219" t="s">
        <v>243</v>
      </c>
      <c r="B771" s="35" t="s">
        <v>244</v>
      </c>
      <c r="C771" s="20" t="s">
        <v>191</v>
      </c>
      <c r="D771" s="20" t="s">
        <v>525</v>
      </c>
      <c r="E771" s="21">
        <f>3.68</f>
        <v>3.68</v>
      </c>
      <c r="F771" s="24">
        <f>Steel</f>
        <v>0.0034027777777777776</v>
      </c>
      <c r="G771" s="21">
        <v>1</v>
      </c>
      <c r="H771" s="21">
        <v>1</v>
      </c>
      <c r="I771" s="28">
        <f t="shared" si="59"/>
        <v>0.012522222222222223</v>
      </c>
      <c r="J771" s="97"/>
    </row>
    <row r="772" spans="1:10" ht="12.75">
      <c r="A772" s="216"/>
      <c r="B772" s="35"/>
      <c r="C772" s="20"/>
      <c r="D772" s="20" t="s">
        <v>526</v>
      </c>
      <c r="E772" s="21">
        <f>2*0.005/Steel</f>
        <v>2.938775510204082</v>
      </c>
      <c r="F772" s="24">
        <f>Steel</f>
        <v>0.0034027777777777776</v>
      </c>
      <c r="G772" s="21">
        <v>1</v>
      </c>
      <c r="H772" s="21">
        <v>1</v>
      </c>
      <c r="I772" s="28">
        <f t="shared" si="59"/>
        <v>0.01</v>
      </c>
      <c r="J772" s="97"/>
    </row>
    <row r="773" spans="1:10" ht="12.75">
      <c r="A773" s="216"/>
      <c r="D773" s="20" t="s">
        <v>527</v>
      </c>
      <c r="E773" s="21">
        <f>3.02</f>
        <v>3.02</v>
      </c>
      <c r="F773" s="24">
        <f>Steel</f>
        <v>0.0034027777777777776</v>
      </c>
      <c r="G773" s="21">
        <v>1</v>
      </c>
      <c r="H773" s="21">
        <v>1</v>
      </c>
      <c r="I773" s="28">
        <f t="shared" si="59"/>
        <v>0.010276388888888889</v>
      </c>
      <c r="J773" s="97"/>
    </row>
    <row r="774" spans="1:10" ht="12.75">
      <c r="A774" s="216"/>
      <c r="D774" s="20" t="s">
        <v>528</v>
      </c>
      <c r="E774" s="21">
        <f>3*0.75*1</f>
        <v>2.25</v>
      </c>
      <c r="F774" s="24">
        <f>Steel</f>
        <v>0.0034027777777777776</v>
      </c>
      <c r="G774" s="21">
        <f>2.417-0.292/2-0.25/2</f>
        <v>2.146</v>
      </c>
      <c r="H774" s="21">
        <f>11/12</f>
        <v>0.9166666666666666</v>
      </c>
      <c r="I774" s="28">
        <f t="shared" si="59"/>
        <v>0.017923977272727272</v>
      </c>
      <c r="J774" s="97"/>
    </row>
    <row r="775" spans="1:10" ht="12.75">
      <c r="A775" s="216"/>
      <c r="D775" s="20" t="s">
        <v>529</v>
      </c>
      <c r="E775" s="21">
        <f>2*0.75*1</f>
        <v>1.5</v>
      </c>
      <c r="F775" s="24">
        <f>Steel</f>
        <v>0.0034027777777777776</v>
      </c>
      <c r="G775" s="21">
        <f>2*(3+2.5)/12</f>
        <v>0.9166666666666666</v>
      </c>
      <c r="H775" s="21">
        <f>11/12</f>
        <v>0.9166666666666666</v>
      </c>
      <c r="I775" s="28">
        <f t="shared" si="59"/>
        <v>0.005104166666666667</v>
      </c>
      <c r="J775" s="97"/>
    </row>
    <row r="776" spans="1:10" ht="12.75">
      <c r="A776" s="216"/>
      <c r="D776" s="20" t="s">
        <v>530</v>
      </c>
      <c r="E776" s="46">
        <f>3.625*5.5</f>
        <v>19.9375</v>
      </c>
      <c r="F776" s="24">
        <f>Tmbr</f>
        <v>0.00022222222222222223</v>
      </c>
      <c r="G776" s="21">
        <v>1</v>
      </c>
      <c r="H776" s="21">
        <v>1</v>
      </c>
      <c r="I776" s="28">
        <f t="shared" si="59"/>
        <v>0.004430555555555556</v>
      </c>
      <c r="J776" s="97"/>
    </row>
    <row r="777" spans="1:10" ht="12.75">
      <c r="A777" s="216"/>
      <c r="D777" s="20" t="s">
        <v>531</v>
      </c>
      <c r="E777" s="46">
        <f>1.625*11.5</f>
        <v>18.6875</v>
      </c>
      <c r="F777" s="24">
        <f>Tmbr</f>
        <v>0.00022222222222222223</v>
      </c>
      <c r="G777" s="21">
        <v>1</v>
      </c>
      <c r="H777" s="21">
        <v>1</v>
      </c>
      <c r="I777" s="28">
        <f t="shared" si="59"/>
        <v>0.004152777777777778</v>
      </c>
      <c r="J777" s="97"/>
    </row>
    <row r="778" spans="1:10" ht="12.75">
      <c r="A778" s="234"/>
      <c r="B778" s="19"/>
      <c r="C778" s="13"/>
      <c r="D778" s="7" t="s">
        <v>532</v>
      </c>
      <c r="E778" s="40">
        <f>0.0153/Steel</f>
        <v>4.496326530612245</v>
      </c>
      <c r="F778" s="25">
        <f>Steel</f>
        <v>0.0034027777777777776</v>
      </c>
      <c r="G778" s="40">
        <f>3.375+0.208+1.333</f>
        <v>4.916</v>
      </c>
      <c r="H778" s="40">
        <v>9</v>
      </c>
      <c r="I778" s="13">
        <f t="shared" si="59"/>
        <v>0.0083572</v>
      </c>
      <c r="J778" s="98">
        <f>SUM(I771:I778)</f>
        <v>0.07276728838383838</v>
      </c>
    </row>
    <row r="779" spans="1:10" ht="12.75">
      <c r="A779" s="219" t="s">
        <v>245</v>
      </c>
      <c r="B779" s="27" t="s">
        <v>246</v>
      </c>
      <c r="C779" s="20" t="s">
        <v>191</v>
      </c>
      <c r="D779" s="11" t="s">
        <v>533</v>
      </c>
      <c r="E779" s="21">
        <f>14*6</f>
        <v>84</v>
      </c>
      <c r="F779" s="24">
        <f>Conc</f>
        <v>0.0010416666666666667</v>
      </c>
      <c r="G779" s="21">
        <v>1</v>
      </c>
      <c r="H779" s="21">
        <v>1</v>
      </c>
      <c r="I779" s="45">
        <f t="shared" si="59"/>
        <v>0.0875</v>
      </c>
      <c r="J779" s="97"/>
    </row>
    <row r="780" spans="1:10" ht="12.75">
      <c r="A780" s="216"/>
      <c r="D780" s="11" t="s">
        <v>534</v>
      </c>
      <c r="E780" s="21">
        <f>7.5*3.625</f>
        <v>27.1875</v>
      </c>
      <c r="F780" s="24">
        <f>Tmbr</f>
        <v>0.00022222222222222223</v>
      </c>
      <c r="G780" s="21">
        <f>2+4.125/12</f>
        <v>2.34375</v>
      </c>
      <c r="H780" s="21">
        <v>1</v>
      </c>
      <c r="I780" s="28">
        <f t="shared" si="59"/>
        <v>0.01416015625</v>
      </c>
      <c r="J780" s="97"/>
    </row>
    <row r="781" spans="1:10" ht="12.75">
      <c r="A781" s="216"/>
      <c r="D781" s="11" t="s">
        <v>535</v>
      </c>
      <c r="E781" s="21">
        <f>14*6</f>
        <v>84</v>
      </c>
      <c r="F781" s="24">
        <v>0.0010416666666666667</v>
      </c>
      <c r="G781" s="21">
        <v>1</v>
      </c>
      <c r="H781" s="21">
        <v>1</v>
      </c>
      <c r="I781" s="28">
        <f t="shared" si="59"/>
        <v>0.0875</v>
      </c>
      <c r="J781" s="97"/>
    </row>
    <row r="782" spans="1:10" ht="12.75">
      <c r="A782" s="216"/>
      <c r="D782" s="11" t="s">
        <v>536</v>
      </c>
      <c r="E782" s="21">
        <f>13*10</f>
        <v>130</v>
      </c>
      <c r="F782" s="24">
        <f>+Conc</f>
        <v>0.0010416666666666667</v>
      </c>
      <c r="G782" s="21">
        <f>2+4.125/12</f>
        <v>2.34375</v>
      </c>
      <c r="H782" s="21">
        <v>17</v>
      </c>
      <c r="I782" s="28">
        <f t="shared" si="59"/>
        <v>0.018669577205882353</v>
      </c>
      <c r="J782" s="97"/>
    </row>
    <row r="783" spans="1:10" ht="12.75">
      <c r="A783" s="216"/>
      <c r="D783" s="11" t="s">
        <v>537</v>
      </c>
      <c r="E783" s="21">
        <f>17*25</f>
        <v>425</v>
      </c>
      <c r="F783" s="24">
        <f>+Conc</f>
        <v>0.0010416666666666667</v>
      </c>
      <c r="G783" s="21">
        <v>3.417</v>
      </c>
      <c r="H783" s="21">
        <v>17</v>
      </c>
      <c r="I783" s="28">
        <f>E783*F783*G783/H783</f>
        <v>0.088984375</v>
      </c>
      <c r="J783" s="97">
        <f>SUM(I779:I783)</f>
        <v>0.29681410845588235</v>
      </c>
    </row>
    <row r="784" spans="1:10" ht="12.75">
      <c r="A784" s="233" t="s">
        <v>247</v>
      </c>
      <c r="B784" s="82" t="s">
        <v>248</v>
      </c>
      <c r="C784" s="45"/>
      <c r="D784" s="42" t="s">
        <v>538</v>
      </c>
      <c r="E784" s="43">
        <f>2*5.5*5.5</f>
        <v>60.5</v>
      </c>
      <c r="F784" s="44">
        <f>Tmbr</f>
        <v>0.00022222222222222223</v>
      </c>
      <c r="G784" s="43">
        <v>1</v>
      </c>
      <c r="H784" s="43">
        <v>1</v>
      </c>
      <c r="I784" s="45">
        <f t="shared" si="59"/>
        <v>0.013444444444444445</v>
      </c>
      <c r="J784" s="99"/>
    </row>
    <row r="785" spans="1:10" ht="12.75">
      <c r="A785" s="216"/>
      <c r="D785" s="20" t="s">
        <v>539</v>
      </c>
      <c r="E785" s="46">
        <f>5*2.625^2</f>
        <v>34.453125</v>
      </c>
      <c r="F785" s="24">
        <f>Tmbr</f>
        <v>0.00022222222222222223</v>
      </c>
      <c r="G785" s="21">
        <f>0.5+2*2.625*1.414</f>
        <v>7.9235</v>
      </c>
      <c r="H785" s="21">
        <v>8</v>
      </c>
      <c r="I785" s="28">
        <f t="shared" si="59"/>
        <v>0.007583037109375</v>
      </c>
      <c r="J785" s="97"/>
    </row>
    <row r="786" spans="1:10" ht="12.75">
      <c r="A786" s="216"/>
      <c r="D786" s="20" t="s">
        <v>540</v>
      </c>
      <c r="E786" s="46">
        <f>18*12</f>
        <v>216</v>
      </c>
      <c r="F786" s="24">
        <f aca="true" t="shared" si="60" ref="F786:F827">Conc</f>
        <v>0.0010416666666666667</v>
      </c>
      <c r="G786" s="21">
        <f>3.667-0.917</f>
        <v>2.75</v>
      </c>
      <c r="H786" s="21">
        <v>8</v>
      </c>
      <c r="I786" s="28">
        <f t="shared" si="59"/>
        <v>0.07734375</v>
      </c>
      <c r="J786" s="97"/>
    </row>
    <row r="787" spans="1:10" ht="12.75">
      <c r="A787" s="234"/>
      <c r="B787" s="19"/>
      <c r="C787" s="13"/>
      <c r="D787" s="9" t="s">
        <v>541</v>
      </c>
      <c r="E787" s="40">
        <f>18*11</f>
        <v>198</v>
      </c>
      <c r="F787" s="25">
        <f t="shared" si="60"/>
        <v>0.0010416666666666667</v>
      </c>
      <c r="G787" s="40">
        <v>1</v>
      </c>
      <c r="H787" s="40">
        <v>1</v>
      </c>
      <c r="I787" s="13">
        <f t="shared" si="59"/>
        <v>0.20625</v>
      </c>
      <c r="J787" s="98">
        <f>SUM(I784:I787)</f>
        <v>0.3046212315538194</v>
      </c>
    </row>
    <row r="788" spans="1:10" ht="12.75">
      <c r="A788" s="219" t="s">
        <v>249</v>
      </c>
      <c r="B788" s="35" t="s">
        <v>250</v>
      </c>
      <c r="C788" s="20" t="s">
        <v>139</v>
      </c>
      <c r="D788" s="11" t="s">
        <v>513</v>
      </c>
      <c r="E788" s="21">
        <f>13*6.5-2*(6.5*1/2+0.5*1+PI()*1^2/4+2.5*1)</f>
        <v>70.42920367320511</v>
      </c>
      <c r="F788" s="24">
        <f t="shared" si="60"/>
        <v>0.0010416666666666667</v>
      </c>
      <c r="G788" s="21">
        <v>1</v>
      </c>
      <c r="H788" s="21">
        <v>1</v>
      </c>
      <c r="I788" s="28">
        <f>(E788*F788*G788/H788)*(15-1.75)/15</f>
        <v>0.0648046492131922</v>
      </c>
      <c r="J788" s="97"/>
    </row>
    <row r="789" spans="1:10" ht="12.75">
      <c r="A789" s="216"/>
      <c r="B789" s="35"/>
      <c r="C789" s="20"/>
      <c r="D789" s="20" t="s">
        <v>542</v>
      </c>
      <c r="E789" s="21">
        <f>5*1.5</f>
        <v>7.5</v>
      </c>
      <c r="F789" s="24">
        <f t="shared" si="60"/>
        <v>0.0010416666666666667</v>
      </c>
      <c r="G789" s="21">
        <v>1</v>
      </c>
      <c r="H789" s="21">
        <v>1</v>
      </c>
      <c r="I789" s="28">
        <f>(E789*F789*G789/H789)*(15-1.75)/15</f>
        <v>0.0069010416666666664</v>
      </c>
      <c r="J789" s="97"/>
    </row>
    <row r="790" spans="1:10" ht="12.75">
      <c r="A790" s="216"/>
      <c r="D790" s="20" t="s">
        <v>543</v>
      </c>
      <c r="E790" s="21">
        <f>5^2</f>
        <v>25</v>
      </c>
      <c r="F790" s="24">
        <f t="shared" si="60"/>
        <v>0.0010416666666666667</v>
      </c>
      <c r="G790" s="21">
        <f>3.25-0.917-0.542</f>
        <v>1.7910000000000001</v>
      </c>
      <c r="H790" s="21">
        <f>1.417</f>
        <v>1.417</v>
      </c>
      <c r="I790" s="28">
        <f>(E790*F790*G790/H790)*(15-1.75)/15</f>
        <v>0.029074960303458013</v>
      </c>
      <c r="J790" s="97"/>
    </row>
    <row r="791" spans="1:10" ht="12.75">
      <c r="A791" s="216"/>
      <c r="D791" s="20" t="s">
        <v>544</v>
      </c>
      <c r="E791" s="21">
        <f>7^2-5^2</f>
        <v>24</v>
      </c>
      <c r="F791" s="24">
        <f t="shared" si="60"/>
        <v>0.0010416666666666667</v>
      </c>
      <c r="G791" s="21">
        <v>0.167</v>
      </c>
      <c r="H791" s="21">
        <f>1.417</f>
        <v>1.417</v>
      </c>
      <c r="I791" s="28">
        <f>(E791*F791*G791/H791)*(15-1.75)/15</f>
        <v>0.0026026229122559407</v>
      </c>
      <c r="J791" s="97"/>
    </row>
    <row r="792" spans="1:10" ht="12.75">
      <c r="A792" s="216"/>
      <c r="D792" s="20" t="s">
        <v>545</v>
      </c>
      <c r="E792" s="21">
        <f>5*(17-5)/2</f>
        <v>30</v>
      </c>
      <c r="F792" s="24">
        <f t="shared" si="60"/>
        <v>0.0010416666666666667</v>
      </c>
      <c r="G792" s="21">
        <v>0.5</v>
      </c>
      <c r="H792" s="21">
        <f>1.417</f>
        <v>1.417</v>
      </c>
      <c r="I792" s="28">
        <f>(E792*F792*G792/H792)*(15-1.75)/15</f>
        <v>0.009740355210538697</v>
      </c>
      <c r="J792" s="97"/>
    </row>
    <row r="793" spans="1:10" ht="12.75">
      <c r="A793" s="216"/>
      <c r="D793" s="20" t="s">
        <v>386</v>
      </c>
      <c r="E793" s="21">
        <f>20*11</f>
        <v>220</v>
      </c>
      <c r="F793" s="24">
        <f t="shared" si="60"/>
        <v>0.0010416666666666667</v>
      </c>
      <c r="G793" s="21">
        <v>1</v>
      </c>
      <c r="H793" s="21">
        <v>1</v>
      </c>
      <c r="I793" s="28">
        <f>E793*F793*G793/H793</f>
        <v>0.22916666666666666</v>
      </c>
      <c r="J793" s="97"/>
    </row>
    <row r="794" spans="1:10" ht="12.75">
      <c r="A794" s="234"/>
      <c r="B794" s="19"/>
      <c r="C794" s="13"/>
      <c r="D794" s="7" t="s">
        <v>523</v>
      </c>
      <c r="E794" s="40">
        <f>14*21</f>
        <v>294</v>
      </c>
      <c r="F794" s="25">
        <f t="shared" si="60"/>
        <v>0.0010416666666666667</v>
      </c>
      <c r="G794" s="40">
        <f>3.563-0.917</f>
        <v>2.646</v>
      </c>
      <c r="H794" s="40">
        <v>15</v>
      </c>
      <c r="I794" s="13">
        <f>E794*F794*G794/H794</f>
        <v>0.0540225</v>
      </c>
      <c r="J794" s="98">
        <f>SUM(I788:I794)</f>
        <v>0.39631279597277813</v>
      </c>
    </row>
    <row r="795" spans="1:10" ht="12.75">
      <c r="A795" s="219" t="s">
        <v>251</v>
      </c>
      <c r="B795" s="35" t="s">
        <v>252</v>
      </c>
      <c r="C795" s="20" t="s">
        <v>191</v>
      </c>
      <c r="D795" s="11" t="s">
        <v>513</v>
      </c>
      <c r="E795" s="21">
        <f>13*7.5-2*(6.5*1.5/2+PI()*1.5^2/4+2.5*1)</f>
        <v>79.21570826471148</v>
      </c>
      <c r="F795" s="24">
        <f t="shared" si="60"/>
        <v>0.0010416666666666667</v>
      </c>
      <c r="G795" s="21">
        <v>1</v>
      </c>
      <c r="H795" s="21">
        <v>1</v>
      </c>
      <c r="I795" s="28">
        <f>(E795*F795*G795/H795)*(15-1.75)/15</f>
        <v>0.07288945378523799</v>
      </c>
      <c r="J795" s="97"/>
    </row>
    <row r="796" spans="1:10" ht="12.75">
      <c r="A796" s="216"/>
      <c r="B796" s="35"/>
      <c r="C796" s="20"/>
      <c r="D796" s="20" t="s">
        <v>546</v>
      </c>
      <c r="E796" s="21">
        <f>5*2</f>
        <v>10</v>
      </c>
      <c r="F796" s="24">
        <f t="shared" si="60"/>
        <v>0.0010416666666666667</v>
      </c>
      <c r="G796" s="21">
        <v>1</v>
      </c>
      <c r="H796" s="21">
        <v>1</v>
      </c>
      <c r="I796" s="28">
        <f>(E796*F796*G796/H796)*(15-1.75)/15</f>
        <v>0.009201388888888887</v>
      </c>
      <c r="J796" s="97"/>
    </row>
    <row r="797" spans="1:10" ht="12.75">
      <c r="A797" s="216"/>
      <c r="D797" s="20" t="s">
        <v>543</v>
      </c>
      <c r="E797" s="21">
        <f>5^2</f>
        <v>25</v>
      </c>
      <c r="F797" s="24">
        <f t="shared" si="60"/>
        <v>0.0010416666666666667</v>
      </c>
      <c r="G797" s="21">
        <f>3.25-0.5-0.625</f>
        <v>2.125</v>
      </c>
      <c r="H797" s="21">
        <f>1.417</f>
        <v>1.417</v>
      </c>
      <c r="I797" s="28">
        <f>(E797*F797*G797/H797)*(15-1.75)/15</f>
        <v>0.03449709137065789</v>
      </c>
      <c r="J797" s="97"/>
    </row>
    <row r="798" spans="1:10" ht="12.75">
      <c r="A798" s="216"/>
      <c r="D798" s="20" t="s">
        <v>544</v>
      </c>
      <c r="E798" s="21">
        <f>7^2-5^2</f>
        <v>24</v>
      </c>
      <c r="F798" s="24">
        <f t="shared" si="60"/>
        <v>0.0010416666666666667</v>
      </c>
      <c r="G798" s="21">
        <v>0.167</v>
      </c>
      <c r="H798" s="21">
        <f>1.417</f>
        <v>1.417</v>
      </c>
      <c r="I798" s="28">
        <f>(E798*F798*G798/H798)*(15-1.75)/15</f>
        <v>0.0026026229122559407</v>
      </c>
      <c r="J798" s="97"/>
    </row>
    <row r="799" spans="1:10" ht="12.75">
      <c r="A799" s="216"/>
      <c r="D799" s="20" t="s">
        <v>545</v>
      </c>
      <c r="E799" s="21">
        <f>5*(17-5)/2</f>
        <v>30</v>
      </c>
      <c r="F799" s="24">
        <f t="shared" si="60"/>
        <v>0.0010416666666666667</v>
      </c>
      <c r="G799" s="21">
        <v>0.5</v>
      </c>
      <c r="H799" s="21">
        <f>1.417</f>
        <v>1.417</v>
      </c>
      <c r="I799" s="28">
        <f>(E799*F799*G799/H799)*(15-1.75)/15</f>
        <v>0.009740355210538697</v>
      </c>
      <c r="J799" s="97"/>
    </row>
    <row r="800" spans="1:10" ht="12.75">
      <c r="A800" s="216"/>
      <c r="D800" s="20" t="s">
        <v>520</v>
      </c>
      <c r="E800" s="21">
        <f>14*6</f>
        <v>84</v>
      </c>
      <c r="F800" s="24">
        <f t="shared" si="60"/>
        <v>0.0010416666666666667</v>
      </c>
      <c r="G800" s="21">
        <v>1</v>
      </c>
      <c r="H800" s="21">
        <v>1</v>
      </c>
      <c r="I800" s="28">
        <f>E800*F800*G800/H800</f>
        <v>0.0875</v>
      </c>
      <c r="J800" s="97"/>
    </row>
    <row r="801" spans="1:10" ht="12.75">
      <c r="A801" s="234"/>
      <c r="B801" s="19"/>
      <c r="C801" s="13"/>
      <c r="D801" s="7" t="s">
        <v>523</v>
      </c>
      <c r="E801" s="40">
        <f>14*21</f>
        <v>294</v>
      </c>
      <c r="F801" s="25">
        <f t="shared" si="60"/>
        <v>0.0010416666666666667</v>
      </c>
      <c r="G801" s="40">
        <f>3.563-0.5</f>
        <v>3.063</v>
      </c>
      <c r="H801" s="40">
        <v>15</v>
      </c>
      <c r="I801" s="13">
        <f>E801*F801*G801/H801</f>
        <v>0.06253625</v>
      </c>
      <c r="J801" s="98">
        <f>SUM(I795:I801)</f>
        <v>0.2789671621675794</v>
      </c>
    </row>
    <row r="802" spans="1:10" ht="12.75">
      <c r="A802" s="219" t="s">
        <v>253</v>
      </c>
      <c r="B802" s="35" t="s">
        <v>252</v>
      </c>
      <c r="C802" s="20" t="s">
        <v>191</v>
      </c>
      <c r="D802" s="11" t="s">
        <v>513</v>
      </c>
      <c r="E802" s="21">
        <f>13*7-2*(6.5*1.5/2+PI()*1.5^2/4+3*1)</f>
        <v>71.71570826471148</v>
      </c>
      <c r="F802" s="24">
        <f t="shared" si="60"/>
        <v>0.0010416666666666667</v>
      </c>
      <c r="G802" s="21">
        <v>1</v>
      </c>
      <c r="H802" s="21">
        <v>1</v>
      </c>
      <c r="I802" s="28">
        <f>(E802*F802*G802/H802)*(15-1.75)/15</f>
        <v>0.06598841211857133</v>
      </c>
      <c r="J802" s="97"/>
    </row>
    <row r="803" spans="1:10" ht="12.75">
      <c r="A803" s="216"/>
      <c r="B803" s="35"/>
      <c r="C803" s="20"/>
      <c r="D803" s="20" t="s">
        <v>542</v>
      </c>
      <c r="E803" s="21">
        <f>5*1.5</f>
        <v>7.5</v>
      </c>
      <c r="F803" s="24">
        <f t="shared" si="60"/>
        <v>0.0010416666666666667</v>
      </c>
      <c r="G803" s="21">
        <v>1</v>
      </c>
      <c r="H803" s="21">
        <v>1</v>
      </c>
      <c r="I803" s="28">
        <f>(E803*F803*G803/H803)*(15-1.75)/15</f>
        <v>0.0069010416666666664</v>
      </c>
      <c r="J803" s="97"/>
    </row>
    <row r="804" spans="1:10" ht="12.75">
      <c r="A804" s="216"/>
      <c r="D804" s="20" t="s">
        <v>543</v>
      </c>
      <c r="E804" s="21">
        <f>5^2</f>
        <v>25</v>
      </c>
      <c r="F804" s="24">
        <f t="shared" si="60"/>
        <v>0.0010416666666666667</v>
      </c>
      <c r="G804" s="21">
        <f>3.167-0.5-0.583</f>
        <v>2.0839999999999996</v>
      </c>
      <c r="H804" s="21">
        <f>1.417</f>
        <v>1.417</v>
      </c>
      <c r="I804" s="28">
        <f>(E804*F804*G804/H804)*(15-1.75)/15</f>
        <v>0.03383150043127106</v>
      </c>
      <c r="J804" s="97"/>
    </row>
    <row r="805" spans="1:10" ht="12.75">
      <c r="A805" s="216"/>
      <c r="D805" s="20" t="s">
        <v>544</v>
      </c>
      <c r="E805" s="21">
        <f>7^2-5^2</f>
        <v>24</v>
      </c>
      <c r="F805" s="24">
        <f t="shared" si="60"/>
        <v>0.0010416666666666667</v>
      </c>
      <c r="G805" s="21">
        <v>0.167</v>
      </c>
      <c r="H805" s="21">
        <f>1.417</f>
        <v>1.417</v>
      </c>
      <c r="I805" s="28">
        <f>(E805*F805*G805/H805)*(15-1.75)/15</f>
        <v>0.0026026229122559407</v>
      </c>
      <c r="J805" s="97"/>
    </row>
    <row r="806" spans="1:10" ht="12.75">
      <c r="A806" s="216"/>
      <c r="D806" s="20" t="s">
        <v>545</v>
      </c>
      <c r="E806" s="21">
        <f>5*(17-5)/2</f>
        <v>30</v>
      </c>
      <c r="F806" s="24">
        <f t="shared" si="60"/>
        <v>0.0010416666666666667</v>
      </c>
      <c r="G806" s="21">
        <v>0.5</v>
      </c>
      <c r="H806" s="21">
        <f>1.417</f>
        <v>1.417</v>
      </c>
      <c r="I806" s="28">
        <f>(E806*F806*G806/H806)*(15-1.75)/15</f>
        <v>0.009740355210538697</v>
      </c>
      <c r="J806" s="97"/>
    </row>
    <row r="807" spans="1:10" ht="12.75">
      <c r="A807" s="216"/>
      <c r="D807" s="20" t="s">
        <v>520</v>
      </c>
      <c r="E807" s="21">
        <f>14*6</f>
        <v>84</v>
      </c>
      <c r="F807" s="24">
        <f t="shared" si="60"/>
        <v>0.0010416666666666667</v>
      </c>
      <c r="G807" s="21">
        <v>1</v>
      </c>
      <c r="H807" s="21">
        <v>1</v>
      </c>
      <c r="I807" s="28">
        <f>E807*F807*G807/H807</f>
        <v>0.0875</v>
      </c>
      <c r="J807" s="97"/>
    </row>
    <row r="808" spans="1:10" ht="12.75">
      <c r="A808" s="234"/>
      <c r="B808" s="19"/>
      <c r="C808" s="13"/>
      <c r="D808" s="7" t="s">
        <v>523</v>
      </c>
      <c r="E808" s="40">
        <f>14*21</f>
        <v>294</v>
      </c>
      <c r="F808" s="25">
        <f t="shared" si="60"/>
        <v>0.0010416666666666667</v>
      </c>
      <c r="G808" s="40">
        <f>3.563-0.5</f>
        <v>3.063</v>
      </c>
      <c r="H808" s="40">
        <v>15</v>
      </c>
      <c r="I808" s="13">
        <f>E808*F808*G808/H808</f>
        <v>0.06253625</v>
      </c>
      <c r="J808" s="98">
        <f>SUM(I802:I808)</f>
        <v>0.26910018233930366</v>
      </c>
    </row>
    <row r="809" spans="1:10" ht="12.75">
      <c r="A809" s="219" t="s">
        <v>254</v>
      </c>
      <c r="B809" s="35" t="s">
        <v>255</v>
      </c>
      <c r="C809" s="20" t="s">
        <v>191</v>
      </c>
      <c r="D809" s="11" t="s">
        <v>513</v>
      </c>
      <c r="E809" s="21">
        <f>12*6.5-2*(6*1/2+1.75*2)</f>
        <v>65</v>
      </c>
      <c r="F809" s="24">
        <f t="shared" si="60"/>
        <v>0.0010416666666666667</v>
      </c>
      <c r="G809" s="21">
        <v>1</v>
      </c>
      <c r="H809" s="21">
        <v>1</v>
      </c>
      <c r="I809" s="28">
        <f>(E809*F809*G809/H809)*(15-1.75)/15</f>
        <v>0.05980902777777777</v>
      </c>
      <c r="J809" s="97"/>
    </row>
    <row r="810" spans="1:10" ht="12.75">
      <c r="A810" s="216"/>
      <c r="B810" s="35"/>
      <c r="C810" s="20"/>
      <c r="D810" s="20" t="s">
        <v>546</v>
      </c>
      <c r="E810" s="21">
        <f>5*2</f>
        <v>10</v>
      </c>
      <c r="F810" s="24">
        <f t="shared" si="60"/>
        <v>0.0010416666666666667</v>
      </c>
      <c r="G810" s="21">
        <v>1</v>
      </c>
      <c r="H810" s="21">
        <v>1</v>
      </c>
      <c r="I810" s="28">
        <f>(E810*F810*G810/H810)*(15-1.75)/15</f>
        <v>0.009201388888888887</v>
      </c>
      <c r="J810" s="97"/>
    </row>
    <row r="811" spans="1:10" ht="12.75">
      <c r="A811" s="216"/>
      <c r="D811" s="20" t="s">
        <v>543</v>
      </c>
      <c r="E811" s="21">
        <f>5^2</f>
        <v>25</v>
      </c>
      <c r="F811" s="24">
        <f t="shared" si="60"/>
        <v>0.0010416666666666667</v>
      </c>
      <c r="G811" s="21">
        <f>3.167-0.5-0.542</f>
        <v>2.125</v>
      </c>
      <c r="H811" s="21">
        <f>1.417</f>
        <v>1.417</v>
      </c>
      <c r="I811" s="28">
        <f>(E811*F811*G811/H811)*(15-1.75)/15</f>
        <v>0.03449709137065789</v>
      </c>
      <c r="J811" s="97"/>
    </row>
    <row r="812" spans="1:10" ht="12.75">
      <c r="A812" s="216"/>
      <c r="D812" s="20" t="s">
        <v>544</v>
      </c>
      <c r="E812" s="21">
        <f>7^2-5^2</f>
        <v>24</v>
      </c>
      <c r="F812" s="24">
        <f t="shared" si="60"/>
        <v>0.0010416666666666667</v>
      </c>
      <c r="G812" s="21">
        <v>0.167</v>
      </c>
      <c r="H812" s="21">
        <f>1.417</f>
        <v>1.417</v>
      </c>
      <c r="I812" s="28">
        <f>(E812*F812*G812/H812)*(15-1.75)/15</f>
        <v>0.0026026229122559407</v>
      </c>
      <c r="J812" s="97"/>
    </row>
    <row r="813" spans="1:10" ht="12.75">
      <c r="A813" s="216"/>
      <c r="D813" s="20" t="s">
        <v>545</v>
      </c>
      <c r="E813" s="21">
        <f>5*(17-5)/2</f>
        <v>30</v>
      </c>
      <c r="F813" s="24">
        <f t="shared" si="60"/>
        <v>0.0010416666666666667</v>
      </c>
      <c r="G813" s="21">
        <v>0.5</v>
      </c>
      <c r="H813" s="21">
        <f>1.417</f>
        <v>1.417</v>
      </c>
      <c r="I813" s="28">
        <f>(E813*F813*G813/H813)*(15-1.75)/15</f>
        <v>0.009740355210538697</v>
      </c>
      <c r="J813" s="97"/>
    </row>
    <row r="814" spans="1:10" ht="12.75">
      <c r="A814" s="216"/>
      <c r="D814" s="20" t="s">
        <v>520</v>
      </c>
      <c r="E814" s="21">
        <f>14*6</f>
        <v>84</v>
      </c>
      <c r="F814" s="24">
        <f t="shared" si="60"/>
        <v>0.0010416666666666667</v>
      </c>
      <c r="G814" s="21">
        <v>1</v>
      </c>
      <c r="H814" s="21">
        <v>1</v>
      </c>
      <c r="I814" s="28">
        <f>E814*F814*G814/H814</f>
        <v>0.0875</v>
      </c>
      <c r="J814" s="97"/>
    </row>
    <row r="815" spans="1:10" ht="12.75">
      <c r="A815" s="234"/>
      <c r="B815" s="19"/>
      <c r="C815" s="13"/>
      <c r="D815" s="7" t="s">
        <v>523</v>
      </c>
      <c r="E815" s="40">
        <f>14*21</f>
        <v>294</v>
      </c>
      <c r="F815" s="25">
        <f t="shared" si="60"/>
        <v>0.0010416666666666667</v>
      </c>
      <c r="G815" s="40">
        <f>3.458-0.5</f>
        <v>2.958</v>
      </c>
      <c r="H815" s="40">
        <v>15</v>
      </c>
      <c r="I815" s="13">
        <f>E815*F815*G815/H815</f>
        <v>0.0603925</v>
      </c>
      <c r="J815" s="98">
        <f>SUM(I809:I815)</f>
        <v>0.26374298616011915</v>
      </c>
    </row>
    <row r="816" spans="1:10" ht="12.75">
      <c r="A816" s="219" t="s">
        <v>256</v>
      </c>
      <c r="B816" s="35" t="s">
        <v>257</v>
      </c>
      <c r="C816" s="20" t="s">
        <v>139</v>
      </c>
      <c r="D816" s="11" t="s">
        <v>513</v>
      </c>
      <c r="E816" s="21">
        <f>12*6.5-2*(6*1/2+1.75*2)</f>
        <v>65</v>
      </c>
      <c r="F816" s="24">
        <f t="shared" si="60"/>
        <v>0.0010416666666666667</v>
      </c>
      <c r="G816" s="21">
        <v>1</v>
      </c>
      <c r="H816" s="21">
        <v>1</v>
      </c>
      <c r="I816" s="28">
        <f>(E816*F816*G816/H816)*(15-1.75)/15</f>
        <v>0.05980902777777777</v>
      </c>
      <c r="J816" s="97"/>
    </row>
    <row r="817" spans="1:10" ht="12.75">
      <c r="A817" s="216"/>
      <c r="B817" s="35"/>
      <c r="C817" s="20"/>
      <c r="D817" s="20" t="s">
        <v>546</v>
      </c>
      <c r="E817" s="21">
        <f>5*2</f>
        <v>10</v>
      </c>
      <c r="F817" s="24">
        <f t="shared" si="60"/>
        <v>0.0010416666666666667</v>
      </c>
      <c r="G817" s="21">
        <v>1</v>
      </c>
      <c r="H817" s="21">
        <v>1</v>
      </c>
      <c r="I817" s="28">
        <f>(E817*F817*G817/H817)*(15-1.75)/15</f>
        <v>0.009201388888888887</v>
      </c>
      <c r="J817" s="97"/>
    </row>
    <row r="818" spans="1:10" ht="12.75">
      <c r="A818" s="216"/>
      <c r="D818" s="20" t="s">
        <v>543</v>
      </c>
      <c r="E818" s="21">
        <f>5^2</f>
        <v>25</v>
      </c>
      <c r="F818" s="24">
        <f t="shared" si="60"/>
        <v>0.0010416666666666667</v>
      </c>
      <c r="G818" s="21">
        <f>3.167-0.917-0.542</f>
        <v>1.708</v>
      </c>
      <c r="H818" s="21">
        <f>1.417</f>
        <v>1.417</v>
      </c>
      <c r="I818" s="28">
        <f>(E818*F818*G818/H818)*(15-1.75)/15</f>
        <v>0.02772754449933349</v>
      </c>
      <c r="J818" s="97"/>
    </row>
    <row r="819" spans="1:10" ht="12.75">
      <c r="A819" s="216"/>
      <c r="D819" s="20" t="s">
        <v>544</v>
      </c>
      <c r="E819" s="21">
        <f>7^2-5^2</f>
        <v>24</v>
      </c>
      <c r="F819" s="24">
        <f t="shared" si="60"/>
        <v>0.0010416666666666667</v>
      </c>
      <c r="G819" s="21">
        <v>0.167</v>
      </c>
      <c r="H819" s="21">
        <f>1.417</f>
        <v>1.417</v>
      </c>
      <c r="I819" s="28">
        <f>(E819*F819*G819/H819)*(15-1.75)/15</f>
        <v>0.0026026229122559407</v>
      </c>
      <c r="J819" s="97"/>
    </row>
    <row r="820" spans="1:10" ht="12.75">
      <c r="A820" s="216"/>
      <c r="D820" s="20" t="s">
        <v>545</v>
      </c>
      <c r="E820" s="21">
        <f>5*(17-5)/2</f>
        <v>30</v>
      </c>
      <c r="F820" s="24">
        <f t="shared" si="60"/>
        <v>0.0010416666666666667</v>
      </c>
      <c r="G820" s="21">
        <v>0.5</v>
      </c>
      <c r="H820" s="21">
        <f>1.417</f>
        <v>1.417</v>
      </c>
      <c r="I820" s="28">
        <f>(E820*F820*G820/H820)*(15-1.75)/15</f>
        <v>0.009740355210538697</v>
      </c>
      <c r="J820" s="97"/>
    </row>
    <row r="821" spans="1:10" ht="12.75">
      <c r="A821" s="216"/>
      <c r="D821" s="20" t="s">
        <v>386</v>
      </c>
      <c r="E821" s="21">
        <f>20*11</f>
        <v>220</v>
      </c>
      <c r="F821" s="24">
        <f t="shared" si="60"/>
        <v>0.0010416666666666667</v>
      </c>
      <c r="G821" s="21">
        <v>1</v>
      </c>
      <c r="H821" s="21">
        <v>1</v>
      </c>
      <c r="I821" s="28">
        <f aca="true" t="shared" si="61" ref="I821:I827">E821*F821*G821/H821</f>
        <v>0.22916666666666666</v>
      </c>
      <c r="J821" s="97"/>
    </row>
    <row r="822" spans="1:10" ht="12.75">
      <c r="A822" s="234"/>
      <c r="B822" s="19"/>
      <c r="C822" s="13"/>
      <c r="D822" s="7" t="s">
        <v>523</v>
      </c>
      <c r="E822" s="40">
        <f>14*21</f>
        <v>294</v>
      </c>
      <c r="F822" s="25">
        <f t="shared" si="60"/>
        <v>0.0010416666666666667</v>
      </c>
      <c r="G822" s="40">
        <f>3.458-0.917</f>
        <v>2.5410000000000004</v>
      </c>
      <c r="H822" s="40">
        <v>15</v>
      </c>
      <c r="I822" s="13">
        <f t="shared" si="61"/>
        <v>0.05187875000000001</v>
      </c>
      <c r="J822" s="98">
        <f>SUM(I816:I822)</f>
        <v>0.39012635595546147</v>
      </c>
    </row>
    <row r="823" spans="1:10" ht="12.75">
      <c r="A823" s="219" t="s">
        <v>258</v>
      </c>
      <c r="B823" s="35" t="s">
        <v>259</v>
      </c>
      <c r="C823" s="20"/>
      <c r="D823" s="11" t="s">
        <v>513</v>
      </c>
      <c r="E823" s="21">
        <f>11*5.5-2*5.5*1/2</f>
        <v>55</v>
      </c>
      <c r="F823" s="24">
        <f t="shared" si="60"/>
        <v>0.0010416666666666667</v>
      </c>
      <c r="G823" s="21">
        <v>1</v>
      </c>
      <c r="H823" s="21">
        <v>1</v>
      </c>
      <c r="I823" s="28">
        <f t="shared" si="61"/>
        <v>0.057291666666666664</v>
      </c>
      <c r="J823" s="97"/>
    </row>
    <row r="824" spans="1:10" ht="12.75">
      <c r="A824" s="216"/>
      <c r="D824" s="20" t="s">
        <v>547</v>
      </c>
      <c r="E824" s="21">
        <f>4.5*2.375</f>
        <v>10.6875</v>
      </c>
      <c r="F824" s="24">
        <f t="shared" si="60"/>
        <v>0.0010416666666666667</v>
      </c>
      <c r="G824" s="21">
        <v>1</v>
      </c>
      <c r="H824" s="21">
        <v>1</v>
      </c>
      <c r="I824" s="28">
        <f t="shared" si="61"/>
        <v>0.0111328125</v>
      </c>
      <c r="J824" s="97"/>
    </row>
    <row r="825" spans="1:10" ht="12.75">
      <c r="A825" s="216"/>
      <c r="D825" s="20" t="s">
        <v>548</v>
      </c>
      <c r="E825" s="21">
        <f>-4.5*6</f>
        <v>-27</v>
      </c>
      <c r="F825" s="24">
        <f t="shared" si="60"/>
        <v>0.0010416666666666667</v>
      </c>
      <c r="G825" s="21">
        <v>1.375</v>
      </c>
      <c r="H825" s="21">
        <v>1</v>
      </c>
      <c r="I825" s="28">
        <f t="shared" si="61"/>
        <v>-0.038671875</v>
      </c>
      <c r="J825" s="97"/>
    </row>
    <row r="826" spans="1:10" ht="12.75">
      <c r="A826" s="216"/>
      <c r="D826" s="20" t="s">
        <v>549</v>
      </c>
      <c r="E826" s="21">
        <f>19*11</f>
        <v>209</v>
      </c>
      <c r="F826" s="24">
        <f t="shared" si="60"/>
        <v>0.0010416666666666667</v>
      </c>
      <c r="G826" s="21">
        <v>1</v>
      </c>
      <c r="H826" s="21">
        <v>1</v>
      </c>
      <c r="I826" s="28">
        <f t="shared" si="61"/>
        <v>0.21770833333333334</v>
      </c>
      <c r="J826" s="97"/>
    </row>
    <row r="827" spans="1:10" ht="13.5" thickBot="1">
      <c r="A827" s="235"/>
      <c r="B827" s="236"/>
      <c r="C827" s="237"/>
      <c r="D827" s="238" t="s">
        <v>550</v>
      </c>
      <c r="E827" s="239">
        <f>15*24</f>
        <v>360</v>
      </c>
      <c r="F827" s="240">
        <f t="shared" si="60"/>
        <v>0.0010416666666666667</v>
      </c>
      <c r="G827" s="239">
        <f>3.708+0.125/2-0.917</f>
        <v>2.8535000000000004</v>
      </c>
      <c r="H827" s="239">
        <v>10</v>
      </c>
      <c r="I827" s="237">
        <f t="shared" si="61"/>
        <v>0.10700625000000001</v>
      </c>
      <c r="J827" s="241">
        <f>SUM(I823:I827)</f>
        <v>0.3544671875</v>
      </c>
    </row>
    <row r="828" spans="1:10" ht="13.5" thickTop="1">
      <c r="A828" s="216"/>
      <c r="D828" s="6"/>
      <c r="E828" s="22"/>
      <c r="F828" s="26"/>
      <c r="G828" s="22"/>
      <c r="H828" s="22"/>
      <c r="I828" s="22"/>
      <c r="J828" s="22"/>
    </row>
    <row r="829" spans="1:10" ht="12.75">
      <c r="A829" s="216"/>
      <c r="D829" s="6"/>
      <c r="E829" s="22"/>
      <c r="F829" s="26"/>
      <c r="G829" s="22"/>
      <c r="H829" s="22"/>
      <c r="I829" s="22"/>
      <c r="J829" s="22"/>
    </row>
    <row r="830" spans="1:10" ht="12.75">
      <c r="A830" s="216"/>
      <c r="D830" s="6"/>
      <c r="E830" s="22"/>
      <c r="F830" s="26"/>
      <c r="G830" s="22"/>
      <c r="H830" s="22"/>
      <c r="I830" s="22"/>
      <c r="J830" s="22"/>
    </row>
    <row r="831" spans="1:10" ht="12.75">
      <c r="A831" s="216"/>
      <c r="D831" s="6"/>
      <c r="E831" s="22"/>
      <c r="F831" s="26"/>
      <c r="G831" s="22"/>
      <c r="H831" s="22"/>
      <c r="I831" s="22"/>
      <c r="J831" s="22"/>
    </row>
    <row r="832" spans="1:10" ht="12.75">
      <c r="A832" s="216"/>
      <c r="D832" s="6"/>
      <c r="E832" s="22"/>
      <c r="F832" s="26"/>
      <c r="G832" s="22"/>
      <c r="H832" s="22"/>
      <c r="I832" s="22"/>
      <c r="J832" s="22"/>
    </row>
    <row r="833" spans="1:10" ht="12.75">
      <c r="A833" s="60"/>
      <c r="D833" s="6"/>
      <c r="E833" s="22"/>
      <c r="F833" s="26"/>
      <c r="G833" s="22"/>
      <c r="H833" s="22"/>
      <c r="I833" s="22"/>
      <c r="J833" s="22"/>
    </row>
    <row r="834" spans="1:10" ht="12.75">
      <c r="A834" s="60"/>
      <c r="E834" s="22"/>
      <c r="F834" s="26"/>
      <c r="G834" s="22"/>
      <c r="H834" s="22"/>
      <c r="I834" s="22"/>
      <c r="J834" s="22"/>
    </row>
    <row r="835" spans="1:10" ht="12.75">
      <c r="A835" s="60"/>
      <c r="E835" s="22"/>
      <c r="F835" s="26"/>
      <c r="G835" s="22"/>
      <c r="H835" s="22"/>
      <c r="I835" s="22"/>
      <c r="J835" s="22"/>
    </row>
    <row r="836" spans="1:10" ht="12.75">
      <c r="A836" s="60"/>
      <c r="E836" s="22"/>
      <c r="F836" s="26"/>
      <c r="G836" s="22"/>
      <c r="H836" s="22"/>
      <c r="I836" s="22"/>
      <c r="J836" s="22"/>
    </row>
    <row r="837" spans="1:10" ht="12.75">
      <c r="A837" s="60"/>
      <c r="E837" s="22"/>
      <c r="F837" s="26"/>
      <c r="G837" s="22"/>
      <c r="H837" s="22"/>
      <c r="I837" s="22"/>
      <c r="J837" s="22"/>
    </row>
    <row r="838" spans="1:10" ht="12.75">
      <c r="A838" s="60"/>
      <c r="E838" s="22"/>
      <c r="F838" s="26"/>
      <c r="G838" s="22"/>
      <c r="H838" s="22"/>
      <c r="I838" s="22"/>
      <c r="J838" s="22"/>
    </row>
    <row r="839" spans="1:10" ht="12.75">
      <c r="A839" s="60"/>
      <c r="E839" s="22"/>
      <c r="F839" s="26"/>
      <c r="G839" s="22"/>
      <c r="H839" s="22"/>
      <c r="I839" s="22"/>
      <c r="J839" s="22"/>
    </row>
    <row r="840" spans="1:10" ht="12.75">
      <c r="A840" s="60"/>
      <c r="E840" s="22"/>
      <c r="F840" s="26"/>
      <c r="G840" s="22"/>
      <c r="H840" s="22"/>
      <c r="I840" s="22"/>
      <c r="J840" s="22"/>
    </row>
    <row r="841" spans="1:10" ht="12.75">
      <c r="A841" s="60"/>
      <c r="E841" s="22"/>
      <c r="F841" s="26"/>
      <c r="G841" s="22"/>
      <c r="H841" s="22"/>
      <c r="I841" s="22"/>
      <c r="J841" s="22"/>
    </row>
    <row r="842" spans="1:10" ht="12.75">
      <c r="A842" s="60"/>
      <c r="E842" s="22"/>
      <c r="F842" s="26"/>
      <c r="G842" s="22"/>
      <c r="H842" s="22"/>
      <c r="I842" s="22"/>
      <c r="J842" s="22"/>
    </row>
    <row r="843" spans="1:10" ht="12.75">
      <c r="A843" s="60"/>
      <c r="E843" s="22"/>
      <c r="F843" s="26"/>
      <c r="G843" s="22"/>
      <c r="H843" s="22"/>
      <c r="I843" s="22"/>
      <c r="J843" s="22"/>
    </row>
    <row r="844" spans="1:10" ht="12.75">
      <c r="A844" s="60"/>
      <c r="E844" s="22"/>
      <c r="F844" s="26"/>
      <c r="G844" s="22"/>
      <c r="H844" s="22"/>
      <c r="I844" s="22"/>
      <c r="J844" s="22"/>
    </row>
    <row r="845" spans="1:10" ht="12.75">
      <c r="A845" s="60"/>
      <c r="E845" s="22"/>
      <c r="F845" s="26"/>
      <c r="G845" s="22"/>
      <c r="H845" s="22"/>
      <c r="I845" s="22"/>
      <c r="J845" s="22"/>
    </row>
    <row r="846" spans="1:10" ht="12.75">
      <c r="A846" s="60"/>
      <c r="E846" s="22"/>
      <c r="F846" s="26"/>
      <c r="G846" s="22"/>
      <c r="H846" s="22"/>
      <c r="I846" s="22"/>
      <c r="J846" s="22"/>
    </row>
    <row r="847" spans="1:10" ht="12.75">
      <c r="A847" s="60"/>
      <c r="E847" s="22"/>
      <c r="F847" s="26"/>
      <c r="G847" s="22"/>
      <c r="H847" s="22"/>
      <c r="I847" s="22"/>
      <c r="J847" s="22"/>
    </row>
    <row r="848" spans="1:10" ht="12.75">
      <c r="A848" s="60"/>
      <c r="E848" s="22"/>
      <c r="F848" s="26"/>
      <c r="G848" s="22"/>
      <c r="H848" s="22"/>
      <c r="I848" s="22"/>
      <c r="J848" s="22"/>
    </row>
    <row r="849" spans="1:10" ht="12.75">
      <c r="A849" s="60"/>
      <c r="E849" s="22"/>
      <c r="F849" s="26"/>
      <c r="G849" s="22"/>
      <c r="H849" s="22"/>
      <c r="I849" s="22"/>
      <c r="J849" s="22"/>
    </row>
    <row r="850" spans="1:10" ht="12.75">
      <c r="A850" s="60"/>
      <c r="E850" s="22"/>
      <c r="F850" s="26"/>
      <c r="G850" s="22"/>
      <c r="H850" s="22"/>
      <c r="I850" s="22"/>
      <c r="J850" s="22"/>
    </row>
    <row r="851" spans="1:10" ht="12.75">
      <c r="A851" s="60"/>
      <c r="E851" s="22"/>
      <c r="F851" s="26"/>
      <c r="G851" s="22"/>
      <c r="H851" s="22"/>
      <c r="I851" s="22"/>
      <c r="J851" s="22"/>
    </row>
    <row r="852" spans="1:10" ht="12.75">
      <c r="A852" s="60"/>
      <c r="E852" s="22"/>
      <c r="F852" s="26"/>
      <c r="G852" s="22"/>
      <c r="H852" s="22"/>
      <c r="I852" s="22"/>
      <c r="J852" s="22"/>
    </row>
    <row r="853" spans="1:10" ht="12.75">
      <c r="A853" s="60"/>
      <c r="E853" s="22"/>
      <c r="F853" s="26"/>
      <c r="G853" s="22"/>
      <c r="H853" s="22"/>
      <c r="I853" s="22"/>
      <c r="J853" s="22"/>
    </row>
    <row r="854" spans="1:10" ht="12.75">
      <c r="A854" s="60"/>
      <c r="E854" s="22"/>
      <c r="F854" s="26"/>
      <c r="G854" s="22"/>
      <c r="H854" s="22"/>
      <c r="I854" s="22"/>
      <c r="J854" s="22"/>
    </row>
    <row r="855" spans="1:10" ht="12.75">
      <c r="A855" s="60"/>
      <c r="E855" s="22"/>
      <c r="F855" s="26"/>
      <c r="G855" s="22"/>
      <c r="H855" s="22"/>
      <c r="I855" s="22"/>
      <c r="J855" s="22"/>
    </row>
    <row r="856" spans="1:10" ht="12.75">
      <c r="A856" s="60"/>
      <c r="E856" s="22"/>
      <c r="F856" s="26"/>
      <c r="G856" s="22"/>
      <c r="H856" s="22"/>
      <c r="I856" s="22"/>
      <c r="J856" s="22"/>
    </row>
    <row r="857" spans="1:10" ht="12.75">
      <c r="A857" s="60"/>
      <c r="E857" s="22"/>
      <c r="F857" s="26"/>
      <c r="G857" s="22"/>
      <c r="H857" s="22"/>
      <c r="I857" s="22"/>
      <c r="J857" s="22"/>
    </row>
    <row r="858" spans="1:10" ht="12.75">
      <c r="A858" s="60"/>
      <c r="E858" s="22"/>
      <c r="F858" s="26"/>
      <c r="G858" s="22"/>
      <c r="H858" s="22"/>
      <c r="I858" s="22"/>
      <c r="J858" s="22"/>
    </row>
    <row r="859" spans="1:10" ht="12.75">
      <c r="A859" s="60"/>
      <c r="E859" s="22"/>
      <c r="F859" s="26"/>
      <c r="G859" s="22"/>
      <c r="H859" s="22"/>
      <c r="I859" s="22"/>
      <c r="J859" s="22"/>
    </row>
    <row r="860" spans="1:10" ht="12.75">
      <c r="A860" s="60"/>
      <c r="E860" s="22"/>
      <c r="F860" s="26"/>
      <c r="G860" s="22"/>
      <c r="H860" s="22"/>
      <c r="I860" s="22"/>
      <c r="J860" s="22"/>
    </row>
    <row r="861" spans="1:10" ht="12.75">
      <c r="A861" s="60"/>
      <c r="E861" s="22"/>
      <c r="F861" s="26"/>
      <c r="G861" s="22"/>
      <c r="H861" s="22"/>
      <c r="I861" s="22"/>
      <c r="J861" s="22"/>
    </row>
    <row r="862" spans="1:10" ht="12.75">
      <c r="A862" s="60"/>
      <c r="E862" s="22"/>
      <c r="F862" s="26"/>
      <c r="G862" s="22"/>
      <c r="H862" s="22"/>
      <c r="I862" s="22"/>
      <c r="J862" s="22"/>
    </row>
    <row r="863" spans="1:10" ht="12.75">
      <c r="A863" s="60"/>
      <c r="E863" s="22"/>
      <c r="F863" s="26"/>
      <c r="G863" s="22"/>
      <c r="H863" s="22"/>
      <c r="I863" s="22"/>
      <c r="J863" s="22"/>
    </row>
    <row r="864" spans="1:10" ht="12.75">
      <c r="A864" s="60"/>
      <c r="E864" s="22"/>
      <c r="F864" s="26"/>
      <c r="G864" s="22"/>
      <c r="H864" s="22"/>
      <c r="I864" s="22"/>
      <c r="J864" s="22"/>
    </row>
    <row r="865" spans="1:10" ht="12.75">
      <c r="A865" s="60"/>
      <c r="E865" s="22"/>
      <c r="F865" s="26"/>
      <c r="G865" s="22"/>
      <c r="H865" s="22"/>
      <c r="I865" s="22"/>
      <c r="J865" s="22"/>
    </row>
    <row r="866" spans="1:10" ht="12.75">
      <c r="A866" s="60"/>
      <c r="E866" s="22"/>
      <c r="F866" s="26"/>
      <c r="G866" s="22"/>
      <c r="H866" s="22"/>
      <c r="I866" s="22"/>
      <c r="J866" s="22"/>
    </row>
    <row r="867" spans="1:10" ht="12.75">
      <c r="A867" s="60"/>
      <c r="E867" s="22"/>
      <c r="F867" s="26"/>
      <c r="G867" s="22"/>
      <c r="H867" s="22"/>
      <c r="I867" s="22"/>
      <c r="J867" s="22"/>
    </row>
    <row r="868" spans="1:10" ht="12.75">
      <c r="A868" s="60"/>
      <c r="E868" s="22"/>
      <c r="F868" s="26"/>
      <c r="G868" s="22"/>
      <c r="H868" s="22"/>
      <c r="I868" s="22"/>
      <c r="J868" s="22"/>
    </row>
    <row r="869" spans="1:10" ht="12.75">
      <c r="A869" s="60"/>
      <c r="E869" s="22"/>
      <c r="F869" s="26"/>
      <c r="G869" s="22"/>
      <c r="H869" s="22"/>
      <c r="I869" s="22"/>
      <c r="J869" s="22"/>
    </row>
    <row r="870" spans="1:10" ht="12.75">
      <c r="A870" s="60"/>
      <c r="E870" s="22"/>
      <c r="F870" s="26"/>
      <c r="G870" s="22"/>
      <c r="H870" s="22"/>
      <c r="I870" s="22"/>
      <c r="J870" s="22"/>
    </row>
    <row r="871" spans="1:10" ht="12.75">
      <c r="A871" s="60"/>
      <c r="E871" s="22"/>
      <c r="F871" s="26"/>
      <c r="G871" s="22"/>
      <c r="H871" s="22"/>
      <c r="I871" s="22"/>
      <c r="J871" s="22"/>
    </row>
    <row r="872" spans="1:10" ht="12.75">
      <c r="A872" s="60"/>
      <c r="E872" s="22"/>
      <c r="F872" s="26"/>
      <c r="G872" s="22"/>
      <c r="H872" s="22"/>
      <c r="I872" s="22"/>
      <c r="J872" s="22"/>
    </row>
    <row r="873" spans="1:10" ht="12.75">
      <c r="A873" s="60"/>
      <c r="E873" s="22"/>
      <c r="F873" s="26"/>
      <c r="G873" s="22"/>
      <c r="H873" s="22"/>
      <c r="I873" s="22"/>
      <c r="J873" s="22"/>
    </row>
    <row r="874" spans="1:10" ht="12.75">
      <c r="A874" s="60"/>
      <c r="E874" s="22"/>
      <c r="F874" s="26"/>
      <c r="G874" s="22"/>
      <c r="H874" s="22"/>
      <c r="I874" s="22"/>
      <c r="J874" s="22"/>
    </row>
    <row r="875" spans="1:10" ht="12.75">
      <c r="A875" s="60"/>
      <c r="E875" s="22"/>
      <c r="F875" s="26"/>
      <c r="G875" s="22"/>
      <c r="H875" s="22"/>
      <c r="I875" s="22"/>
      <c r="J875" s="22"/>
    </row>
    <row r="876" spans="1:10" ht="12.75">
      <c r="A876" s="60"/>
      <c r="E876" s="22"/>
      <c r="F876" s="26"/>
      <c r="G876" s="22"/>
      <c r="H876" s="22"/>
      <c r="I876" s="22"/>
      <c r="J876" s="22"/>
    </row>
    <row r="877" spans="1:10" ht="12.75">
      <c r="A877" s="60"/>
      <c r="E877" s="22"/>
      <c r="F877" s="26"/>
      <c r="G877" s="22"/>
      <c r="H877" s="22"/>
      <c r="I877" s="22"/>
      <c r="J877" s="22"/>
    </row>
    <row r="878" spans="1:10" ht="12.75">
      <c r="A878" s="60"/>
      <c r="E878" s="22"/>
      <c r="F878" s="26"/>
      <c r="G878" s="22"/>
      <c r="H878" s="22"/>
      <c r="I878" s="22"/>
      <c r="J878" s="22"/>
    </row>
    <row r="879" spans="1:10" ht="12.75">
      <c r="A879" s="60"/>
      <c r="E879" s="22"/>
      <c r="F879" s="26"/>
      <c r="G879" s="22"/>
      <c r="H879" s="22"/>
      <c r="I879" s="22"/>
      <c r="J879" s="22"/>
    </row>
    <row r="880" spans="1:10" ht="12.75">
      <c r="A880" s="60"/>
      <c r="E880" s="22"/>
      <c r="F880" s="26"/>
      <c r="G880" s="22"/>
      <c r="H880" s="22"/>
      <c r="I880" s="22"/>
      <c r="J880" s="22"/>
    </row>
    <row r="881" spans="1:10" ht="12.75">
      <c r="A881" s="60"/>
      <c r="E881" s="22"/>
      <c r="F881" s="26"/>
      <c r="G881" s="22"/>
      <c r="H881" s="22"/>
      <c r="I881" s="22"/>
      <c r="J881" s="22"/>
    </row>
    <row r="882" spans="1:10" ht="12.75">
      <c r="A882" s="60"/>
      <c r="E882" s="22"/>
      <c r="F882" s="26"/>
      <c r="G882" s="22"/>
      <c r="H882" s="22"/>
      <c r="I882" s="22"/>
      <c r="J882" s="22"/>
    </row>
    <row r="883" spans="1:10" ht="12.75">
      <c r="A883" s="60"/>
      <c r="E883" s="22"/>
      <c r="F883" s="26"/>
      <c r="G883" s="22"/>
      <c r="H883" s="22"/>
      <c r="I883" s="22"/>
      <c r="J883" s="22"/>
    </row>
    <row r="884" spans="1:10" ht="12.75">
      <c r="A884" s="60"/>
      <c r="E884" s="22"/>
      <c r="F884" s="26"/>
      <c r="G884" s="22"/>
      <c r="H884" s="22"/>
      <c r="I884" s="22"/>
      <c r="J884" s="22"/>
    </row>
    <row r="885" spans="1:10" ht="12.75">
      <c r="A885" s="60"/>
      <c r="E885" s="22"/>
      <c r="F885" s="26"/>
      <c r="G885" s="22"/>
      <c r="H885" s="22"/>
      <c r="I885" s="22"/>
      <c r="J885" s="22"/>
    </row>
    <row r="886" ht="12.75">
      <c r="A886" s="60"/>
    </row>
    <row r="887" ht="12.75">
      <c r="A887" s="60"/>
    </row>
    <row r="888" ht="12.75">
      <c r="A888" s="60"/>
    </row>
    <row r="889" ht="12.75">
      <c r="A889" s="60"/>
    </row>
    <row r="890" ht="12.75">
      <c r="A890" s="60"/>
    </row>
    <row r="891" ht="12.75">
      <c r="A891" s="60"/>
    </row>
    <row r="892" ht="12.75">
      <c r="A892" s="60"/>
    </row>
    <row r="893" ht="12.75">
      <c r="A893" s="60"/>
    </row>
    <row r="894" ht="12.75">
      <c r="A894" s="60"/>
    </row>
    <row r="895" ht="12.75">
      <c r="A895" s="60"/>
    </row>
    <row r="896" ht="12.75">
      <c r="A896" s="60"/>
    </row>
    <row r="897" ht="12.75">
      <c r="A897" s="60"/>
    </row>
    <row r="898" ht="12.75">
      <c r="A898" s="60"/>
    </row>
    <row r="899" ht="12.75">
      <c r="A899" s="60"/>
    </row>
    <row r="900" ht="12.75">
      <c r="A900" s="60"/>
    </row>
    <row r="901" ht="12.75">
      <c r="A901" s="60"/>
    </row>
    <row r="902" ht="12.75">
      <c r="A902" s="60"/>
    </row>
    <row r="903" ht="12.75">
      <c r="A903" s="60"/>
    </row>
    <row r="904" ht="12.75">
      <c r="A904" s="60"/>
    </row>
    <row r="905" ht="12.75">
      <c r="A905" s="60"/>
    </row>
    <row r="906" ht="12.75">
      <c r="A906" s="60"/>
    </row>
    <row r="907" ht="12.75">
      <c r="A907" s="60"/>
    </row>
    <row r="908" ht="12.75">
      <c r="A908" s="60"/>
    </row>
    <row r="909" ht="12.75">
      <c r="A909" s="60"/>
    </row>
    <row r="910" ht="12.75">
      <c r="A910" s="60"/>
    </row>
    <row r="911" ht="12.75">
      <c r="A911" s="60"/>
    </row>
    <row r="912" ht="12.75">
      <c r="A912" s="60"/>
    </row>
    <row r="913" ht="12.75">
      <c r="A913" s="60"/>
    </row>
    <row r="914" ht="12.75">
      <c r="A914" s="60"/>
    </row>
    <row r="915" ht="12.75">
      <c r="A915" s="60"/>
    </row>
    <row r="916" ht="12.75">
      <c r="A916" s="60"/>
    </row>
    <row r="917" ht="12.75">
      <c r="A917" s="60"/>
    </row>
    <row r="918" ht="12.75">
      <c r="A918" s="60"/>
    </row>
    <row r="919" ht="12.75">
      <c r="A919" s="60"/>
    </row>
    <row r="920" ht="12.75">
      <c r="A920" s="60"/>
    </row>
    <row r="921" ht="12.75">
      <c r="A921" s="60"/>
    </row>
    <row r="922" ht="12.75">
      <c r="A922" s="60"/>
    </row>
    <row r="923" ht="12.75">
      <c r="A923" s="60"/>
    </row>
    <row r="924" ht="12.75">
      <c r="A924" s="60"/>
    </row>
    <row r="925" ht="12.75">
      <c r="A925" s="60"/>
    </row>
    <row r="926" ht="12.75">
      <c r="A926" s="60"/>
    </row>
    <row r="927" ht="12.75">
      <c r="A927" s="60"/>
    </row>
    <row r="928" ht="12.75">
      <c r="A928" s="60"/>
    </row>
    <row r="929" ht="12.75">
      <c r="A929" s="60"/>
    </row>
    <row r="930" ht="12.75">
      <c r="A930" s="60"/>
    </row>
    <row r="931" ht="12.75">
      <c r="A931" s="60"/>
    </row>
    <row r="932" ht="12.75">
      <c r="A932" s="60"/>
    </row>
    <row r="933" ht="12.75">
      <c r="A933" s="60"/>
    </row>
    <row r="934" ht="12.75">
      <c r="A934" s="60"/>
    </row>
    <row r="935" ht="12.75">
      <c r="A935" s="60"/>
    </row>
    <row r="936" ht="12.75">
      <c r="A936" s="60"/>
    </row>
    <row r="937" ht="12.75">
      <c r="A937" s="60"/>
    </row>
    <row r="938" ht="12.75">
      <c r="A938" s="60"/>
    </row>
    <row r="939" ht="12.75">
      <c r="A939" s="60"/>
    </row>
    <row r="940" ht="12.75">
      <c r="A940" s="60"/>
    </row>
    <row r="941" ht="12.75">
      <c r="A941" s="60"/>
    </row>
    <row r="942" ht="12.75">
      <c r="A942" s="60"/>
    </row>
    <row r="943" ht="12.75">
      <c r="A943" s="60"/>
    </row>
    <row r="944" ht="12.75">
      <c r="A944" s="60"/>
    </row>
    <row r="945" ht="12.75">
      <c r="A945" s="60"/>
    </row>
    <row r="946" ht="12.75">
      <c r="A946" s="60"/>
    </row>
    <row r="947" ht="12.75">
      <c r="A947" s="60"/>
    </row>
    <row r="948" ht="12.75">
      <c r="A948" s="60"/>
    </row>
    <row r="949" ht="12.75">
      <c r="A949" s="60"/>
    </row>
    <row r="950" ht="12.75">
      <c r="A950" s="60"/>
    </row>
    <row r="951" ht="12.75">
      <c r="A951" s="60"/>
    </row>
    <row r="952" ht="12.75">
      <c r="A952" s="60"/>
    </row>
    <row r="953" ht="12.75">
      <c r="A953" s="60"/>
    </row>
    <row r="954" ht="12.75">
      <c r="A954" s="60"/>
    </row>
    <row r="955" ht="12.75">
      <c r="A955" s="60"/>
    </row>
    <row r="956" ht="12.75">
      <c r="A956" s="60"/>
    </row>
    <row r="957" ht="12.75">
      <c r="A957" s="60"/>
    </row>
    <row r="958" ht="12.75">
      <c r="A958" s="60"/>
    </row>
    <row r="959" ht="12.75">
      <c r="A959" s="60"/>
    </row>
  </sheetData>
  <sheetProtection sheet="1"/>
  <mergeCells count="24">
    <mergeCell ref="A185:J187"/>
    <mergeCell ref="A1:E2"/>
    <mergeCell ref="A68:A69"/>
    <mergeCell ref="A10:A14"/>
    <mergeCell ref="A15:A20"/>
    <mergeCell ref="A21:A24"/>
    <mergeCell ref="A25:A30"/>
    <mergeCell ref="F1:F2"/>
    <mergeCell ref="A91:A101"/>
    <mergeCell ref="A102:A112"/>
    <mergeCell ref="A6:J8"/>
    <mergeCell ref="C3:C5"/>
    <mergeCell ref="D3:D5"/>
    <mergeCell ref="A83:A90"/>
    <mergeCell ref="A46:A51"/>
    <mergeCell ref="A75:J77"/>
    <mergeCell ref="A179:A181"/>
    <mergeCell ref="A31:A40"/>
    <mergeCell ref="A41:A42"/>
    <mergeCell ref="A55:A57"/>
    <mergeCell ref="A52:A54"/>
    <mergeCell ref="A70:A74"/>
    <mergeCell ref="A65:A67"/>
    <mergeCell ref="A121:A139"/>
  </mergeCells>
  <printOptions horizontalCentered="1"/>
  <pageMargins left="0.5" right="0.5" top="1" bottom="0.5" header="0.5" footer="0.5"/>
  <pageSetup fitToHeight="26" orientation="landscape" pageOrder="overThenDown" scale="70" r:id="rId1"/>
  <headerFooter alignWithMargins="0">
    <oddHeader>&amp;C&amp;12&amp;BSUMMARY OF STANDARD RAIL WEIGHTS</oddHeader>
  </headerFooter>
  <rowBreaks count="13" manualBreakCount="13">
    <brk id="126" max="9" man="1"/>
    <brk id="238" max="9" man="1"/>
    <brk id="292" max="9" man="1"/>
    <brk id="346" max="9" man="1"/>
    <brk id="399" max="9" man="1"/>
    <brk id="451" max="9" man="1"/>
    <brk id="503" max="9" man="1"/>
    <brk id="552" max="9" man="1"/>
    <brk id="602" max="9" man="1"/>
    <brk id="652" max="9" man="1"/>
    <brk id="704" max="9" man="1"/>
    <brk id="753" max="9" man="1"/>
    <brk id="80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SLOAN Douglas A</dc:creator>
  <cp:keywords/>
  <dc:description/>
  <cp:lastModifiedBy>hwye96j</cp:lastModifiedBy>
  <cp:lastPrinted>2014-10-20T21:04:24Z</cp:lastPrinted>
  <dcterms:created xsi:type="dcterms:W3CDTF">2001-03-20T00:12:45Z</dcterms:created>
  <dcterms:modified xsi:type="dcterms:W3CDTF">2017-01-30T19:49:47Z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93009785</vt:i4>
  </property>
  <property fmtid="{D5CDD505-2E9C-101B-9397-08002B2CF9AE}" pid="3" name="_EmailSubject">
    <vt:lpwstr>New Rail.xls?</vt:lpwstr>
  </property>
  <property fmtid="{D5CDD505-2E9C-101B-9397-08002B2CF9AE}" pid="4" name="_AuthorEmail">
    <vt:lpwstr>Sergio.A.GONZALEZ@odot.state.or.us</vt:lpwstr>
  </property>
  <property fmtid="{D5CDD505-2E9C-101B-9397-08002B2CF9AE}" pid="5" name="_AuthorEmailDisplayName">
    <vt:lpwstr>GONZALEZ Sergio A</vt:lpwstr>
  </property>
  <property fmtid="{D5CDD505-2E9C-101B-9397-08002B2CF9AE}" pid="6" name="_ReviewingToolsShownOnce">
    <vt:lpwstr/>
  </property>
  <property fmtid="{D5CDD505-2E9C-101B-9397-08002B2CF9AE}" pid="7" name="display_urn:schemas-microsoft-com:office:office#Editor">
    <vt:lpwstr>Oregon-Gov-SharepointMigrationBot</vt:lpwstr>
  </property>
  <property fmtid="{D5CDD505-2E9C-101B-9397-08002B2CF9AE}" pid="8" name="display_urn:schemas-microsoft-com:office:office#Author">
    <vt:lpwstr>Alyssa Rash</vt:lpwstr>
  </property>
</Properties>
</file>