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18.xml" ContentType="application/vnd.ms-office.chartstyle+xml"/>
  <Override PartName="/xl/charts/chart19.xml" ContentType="application/vnd.openxmlformats-officedocument.drawingml.chart+xml"/>
  <Override PartName="/xl/charts/colors17.xml" ContentType="application/vnd.ms-office.chartcolorstyle+xml"/>
  <Override PartName="/xl/charts/style17.xml" ContentType="application/vnd.ms-office.chartstyle+xml"/>
  <Override PartName="/xl/charts/chart18.xml" ContentType="application/vnd.openxmlformats-officedocument.drawingml.chart+xml"/>
  <Override PartName="/xl/charts/colors16.xml" ContentType="application/vnd.ms-office.chartcolor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9.xml" ContentType="application/vnd.ms-office.chartcolorstyle+xml"/>
  <Override PartName="/xl/charts/style16.xml" ContentType="application/vnd.ms-office.chartstyle+xml"/>
  <Override PartName="/xl/charts/chart17.xml" ContentType="application/vnd.openxmlformats-officedocument.drawingml.chart+xml"/>
  <Override PartName="/xl/charts/colors15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hart12.xml" ContentType="application/vnd.openxmlformats-officedocument.drawingml.chart+xml"/>
  <Override PartName="/xl/worksheets/sheet1.xml" ContentType="application/vnd.openxmlformats-officedocument.spreadsheetml.worksheet+xml"/>
  <Override PartName="/xl/charts/style11.xml" ContentType="application/vnd.ms-office.chartstyle+xml"/>
  <Override PartName="/xl/charts/chart11.xml" ContentType="application/vnd.openxmlformats-officedocument.drawingml.chart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style15.xml" ContentType="application/vnd.ms-office.chartstyle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olors14.xml" ContentType="application/vnd.ms-office.chartcolorstyle+xml"/>
  <Override PartName="/xl/charts/style14.xml" ContentType="application/vnd.ms-office.chartstyle+xml"/>
  <Override PartName="/xl/charts/chart14.xml" ContentType="application/vnd.openxmlformats-officedocument.drawingml.chart+xml"/>
  <Override PartName="/xl/charts/colors10.xml" ContentType="application/vnd.ms-office.chartcolorstyle+xml"/>
  <Override PartName="/xl/charts/colors11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olors3.xml" ContentType="application/vnd.ms-office.chartcolorstyle+xml"/>
  <Override PartName="/xl/charts/style3.xml" ContentType="application/vnd.ms-office.chartsty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pivotTables/pivotTable5.xml" ContentType="application/vnd.openxmlformats-officedocument.spreadsheetml.pivotTable+xml"/>
  <Override PartName="/xl/charts/chart2.xml" ContentType="application/vnd.openxmlformats-officedocument.drawingml.chart+xml"/>
  <Override PartName="/xl/charts/colors9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pivotTables/pivotTable6.xml" ContentType="application/vnd.openxmlformats-officedocument.spreadsheetml.pivotTable+xml"/>
  <Override PartName="/xl/charts/style6.xml" ContentType="application/vnd.ms-office.chart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pivotTables/pivotTable7.xml" ContentType="application/vnd.openxmlformats-officedocument.spreadsheetml.pivotTable+xml"/>
  <Override PartName="/xl/charts/chart6.xml" ContentType="application/vnd.openxmlformats-officedocument.drawingml.chart+xml"/>
  <Override PartName="/xl/charts/colors6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olors4.xml" ContentType="application/vnd.ms-office.chartcolorstyle+xml"/>
  <Override PartName="/xl/charts/chart4.xml" ContentType="application/vnd.openxmlformats-officedocument.drawingml.chart+xml"/>
  <Override PartName="/xl/charts/colors5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pivotCache/pivotCacheRecords4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comments1.xml" ContentType="application/vnd.openxmlformats-officedocument.spreadsheetml.comments+xml"/>
  <Override PartName="/xl/pivotCache/pivotCacheDefinition4.xml" ContentType="application/vnd.openxmlformats-officedocument.spreadsheetml.pivotCacheDefinition+xml"/>
  <Override PartName="/xl/comments2.xml" ContentType="application/vnd.openxmlformats-officedocument.spreadsheetml.comments+xml"/>
  <Override PartName="/xl/connections.xml" ContentType="application/vnd.openxmlformats-officedocument.spreadsheetml.connections+xml"/>
  <Override PartName="/xl/pivotCache/pivotCacheDefinition3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lean Fuels\2021 Forecast\"/>
    </mc:Choice>
  </mc:AlternateContent>
  <bookViews>
    <workbookView xWindow="0" yWindow="0" windowWidth="30720" windowHeight="12000" tabRatio="870" activeTab="3"/>
  </bookViews>
  <sheets>
    <sheet name="Forecast_Main" sheetId="13" r:id="rId1"/>
    <sheet name="Table 1 - Volumes" sheetId="19" r:id="rId2"/>
    <sheet name="Table 3+4 - Credit" sheetId="26" r:id="rId3"/>
    <sheet name="CI Trend" sheetId="29" r:id="rId4"/>
    <sheet name="CI Facility" sheetId="23" r:id="rId5"/>
    <sheet name="Electric Vehicles" sheetId="9" r:id="rId6"/>
    <sheet name="AEO 2020 Pacific" sheetId="16" r:id="rId7"/>
    <sheet name="AEO 2020 Renewable" sheetId="18" r:id="rId8"/>
    <sheet name="Constants Pivot" sheetId="22" r:id="rId9"/>
    <sheet name="Constants_out" sheetId="25" r:id="rId10"/>
    <sheet name="Growth Rate Tables" sheetId="17" r:id="rId11"/>
    <sheet name="Charts" sheetId="28" r:id="rId12"/>
  </sheets>
  <externalReferences>
    <externalReference r:id="rId13"/>
    <externalReference r:id="rId14"/>
  </externalReferences>
  <definedNames>
    <definedName name="BR_bgs_T0">'Constants Pivot'!$C$42</definedName>
    <definedName name="BR_bgs_T1">'Constants Pivot'!$D$42</definedName>
    <definedName name="BR_bgs_T2">'Constants Pivot'!$F$42</definedName>
    <definedName name="BR_bio_T0">'Constants Pivot'!$C$41</definedName>
    <definedName name="BR_bio_T1">'Constants Pivot'!$D$41</definedName>
    <definedName name="BR_bio_T2">'Constants Pivot'!$F$41</definedName>
    <definedName name="BR_eth_T0">'Constants Pivot'!$C$40</definedName>
    <definedName name="BR_eth_T1">'Constants Pivot'!$D$40</definedName>
    <definedName name="BR_eth_T2">'Constants Pivot'!$F$40</definedName>
    <definedName name="BR_ren_T0">'Constants Pivot'!$C$43</definedName>
    <definedName name="BR_ren_T1">'Constants Pivot'!$D$43</definedName>
    <definedName name="BR_ren_T2">'Constants Pivot'!$F$43</definedName>
    <definedName name="CIA_bgs_T0">'Constants Pivot'!$C$26</definedName>
    <definedName name="CIA_bgs_T1">'Constants Pivot'!$E$26</definedName>
    <definedName name="CIA_bgs_T2">'Constants Pivot'!$F$26</definedName>
    <definedName name="CIA_bio_T0">'Constants Pivot'!$C$25</definedName>
    <definedName name="CIA_Bio_T1">'Constants Pivot'!$D$25</definedName>
    <definedName name="CIA_bio_T2">'Constants Pivot'!$F$25</definedName>
    <definedName name="CIA_cbob_T0">'Constants Pivot'!$C$31</definedName>
    <definedName name="CIA_cbob_T1">'Constants Pivot'!$E$31</definedName>
    <definedName name="CIA_cbob_T2">'Constants Pivot'!$G$31</definedName>
    <definedName name="CIA_die_T0">'Constants Pivot'!$C$24</definedName>
    <definedName name="CIA_die_T1">'Constants Pivot'!$E$24</definedName>
    <definedName name="CIA_die_T2">'Constants Pivot'!$G$24</definedName>
    <definedName name="CIA_E10_T0">'Constants Pivot'!$C$22</definedName>
    <definedName name="CIA_E10_T1">'Constants Pivot'!$E$22</definedName>
    <definedName name="CIA_E10_T2">'Constants Pivot'!$G$22</definedName>
    <definedName name="CIA_eon_T0">'Constants Pivot'!$C$28</definedName>
    <definedName name="CIA_eon_T1">'Constants Pivot'!$E$28</definedName>
    <definedName name="CIA_eon_T2">'Constants Pivot'!$G$28</definedName>
    <definedName name="CIA_Eth_T0">'Constants Pivot'!$C$23</definedName>
    <definedName name="CIA_eth_T1">'Constants Pivot'!$D$23</definedName>
    <definedName name="CIA_eth_T2">'Constants Pivot'!$F$23</definedName>
    <definedName name="CIA_fcg_T0">'Constants Pivot'!$C$29</definedName>
    <definedName name="CIA_fcg_T1">'Constants Pivot'!$E$29</definedName>
    <definedName name="CIA_fcg_T2">'Constants Pivot'!$G$29</definedName>
    <definedName name="CIA_gas_T0">'Constants Pivot'!$C$21</definedName>
    <definedName name="CIA_gas_T1">'Constants Pivot'!$E$21</definedName>
    <definedName name="CIA_gas_T2">'Constants Pivot'!$G$21</definedName>
    <definedName name="CIA_lp_T0">'Constants Pivot'!$C$30</definedName>
    <definedName name="CIA_lp_T1">'Constants Pivot'!$E$30</definedName>
    <definedName name="CIA_lp_T2">'Constants Pivot'!$G$30</definedName>
    <definedName name="CIA_ren_T0">'Constants Pivot'!$C$27</definedName>
    <definedName name="CIA_ren_T1">'Constants Pivot'!$D$27</definedName>
    <definedName name="CIA_ren_T2">'Constants Pivot'!$F$27</definedName>
    <definedName name="CIT_die_T0">'Constants Pivot'!$C$19</definedName>
    <definedName name="CIT_die_T1">'Constants Pivot'!$E$19</definedName>
    <definedName name="CIT_die_T2">'Constants Pivot'!$G$19</definedName>
    <definedName name="CIT_gas_T0">'Constants Pivot'!$C$18</definedName>
    <definedName name="CIT_gas_T1">'Constants Pivot'!$E$18</definedName>
    <definedName name="CIT_gas_T2">'Constants Pivot'!$G$18</definedName>
    <definedName name="CIT_jf_T0">'Constants Pivot'!$C$20</definedName>
    <definedName name="CIT_jf_T1">'Constants Pivot'!$E$20</definedName>
    <definedName name="CIT_jf_T2">'Constants Pivot'!$G$20</definedName>
    <definedName name="constants_data_out">Constants_out!$A$1:$E$52</definedName>
    <definedName name="ED_Bio_T0">'Constants Pivot'!$C$10</definedName>
    <definedName name="ED_bio_T1">'Constants Pivot'!$E$10</definedName>
    <definedName name="ED_bio_T2">'Constants Pivot'!$G$10</definedName>
    <definedName name="ED_die_T0">'Constants Pivot'!$C$9</definedName>
    <definedName name="ED_die_T1">'Constants Pivot'!$E$9</definedName>
    <definedName name="ED_die_T2">'Constants Pivot'!$G$9</definedName>
    <definedName name="ED_E10_T0">'Constants Pivot'!$C$7</definedName>
    <definedName name="ED_E10_T1">'Constants Pivot'!$E$7</definedName>
    <definedName name="ED_E10_T2">'Constants Pivot'!$G$7</definedName>
    <definedName name="ED_eon_T0">'Constants Pivot'!$C$12</definedName>
    <definedName name="ED_eon_T1">'Constants Pivot'!$E$12</definedName>
    <definedName name="ED_eon_T2">'Constants Pivot'!$G$12</definedName>
    <definedName name="ED_eth_T0">'Constants Pivot'!$C$8</definedName>
    <definedName name="ED_eth_T1">'Constants Pivot'!$E$8</definedName>
    <definedName name="ED_eth_T2">'Constants Pivot'!$G$8</definedName>
    <definedName name="ED_fcg_T0">'Constants Pivot'!$C$13</definedName>
    <definedName name="ED_fcg_T1">'Constants Pivot'!$E$13</definedName>
    <definedName name="ED_fcg_T2">'Constants Pivot'!$G$13</definedName>
    <definedName name="ED_flg_T0">'Constants Pivot'!$C$14</definedName>
    <definedName name="ED_flg_T1">'Constants Pivot'!$E$14</definedName>
    <definedName name="ED_flg_T2">'Constants Pivot'!$G$14</definedName>
    <definedName name="ED_gas_2018">'Constants Pivot'!$H$6</definedName>
    <definedName name="ED_gas_T0">'Constants Pivot'!$C$6</definedName>
    <definedName name="ED_gas_T1">'Constants Pivot'!$E$6</definedName>
    <definedName name="ED_gas_T2">'Constants Pivot'!$G$6</definedName>
    <definedName name="ED_hyd_T0">'Constants Pivot'!$C$16</definedName>
    <definedName name="ED_hyd_T1">'Constants Pivot'!$E$16</definedName>
    <definedName name="ED_hyd_T2">'Constants Pivot'!$G$16</definedName>
    <definedName name="ED_jf_T0">'Constants Pivot'!$C$17</definedName>
    <definedName name="ED_jf_T1">'Constants Pivot'!$E$17</definedName>
    <definedName name="ED_jf_T2">'Constants Pivot'!$G$17</definedName>
    <definedName name="ED_lp_T0">'Constants Pivot'!$C$15</definedName>
    <definedName name="ED_lp_T1">'Constants Pivot'!$E$15</definedName>
    <definedName name="ED_lp_T2">'Constants Pivot'!$G$15</definedName>
    <definedName name="ED_ren_T0">'Constants Pivot'!$C$11</definedName>
    <definedName name="ED_ren_T1">'Constants Pivot'!$E$11</definedName>
    <definedName name="ED_ren_T2">'Constants Pivot'!$G$11</definedName>
    <definedName name="EEReon_T0">'Constants Pivot'!$C$33</definedName>
    <definedName name="EEReon_T1">'Constants Pivot'!$E$33</definedName>
    <definedName name="EEReon_T2">'Constants Pivot'!$G$33</definedName>
    <definedName name="EERng_T0">'Constants Pivot'!$C$34</definedName>
    <definedName name="EERng_T1">'Constants Pivot'!$E$34</definedName>
    <definedName name="EERng_T2">'Constants Pivot'!$G$34</definedName>
    <definedName name="GR_die_T0">'Constants Pivot'!$C$36</definedName>
    <definedName name="GR_die_T1">'Constants Pivot'!$D$36</definedName>
    <definedName name="GR_die_T2">'Constants Pivot'!$F$36</definedName>
    <definedName name="GR_eof_T0">'Constants Pivot'!$C$38</definedName>
    <definedName name="GR_eof_T1">'Constants Pivot'!$D$38</definedName>
    <definedName name="GR_eof_T2">'Constants Pivot'!$F$38</definedName>
    <definedName name="GR_gas_T0">'Constants Pivot'!$C$35</definedName>
    <definedName name="GR_gas_T1">'Constants Pivot'!$D$35</definedName>
    <definedName name="GR_gas_T2">'Constants Pivot'!$F$35</definedName>
    <definedName name="GR_lp_T0">'Constants Pivot'!$C$37</definedName>
    <definedName name="GR_lp_T1">'Constants Pivot'!$D$37</definedName>
    <definedName name="GR_lp_T2">'Constants Pivot'!$F$37</definedName>
    <definedName name="GR_ng_T0">'Constants Pivot'!$C$39</definedName>
    <definedName name="GR_ng_T1">'Constants Pivot'!$D$39</definedName>
    <definedName name="GR_ng_T2">'Constants Pivot'!$F$39</definedName>
    <definedName name="KWh_T0">'Constants Pivot'!$C$32</definedName>
    <definedName name="KWh_T1">'Constants Pivot'!$D$32</definedName>
    <definedName name="KWh_T2">'Constants Pivot'!$F$32</definedName>
  </definedNames>
  <calcPr calcId="162913" iterate="1" iterateDelta="1.0000000000000001E-5"/>
  <pivotCaches>
    <pivotCache cacheId="2" r:id="rId15"/>
    <pivotCache cacheId="3" r:id="rId16"/>
    <pivotCache cacheId="5" r:id="rId17"/>
    <pivotCache cacheId="7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29" l="1"/>
  <c r="V23" i="29"/>
  <c r="W23" i="29"/>
  <c r="X23" i="29"/>
  <c r="Y23" i="29"/>
  <c r="Z23" i="29"/>
  <c r="AA23" i="29"/>
  <c r="T23" i="29"/>
  <c r="AD23" i="29"/>
  <c r="AD18" i="29"/>
  <c r="AD12" i="29"/>
  <c r="B74" i="9" l="1"/>
  <c r="B76" i="9" l="1"/>
  <c r="B77" i="9"/>
  <c r="B78" i="9"/>
  <c r="B79" i="9"/>
  <c r="B80" i="9"/>
  <c r="B81" i="9"/>
  <c r="B75" i="9"/>
  <c r="E74" i="9"/>
  <c r="E73" i="9"/>
  <c r="E79" i="9" s="1"/>
  <c r="B73" i="9"/>
  <c r="B68" i="9"/>
  <c r="E76" i="9"/>
  <c r="E77" i="9"/>
  <c r="E78" i="9"/>
  <c r="E80" i="9"/>
  <c r="E81" i="9"/>
  <c r="E75" i="9"/>
  <c r="E36" i="9" s="1"/>
  <c r="E39" i="9" l="1"/>
  <c r="Y14" i="29" l="1"/>
  <c r="Z14" i="29"/>
  <c r="AA14" i="29"/>
  <c r="X14" i="29"/>
  <c r="S145" i="13" l="1"/>
  <c r="E145" i="13"/>
  <c r="F145" i="13"/>
  <c r="G145" i="13"/>
  <c r="H145" i="13"/>
  <c r="I145" i="13"/>
  <c r="J145" i="13"/>
  <c r="K145" i="13"/>
  <c r="L145" i="13"/>
  <c r="M145" i="13"/>
  <c r="N145" i="13"/>
  <c r="O145" i="13"/>
  <c r="P145" i="13"/>
  <c r="Q145" i="13"/>
  <c r="R145" i="13"/>
  <c r="H72" i="13"/>
  <c r="E25" i="29" l="1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D25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D20" i="29"/>
  <c r="T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D15" i="29"/>
  <c r="E23" i="25"/>
  <c r="E22" i="25"/>
  <c r="E30" i="25"/>
  <c r="E28" i="25"/>
  <c r="E26" i="25"/>
  <c r="D87" i="9" l="1"/>
  <c r="C87" i="9"/>
  <c r="B87" i="9"/>
  <c r="I17" i="17" l="1"/>
  <c r="H17" i="17"/>
  <c r="G17" i="17"/>
  <c r="F17" i="17"/>
  <c r="E17" i="17"/>
  <c r="I5" i="17"/>
  <c r="H5" i="17"/>
  <c r="G5" i="17"/>
  <c r="F5" i="17"/>
  <c r="E5" i="17"/>
  <c r="T75" i="13" l="1"/>
  <c r="T83" i="13" l="1"/>
  <c r="X75" i="13" l="1"/>
  <c r="Y75" i="13"/>
  <c r="AA75" i="13"/>
  <c r="Z75" i="13"/>
  <c r="W75" i="13"/>
  <c r="V75" i="13"/>
  <c r="U75" i="13"/>
  <c r="V83" i="13" l="1"/>
  <c r="AA83" i="13"/>
  <c r="W83" i="13"/>
  <c r="Z83" i="13" l="1"/>
  <c r="X83" i="13"/>
  <c r="U83" i="13"/>
  <c r="Y83" i="13"/>
  <c r="L14" i="22" l="1"/>
  <c r="L31" i="9" l="1"/>
  <c r="M31" i="9"/>
  <c r="N31" i="9"/>
  <c r="L32" i="9"/>
  <c r="M32" i="9"/>
  <c r="N32" i="9"/>
  <c r="L33" i="9"/>
  <c r="M33" i="9"/>
  <c r="N33" i="9"/>
  <c r="I84" i="23" l="1"/>
  <c r="J84" i="23"/>
  <c r="I85" i="23"/>
  <c r="J85" i="23"/>
  <c r="I86" i="23"/>
  <c r="J86" i="23"/>
  <c r="I87" i="23"/>
  <c r="J87" i="23"/>
  <c r="I81" i="23"/>
  <c r="J81" i="23"/>
  <c r="I82" i="23"/>
  <c r="J82" i="23"/>
  <c r="I83" i="23"/>
  <c r="J83" i="23"/>
  <c r="I52" i="23"/>
  <c r="I53" i="23"/>
  <c r="J51" i="23"/>
  <c r="J52" i="23"/>
  <c r="J53" i="23"/>
  <c r="I99" i="23" l="1"/>
  <c r="J99" i="23"/>
  <c r="I100" i="23"/>
  <c r="J100" i="23"/>
  <c r="J98" i="23"/>
  <c r="I98" i="23"/>
  <c r="I64" i="23"/>
  <c r="J64" i="23"/>
  <c r="I65" i="23"/>
  <c r="J65" i="23"/>
  <c r="I66" i="23"/>
  <c r="J66" i="23"/>
  <c r="I67" i="23"/>
  <c r="J67" i="23"/>
  <c r="I68" i="23"/>
  <c r="J68" i="23"/>
  <c r="I69" i="23"/>
  <c r="J69" i="23"/>
  <c r="I70" i="23"/>
  <c r="J70" i="23"/>
  <c r="I71" i="23"/>
  <c r="J71" i="23"/>
  <c r="I72" i="23"/>
  <c r="J72" i="23"/>
  <c r="I73" i="23"/>
  <c r="J73" i="23"/>
  <c r="I74" i="23"/>
  <c r="J74" i="23"/>
  <c r="I75" i="23"/>
  <c r="J75" i="23"/>
  <c r="I76" i="23"/>
  <c r="J76" i="23"/>
  <c r="I77" i="23"/>
  <c r="J77" i="23"/>
  <c r="I78" i="23"/>
  <c r="J78" i="23"/>
  <c r="I79" i="23"/>
  <c r="J79" i="23"/>
  <c r="I80" i="23"/>
  <c r="J80" i="23"/>
  <c r="J63" i="23"/>
  <c r="I63" i="23"/>
  <c r="F33" i="9"/>
  <c r="G33" i="9"/>
  <c r="C33" i="9"/>
  <c r="D33" i="9"/>
  <c r="J88" i="23" l="1"/>
  <c r="I88" i="23"/>
  <c r="I101" i="23"/>
  <c r="J101" i="23"/>
  <c r="L12" i="22"/>
  <c r="J90" i="23" l="1"/>
  <c r="J103" i="23"/>
  <c r="G29" i="17" l="1"/>
  <c r="H29" i="17"/>
  <c r="I22" i="17"/>
  <c r="I10" i="17"/>
  <c r="F10" i="17"/>
  <c r="G10" i="17"/>
  <c r="H10" i="17"/>
  <c r="E10" i="17"/>
  <c r="I29" i="17" l="1"/>
  <c r="H22" i="17"/>
  <c r="G22" i="17"/>
  <c r="S23" i="29" l="1"/>
  <c r="S18" i="29"/>
  <c r="S12" i="29"/>
  <c r="E38" i="25" l="1"/>
  <c r="E37" i="25"/>
  <c r="E36" i="25"/>
  <c r="E35" i="25"/>
  <c r="U98" i="13" l="1"/>
  <c r="V98" i="13"/>
  <c r="W98" i="13"/>
  <c r="T98" i="13"/>
  <c r="U73" i="13"/>
  <c r="V73" i="13"/>
  <c r="W73" i="13"/>
  <c r="T73" i="13"/>
  <c r="U81" i="13"/>
  <c r="V81" i="13"/>
  <c r="W81" i="13"/>
  <c r="T81" i="13"/>
  <c r="U79" i="13"/>
  <c r="V79" i="13"/>
  <c r="W79" i="13"/>
  <c r="T79" i="13"/>
  <c r="E87" i="9" l="1"/>
  <c r="S77" i="13" l="1"/>
  <c r="S78" i="13"/>
  <c r="S80" i="13"/>
  <c r="S82" i="13"/>
  <c r="S71" i="13"/>
  <c r="S72" i="13"/>
  <c r="S85" i="13"/>
  <c r="S93" i="13"/>
  <c r="S97" i="13"/>
  <c r="S99" i="13"/>
  <c r="S102" i="13"/>
  <c r="E102" i="13"/>
  <c r="F102" i="13"/>
  <c r="G102" i="13"/>
  <c r="H102" i="13"/>
  <c r="I102" i="13"/>
  <c r="I103" i="13" s="1"/>
  <c r="J102" i="13"/>
  <c r="K102" i="13"/>
  <c r="L102" i="13"/>
  <c r="M102" i="13"/>
  <c r="N102" i="13"/>
  <c r="N103" i="13" s="1"/>
  <c r="O102" i="13"/>
  <c r="O103" i="13" s="1"/>
  <c r="P102" i="13"/>
  <c r="Q102" i="13"/>
  <c r="R102" i="13"/>
  <c r="D102" i="13"/>
  <c r="D77" i="13"/>
  <c r="E124" i="13"/>
  <c r="F124" i="13"/>
  <c r="G124" i="13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E125" i="13"/>
  <c r="F125" i="13"/>
  <c r="G125" i="13"/>
  <c r="H125" i="13"/>
  <c r="I125" i="13"/>
  <c r="J125" i="13"/>
  <c r="K125" i="13"/>
  <c r="L125" i="13"/>
  <c r="M125" i="13"/>
  <c r="N125" i="13"/>
  <c r="O125" i="13"/>
  <c r="P125" i="13"/>
  <c r="Q125" i="13"/>
  <c r="R125" i="13"/>
  <c r="S125" i="13"/>
  <c r="E126" i="13"/>
  <c r="F126" i="13"/>
  <c r="G126" i="13"/>
  <c r="H126" i="13"/>
  <c r="I126" i="13"/>
  <c r="J126" i="13"/>
  <c r="K126" i="13"/>
  <c r="L126" i="13"/>
  <c r="M126" i="13"/>
  <c r="N126" i="13"/>
  <c r="O126" i="13"/>
  <c r="P126" i="13"/>
  <c r="Q126" i="13"/>
  <c r="R126" i="13"/>
  <c r="S126" i="13"/>
  <c r="E127" i="13"/>
  <c r="F127" i="13"/>
  <c r="G127" i="13"/>
  <c r="H127" i="13"/>
  <c r="I127" i="13"/>
  <c r="J127" i="13"/>
  <c r="K127" i="13"/>
  <c r="L127" i="13"/>
  <c r="M127" i="13"/>
  <c r="N127" i="13"/>
  <c r="O127" i="13"/>
  <c r="P127" i="13"/>
  <c r="Q127" i="13"/>
  <c r="R127" i="13"/>
  <c r="S127" i="13"/>
  <c r="E128" i="13"/>
  <c r="F128" i="13"/>
  <c r="G128" i="13"/>
  <c r="H128" i="13"/>
  <c r="I128" i="13"/>
  <c r="J128" i="13"/>
  <c r="K128" i="13"/>
  <c r="L128" i="13"/>
  <c r="M128" i="13"/>
  <c r="N128" i="13"/>
  <c r="O128" i="13"/>
  <c r="P128" i="13"/>
  <c r="Q128" i="13"/>
  <c r="R128" i="13"/>
  <c r="S128" i="13"/>
  <c r="E129" i="13"/>
  <c r="F129" i="13"/>
  <c r="G129" i="13"/>
  <c r="H129" i="13"/>
  <c r="I129" i="13"/>
  <c r="J129" i="13"/>
  <c r="K129" i="13"/>
  <c r="L129" i="13"/>
  <c r="M129" i="13"/>
  <c r="N129" i="13"/>
  <c r="O129" i="13"/>
  <c r="P129" i="13"/>
  <c r="Q129" i="13"/>
  <c r="R129" i="13"/>
  <c r="S129" i="13"/>
  <c r="E130" i="13"/>
  <c r="F130" i="13"/>
  <c r="G130" i="13"/>
  <c r="H130" i="13"/>
  <c r="I130" i="13"/>
  <c r="J130" i="13"/>
  <c r="K130" i="13"/>
  <c r="L130" i="13"/>
  <c r="M130" i="13"/>
  <c r="N130" i="13"/>
  <c r="O130" i="13"/>
  <c r="P130" i="13"/>
  <c r="Q130" i="13"/>
  <c r="R130" i="13"/>
  <c r="S130" i="13"/>
  <c r="E131" i="13"/>
  <c r="F131" i="13"/>
  <c r="G131" i="13"/>
  <c r="H131" i="13"/>
  <c r="I131" i="13"/>
  <c r="J131" i="13"/>
  <c r="K131" i="13"/>
  <c r="L131" i="13"/>
  <c r="M131" i="13"/>
  <c r="N131" i="13"/>
  <c r="O131" i="13"/>
  <c r="P131" i="13"/>
  <c r="Q131" i="13"/>
  <c r="R131" i="13"/>
  <c r="S131" i="13"/>
  <c r="E132" i="13"/>
  <c r="F132" i="13"/>
  <c r="G132" i="13"/>
  <c r="H132" i="13"/>
  <c r="I132" i="13"/>
  <c r="J132" i="13"/>
  <c r="K132" i="13"/>
  <c r="L132" i="13"/>
  <c r="M132" i="13"/>
  <c r="N132" i="13"/>
  <c r="O132" i="13"/>
  <c r="P132" i="13"/>
  <c r="Q132" i="13"/>
  <c r="R132" i="13"/>
  <c r="S132" i="13"/>
  <c r="E133" i="13"/>
  <c r="F133" i="13"/>
  <c r="G133" i="13"/>
  <c r="H133" i="13"/>
  <c r="I133" i="13"/>
  <c r="J133" i="13"/>
  <c r="K133" i="13"/>
  <c r="L133" i="13"/>
  <c r="M133" i="13"/>
  <c r="N133" i="13"/>
  <c r="O133" i="13"/>
  <c r="P133" i="13"/>
  <c r="Q133" i="13"/>
  <c r="R133" i="13"/>
  <c r="S133" i="13"/>
  <c r="E134" i="13"/>
  <c r="F134" i="13"/>
  <c r="G134" i="13"/>
  <c r="H134" i="13"/>
  <c r="I134" i="13"/>
  <c r="J134" i="13"/>
  <c r="K134" i="13"/>
  <c r="L134" i="13"/>
  <c r="M134" i="13"/>
  <c r="N134" i="13"/>
  <c r="O134" i="13"/>
  <c r="P134" i="13"/>
  <c r="Q134" i="13"/>
  <c r="R134" i="13"/>
  <c r="S134" i="13"/>
  <c r="E135" i="13"/>
  <c r="F135" i="13"/>
  <c r="G135" i="13"/>
  <c r="H135" i="13"/>
  <c r="I135" i="13"/>
  <c r="J135" i="13"/>
  <c r="K135" i="13"/>
  <c r="L135" i="13"/>
  <c r="M135" i="13"/>
  <c r="N135" i="13"/>
  <c r="O135" i="13"/>
  <c r="P135" i="13"/>
  <c r="Q135" i="13"/>
  <c r="R135" i="13"/>
  <c r="S135" i="13"/>
  <c r="E136" i="13"/>
  <c r="F136" i="13"/>
  <c r="G136" i="13"/>
  <c r="H136" i="13"/>
  <c r="I136" i="13"/>
  <c r="J136" i="13"/>
  <c r="K136" i="13"/>
  <c r="L136" i="13"/>
  <c r="M136" i="13"/>
  <c r="N136" i="13"/>
  <c r="O136" i="13"/>
  <c r="P136" i="13"/>
  <c r="Q136" i="13"/>
  <c r="R136" i="13"/>
  <c r="S136" i="13"/>
  <c r="E137" i="13"/>
  <c r="F137" i="13"/>
  <c r="G137" i="13"/>
  <c r="H137" i="13"/>
  <c r="I137" i="13"/>
  <c r="J137" i="13"/>
  <c r="K137" i="13"/>
  <c r="L137" i="13"/>
  <c r="M137" i="13"/>
  <c r="N137" i="13"/>
  <c r="O137" i="13"/>
  <c r="P137" i="13"/>
  <c r="Q137" i="13"/>
  <c r="R137" i="13"/>
  <c r="S137" i="13"/>
  <c r="E138" i="13"/>
  <c r="F138" i="13"/>
  <c r="G138" i="13"/>
  <c r="H138" i="13"/>
  <c r="I138" i="13"/>
  <c r="J138" i="13"/>
  <c r="K138" i="13"/>
  <c r="L138" i="13"/>
  <c r="M138" i="13"/>
  <c r="N138" i="13"/>
  <c r="O138" i="13"/>
  <c r="P138" i="13"/>
  <c r="Q138" i="13"/>
  <c r="R138" i="13"/>
  <c r="S138" i="13"/>
  <c r="E139" i="13"/>
  <c r="F139" i="13"/>
  <c r="G139" i="13"/>
  <c r="H139" i="13"/>
  <c r="I139" i="13"/>
  <c r="J139" i="13"/>
  <c r="K139" i="13"/>
  <c r="L139" i="13"/>
  <c r="M139" i="13"/>
  <c r="N139" i="13"/>
  <c r="O139" i="13"/>
  <c r="P139" i="13"/>
  <c r="Q139" i="13"/>
  <c r="R139" i="13"/>
  <c r="S139" i="13"/>
  <c r="E140" i="13"/>
  <c r="F140" i="13"/>
  <c r="G140" i="13"/>
  <c r="H140" i="13"/>
  <c r="I140" i="13"/>
  <c r="J140" i="13"/>
  <c r="K140" i="13"/>
  <c r="L140" i="13"/>
  <c r="M140" i="13"/>
  <c r="N140" i="13"/>
  <c r="O140" i="13"/>
  <c r="P140" i="13"/>
  <c r="Q140" i="13"/>
  <c r="R140" i="13"/>
  <c r="S140" i="13"/>
  <c r="E141" i="13"/>
  <c r="F141" i="13"/>
  <c r="G141" i="13"/>
  <c r="H141" i="13"/>
  <c r="I141" i="13"/>
  <c r="J141" i="13"/>
  <c r="K141" i="13"/>
  <c r="L141" i="13"/>
  <c r="M141" i="13"/>
  <c r="N141" i="13"/>
  <c r="O141" i="13"/>
  <c r="P141" i="13"/>
  <c r="Q141" i="13"/>
  <c r="R141" i="13"/>
  <c r="S141" i="13"/>
  <c r="E142" i="13"/>
  <c r="F142" i="13"/>
  <c r="G142" i="13"/>
  <c r="H142" i="13"/>
  <c r="I142" i="13"/>
  <c r="J142" i="13"/>
  <c r="K142" i="13"/>
  <c r="L142" i="13"/>
  <c r="M142" i="13"/>
  <c r="N142" i="13"/>
  <c r="O142" i="13"/>
  <c r="P142" i="13"/>
  <c r="Q142" i="13"/>
  <c r="R142" i="13"/>
  <c r="S142" i="13"/>
  <c r="E143" i="13"/>
  <c r="F143" i="13"/>
  <c r="G143" i="13"/>
  <c r="H143" i="13"/>
  <c r="I143" i="13"/>
  <c r="J143" i="13"/>
  <c r="K143" i="13"/>
  <c r="L143" i="13"/>
  <c r="M143" i="13"/>
  <c r="N143" i="13"/>
  <c r="O143" i="13"/>
  <c r="P143" i="13"/>
  <c r="Q143" i="13"/>
  <c r="R143" i="13"/>
  <c r="S143" i="13"/>
  <c r="D145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H103" i="13" l="1"/>
  <c r="Q146" i="13"/>
  <c r="I146" i="13"/>
  <c r="U102" i="13"/>
  <c r="U103" i="13" s="1"/>
  <c r="Q103" i="13"/>
  <c r="P146" i="13"/>
  <c r="H146" i="13"/>
  <c r="T102" i="13"/>
  <c r="T103" i="13" s="1"/>
  <c r="P103" i="13"/>
  <c r="O146" i="13"/>
  <c r="G146" i="13"/>
  <c r="M146" i="13"/>
  <c r="E146" i="13"/>
  <c r="M103" i="13"/>
  <c r="W82" i="13"/>
  <c r="AA82" i="13" s="1"/>
  <c r="L146" i="13"/>
  <c r="L103" i="13"/>
  <c r="W102" i="13"/>
  <c r="W103" i="13" s="1"/>
  <c r="S103" i="13"/>
  <c r="N146" i="13"/>
  <c r="S146" i="13"/>
  <c r="K146" i="13"/>
  <c r="K103" i="13"/>
  <c r="F146" i="13"/>
  <c r="R146" i="13"/>
  <c r="J146" i="13"/>
  <c r="V102" i="13"/>
  <c r="V103" i="13" s="1"/>
  <c r="R103" i="13"/>
  <c r="J103" i="13"/>
  <c r="S74" i="13"/>
  <c r="S73" i="13" s="1"/>
  <c r="S116" i="13"/>
  <c r="S112" i="13"/>
  <c r="S81" i="13"/>
  <c r="S79" i="13"/>
  <c r="D146" i="13"/>
  <c r="S117" i="13"/>
  <c r="S114" i="13"/>
  <c r="S111" i="13"/>
  <c r="S98" i="13"/>
  <c r="C25" i="19"/>
  <c r="S113" i="13"/>
  <c r="S107" i="13"/>
  <c r="B25" i="19"/>
  <c r="S115" i="13"/>
  <c r="S108" i="13"/>
  <c r="S96" i="1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6" i="23"/>
  <c r="Y102" i="13" l="1"/>
  <c r="Y103" i="13" s="1"/>
  <c r="X102" i="13"/>
  <c r="X103" i="13" s="1"/>
  <c r="Z102" i="13"/>
  <c r="Z103" i="13" s="1"/>
  <c r="AA102" i="13"/>
  <c r="AA103" i="13" s="1"/>
  <c r="S118" i="13"/>
  <c r="S109" i="13"/>
  <c r="J54" i="23"/>
  <c r="E47" i="17"/>
  <c r="F47" i="17"/>
  <c r="G47" i="17"/>
  <c r="H47" i="17"/>
  <c r="I47" i="17"/>
  <c r="C41" i="17"/>
  <c r="D41" i="17"/>
  <c r="E41" i="17"/>
  <c r="F41" i="17"/>
  <c r="G41" i="17"/>
  <c r="H41" i="17"/>
  <c r="I41" i="17"/>
  <c r="B41" i="17"/>
  <c r="C28" i="17"/>
  <c r="D28" i="17"/>
  <c r="E28" i="17"/>
  <c r="F28" i="17"/>
  <c r="G28" i="17"/>
  <c r="H28" i="17"/>
  <c r="I28" i="17"/>
  <c r="C21" i="17"/>
  <c r="D21" i="17"/>
  <c r="E21" i="17"/>
  <c r="F21" i="17"/>
  <c r="G21" i="17"/>
  <c r="H21" i="17"/>
  <c r="I21" i="17"/>
  <c r="B21" i="17"/>
  <c r="C36" i="17"/>
  <c r="D36" i="17"/>
  <c r="E36" i="17"/>
  <c r="F36" i="17"/>
  <c r="G36" i="17"/>
  <c r="H36" i="17"/>
  <c r="I36" i="17"/>
  <c r="B36" i="17"/>
  <c r="C9" i="17"/>
  <c r="D9" i="17"/>
  <c r="E9" i="17"/>
  <c r="F9" i="17"/>
  <c r="G9" i="17"/>
  <c r="H9" i="17"/>
  <c r="I9" i="17"/>
  <c r="B9" i="17"/>
  <c r="C16" i="17"/>
  <c r="D16" i="17"/>
  <c r="E16" i="17"/>
  <c r="F16" i="17"/>
  <c r="G16" i="17"/>
  <c r="H16" i="17"/>
  <c r="I16" i="17"/>
  <c r="B16" i="17"/>
  <c r="C4" i="17"/>
  <c r="D4" i="17"/>
  <c r="E4" i="17"/>
  <c r="F4" i="17"/>
  <c r="G4" i="17"/>
  <c r="H4" i="17"/>
  <c r="I4" i="17"/>
  <c r="B4" i="17"/>
  <c r="R85" i="13"/>
  <c r="S120" i="13" l="1"/>
  <c r="R23" i="29"/>
  <c r="Q23" i="29"/>
  <c r="P23" i="29"/>
  <c r="O23" i="29"/>
  <c r="N23" i="29"/>
  <c r="M23" i="29"/>
  <c r="L23" i="29"/>
  <c r="K23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E27" i="25" l="1"/>
  <c r="E29" i="25"/>
  <c r="E25" i="25"/>
  <c r="T11" i="29"/>
  <c r="T18" i="29" s="1"/>
  <c r="U5" i="29"/>
  <c r="S11" i="29"/>
  <c r="T12" i="29" l="1"/>
  <c r="U11" i="29"/>
  <c r="V5" i="29"/>
  <c r="U12" i="29" l="1"/>
  <c r="U18" i="29"/>
  <c r="W5" i="29"/>
  <c r="V11" i="29"/>
  <c r="V18" i="29" s="1"/>
  <c r="V12" i="29" l="1"/>
  <c r="X5" i="29"/>
  <c r="W11" i="29"/>
  <c r="W18" i="29" s="1"/>
  <c r="W12" i="29" l="1"/>
  <c r="Y5" i="29"/>
  <c r="X11" i="29"/>
  <c r="X18" i="29" s="1"/>
  <c r="X12" i="29" l="1"/>
  <c r="Z5" i="29"/>
  <c r="Y11" i="29"/>
  <c r="Y18" i="29" s="1"/>
  <c r="Y12" i="29" l="1"/>
  <c r="Z11" i="29"/>
  <c r="Z18" i="29" s="1"/>
  <c r="AA5" i="29"/>
  <c r="Z12" i="29" l="1"/>
  <c r="AA11" i="29"/>
  <c r="AA18" i="29" s="1"/>
  <c r="AC18" i="29" l="1"/>
  <c r="AA12" i="29"/>
  <c r="AC12" i="29" s="1"/>
  <c r="AC23" i="29"/>
  <c r="L93" i="13"/>
  <c r="M103" i="23" l="1"/>
  <c r="M56" i="23"/>
  <c r="M90" i="23"/>
  <c r="E93" i="13"/>
  <c r="F93" i="13"/>
  <c r="G93" i="13"/>
  <c r="H93" i="13"/>
  <c r="I93" i="13"/>
  <c r="J93" i="13"/>
  <c r="K93" i="13"/>
  <c r="M93" i="13"/>
  <c r="N93" i="13"/>
  <c r="O93" i="13"/>
  <c r="S94" i="13" s="1"/>
  <c r="P93" i="13"/>
  <c r="P94" i="13" s="1"/>
  <c r="Q93" i="13"/>
  <c r="R93" i="13"/>
  <c r="D93" i="13"/>
  <c r="Y98" i="13"/>
  <c r="Z98" i="13"/>
  <c r="AA98" i="13"/>
  <c r="X98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Y73" i="13"/>
  <c r="Z73" i="13"/>
  <c r="AA73" i="13"/>
  <c r="X73" i="13"/>
  <c r="Y81" i="13"/>
  <c r="Z81" i="13"/>
  <c r="AA81" i="13"/>
  <c r="X81" i="13"/>
  <c r="Y79" i="13"/>
  <c r="Z79" i="13"/>
  <c r="AA79" i="13"/>
  <c r="X79" i="13"/>
  <c r="V93" i="13" l="1"/>
  <c r="V94" i="13" s="1"/>
  <c r="R94" i="13"/>
  <c r="Q94" i="13"/>
  <c r="B18" i="19"/>
  <c r="C18" i="19"/>
  <c r="D18" i="19"/>
  <c r="U93" i="13"/>
  <c r="U94" i="13" s="1"/>
  <c r="T93" i="13"/>
  <c r="T94" i="13" s="1"/>
  <c r="E18" i="19"/>
  <c r="W93" i="13"/>
  <c r="W94" i="13" s="1"/>
  <c r="Z93" i="13" l="1"/>
  <c r="Z94" i="13" s="1"/>
  <c r="X93" i="13"/>
  <c r="X94" i="13" s="1"/>
  <c r="Y93" i="13"/>
  <c r="Y94" i="13" s="1"/>
  <c r="AA93" i="13"/>
  <c r="AA94" i="13" s="1"/>
  <c r="F18" i="19"/>
  <c r="G18" i="19" l="1"/>
  <c r="I18" i="19" s="1"/>
  <c r="X70" i="13"/>
  <c r="Y70" i="13"/>
  <c r="Z70" i="13"/>
  <c r="AA70" i="13"/>
  <c r="AB70" i="13"/>
  <c r="N17" i="22" l="1"/>
  <c r="N16" i="22"/>
  <c r="N15" i="22"/>
  <c r="N11" i="22"/>
  <c r="N10" i="22"/>
  <c r="N9" i="22"/>
  <c r="N8" i="22"/>
  <c r="N7" i="22"/>
  <c r="N6" i="22"/>
  <c r="M17" i="22"/>
  <c r="M16" i="22"/>
  <c r="M15" i="22"/>
  <c r="M11" i="22"/>
  <c r="M9" i="22"/>
  <c r="M10" i="22"/>
  <c r="M8" i="22"/>
  <c r="M7" i="22"/>
  <c r="M6" i="22"/>
  <c r="L17" i="22"/>
  <c r="L16" i="22"/>
  <c r="L15" i="22"/>
  <c r="L11" i="22"/>
  <c r="L10" i="22"/>
  <c r="L9" i="22"/>
  <c r="L8" i="22"/>
  <c r="L7" i="22"/>
  <c r="L6" i="22"/>
  <c r="E85" i="13" l="1"/>
  <c r="F85" i="13"/>
  <c r="G85" i="13"/>
  <c r="H85" i="13"/>
  <c r="I85" i="13"/>
  <c r="J85" i="13"/>
  <c r="K85" i="13"/>
  <c r="L85" i="13"/>
  <c r="L86" i="13" s="1"/>
  <c r="M85" i="13"/>
  <c r="N85" i="13"/>
  <c r="O85" i="13"/>
  <c r="P85" i="13"/>
  <c r="Q85" i="13"/>
  <c r="Q86" i="13" s="1"/>
  <c r="F115" i="13"/>
  <c r="E107" i="13"/>
  <c r="K107" i="13"/>
  <c r="M107" i="13"/>
  <c r="N107" i="13"/>
  <c r="G111" i="13"/>
  <c r="O111" i="13"/>
  <c r="K108" i="13"/>
  <c r="F112" i="13"/>
  <c r="G112" i="13"/>
  <c r="H112" i="13"/>
  <c r="K112" i="13"/>
  <c r="N112" i="13"/>
  <c r="O112" i="13"/>
  <c r="P112" i="13"/>
  <c r="G113" i="13"/>
  <c r="J113" i="13"/>
  <c r="K113" i="13"/>
  <c r="O113" i="13"/>
  <c r="R113" i="13"/>
  <c r="G114" i="13"/>
  <c r="O114" i="13"/>
  <c r="J115" i="13"/>
  <c r="K115" i="13"/>
  <c r="R115" i="13"/>
  <c r="F117" i="13"/>
  <c r="G117" i="13"/>
  <c r="J117" i="13"/>
  <c r="N117" i="13"/>
  <c r="O117" i="13"/>
  <c r="R117" i="13"/>
  <c r="D112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E99" i="13"/>
  <c r="F99" i="13"/>
  <c r="G99" i="13"/>
  <c r="H99" i="13"/>
  <c r="I99" i="13"/>
  <c r="I100" i="13" s="1"/>
  <c r="J99" i="13"/>
  <c r="K99" i="13"/>
  <c r="L99" i="13"/>
  <c r="M99" i="13"/>
  <c r="N99" i="13"/>
  <c r="N100" i="13" s="1"/>
  <c r="O99" i="13"/>
  <c r="P99" i="13"/>
  <c r="P100" i="13" s="1"/>
  <c r="Q99" i="13"/>
  <c r="Q100" i="13" s="1"/>
  <c r="R99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E72" i="13"/>
  <c r="F72" i="13"/>
  <c r="G72" i="13"/>
  <c r="I72" i="13"/>
  <c r="J72" i="13"/>
  <c r="K72" i="13"/>
  <c r="L72" i="13"/>
  <c r="M72" i="13"/>
  <c r="N72" i="13"/>
  <c r="O72" i="13"/>
  <c r="P72" i="13"/>
  <c r="Q72" i="13"/>
  <c r="R72" i="13"/>
  <c r="E82" i="13"/>
  <c r="F82" i="13"/>
  <c r="G82" i="13"/>
  <c r="H82" i="13"/>
  <c r="H83" i="13" s="1"/>
  <c r="I82" i="13"/>
  <c r="J82" i="13"/>
  <c r="K82" i="13"/>
  <c r="L82" i="13"/>
  <c r="M82" i="13"/>
  <c r="M83" i="13" s="1"/>
  <c r="N82" i="13"/>
  <c r="N83" i="13" s="1"/>
  <c r="O82" i="13"/>
  <c r="P82" i="13"/>
  <c r="Q82" i="13"/>
  <c r="R82" i="13"/>
  <c r="D82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D99" i="13"/>
  <c r="D97" i="13"/>
  <c r="D85" i="13"/>
  <c r="D86" i="13" s="1"/>
  <c r="D72" i="13"/>
  <c r="D71" i="13"/>
  <c r="D80" i="13"/>
  <c r="D78" i="13"/>
  <c r="I86" i="13" l="1"/>
  <c r="H86" i="13"/>
  <c r="T82" i="13"/>
  <c r="X82" i="13" s="1"/>
  <c r="P83" i="13"/>
  <c r="O83" i="13"/>
  <c r="S83" i="13"/>
  <c r="H100" i="13"/>
  <c r="K86" i="13"/>
  <c r="O100" i="13"/>
  <c r="S100" i="13"/>
  <c r="J86" i="13"/>
  <c r="K83" i="13"/>
  <c r="L100" i="13"/>
  <c r="O86" i="13"/>
  <c r="G86" i="13"/>
  <c r="L83" i="13"/>
  <c r="P86" i="13"/>
  <c r="S86" i="13"/>
  <c r="R86" i="13"/>
  <c r="V82" i="13"/>
  <c r="Z82" i="13" s="1"/>
  <c r="R83" i="13"/>
  <c r="J83" i="13"/>
  <c r="K100" i="13"/>
  <c r="N86" i="13"/>
  <c r="F86" i="13"/>
  <c r="M100" i="13"/>
  <c r="U82" i="13"/>
  <c r="Y82" i="13" s="1"/>
  <c r="Q83" i="13"/>
  <c r="I83" i="13"/>
  <c r="R100" i="13"/>
  <c r="J100" i="13"/>
  <c r="M86" i="13"/>
  <c r="E86" i="13"/>
  <c r="B13" i="19"/>
  <c r="C6" i="19"/>
  <c r="B6" i="19"/>
  <c r="G74" i="13"/>
  <c r="B5" i="19"/>
  <c r="B10" i="19"/>
  <c r="C13" i="19"/>
  <c r="D88" i="9"/>
  <c r="B88" i="9"/>
  <c r="B21" i="19"/>
  <c r="C10" i="19"/>
  <c r="E88" i="9"/>
  <c r="B94" i="9" s="1"/>
  <c r="C88" i="9"/>
  <c r="C11" i="19"/>
  <c r="B11" i="19"/>
  <c r="C5" i="19"/>
  <c r="C21" i="19"/>
  <c r="L114" i="13"/>
  <c r="P108" i="13"/>
  <c r="H108" i="13"/>
  <c r="O74" i="13"/>
  <c r="O73" i="13" s="1"/>
  <c r="K117" i="13"/>
  <c r="O115" i="13"/>
  <c r="O118" i="13" s="1"/>
  <c r="G115" i="13"/>
  <c r="K114" i="13"/>
  <c r="Q113" i="13"/>
  <c r="I113" i="13"/>
  <c r="O108" i="13"/>
  <c r="G108" i="13"/>
  <c r="M111" i="13"/>
  <c r="E111" i="13"/>
  <c r="K111" i="13"/>
  <c r="O107" i="13"/>
  <c r="G107" i="13"/>
  <c r="D111" i="13"/>
  <c r="D114" i="13"/>
  <c r="D117" i="13"/>
  <c r="Q117" i="13"/>
  <c r="E115" i="13"/>
  <c r="I117" i="13"/>
  <c r="M115" i="13"/>
  <c r="E30" i="17"/>
  <c r="V99" i="13"/>
  <c r="V100" i="13" s="1"/>
  <c r="D108" i="13"/>
  <c r="D115" i="13"/>
  <c r="P116" i="13"/>
  <c r="H116" i="13"/>
  <c r="N115" i="13"/>
  <c r="F107" i="13"/>
  <c r="U99" i="13"/>
  <c r="U100" i="13" s="1"/>
  <c r="D18" i="17"/>
  <c r="D116" i="13"/>
  <c r="N116" i="13"/>
  <c r="F116" i="13"/>
  <c r="N114" i="13"/>
  <c r="F114" i="13"/>
  <c r="R108" i="13"/>
  <c r="J108" i="13"/>
  <c r="N111" i="13"/>
  <c r="F111" i="13"/>
  <c r="R107" i="13"/>
  <c r="J107" i="13"/>
  <c r="D11" i="17"/>
  <c r="E48" i="17"/>
  <c r="D25" i="19"/>
  <c r="P117" i="13"/>
  <c r="J13" i="26" s="1"/>
  <c r="H117" i="13"/>
  <c r="L115" i="13"/>
  <c r="P114" i="13"/>
  <c r="H114" i="13"/>
  <c r="L113" i="13"/>
  <c r="L108" i="13"/>
  <c r="P111" i="13"/>
  <c r="H111" i="13"/>
  <c r="L107" i="13"/>
  <c r="E23" i="17"/>
  <c r="D11" i="19"/>
  <c r="K109" i="13"/>
  <c r="D13" i="19"/>
  <c r="M117" i="13"/>
  <c r="E117" i="13"/>
  <c r="M116" i="13"/>
  <c r="E116" i="13"/>
  <c r="Q115" i="13"/>
  <c r="I115" i="13"/>
  <c r="M114" i="13"/>
  <c r="E114" i="13"/>
  <c r="M112" i="13"/>
  <c r="E112" i="13"/>
  <c r="G8" i="26" s="1"/>
  <c r="Q108" i="13"/>
  <c r="I108" i="13"/>
  <c r="Q107" i="13"/>
  <c r="I107" i="13"/>
  <c r="E11" i="17"/>
  <c r="D6" i="19"/>
  <c r="D48" i="17"/>
  <c r="D21" i="19"/>
  <c r="D107" i="13"/>
  <c r="D113" i="13"/>
  <c r="L117" i="13"/>
  <c r="L116" i="13"/>
  <c r="P115" i="13"/>
  <c r="H115" i="13"/>
  <c r="P113" i="13"/>
  <c r="H113" i="13"/>
  <c r="L112" i="13"/>
  <c r="L111" i="13"/>
  <c r="P107" i="13"/>
  <c r="H107" i="13"/>
  <c r="O116" i="13"/>
  <c r="G116" i="13"/>
  <c r="K116" i="13"/>
  <c r="L74" i="13"/>
  <c r="D5" i="19"/>
  <c r="H96" i="13"/>
  <c r="D42" i="17"/>
  <c r="D23" i="17"/>
  <c r="E18" i="17"/>
  <c r="E42" i="17"/>
  <c r="R116" i="13"/>
  <c r="J116" i="13"/>
  <c r="R114" i="13"/>
  <c r="J114" i="13"/>
  <c r="N113" i="13"/>
  <c r="F113" i="13"/>
  <c r="R112" i="13"/>
  <c r="J112" i="13"/>
  <c r="N108" i="13"/>
  <c r="N109" i="13" s="1"/>
  <c r="F108" i="13"/>
  <c r="R111" i="13"/>
  <c r="J111" i="13"/>
  <c r="D10" i="19"/>
  <c r="Q116" i="13"/>
  <c r="I116" i="13"/>
  <c r="Q114" i="13"/>
  <c r="I114" i="13"/>
  <c r="M113" i="13"/>
  <c r="E113" i="13"/>
  <c r="Q112" i="13"/>
  <c r="I112" i="13"/>
  <c r="M108" i="13"/>
  <c r="M109" i="13" s="1"/>
  <c r="E108" i="13"/>
  <c r="E109" i="13" s="1"/>
  <c r="Q111" i="13"/>
  <c r="I111" i="13"/>
  <c r="F18" i="17"/>
  <c r="U117" i="13"/>
  <c r="O96" i="13"/>
  <c r="G96" i="13"/>
  <c r="P96" i="13"/>
  <c r="T99" i="13"/>
  <c r="T100" i="13" s="1"/>
  <c r="T117" i="13"/>
  <c r="N98" i="13"/>
  <c r="F96" i="13"/>
  <c r="R98" i="13"/>
  <c r="K96" i="13"/>
  <c r="Q79" i="13"/>
  <c r="R74" i="13"/>
  <c r="J74" i="13"/>
  <c r="L96" i="13"/>
  <c r="M96" i="13"/>
  <c r="Q81" i="13"/>
  <c r="R96" i="13"/>
  <c r="J96" i="13"/>
  <c r="Q96" i="13"/>
  <c r="I96" i="13"/>
  <c r="M74" i="13"/>
  <c r="E74" i="13"/>
  <c r="E73" i="13" s="1"/>
  <c r="M98" i="13"/>
  <c r="E96" i="13"/>
  <c r="N96" i="13"/>
  <c r="K74" i="13"/>
  <c r="Q74" i="13"/>
  <c r="I74" i="13"/>
  <c r="Q98" i="13"/>
  <c r="J98" i="13"/>
  <c r="I98" i="13"/>
  <c r="P74" i="13"/>
  <c r="H74" i="13"/>
  <c r="F98" i="13"/>
  <c r="L98" i="13"/>
  <c r="E98" i="13"/>
  <c r="K98" i="13"/>
  <c r="R81" i="13"/>
  <c r="P98" i="13"/>
  <c r="H98" i="13"/>
  <c r="O98" i="13"/>
  <c r="G98" i="13"/>
  <c r="N74" i="13"/>
  <c r="F74" i="13"/>
  <c r="F73" i="13" s="1"/>
  <c r="G73" i="13"/>
  <c r="R79" i="13"/>
  <c r="D96" i="13"/>
  <c r="H3" i="26" l="1"/>
  <c r="J3" i="26"/>
  <c r="Z99" i="13"/>
  <c r="Z100" i="13" s="1"/>
  <c r="N118" i="13"/>
  <c r="N120" i="13" s="1"/>
  <c r="J9" i="26"/>
  <c r="B7" i="19"/>
  <c r="B12" i="19"/>
  <c r="C25" i="17" s="1"/>
  <c r="B8" i="19"/>
  <c r="H8" i="26"/>
  <c r="Q109" i="13"/>
  <c r="C8" i="19"/>
  <c r="I7" i="26"/>
  <c r="H109" i="13"/>
  <c r="K118" i="13"/>
  <c r="K120" i="13" s="1"/>
  <c r="G118" i="13"/>
  <c r="R75" i="13"/>
  <c r="J109" i="13"/>
  <c r="G11" i="26"/>
  <c r="T80" i="13"/>
  <c r="I13" i="26"/>
  <c r="I11" i="26"/>
  <c r="R109" i="13"/>
  <c r="G4" i="26"/>
  <c r="J4" i="26"/>
  <c r="J5" i="26" s="1"/>
  <c r="J8" i="26"/>
  <c r="C20" i="19"/>
  <c r="C23" i="19" s="1"/>
  <c r="I10" i="26"/>
  <c r="P75" i="13"/>
  <c r="I8" i="26"/>
  <c r="G3" i="26"/>
  <c r="C12" i="19"/>
  <c r="D25" i="17" s="1"/>
  <c r="I12" i="26"/>
  <c r="J10" i="26"/>
  <c r="H4" i="26"/>
  <c r="J73" i="13"/>
  <c r="J75" i="13"/>
  <c r="G9" i="26"/>
  <c r="I109" i="13"/>
  <c r="L109" i="13"/>
  <c r="I3" i="26"/>
  <c r="H13" i="26"/>
  <c r="F118" i="13"/>
  <c r="G12" i="26"/>
  <c r="C7" i="19"/>
  <c r="H7" i="26"/>
  <c r="M73" i="13"/>
  <c r="M75" i="13"/>
  <c r="I73" i="13"/>
  <c r="I75" i="13"/>
  <c r="Q75" i="13"/>
  <c r="L75" i="13"/>
  <c r="H9" i="26"/>
  <c r="J7" i="26"/>
  <c r="G13" i="26"/>
  <c r="K73" i="13"/>
  <c r="K75" i="13"/>
  <c r="I4" i="26"/>
  <c r="G10" i="26"/>
  <c r="C15" i="19"/>
  <c r="C14" i="19"/>
  <c r="N73" i="13"/>
  <c r="N75" i="13"/>
  <c r="H11" i="26"/>
  <c r="I9" i="26"/>
  <c r="H12" i="26"/>
  <c r="G7" i="26"/>
  <c r="B20" i="19"/>
  <c r="B23" i="19" s="1"/>
  <c r="J11" i="26"/>
  <c r="H10" i="26"/>
  <c r="J12" i="26"/>
  <c r="G109" i="13"/>
  <c r="W74" i="13"/>
  <c r="AA74" i="13" s="1"/>
  <c r="O75" i="13"/>
  <c r="S75" i="13"/>
  <c r="B15" i="19"/>
  <c r="B14" i="19"/>
  <c r="D15" i="19"/>
  <c r="H118" i="13"/>
  <c r="M118" i="13"/>
  <c r="M120" i="13" s="1"/>
  <c r="P118" i="13"/>
  <c r="R118" i="13"/>
  <c r="P109" i="13"/>
  <c r="I118" i="13"/>
  <c r="E25" i="19"/>
  <c r="F25" i="19"/>
  <c r="F48" i="17"/>
  <c r="V117" i="13"/>
  <c r="Y99" i="13"/>
  <c r="Y100" i="13" s="1"/>
  <c r="F6" i="17"/>
  <c r="D14" i="19"/>
  <c r="E32" i="17" s="1"/>
  <c r="O109" i="13"/>
  <c r="O120" i="13" s="1"/>
  <c r="J118" i="13"/>
  <c r="Q118" i="13"/>
  <c r="Q120" i="13" s="1"/>
  <c r="F109" i="13"/>
  <c r="L118" i="13"/>
  <c r="E118" i="13"/>
  <c r="E120" i="13" s="1"/>
  <c r="D8" i="19"/>
  <c r="Z117" i="13"/>
  <c r="Y117" i="13"/>
  <c r="D12" i="19"/>
  <c r="E25" i="17" s="1"/>
  <c r="H73" i="13"/>
  <c r="Z80" i="13"/>
  <c r="D7" i="19"/>
  <c r="E13" i="17" s="1"/>
  <c r="D20" i="19"/>
  <c r="D23" i="19" s="1"/>
  <c r="E6" i="17"/>
  <c r="L73" i="13"/>
  <c r="Y80" i="13"/>
  <c r="Z78" i="13"/>
  <c r="X99" i="13"/>
  <c r="X100" i="13" s="1"/>
  <c r="G48" i="17"/>
  <c r="W99" i="13"/>
  <c r="W100" i="13" s="1"/>
  <c r="F42" i="17"/>
  <c r="X117" i="13"/>
  <c r="G18" i="17"/>
  <c r="P73" i="13"/>
  <c r="T74" i="13"/>
  <c r="W117" i="13"/>
  <c r="Q73" i="13"/>
  <c r="U74" i="13"/>
  <c r="R73" i="13"/>
  <c r="V74" i="13"/>
  <c r="H5" i="26" l="1"/>
  <c r="Z97" i="13"/>
  <c r="Z96" i="13" s="1"/>
  <c r="Z116" i="13" s="1"/>
  <c r="Y78" i="13"/>
  <c r="Y77" i="13" s="1"/>
  <c r="T113" i="13"/>
  <c r="I120" i="13"/>
  <c r="F120" i="13"/>
  <c r="H26" i="26"/>
  <c r="J120" i="13"/>
  <c r="P120" i="13"/>
  <c r="H18" i="17"/>
  <c r="X80" i="13"/>
  <c r="X113" i="13" s="1"/>
  <c r="G5" i="26"/>
  <c r="R120" i="13"/>
  <c r="X78" i="13"/>
  <c r="X112" i="13" s="1"/>
  <c r="G120" i="13"/>
  <c r="C22" i="19"/>
  <c r="J14" i="26"/>
  <c r="I27" i="26"/>
  <c r="J16" i="26"/>
  <c r="B22" i="19"/>
  <c r="I5" i="26"/>
  <c r="G16" i="26"/>
  <c r="G14" i="26"/>
  <c r="H14" i="26"/>
  <c r="I14" i="26"/>
  <c r="L120" i="13"/>
  <c r="I26" i="26"/>
  <c r="H16" i="26"/>
  <c r="I16" i="26"/>
  <c r="K13" i="26"/>
  <c r="Y97" i="13"/>
  <c r="Y96" i="13" s="1"/>
  <c r="Y116" i="13" s="1"/>
  <c r="H120" i="13"/>
  <c r="H27" i="26"/>
  <c r="Z113" i="13"/>
  <c r="Z112" i="13"/>
  <c r="AA99" i="13"/>
  <c r="AA100" i="13" s="1"/>
  <c r="D22" i="19"/>
  <c r="E44" i="17" s="1"/>
  <c r="Y113" i="13"/>
  <c r="Z74" i="13"/>
  <c r="Y74" i="13"/>
  <c r="AA72" i="13"/>
  <c r="Z77" i="13"/>
  <c r="AA78" i="13"/>
  <c r="AA80" i="13"/>
  <c r="X74" i="13"/>
  <c r="G6" i="17"/>
  <c r="H48" i="17"/>
  <c r="G42" i="17"/>
  <c r="X97" i="13"/>
  <c r="Y112" i="13" l="1"/>
  <c r="J27" i="26"/>
  <c r="J26" i="26"/>
  <c r="X77" i="13"/>
  <c r="X108" i="13" s="1"/>
  <c r="G13" i="19"/>
  <c r="I103" i="23" s="1"/>
  <c r="L98" i="23" s="1"/>
  <c r="M98" i="23" s="1"/>
  <c r="G18" i="26"/>
  <c r="I18" i="26"/>
  <c r="J18" i="26"/>
  <c r="H18" i="26"/>
  <c r="AA117" i="13"/>
  <c r="G25" i="19"/>
  <c r="I25" i="19" s="1"/>
  <c r="AA97" i="13"/>
  <c r="AA96" i="13" s="1"/>
  <c r="AA116" i="13" s="1"/>
  <c r="Z108" i="13"/>
  <c r="Y108" i="13"/>
  <c r="H42" i="17"/>
  <c r="AA113" i="13"/>
  <c r="C9" i="26" s="1"/>
  <c r="AA112" i="13"/>
  <c r="Y72" i="13"/>
  <c r="Y111" i="13" s="1"/>
  <c r="G11" i="19"/>
  <c r="I90" i="23" s="1"/>
  <c r="AA77" i="13"/>
  <c r="H6" i="17"/>
  <c r="AA111" i="13"/>
  <c r="AA71" i="13"/>
  <c r="Z72" i="13"/>
  <c r="X72" i="13"/>
  <c r="X96" i="13"/>
  <c r="X116" i="13" s="1"/>
  <c r="C8" i="26" l="1"/>
  <c r="L99" i="23"/>
  <c r="M99" i="23" s="1"/>
  <c r="L103" i="23" s="1"/>
  <c r="L64" i="23"/>
  <c r="M64" i="23" s="1"/>
  <c r="L65" i="23"/>
  <c r="M65" i="23" s="1"/>
  <c r="L66" i="23"/>
  <c r="M66" i="23" s="1"/>
  <c r="L63" i="23"/>
  <c r="M63" i="23" s="1"/>
  <c r="Y71" i="13"/>
  <c r="Y107" i="13" s="1"/>
  <c r="Y109" i="13" s="1"/>
  <c r="C13" i="26"/>
  <c r="L13" i="26"/>
  <c r="L8" i="26"/>
  <c r="L9" i="26"/>
  <c r="G21" i="19"/>
  <c r="AA108" i="13"/>
  <c r="C4" i="26" s="1"/>
  <c r="G6" i="19"/>
  <c r="I56" i="23" s="1"/>
  <c r="AA107" i="13"/>
  <c r="G10" i="19"/>
  <c r="G15" i="19" s="1"/>
  <c r="X71" i="13"/>
  <c r="X111" i="13"/>
  <c r="Z111" i="13"/>
  <c r="Z71" i="13"/>
  <c r="G20" i="19"/>
  <c r="L6" i="23" l="1"/>
  <c r="L7" i="23"/>
  <c r="L8" i="23"/>
  <c r="AA24" i="29"/>
  <c r="X24" i="29"/>
  <c r="Y24" i="29"/>
  <c r="Z24" i="29"/>
  <c r="L90" i="23"/>
  <c r="C12" i="26"/>
  <c r="L12" i="26"/>
  <c r="L7" i="26"/>
  <c r="AA109" i="13"/>
  <c r="L4" i="26"/>
  <c r="Z107" i="13"/>
  <c r="Z109" i="13" s="1"/>
  <c r="X107" i="13"/>
  <c r="G12" i="19"/>
  <c r="H25" i="17" s="1"/>
  <c r="G14" i="19"/>
  <c r="H32" i="17" s="1"/>
  <c r="C7" i="26"/>
  <c r="G5" i="19"/>
  <c r="G22" i="19"/>
  <c r="H44" i="17" s="1"/>
  <c r="G23" i="19"/>
  <c r="Z19" i="29" l="1"/>
  <c r="AA19" i="29"/>
  <c r="X19" i="29"/>
  <c r="Y19" i="29"/>
  <c r="X109" i="13"/>
  <c r="L3" i="26"/>
  <c r="C3" i="26"/>
  <c r="C5" i="26" s="1"/>
  <c r="G7" i="19"/>
  <c r="H13" i="17" s="1"/>
  <c r="G8" i="19"/>
  <c r="E1" i="9"/>
  <c r="B1" i="9"/>
  <c r="C34" i="9" s="1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8" i="9"/>
  <c r="M8" i="9"/>
  <c r="H30" i="9"/>
  <c r="L5" i="26" l="1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D70" i="13"/>
  <c r="Y115" i="13" l="1"/>
  <c r="Z115" i="13"/>
  <c r="AA115" i="13"/>
  <c r="X115" i="13"/>
  <c r="T115" i="13"/>
  <c r="U115" i="13"/>
  <c r="V115" i="13"/>
  <c r="W115" i="13"/>
  <c r="D109" i="13"/>
  <c r="L11" i="26" l="1"/>
  <c r="K11" i="26"/>
  <c r="C11" i="26"/>
  <c r="H25" i="26"/>
  <c r="D118" i="13"/>
  <c r="I25" i="26" s="1"/>
  <c r="J25" i="26" l="1"/>
  <c r="D120" i="13"/>
  <c r="D88" i="13"/>
  <c r="D91" i="13" s="1"/>
  <c r="E88" i="13"/>
  <c r="E91" i="13" s="1"/>
  <c r="F88" i="13"/>
  <c r="F91" i="13" s="1"/>
  <c r="G88" i="13"/>
  <c r="G91" i="13" s="1"/>
  <c r="H88" i="13"/>
  <c r="I88" i="13"/>
  <c r="J88" i="13"/>
  <c r="J91" i="13" s="1"/>
  <c r="K88" i="13"/>
  <c r="K91" i="13" s="1"/>
  <c r="L88" i="13"/>
  <c r="L91" i="13" s="1"/>
  <c r="M88" i="13"/>
  <c r="M91" i="13" s="1"/>
  <c r="N88" i="13"/>
  <c r="O88" i="13"/>
  <c r="I89" i="13" l="1"/>
  <c r="I91" i="13"/>
  <c r="H89" i="13"/>
  <c r="H91" i="13"/>
  <c r="O89" i="13"/>
  <c r="O91" i="13"/>
  <c r="N89" i="13"/>
  <c r="N91" i="13"/>
  <c r="M89" i="13"/>
  <c r="L89" i="13"/>
  <c r="K89" i="13"/>
  <c r="J89" i="13"/>
  <c r="B17" i="19"/>
  <c r="C17" i="19"/>
  <c r="D87" i="13"/>
  <c r="B91" i="9"/>
  <c r="K87" i="13"/>
  <c r="J87" i="13"/>
  <c r="I87" i="13"/>
  <c r="B92" i="9"/>
  <c r="G87" i="13"/>
  <c r="F87" i="13"/>
  <c r="E87" i="13"/>
  <c r="B93" i="9"/>
  <c r="H87" i="13"/>
  <c r="D38" i="17"/>
  <c r="E38" i="17"/>
  <c r="D17" i="19"/>
  <c r="O87" i="13"/>
  <c r="M87" i="13"/>
  <c r="N87" i="13"/>
  <c r="L87" i="13"/>
  <c r="E81" i="13"/>
  <c r="M81" i="13"/>
  <c r="J81" i="13"/>
  <c r="J79" i="13"/>
  <c r="K81" i="13"/>
  <c r="K79" i="13"/>
  <c r="E79" i="13"/>
  <c r="D81" i="13"/>
  <c r="S88" i="13" l="1"/>
  <c r="Q88" i="13"/>
  <c r="Q91" i="13" s="1"/>
  <c r="M79" i="13"/>
  <c r="I79" i="13"/>
  <c r="I81" i="13"/>
  <c r="L79" i="13"/>
  <c r="L81" i="13"/>
  <c r="H81" i="13"/>
  <c r="H79" i="13"/>
  <c r="P81" i="13"/>
  <c r="P79" i="13"/>
  <c r="F79" i="13"/>
  <c r="F81" i="13"/>
  <c r="O81" i="13"/>
  <c r="O79" i="13"/>
  <c r="G79" i="13"/>
  <c r="G81" i="13"/>
  <c r="N79" i="13"/>
  <c r="N81" i="13"/>
  <c r="D98" i="13"/>
  <c r="D74" i="13"/>
  <c r="H75" i="13" s="1"/>
  <c r="D79" i="13"/>
  <c r="S89" i="13" l="1"/>
  <c r="S91" i="13"/>
  <c r="Q87" i="13"/>
  <c r="Q89" i="13"/>
  <c r="S87" i="13"/>
  <c r="P88" i="13"/>
  <c r="P91" i="13" s="1"/>
  <c r="D73" i="13"/>
  <c r="D6" i="17"/>
  <c r="R88" i="13"/>
  <c r="R91" i="13" s="1"/>
  <c r="R87" i="13" l="1"/>
  <c r="R89" i="13"/>
  <c r="P87" i="13"/>
  <c r="P89" i="13"/>
  <c r="AA87" i="13"/>
  <c r="U87" i="13"/>
  <c r="T72" i="13"/>
  <c r="T78" i="13"/>
  <c r="X87" i="13" l="1"/>
  <c r="T87" i="13"/>
  <c r="W87" i="13"/>
  <c r="Y87" i="13"/>
  <c r="Z87" i="13"/>
  <c r="V87" i="13"/>
  <c r="T71" i="13"/>
  <c r="T111" i="13"/>
  <c r="T77" i="13"/>
  <c r="T112" i="13"/>
  <c r="W72" i="13"/>
  <c r="U72" i="13"/>
  <c r="U111" i="13" l="1"/>
  <c r="W111" i="13"/>
  <c r="F11" i="17"/>
  <c r="F30" i="17"/>
  <c r="F38" i="17"/>
  <c r="E17" i="19"/>
  <c r="F23" i="17"/>
  <c r="E11" i="19"/>
  <c r="I11" i="19" s="1"/>
  <c r="T108" i="13"/>
  <c r="T107" i="13"/>
  <c r="E6" i="19"/>
  <c r="I6" i="19" s="1"/>
  <c r="E13" i="19"/>
  <c r="I13" i="19" s="1"/>
  <c r="U78" i="13"/>
  <c r="U80" i="13"/>
  <c r="U71" i="13"/>
  <c r="W80" i="13"/>
  <c r="W78" i="13"/>
  <c r="V72" i="13"/>
  <c r="W71" i="13"/>
  <c r="V78" i="13"/>
  <c r="V80" i="13"/>
  <c r="L13" i="22"/>
  <c r="U107" i="13" l="1"/>
  <c r="V113" i="13"/>
  <c r="E10" i="19"/>
  <c r="I10" i="19" s="1"/>
  <c r="V112" i="13"/>
  <c r="W112" i="13"/>
  <c r="W107" i="13"/>
  <c r="F6" i="19"/>
  <c r="W113" i="13"/>
  <c r="T109" i="13"/>
  <c r="G11" i="17"/>
  <c r="H11" i="17"/>
  <c r="G30" i="17"/>
  <c r="H30" i="17"/>
  <c r="G23" i="17"/>
  <c r="H23" i="17"/>
  <c r="U112" i="13"/>
  <c r="F11" i="19"/>
  <c r="U113" i="13"/>
  <c r="F13" i="19"/>
  <c r="E5" i="19"/>
  <c r="I5" i="19" s="1"/>
  <c r="V71" i="13"/>
  <c r="V111" i="13"/>
  <c r="K7" i="26" s="1"/>
  <c r="U77" i="13"/>
  <c r="W77" i="13"/>
  <c r="V77" i="1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6" i="23"/>
  <c r="M8" i="23" l="1"/>
  <c r="M7" i="23"/>
  <c r="M6" i="23"/>
  <c r="I54" i="23"/>
  <c r="J56" i="23" s="1"/>
  <c r="K9" i="26"/>
  <c r="K8" i="26"/>
  <c r="V107" i="13"/>
  <c r="K3" i="26" s="1"/>
  <c r="U108" i="13"/>
  <c r="F10" i="19"/>
  <c r="F15" i="19" s="1"/>
  <c r="F5" i="19"/>
  <c r="H28" i="26"/>
  <c r="W108" i="13"/>
  <c r="W109" i="13" s="1"/>
  <c r="V108" i="13"/>
  <c r="L56" i="23" l="1"/>
  <c r="U109" i="13"/>
  <c r="K4" i="26"/>
  <c r="K5" i="26" s="1"/>
  <c r="V109" i="13"/>
  <c r="F12" i="19"/>
  <c r="G25" i="17" s="1"/>
  <c r="F8" i="19"/>
  <c r="F7" i="19"/>
  <c r="G13" i="17" s="1"/>
  <c r="F14" i="19"/>
  <c r="G32" i="17" s="1"/>
  <c r="X13" i="29" l="1"/>
  <c r="Y13" i="29"/>
  <c r="Z13" i="29"/>
  <c r="AA13" i="29"/>
  <c r="H29" i="26"/>
  <c r="H30" i="26" s="1"/>
  <c r="E15" i="19"/>
  <c r="E7" i="19"/>
  <c r="F13" i="17" s="1"/>
  <c r="E12" i="19"/>
  <c r="F25" i="17" s="1"/>
  <c r="E14" i="19"/>
  <c r="F32" i="17" s="1"/>
  <c r="E8" i="19"/>
  <c r="I8" i="19" l="1"/>
  <c r="I15" i="19"/>
  <c r="T97" i="13"/>
  <c r="V97" i="13" l="1"/>
  <c r="V96" i="13" s="1"/>
  <c r="V116" i="13" s="1"/>
  <c r="U97" i="13"/>
  <c r="U96" i="13" s="1"/>
  <c r="U116" i="13" s="1"/>
  <c r="W97" i="13"/>
  <c r="W96" i="13" s="1"/>
  <c r="W116" i="13" s="1"/>
  <c r="T96" i="13"/>
  <c r="T116" i="13" s="1"/>
  <c r="E72" i="9"/>
  <c r="F20" i="19" l="1"/>
  <c r="E21" i="19"/>
  <c r="I21" i="19" s="1"/>
  <c r="F21" i="1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N11" i="9" s="1"/>
  <c r="H10" i="9"/>
  <c r="N10" i="9" s="1"/>
  <c r="H9" i="9"/>
  <c r="H8" i="9"/>
  <c r="H7" i="9"/>
  <c r="H6" i="9"/>
  <c r="H5" i="9"/>
  <c r="H4" i="9"/>
  <c r="N12" i="9" l="1"/>
  <c r="N18" i="9"/>
  <c r="N20" i="9"/>
  <c r="C92" i="9"/>
  <c r="D92" i="9" s="1"/>
  <c r="N19" i="9"/>
  <c r="N13" i="9"/>
  <c r="N21" i="9"/>
  <c r="C91" i="9"/>
  <c r="D91" i="9" s="1"/>
  <c r="C93" i="9"/>
  <c r="D93" i="9" s="1"/>
  <c r="K12" i="26"/>
  <c r="F23" i="19"/>
  <c r="F22" i="19"/>
  <c r="G44" i="17" s="1"/>
  <c r="E20" i="19"/>
  <c r="I20" i="19" s="1"/>
  <c r="N22" i="9"/>
  <c r="N23" i="9"/>
  <c r="N14" i="9"/>
  <c r="N15" i="9"/>
  <c r="N8" i="9"/>
  <c r="N16" i="9"/>
  <c r="N9" i="9"/>
  <c r="N17" i="9"/>
  <c r="N25" i="9"/>
  <c r="N26" i="9"/>
  <c r="N30" i="9"/>
  <c r="N27" i="9"/>
  <c r="N24" i="9"/>
  <c r="N28" i="9"/>
  <c r="B72" i="9"/>
  <c r="I28" i="26" l="1"/>
  <c r="E23" i="19"/>
  <c r="I23" i="19" s="1"/>
  <c r="E22" i="19"/>
  <c r="F44" i="17" s="1"/>
  <c r="J28" i="26" l="1"/>
  <c r="H29" i="9"/>
  <c r="N29" i="9" l="1"/>
  <c r="H73" i="9"/>
  <c r="H1" i="9" s="1"/>
  <c r="H31" i="9"/>
  <c r="U91" i="13" l="1"/>
  <c r="V91" i="13"/>
  <c r="T91" i="13"/>
  <c r="C94" i="9"/>
  <c r="D94" i="9" s="1"/>
  <c r="D95" i="9" s="1"/>
  <c r="W91" i="13"/>
  <c r="AA91" i="13"/>
  <c r="X91" i="13"/>
  <c r="Y91" i="13"/>
  <c r="Z91" i="13"/>
  <c r="E71" i="9"/>
  <c r="B71" i="9"/>
  <c r="E70" i="9"/>
  <c r="B70" i="9"/>
  <c r="E69" i="9"/>
  <c r="B69" i="9"/>
  <c r="E68" i="9"/>
  <c r="E31" i="25" l="1"/>
  <c r="E32" i="25"/>
  <c r="B39" i="9"/>
  <c r="H71" i="9"/>
  <c r="H68" i="9"/>
  <c r="H72" i="9"/>
  <c r="E37" i="17" s="1"/>
  <c r="H70" i="9"/>
  <c r="C37" i="17" s="1"/>
  <c r="H69" i="9"/>
  <c r="B37" i="17" s="1"/>
  <c r="B37" i="9" l="1"/>
  <c r="B41" i="9" s="1"/>
  <c r="B45" i="9" s="1"/>
  <c r="B49" i="9" s="1"/>
  <c r="B53" i="9" s="1"/>
  <c r="B57" i="9" s="1"/>
  <c r="B38" i="9"/>
  <c r="B42" i="9" s="1"/>
  <c r="B46" i="9" s="1"/>
  <c r="B50" i="9" s="1"/>
  <c r="B54" i="9" s="1"/>
  <c r="B58" i="9" s="1"/>
  <c r="B43" i="9"/>
  <c r="B47" i="9" s="1"/>
  <c r="B51" i="9" s="1"/>
  <c r="B55" i="9" s="1"/>
  <c r="B59" i="9" s="1"/>
  <c r="D37" i="17"/>
  <c r="B63" i="9" l="1"/>
  <c r="B62" i="9"/>
  <c r="B61" i="9"/>
  <c r="B36" i="9"/>
  <c r="B40" i="9" s="1"/>
  <c r="B44" i="9" s="1"/>
  <c r="B48" i="9" s="1"/>
  <c r="B52" i="9" s="1"/>
  <c r="B56" i="9" s="1"/>
  <c r="D34" i="9"/>
  <c r="D35" i="9" s="1"/>
  <c r="C35" i="9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E38" i="9"/>
  <c r="H34" i="9"/>
  <c r="E37" i="9"/>
  <c r="H33" i="9"/>
  <c r="H35" i="9"/>
  <c r="F34" i="9"/>
  <c r="F35" i="9" s="1"/>
  <c r="H32" i="9"/>
  <c r="G34" i="9"/>
  <c r="G35" i="9" s="1"/>
  <c r="F37" i="17"/>
  <c r="D36" i="9" l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B60" i="9"/>
  <c r="T114" i="13"/>
  <c r="C95" i="9"/>
  <c r="B95" i="9" s="1"/>
  <c r="T88" i="13"/>
  <c r="T89" i="13" s="1"/>
  <c r="U114" i="13"/>
  <c r="U118" i="13" s="1"/>
  <c r="U120" i="13" s="1"/>
  <c r="U88" i="13"/>
  <c r="V114" i="13"/>
  <c r="V118" i="13" s="1"/>
  <c r="V120" i="13" s="1"/>
  <c r="V88" i="13"/>
  <c r="W114" i="13"/>
  <c r="W118" i="13" s="1"/>
  <c r="W120" i="13" s="1"/>
  <c r="W88" i="13"/>
  <c r="G36" i="9"/>
  <c r="G37" i="9" s="1"/>
  <c r="G38" i="9" s="1"/>
  <c r="G39" i="9" s="1"/>
  <c r="E40" i="9"/>
  <c r="H36" i="9"/>
  <c r="F36" i="9"/>
  <c r="F37" i="9" s="1"/>
  <c r="E41" i="9"/>
  <c r="H37" i="9"/>
  <c r="H74" i="9"/>
  <c r="I33" i="9"/>
  <c r="E43" i="9"/>
  <c r="H39" i="9"/>
  <c r="E42" i="9"/>
  <c r="H38" i="9"/>
  <c r="D47" i="9"/>
  <c r="C47" i="9"/>
  <c r="J33" i="9"/>
  <c r="I35" i="9"/>
  <c r="V89" i="13" l="1"/>
  <c r="U89" i="13"/>
  <c r="W89" i="13"/>
  <c r="J36" i="9"/>
  <c r="Y114" i="13"/>
  <c r="Y118" i="13" s="1"/>
  <c r="Y120" i="13" s="1"/>
  <c r="Y88" i="13"/>
  <c r="Y89" i="13" s="1"/>
  <c r="X114" i="13"/>
  <c r="C96" i="9"/>
  <c r="X88" i="13"/>
  <c r="X89" i="13" s="1"/>
  <c r="T86" i="13"/>
  <c r="F17" i="19"/>
  <c r="G38" i="17"/>
  <c r="AA114" i="13"/>
  <c r="AA118" i="13" s="1"/>
  <c r="AA120" i="13" s="1"/>
  <c r="AA88" i="13"/>
  <c r="AA89" i="13" s="1"/>
  <c r="Z114" i="13"/>
  <c r="Z118" i="13" s="1"/>
  <c r="Z120" i="13" s="1"/>
  <c r="Z88" i="13"/>
  <c r="Z89" i="13" s="1"/>
  <c r="K10" i="26"/>
  <c r="K16" i="26" s="1"/>
  <c r="T118" i="13"/>
  <c r="J37" i="9"/>
  <c r="E44" i="9"/>
  <c r="H40" i="9"/>
  <c r="F38" i="9"/>
  <c r="F39" i="9" s="1"/>
  <c r="I37" i="9"/>
  <c r="E47" i="9"/>
  <c r="H43" i="9"/>
  <c r="I36" i="9"/>
  <c r="E46" i="9"/>
  <c r="H42" i="9"/>
  <c r="U86" i="13"/>
  <c r="U85" i="13" s="1"/>
  <c r="V86" i="13"/>
  <c r="V85" i="13" s="1"/>
  <c r="W86" i="13"/>
  <c r="W85" i="13" s="1"/>
  <c r="E45" i="9"/>
  <c r="H41" i="9"/>
  <c r="G40" i="9"/>
  <c r="D48" i="9"/>
  <c r="C48" i="9"/>
  <c r="J38" i="9"/>
  <c r="J34" i="9"/>
  <c r="I34" i="9"/>
  <c r="J39" i="9"/>
  <c r="J35" i="9"/>
  <c r="G37" i="17"/>
  <c r="I29" i="26" l="1"/>
  <c r="T120" i="13"/>
  <c r="C17" i="26" s="1"/>
  <c r="K14" i="26"/>
  <c r="X86" i="13"/>
  <c r="X85" i="13" s="1"/>
  <c r="H38" i="17"/>
  <c r="G17" i="19"/>
  <c r="I17" i="19" s="1"/>
  <c r="AA86" i="13"/>
  <c r="AA85" i="13" s="1"/>
  <c r="L10" i="26"/>
  <c r="C10" i="26"/>
  <c r="X118" i="13"/>
  <c r="X120" i="13" s="1"/>
  <c r="Y86" i="13"/>
  <c r="Y85" i="13" s="1"/>
  <c r="Z86" i="13"/>
  <c r="Z85" i="13" s="1"/>
  <c r="C97" i="9"/>
  <c r="G41" i="9"/>
  <c r="J40" i="9"/>
  <c r="E50" i="9"/>
  <c r="E54" i="9" s="1"/>
  <c r="E58" i="9" s="1"/>
  <c r="H46" i="9"/>
  <c r="H76" i="9"/>
  <c r="I37" i="17" s="1"/>
  <c r="F40" i="9"/>
  <c r="I39" i="9"/>
  <c r="I38" i="9"/>
  <c r="E49" i="9"/>
  <c r="E53" i="9" s="1"/>
  <c r="E57" i="9" s="1"/>
  <c r="H45" i="9"/>
  <c r="T85" i="13"/>
  <c r="E51" i="9"/>
  <c r="E55" i="9" s="1"/>
  <c r="E59" i="9" s="1"/>
  <c r="H47" i="9"/>
  <c r="E48" i="9"/>
  <c r="H44" i="9"/>
  <c r="C49" i="9"/>
  <c r="C50" i="9" s="1"/>
  <c r="D49" i="9"/>
  <c r="E61" i="9" l="1"/>
  <c r="H61" i="9" s="1"/>
  <c r="H57" i="9"/>
  <c r="E63" i="9"/>
  <c r="H63" i="9" s="1"/>
  <c r="H59" i="9"/>
  <c r="E62" i="9"/>
  <c r="H62" i="9" s="1"/>
  <c r="H58" i="9"/>
  <c r="H49" i="9"/>
  <c r="C14" i="26"/>
  <c r="C16" i="26"/>
  <c r="C18" i="26" s="1"/>
  <c r="K18" i="26"/>
  <c r="L14" i="26"/>
  <c r="L16" i="26"/>
  <c r="L18" i="26" s="1"/>
  <c r="C20" i="26"/>
  <c r="J29" i="26"/>
  <c r="J30" i="26" s="1"/>
  <c r="I30" i="26"/>
  <c r="H77" i="9"/>
  <c r="F41" i="9"/>
  <c r="I40" i="9"/>
  <c r="E52" i="9"/>
  <c r="E56" i="9" s="1"/>
  <c r="H48" i="9"/>
  <c r="G42" i="9"/>
  <c r="J41" i="9"/>
  <c r="H50" i="9"/>
  <c r="D50" i="9"/>
  <c r="H75" i="9"/>
  <c r="H37" i="17" s="1"/>
  <c r="E60" i="9" l="1"/>
  <c r="H60" i="9" s="1"/>
  <c r="H56" i="9"/>
  <c r="J42" i="9"/>
  <c r="G43" i="9"/>
  <c r="F42" i="9"/>
  <c r="I41" i="9"/>
  <c r="H51" i="9"/>
  <c r="H78" i="9" s="1"/>
  <c r="C51" i="9"/>
  <c r="D51" i="9"/>
  <c r="D52" i="9" s="1"/>
  <c r="H81" i="9" l="1"/>
  <c r="F43" i="9"/>
  <c r="I42" i="9"/>
  <c r="G44" i="9"/>
  <c r="J43" i="9"/>
  <c r="H52" i="9"/>
  <c r="C52" i="9"/>
  <c r="C53" i="9" s="1"/>
  <c r="D53" i="9"/>
  <c r="J44" i="9" l="1"/>
  <c r="G45" i="9"/>
  <c r="F44" i="9"/>
  <c r="I43" i="9"/>
  <c r="H53" i="9"/>
  <c r="C54" i="9"/>
  <c r="C55" i="9" s="1"/>
  <c r="C56" i="9" s="1"/>
  <c r="D54" i="9"/>
  <c r="C57" i="9" l="1"/>
  <c r="F45" i="9"/>
  <c r="I44" i="9"/>
  <c r="J45" i="9"/>
  <c r="G46" i="9"/>
  <c r="H55" i="9"/>
  <c r="H54" i="9"/>
  <c r="D55" i="9"/>
  <c r="D56" i="9" s="1"/>
  <c r="D57" i="9" l="1"/>
  <c r="C58" i="9"/>
  <c r="H79" i="9"/>
  <c r="H80" i="9"/>
  <c r="G47" i="9"/>
  <c r="J46" i="9"/>
  <c r="I45" i="9"/>
  <c r="F46" i="9"/>
  <c r="C59" i="9" l="1"/>
  <c r="D58" i="9"/>
  <c r="F47" i="9"/>
  <c r="I46" i="9"/>
  <c r="G48" i="9"/>
  <c r="J47" i="9"/>
  <c r="C60" i="9" l="1"/>
  <c r="D59" i="9"/>
  <c r="G49" i="9"/>
  <c r="J48" i="9"/>
  <c r="F48" i="9"/>
  <c r="I47" i="9"/>
  <c r="D60" i="9" l="1"/>
  <c r="C61" i="9"/>
  <c r="I48" i="9"/>
  <c r="F49" i="9"/>
  <c r="G50" i="9"/>
  <c r="J49" i="9"/>
  <c r="D61" i="9" l="1"/>
  <c r="C62" i="9"/>
  <c r="J50" i="9"/>
  <c r="G51" i="9"/>
  <c r="F50" i="9"/>
  <c r="I49" i="9"/>
  <c r="C63" i="9" l="1"/>
  <c r="D62" i="9"/>
  <c r="I50" i="9"/>
  <c r="F51" i="9"/>
  <c r="J51" i="9"/>
  <c r="G52" i="9"/>
  <c r="D63" i="9" l="1"/>
  <c r="G53" i="9"/>
  <c r="J52" i="9"/>
  <c r="I51" i="9"/>
  <c r="F52" i="9"/>
  <c r="F53" i="9" l="1"/>
  <c r="I52" i="9"/>
  <c r="G54" i="9"/>
  <c r="J53" i="9"/>
  <c r="G55" i="9" l="1"/>
  <c r="J54" i="9"/>
  <c r="F54" i="9"/>
  <c r="I53" i="9"/>
  <c r="J55" i="9" l="1"/>
  <c r="G56" i="9"/>
  <c r="F55" i="9"/>
  <c r="I54" i="9"/>
  <c r="I55" i="9" l="1"/>
  <c r="F56" i="9"/>
  <c r="G57" i="9"/>
  <c r="J56" i="9"/>
  <c r="G58" i="9" l="1"/>
  <c r="J57" i="9"/>
  <c r="F57" i="9"/>
  <c r="I56" i="9"/>
  <c r="F58" i="9" l="1"/>
  <c r="I57" i="9"/>
  <c r="G59" i="9"/>
  <c r="J58" i="9"/>
  <c r="G60" i="9" l="1"/>
  <c r="J59" i="9"/>
  <c r="F59" i="9"/>
  <c r="I58" i="9"/>
  <c r="F60" i="9" l="1"/>
  <c r="I59" i="9"/>
  <c r="G61" i="9"/>
  <c r="J60" i="9"/>
  <c r="G62" i="9" l="1"/>
  <c r="J61" i="9"/>
  <c r="F61" i="9"/>
  <c r="I60" i="9"/>
  <c r="F62" i="9" l="1"/>
  <c r="I61" i="9"/>
  <c r="G63" i="9"/>
  <c r="J63" i="9" s="1"/>
  <c r="J62" i="9"/>
  <c r="F63" i="9" l="1"/>
  <c r="I63" i="9" s="1"/>
  <c r="I62" i="9"/>
  <c r="E22" i="17"/>
  <c r="F22" i="17" l="1"/>
  <c r="F29" i="17"/>
  <c r="E29" i="17"/>
</calcChain>
</file>

<file path=xl/comments1.xml><?xml version="1.0" encoding="utf-8"?>
<comments xmlns="http://schemas.openxmlformats.org/spreadsheetml/2006/main">
  <authors>
    <author>KENNEDY Michael  * DAS</author>
  </authors>
  <commentList>
    <comment ref="U91" authorId="0" shapeId="0">
      <text>
        <r>
          <rPr>
            <b/>
            <sz val="9"/>
            <color indexed="81"/>
            <rFont val="Tahoma"/>
            <family val="2"/>
          </rPr>
          <t>KENNEDY Michael  * DAS:</t>
        </r>
        <r>
          <rPr>
            <sz val="9"/>
            <color indexed="81"/>
            <rFont val="Tahoma"/>
            <family val="2"/>
          </rPr>
          <t xml:space="preserve">
Adjusted to reflect impact of Pandemic.</t>
        </r>
      </text>
    </comment>
  </commentList>
</comments>
</file>

<file path=xl/comments2.xml><?xml version="1.0" encoding="utf-8"?>
<comments xmlns="http://schemas.openxmlformats.org/spreadsheetml/2006/main">
  <authors>
    <author>KENNEDY Michael  * DAS</author>
  </authors>
  <commentList>
    <comment ref="F75" authorId="0" shapeId="0">
      <text>
        <r>
          <rPr>
            <b/>
            <sz val="9"/>
            <color indexed="81"/>
            <rFont val="Tahoma"/>
            <family val="2"/>
          </rPr>
          <t>KENNEDY Michael  * DAS:</t>
        </r>
        <r>
          <rPr>
            <sz val="9"/>
            <color indexed="81"/>
            <rFont val="Tahoma"/>
            <family val="2"/>
          </rPr>
          <t xml:space="preserve">
Add factored the BEV growth forecast to account for the jump in 2019</t>
        </r>
      </text>
    </comment>
  </commentList>
</comments>
</file>

<file path=xl/connections.xml><?xml version="1.0" encoding="utf-8"?>
<connections xmlns="http://schemas.openxmlformats.org/spreadsheetml/2006/main">
  <connection id="1" sourceFile="U:\Clean Fuels\Clean Fuels DB.accdb" keepAlive="1" name="Clean Fuels DB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fdata" commandType="3"/>
  </connection>
  <connection id="2" sourceFile="U:\Clean Fuels\Clean Fuels DB.accdb" keepAlive="1" name="Clean Fuels DB1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ref_constants" commandType="3"/>
  </connection>
  <connection id="3" sourceFile="U:\Clean Fuels\Clean Fuels DB.accdb" keepAlive="1" name="Clean Fuels DB2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fp_facility" commandType="3"/>
  </connection>
  <connection id="4" sourceFile="U:\Clean Fuels\Clean Fuels DB.accdb" keepAlive="1" name="Clean Fuels DB3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fdata" commandType="3"/>
  </connection>
  <connection id="5" sourceFile="U:\Clean Fuels\Clean Fuels DB.accdb" keepAlive="1" name="Clean Fuels DB4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onstants" commandType="3"/>
  </connection>
</connections>
</file>

<file path=xl/sharedStrings.xml><?xml version="1.0" encoding="utf-8"?>
<sst xmlns="http://schemas.openxmlformats.org/spreadsheetml/2006/main" count="1644" uniqueCount="899">
  <si>
    <t>- -</t>
  </si>
  <si>
    <t>Energy Use &amp; Related Statistics</t>
  </si>
  <si>
    <t>Motor Gasoline</t>
  </si>
  <si>
    <t>Diesel</t>
  </si>
  <si>
    <t>Gasoline</t>
  </si>
  <si>
    <t>Ethanol</t>
  </si>
  <si>
    <t>Renewable Diesel</t>
  </si>
  <si>
    <t>Biodiesel</t>
  </si>
  <si>
    <t>Electricity</t>
  </si>
  <si>
    <t>units</t>
  </si>
  <si>
    <t>Natural Gas</t>
  </si>
  <si>
    <t>Propane</t>
  </si>
  <si>
    <t>State</t>
  </si>
  <si>
    <t>CA</t>
  </si>
  <si>
    <t>ID</t>
  </si>
  <si>
    <t>IA</t>
  </si>
  <si>
    <t>KS</t>
  </si>
  <si>
    <t>MN</t>
  </si>
  <si>
    <t>NE</t>
  </si>
  <si>
    <t>ND</t>
  </si>
  <si>
    <t>OR</t>
  </si>
  <si>
    <t>SD</t>
  </si>
  <si>
    <t>Hydrogen</t>
  </si>
  <si>
    <t>Year</t>
  </si>
  <si>
    <t>Kerosene</t>
  </si>
  <si>
    <t>Credit / Deficit Summary</t>
  </si>
  <si>
    <t>Deficits</t>
  </si>
  <si>
    <t>Credits</t>
  </si>
  <si>
    <t>Electricity, on-road</t>
  </si>
  <si>
    <t>Electricity, off-road</t>
  </si>
  <si>
    <t>BEV</t>
  </si>
  <si>
    <t>PHEV</t>
  </si>
  <si>
    <t>Total</t>
  </si>
  <si>
    <t>Blendstock</t>
  </si>
  <si>
    <t>Biogas</t>
  </si>
  <si>
    <t>MMmtCO2</t>
  </si>
  <si>
    <t>Energy Use &amp; Related Statistics: Carbon Dioxide Emissions: Reference case</t>
  </si>
  <si>
    <t>tons carbon dioxide)</t>
  </si>
  <si>
    <t>Carbon Dioxide Emissions (million metric</t>
  </si>
  <si>
    <t>billion 2009 $</t>
  </si>
  <si>
    <t>Energy Use &amp; Related Statistics: Gross Domestic Product: Reference case</t>
  </si>
  <si>
    <t>Gross Domestic Product (billion 2009 dollars)</t>
  </si>
  <si>
    <t>millions</t>
  </si>
  <si>
    <t>Energy Use &amp; Related Statistics: Population: Reference case</t>
  </si>
  <si>
    <t>Population (millions)</t>
  </si>
  <si>
    <t>quads</t>
  </si>
  <si>
    <t>Energy Use &amp; Related Statistics: Ethanol Consumed in Motor Gasoline and E85: Reference case</t>
  </si>
  <si>
    <t>Ethanol Consumed in Motor Gasoline and E85</t>
  </si>
  <si>
    <t>Energy Use &amp; Related Statistics: Total Energy Use: Reference case</t>
  </si>
  <si>
    <t>Total Energy Use</t>
  </si>
  <si>
    <t>Energy Use &amp; Related Statistics: Delivered Energy Use: Reference case</t>
  </si>
  <si>
    <t>Delivered Energy Use</t>
  </si>
  <si>
    <t>Energy Use: Total: Total: Reference case</t>
  </si>
  <si>
    <t>Energy Use: Total: Electricity Imports: Reference case</t>
  </si>
  <si>
    <t>Electricity Imports</t>
  </si>
  <si>
    <t>Energy Use: Total: Non-biogenic Municipal Waste: Reference case</t>
  </si>
  <si>
    <t>Non-biogenic Municipal Waste</t>
  </si>
  <si>
    <t>Energy Use: Total: Hydrogen: Reference case</t>
  </si>
  <si>
    <t>Energy Use: Total: Renewable Energy: Reference case</t>
  </si>
  <si>
    <t>Renewable Energy</t>
  </si>
  <si>
    <t>Energy Use: Total: Biofuels Heat and Coproducts: Reference case</t>
  </si>
  <si>
    <t>Biofuels Heat and Coproducts</t>
  </si>
  <si>
    <t>Energy Use: Total: Nuclear: Reference case</t>
  </si>
  <si>
    <t>Nuclear / Uranium</t>
  </si>
  <si>
    <t>Energy Use: Total: Coal Subtotal: Reference case</t>
  </si>
  <si>
    <t>Coal Subtotal</t>
  </si>
  <si>
    <t>Energy Use: Total: Net Coal Coke Imports: Reference case</t>
  </si>
  <si>
    <t>Net Coal Coke Imports</t>
  </si>
  <si>
    <t>Energy Use: Total: Coal-to-Liquids Heat and Power: Reference case</t>
  </si>
  <si>
    <t>Coal-to-Liquids Heat and Power</t>
  </si>
  <si>
    <t>Energy Use: Total: Other Coal: Reference case</t>
  </si>
  <si>
    <t>Other Coal</t>
  </si>
  <si>
    <t>Energy Use: Total: Metallurgical Coal: Reference case</t>
  </si>
  <si>
    <t>Metallurgical Coal</t>
  </si>
  <si>
    <t>Energy Use: Total: Natural Gas Subtotal: Reference case</t>
  </si>
  <si>
    <t>Natural Gas Subtotal</t>
  </si>
  <si>
    <t>Energy Use: Total: Pipeline Natural Gas: Reference case</t>
  </si>
  <si>
    <t>Pipeline and Distribution Fuel Natural Gas</t>
  </si>
  <si>
    <t>Energy Use: Total: Liquefaction: Reference case</t>
  </si>
  <si>
    <t>Natural Gas to Liquefy Gas for Export</t>
  </si>
  <si>
    <t>Energy Use: Total: Lease and Plant Fuel: Reference case</t>
  </si>
  <si>
    <t>Lease and Plant Fuel</t>
  </si>
  <si>
    <t>Energy Use: Total: Natural-Gas-to-Liquids Heat and Power: Reference case</t>
  </si>
  <si>
    <t>Natural-Gas-to-Liquids Heat and Power</t>
  </si>
  <si>
    <t>Energy Use: Total: Natural Gas: Reference case</t>
  </si>
  <si>
    <t>Energy Use: Total: Liquid Fuels Subtotal: Reference case</t>
  </si>
  <si>
    <t>Petroleum and Other Liquids Subtotal</t>
  </si>
  <si>
    <t>Energy Use: Total: Other Petroleum: Reference case</t>
  </si>
  <si>
    <t>Other Petroleum</t>
  </si>
  <si>
    <t>Energy Use: Total: Petrochemical Feedstocks: Reference case</t>
  </si>
  <si>
    <t>Petrochemical Feedstocks</t>
  </si>
  <si>
    <t>Energy Use: Total: Residual Fuel Oil: Reference case</t>
  </si>
  <si>
    <t>Residual Fuel Oil</t>
  </si>
  <si>
    <t>Energy Use: Total: Distillate Fuel Oil: Reference case</t>
  </si>
  <si>
    <t>Distillate Fuel Oil</t>
  </si>
  <si>
    <t>Energy Use: Total: Kerosene: Reference case</t>
  </si>
  <si>
    <t>Energy Use: Total: Jet Fuel: Reference case</t>
  </si>
  <si>
    <t>Jet Fuel</t>
  </si>
  <si>
    <t>Energy Use: Total: E85: Reference case</t>
  </si>
  <si>
    <t>of which:  E85</t>
  </si>
  <si>
    <t>Energy Use: Total: Motor Gasoline: Reference case</t>
  </si>
  <si>
    <t>Energy Use: Total: Liquefied Petroleum Gases: Reference case</t>
  </si>
  <si>
    <t>Liquefied Petroleum Gases and Other</t>
  </si>
  <si>
    <t>Total Energy Consumption</t>
  </si>
  <si>
    <t>Energy Use: Electric Power: Total: Reference case</t>
  </si>
  <si>
    <t>Energy Use: Electric Power: Electricity Imports: Reference case</t>
  </si>
  <si>
    <t>Energy Use: Electric Power: Non-biogenic Municipal Waste: Reference case</t>
  </si>
  <si>
    <t>Energy Use: Electric Power: Renewable Energy: Reference case</t>
  </si>
  <si>
    <t>Energy Use: Electric Power: Nuclear: Reference case</t>
  </si>
  <si>
    <t>Energy Use: Electric Power: Steam Coal: Reference case</t>
  </si>
  <si>
    <t>Steam Coal</t>
  </si>
  <si>
    <t>Energy Use: Electric Power: Natural Gas: Reference case</t>
  </si>
  <si>
    <t>Energy Use: Electric Power: Liquid Fuels Subtotal: Reference case</t>
  </si>
  <si>
    <t>Energy Use: Electric Power: Residual Fuel Oil: Reference case</t>
  </si>
  <si>
    <t>Energy Use: Electric Power: Distillate Fuel Oil: Reference case</t>
  </si>
  <si>
    <t>Electric Power</t>
  </si>
  <si>
    <t>Energy Use: Delivered: All Sectors: Total: Reference case</t>
  </si>
  <si>
    <t>Energy Use: Delivered: All Sectors: Electricity Related Losses: Reference case</t>
  </si>
  <si>
    <t>Electricity Related Losses</t>
  </si>
  <si>
    <t>Energy Use: Delivered: All Sectors: Delivered Energy: Reference case</t>
  </si>
  <si>
    <t>Delivered Energy</t>
  </si>
  <si>
    <t>Energy Use: Delivered: All Sectors: Electricity: Reference case</t>
  </si>
  <si>
    <t>Energy Use: Delivered: All Sectors: Hydrogen: Reference case</t>
  </si>
  <si>
    <t>Energy Use: Delivered: All Sectors: Renewable Energy: Reference case</t>
  </si>
  <si>
    <t>Energy Use: Delivered: All Sectors: Biofuels Heat and Coproducts: Reference case</t>
  </si>
  <si>
    <t>Energy Use: Delivered: All Sectors: Coal Subtotal: Reference case</t>
  </si>
  <si>
    <t>Energy Use: Delivered: All Sectors: Net Coal Coke Imports: Reference case</t>
  </si>
  <si>
    <t>Energy Use: Delivered: All Sectors: Coal-to-Liquids Heat and Power: Reference case</t>
  </si>
  <si>
    <t>Energy Use: Delivered: All Sectors: Other Coal: Reference case</t>
  </si>
  <si>
    <t>Energy Use: Delivered: All Sectors: Metallurgical Coal: Reference case</t>
  </si>
  <si>
    <t>Energy Use: Delivered: All Sectors: Natural Gas Subtotal: Reference case</t>
  </si>
  <si>
    <t>Energy Use: Delivered: All Sectors: Pipeline Natural Gas: Reference case</t>
  </si>
  <si>
    <t>Energy Use: Delivered: All Sectors: Liquefaction: Reference case</t>
  </si>
  <si>
    <t>Energy Use: Delivered: All Sectors: Lease and Plant Fuel: Reference case</t>
  </si>
  <si>
    <t>Energy Use: Delivered: All Sectors: Natural-Gas-to-Liquids Heat and Power: Reference case</t>
  </si>
  <si>
    <t>Energy Use: Delivered: All Sectors: Natural Gas: Reference case</t>
  </si>
  <si>
    <t>Energy Use: Delivered: All Sectors: Liquid Fuels Subtotal: Reference case</t>
  </si>
  <si>
    <t>Energy Use: Delivered: All Sectors: Other Petroleum: Reference case</t>
  </si>
  <si>
    <t>Energy Use: Delivered: All Sectors: Petrochemical Feedstocks: Reference case</t>
  </si>
  <si>
    <t>Energy Use: Delivered: All Sectors: Residual Fuel Oil: Reference case</t>
  </si>
  <si>
    <t>Energy Use: Delivered: All Sectors: Distillate Fuel Oil: Reference case</t>
  </si>
  <si>
    <t>Energy Use: Delivered: All Sectors: Kerosene: Reference case</t>
  </si>
  <si>
    <t>Energy Use: Delivered: All Sectors: Jet Fuel: Reference case</t>
  </si>
  <si>
    <t>Energy Use: Delivered: All Sectors: E85: Reference case</t>
  </si>
  <si>
    <t>Energy Use: Delivered: All Sectors: Motor Gasoline: Reference case</t>
  </si>
  <si>
    <t>Energy Use: Delivered: All Sectors: Liquefied Petroleum Gases: Reference case</t>
  </si>
  <si>
    <t xml:space="preserve"> All Sectors</t>
  </si>
  <si>
    <t>Delivered Energy Consumption</t>
  </si>
  <si>
    <t>Energy Use: Unspecified: Total: Reference case</t>
  </si>
  <si>
    <t>Unspecified Sector</t>
  </si>
  <si>
    <t>Energy Use: Transportation: Total: Reference case</t>
  </si>
  <si>
    <t>Energy Use: Transportation: Electricity Related Losses: Reference case</t>
  </si>
  <si>
    <t>Energy Use: Transportation: Delivered Energy: Reference case</t>
  </si>
  <si>
    <t>Energy Use: Transportation: Electricity: Reference case</t>
  </si>
  <si>
    <t>Energy Use: Transportation: Hydrogen: Reference case</t>
  </si>
  <si>
    <t>Energy Use: Transportation: Natural Gas: Reference case</t>
  </si>
  <si>
    <t>Compressed / Liquefied Natural Gas</t>
  </si>
  <si>
    <t>Energy Use: Transportation: Pipeline Fuel Natural Gas: Reference case</t>
  </si>
  <si>
    <t>Energy Use: Transportation: Liquid Fuels Subtotal: Reference case</t>
  </si>
  <si>
    <t>Energy Use: Transportation: Other Petroleum: Reference case</t>
  </si>
  <si>
    <t>Energy Use: Transportation: Residual Fuel Oil: Reference case</t>
  </si>
  <si>
    <t>Energy Use: Transportation: Distillate Fuel Oil: Reference case</t>
  </si>
  <si>
    <t>Energy Use: Transportation: Jet Fuel: Reference case</t>
  </si>
  <si>
    <t>Energy Use: Transportation: E85: Reference case</t>
  </si>
  <si>
    <t>Energy Use: Transportation: Motor Gasoline: Reference case</t>
  </si>
  <si>
    <t>Energy Use: Transportation: Propane: Reference case</t>
  </si>
  <si>
    <t>Transportation</t>
  </si>
  <si>
    <t>Energy Use: Industrial: Total: Reference case</t>
  </si>
  <si>
    <t>Energy Use: Industrial: Electricity Related Losses: Reference case</t>
  </si>
  <si>
    <t>Energy Use: Industrial: Delivered Energy: Reference case</t>
  </si>
  <si>
    <t>Energy Use: Industrial: Electricity: Reference case</t>
  </si>
  <si>
    <t>Energy Use: Industrial: Renewable Energy: Reference case</t>
  </si>
  <si>
    <t>Energy Use: Industrial: Biofuels Heat and Coproducts: Reference case</t>
  </si>
  <si>
    <t>Energy Use: Industrial: Coal Subtotal: Reference case</t>
  </si>
  <si>
    <t>Energy Use: Industrial: Net Coal Coke Imports: Reference case</t>
  </si>
  <si>
    <t>Energy Use: Industrial: Coal-to-Liquids Heat and Power: Reference case</t>
  </si>
  <si>
    <t>Energy Use: Industrial: Other Industrial Coal: Reference case</t>
  </si>
  <si>
    <t>Other Industrial Coal</t>
  </si>
  <si>
    <t>Energy Use: Industrial: Metallurgical Coal: Reference case</t>
  </si>
  <si>
    <t>Energy Use: Industrial: Natural Gas Subtotal: Reference case</t>
  </si>
  <si>
    <t>Energy Use: Industrial: Liquefaction: Reference case</t>
  </si>
  <si>
    <t>Energy Use: Industrial: Lease and Plant Fuel: Reference case</t>
  </si>
  <si>
    <t>Energy Use: Industrial: Natural-Gas-to-Liquids Heat and Power: Reference case</t>
  </si>
  <si>
    <t>Energy Use: Industrial: Natural Gas: Reference case</t>
  </si>
  <si>
    <t>Energy Use: Industrial: Liquid Fuels Subtotal: Reference case</t>
  </si>
  <si>
    <t>Energy Use: Industrial: Other Petroleum: Reference case</t>
  </si>
  <si>
    <t>Energy Use: Industrial: Petrochemical Feedstocks: Reference case</t>
  </si>
  <si>
    <t>Energy Use: Industrial: Residual Fuel Oil: Reference case</t>
  </si>
  <si>
    <t>Energy Use: Industrial: Distillate Fuel Oil: Reference case</t>
  </si>
  <si>
    <t>Energy Use: Industrial: Motor Gasoline: Reference case</t>
  </si>
  <si>
    <t>Energy Use: Industrial: Liquefied Petroleum Gases: Reference case</t>
  </si>
  <si>
    <t>Industrial</t>
  </si>
  <si>
    <t>Energy Use: Commercial: Total: Reference case</t>
  </si>
  <si>
    <t>Energy Use: Commercial: Electricity Related Losses: Reference case</t>
  </si>
  <si>
    <t>Energy Use: Commercial: Delivered Energy: Reference case</t>
  </si>
  <si>
    <t>Energy Use: Commercial: Electricity: Reference case</t>
  </si>
  <si>
    <t>Energy Use: Commercial: Renewable Energy: Reference case</t>
  </si>
  <si>
    <t>Energy Use: Commercial: Coal: Reference case</t>
  </si>
  <si>
    <t>Coal</t>
  </si>
  <si>
    <t>Energy Use: Commercial: Natural Gas: Reference case</t>
  </si>
  <si>
    <t>Energy Use: Commercial: Liquid Fuels Subtotal: Reference case</t>
  </si>
  <si>
    <t>Energy Use: Commercial: Residual Fuel Oil: Reference case</t>
  </si>
  <si>
    <t>Energy Use: Commercial: Distillate Fuel Oil: Reference case</t>
  </si>
  <si>
    <t>Energy Use: Commercial: Kerosene: Reference case</t>
  </si>
  <si>
    <t>Energy Use: Commercial: Motor Gasoline: Reference case</t>
  </si>
  <si>
    <t>Energy Use: Commercial: Propane: Reference case</t>
  </si>
  <si>
    <t>Commercial</t>
  </si>
  <si>
    <t>Energy Use: Residential: Total: Reference case</t>
  </si>
  <si>
    <t>Energy Use: Residential: Electricity Related Losses: Reference case</t>
  </si>
  <si>
    <t>Energy Use: Residential: Delivered Energy: Reference case</t>
  </si>
  <si>
    <t>Energy Use: Residential: Electricity: Reference case</t>
  </si>
  <si>
    <t>Energy Use: Residential: Renewable Energy: Reference case</t>
  </si>
  <si>
    <t>Energy Use: Residential: Natural Gas: Reference case</t>
  </si>
  <si>
    <t>Energy Use: Residential: Liquid Fuels Subtotal: Reference case</t>
  </si>
  <si>
    <t>Energy Use: Residential: Distillate Fuel Oil: Reference case</t>
  </si>
  <si>
    <t>Energy Use: Residential: Propane: Reference case</t>
  </si>
  <si>
    <t>Residential</t>
  </si>
  <si>
    <t>api key</t>
  </si>
  <si>
    <t>full name</t>
  </si>
  <si>
    <t>Source: U.S. Energy Information Administration</t>
  </si>
  <si>
    <t>Qtr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</si>
  <si>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</si>
  <si>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</si>
  <si>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</si>
  <si>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</si>
  <si>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</si>
  <si>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</si>
  <si>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</si>
  <si>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</si>
  <si>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</si>
  <si>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</si>
  <si>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</si>
  <si>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</si>
  <si>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</si>
  <si>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</si>
  <si>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</si>
  <si>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</si>
  <si>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</si>
  <si>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</si>
  <si>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</si>
  <si>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</si>
  <si>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</si>
  <si>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</si>
  <si>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</si>
  <si>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</si>
  <si>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</si>
  <si>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</si>
  <si>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</si>
  <si>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</si>
  <si>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Annual Averages</t>
  </si>
  <si>
    <t>Std Deviation</t>
  </si>
  <si>
    <t>Total Net Credits/Deficits</t>
  </si>
  <si>
    <t>period</t>
  </si>
  <si>
    <t>data_type</t>
  </si>
  <si>
    <t>credit</t>
  </si>
  <si>
    <t>deficit</t>
  </si>
  <si>
    <t>volume</t>
  </si>
  <si>
    <t>fuel_name</t>
  </si>
  <si>
    <t>Diesel_Renew</t>
  </si>
  <si>
    <t>Bio_CNG</t>
  </si>
  <si>
    <t>Bio_LNG</t>
  </si>
  <si>
    <t>Diesel_B20</t>
  </si>
  <si>
    <t>Diesel_B5</t>
  </si>
  <si>
    <t>Electricity_Off</t>
  </si>
  <si>
    <t>Electricity_On</t>
  </si>
  <si>
    <t>Ethanol&lt;55</t>
  </si>
  <si>
    <t>Ethanol&gt;75</t>
  </si>
  <si>
    <t>Ethanol55-65</t>
  </si>
  <si>
    <t>Ethanol65-75</t>
  </si>
  <si>
    <t>Fossil_CNG</t>
  </si>
  <si>
    <t>Gasoline_E10</t>
  </si>
  <si>
    <t>Liq_Petroleum</t>
  </si>
  <si>
    <t>fuel_type</t>
  </si>
  <si>
    <t>Alternative</t>
  </si>
  <si>
    <t>Alternative Total</t>
  </si>
  <si>
    <t>Fossil</t>
  </si>
  <si>
    <t>Fossil Total</t>
  </si>
  <si>
    <t>Sum of quantity</t>
  </si>
  <si>
    <t>Fossil_LNG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</si>
  <si>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</si>
  <si>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</si>
  <si>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</si>
  <si>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</si>
  <si>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</si>
  <si>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</si>
  <si>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</si>
  <si>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</si>
  <si>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PHEV (baseline)</t>
  </si>
  <si>
    <t>PHEV (high)</t>
  </si>
  <si>
    <t>PHEV (low)</t>
  </si>
  <si>
    <t>BEV (baseline)</t>
  </si>
  <si>
    <t>BEV (high)</t>
  </si>
  <si>
    <t>BEV (low)</t>
  </si>
  <si>
    <t>Total (baseline)</t>
  </si>
  <si>
    <t>Total (high)</t>
  </si>
  <si>
    <t>Total (low)</t>
  </si>
  <si>
    <t>2-AEO2019.159.ref2019-d111618a</t>
  </si>
  <si>
    <t>2-AEO2019.158.</t>
  </si>
  <si>
    <t>2-AEO2019.157.ref2019-d111618a</t>
  </si>
  <si>
    <t>2-AEO2019.156.ref2019-d111618a</t>
  </si>
  <si>
    <t>2-AEO2019.155.ref2019-d111618a</t>
  </si>
  <si>
    <t>2-AEO2019.154.ref2019-d111618a</t>
  </si>
  <si>
    <t>2-AEO2019.153.ref2019-d111618a</t>
  </si>
  <si>
    <t>2-AEO2019.152.</t>
  </si>
  <si>
    <t>2-AEO2019.150.ref2019-d111618a</t>
  </si>
  <si>
    <t>2-AEO2019.149.ref2019-d111618a</t>
  </si>
  <si>
    <t>2-AEO2019.148.ref2019-d111618a</t>
  </si>
  <si>
    <t>2-AEO2019.147.ref2019-d111618a</t>
  </si>
  <si>
    <t>2-AEO2019.146.ref2019-d111618a</t>
  </si>
  <si>
    <t>2-AEO2019.145.ref2019-d111618a</t>
  </si>
  <si>
    <t>2-AEO2019.144.ref2019-d111618a</t>
  </si>
  <si>
    <t>2-AEO2019.143.ref2019-d111618a</t>
  </si>
  <si>
    <t>2-AEO2019.142.ref2019-d111618a</t>
  </si>
  <si>
    <t>2-AEO2019.141.ref2019-d111618a</t>
  </si>
  <si>
    <t>2-AEO2019.140.ref2019-d111618a</t>
  </si>
  <si>
    <t>2-AEO2019.139.ref2019-d111618a</t>
  </si>
  <si>
    <t>2-AEO2019.138.ref2019-d111618a</t>
  </si>
  <si>
    <t>2-AEO2019.137.ref2019-d111618a</t>
  </si>
  <si>
    <t>2-AEO2019.136.ref2019-d111618a</t>
  </si>
  <si>
    <t>2-AEO2019.135.ref2019-d111618a</t>
  </si>
  <si>
    <t>2-AEO2019.134.ref2019-d111618a</t>
  </si>
  <si>
    <t>2-AEO2019.133.ref2019-d111618a</t>
  </si>
  <si>
    <t>2-AEO2019.132.ref2019-d111618a</t>
  </si>
  <si>
    <t>2-AEO2019.131.ref2019-d111618a</t>
  </si>
  <si>
    <t>2-AEO2019.130.ref2019-d111618a</t>
  </si>
  <si>
    <t>2-AEO2019.129.ref2019-d111618a</t>
  </si>
  <si>
    <t>2-AEO2019.128.ref2019-d111618a</t>
  </si>
  <si>
    <t>2-AEO2019.127.ref2019-d111618a</t>
  </si>
  <si>
    <t>2-AEO2019.126.ref2019-d111618a</t>
  </si>
  <si>
    <t>2-AEO2019.125.ref2019-d111618a</t>
  </si>
  <si>
    <t>2-AEO2019.124.ref2019-d111618a</t>
  </si>
  <si>
    <t>2-AEO2019.123.ref2019-d111618a</t>
  </si>
  <si>
    <t>2-AEO2019.122.</t>
  </si>
  <si>
    <t>2-AEO2019.120.ref2019-d111618a</t>
  </si>
  <si>
    <t>2-AEO2019.119.ref2019-d111618a</t>
  </si>
  <si>
    <t>2-AEO2019.118.ref2019-d111618a</t>
  </si>
  <si>
    <t>2-AEO2019.117.ref2019-d111618a</t>
  </si>
  <si>
    <t>2-AEO2019.116.ref2019-d111618a</t>
  </si>
  <si>
    <t>2-AEO2019.115.ref2019-d111618a</t>
  </si>
  <si>
    <t>2-AEO2019.114.ref2019-d111618a</t>
  </si>
  <si>
    <t>2-AEO2019.113.ref2019-d111618a</t>
  </si>
  <si>
    <t>2-AEO2019.112.ref2019-d111618a</t>
  </si>
  <si>
    <t>2-AEO2019.111.ref2019-d111618a</t>
  </si>
  <si>
    <t>2-AEO2019.110.</t>
  </si>
  <si>
    <t>2-AEO2019.107.ref2019-d111618a</t>
  </si>
  <si>
    <t>2-AEO2019.106.ref2019-d111618a</t>
  </si>
  <si>
    <t>2-AEO2019.105.ref2019-d111618a</t>
  </si>
  <si>
    <t>2-AEO2019.104.ref2019-d111618a</t>
  </si>
  <si>
    <t>2-AEO2019.103.ref2019-d111618a</t>
  </si>
  <si>
    <t>2-AEO2019.102.ref2019-d111618a</t>
  </si>
  <si>
    <t>2-AEO2019.101.ref2019-d111618a</t>
  </si>
  <si>
    <t>2-AEO2019.100.ref2019-d111618a</t>
  </si>
  <si>
    <t>2-AEO2019.99.ref2019-d111618a</t>
  </si>
  <si>
    <t>2-AEO2019.98.ref2019-d111618a</t>
  </si>
  <si>
    <t>2-AEO2019.97.ref2019-d111618a</t>
  </si>
  <si>
    <t>2-AEO2019.96.ref2019-d111618a</t>
  </si>
  <si>
    <t>2-AEO2019.95.ref2019-d111618a</t>
  </si>
  <si>
    <t>2-AEO2019.94.ref2019-d111618a</t>
  </si>
  <si>
    <t>2-AEO2019.93.ref2019-d111618a</t>
  </si>
  <si>
    <t>2-AEO2019.92.ref2019-d111618a</t>
  </si>
  <si>
    <t>2-AEO2019.91.ref2019-d111618a</t>
  </si>
  <si>
    <t>2-AEO2019.90.ref2019-d111618a</t>
  </si>
  <si>
    <t>2-AEO2019.89.ref2019-d111618a</t>
  </si>
  <si>
    <t>2-AEO2019.88.ref2019-d111618a</t>
  </si>
  <si>
    <t>2-AEO2019.87.ref2019-d111618a</t>
  </si>
  <si>
    <t>2-AEO2019.86.ref2019-d111618a</t>
  </si>
  <si>
    <t>2-AEO2019.85.ref2019-d111618a</t>
  </si>
  <si>
    <t>2-AEO2019.84.ref2019-d111618a</t>
  </si>
  <si>
    <t>2-AEO2019.83.ref2019-d111618a</t>
  </si>
  <si>
    <t>2-AEO2019.82.ref2019-d111618a</t>
  </si>
  <si>
    <t>2-AEO2019.81.ref2019-d111618a</t>
  </si>
  <si>
    <t>2-AEO2019.80.ref2019-d111618a</t>
  </si>
  <si>
    <t>2-AEO2019.79.</t>
  </si>
  <si>
    <t>2-AEO2019.77.ref2019-d111618a</t>
  </si>
  <si>
    <t>2-AEO2019.73.</t>
  </si>
  <si>
    <t>2-AEO2019.71.ref2019-d111618a</t>
  </si>
  <si>
    <t>2-AEO2019.70.ref2019-d111618a</t>
  </si>
  <si>
    <t>2-AEO2019.69.ref2019-d111618a</t>
  </si>
  <si>
    <t>2-AEO2019.68.ref2019-d111618a</t>
  </si>
  <si>
    <t>2-AEO2019.67.ref2019-d111618a</t>
  </si>
  <si>
    <t>2-AEO2019.66.ref2019-d111618a</t>
  </si>
  <si>
    <t>2-AEO2019.65.ref2019-d111618a</t>
  </si>
  <si>
    <t>2-AEO2019.64.ref2019-d111618a</t>
  </si>
  <si>
    <t>2-AEO2019.63.ref2019-d111618a</t>
  </si>
  <si>
    <t>2-AEO2019.62.ref2019-d111618a</t>
  </si>
  <si>
    <t>2-AEO2019.61.ref2019-d111618a</t>
  </si>
  <si>
    <t>2-AEO2019.60.ref2019-d111618a</t>
  </si>
  <si>
    <t>2-AEO2019.59.ref2019-d111618a</t>
  </si>
  <si>
    <t>2-AEO2019.58.ref2019-d111618a</t>
  </si>
  <si>
    <t>2-AEO2019.57.ref2019-d111618a</t>
  </si>
  <si>
    <t>2-AEO2019.56.</t>
  </si>
  <si>
    <t>2-AEO2019.53.ref2019-d111618a</t>
  </si>
  <si>
    <t>2-AEO2019.52.ref2019-d111618a</t>
  </si>
  <si>
    <t>2-AEO2019.51.ref2019-d111618a</t>
  </si>
  <si>
    <t>2-AEO2019.50.ref2019-d111618a</t>
  </si>
  <si>
    <t>2-AEO2019.49.ref2019-d111618a</t>
  </si>
  <si>
    <t>2-AEO2019.48.ref2019-d111618a</t>
  </si>
  <si>
    <t>2-AEO2019.47.ref2019-d111618a</t>
  </si>
  <si>
    <t>2-AEO2019.46.ref2019-d111618a</t>
  </si>
  <si>
    <t>2-AEO2019.45.ref2019-d111618a</t>
  </si>
  <si>
    <t>2-AEO2019.43.ref2019-d111618a</t>
  </si>
  <si>
    <t>2-AEO2019.42.ref2019-d111618a</t>
  </si>
  <si>
    <t>2-AEO2019.41.ref2019-d111618a</t>
  </si>
  <si>
    <t>2-AEO2019.40.ref2019-d111618a</t>
  </si>
  <si>
    <t>2-AEO2019.39.ref2019-d111618a</t>
  </si>
  <si>
    <t>2-AEO2019.38.ref2019-d111618a</t>
  </si>
  <si>
    <t>2-AEO2019.37.ref2019-d111618a</t>
  </si>
  <si>
    <t>2-AEO2019.36.ref2019-d111618a</t>
  </si>
  <si>
    <t>2-AEO2019.35.ref2019-d111618a</t>
  </si>
  <si>
    <t>2-AEO2019.34.ref2019-d111618a</t>
  </si>
  <si>
    <t>2-AEO2019.33.ref2019-d111618a</t>
  </si>
  <si>
    <t>2-AEO2019.32.ref2019-d111618a</t>
  </si>
  <si>
    <t>2-AEO2019.31.ref2019-d111618a</t>
  </si>
  <si>
    <t>2-AEO2019.30.ref2019-d111618a</t>
  </si>
  <si>
    <t>2-AEO2019.29.</t>
  </si>
  <si>
    <t>2-AEO2019.27.ref2019-d111618a</t>
  </si>
  <si>
    <t>2-AEO2019.26.ref2019-d111618a</t>
  </si>
  <si>
    <t>2-AEO2019.25.ref2019-d111618a</t>
  </si>
  <si>
    <t>2-AEO2019.24.ref2019-d111618a</t>
  </si>
  <si>
    <t>2-AEO2019.23.ref2019-d111618a</t>
  </si>
  <si>
    <t>2-AEO2019.22.ref2019-d111618a</t>
  </si>
  <si>
    <t>2-AEO2019.21.ref2019-d111618a</t>
  </si>
  <si>
    <t>2-AEO2019.20.ref2019-d111618a</t>
  </si>
  <si>
    <t>2-AEO2019.19.ref2019-d111618a</t>
  </si>
  <si>
    <t>2-AEO2019.18.ref2019-d111618a</t>
  </si>
  <si>
    <t>2-AEO2019.17.ref2019-d111618a</t>
  </si>
  <si>
    <t>2-AEO2019.16.ref2019-d111618a</t>
  </si>
  <si>
    <t>2-AEO2019.15.ref2019-d111618a</t>
  </si>
  <si>
    <t>2-AEO2019.14.</t>
  </si>
  <si>
    <t>2-AEO2019.12.ref2019-d111618a</t>
  </si>
  <si>
    <t>2-AEO2019.11.ref2019-d111618a</t>
  </si>
  <si>
    <t>2-AEO2019.10.ref2019-d111618a</t>
  </si>
  <si>
    <t>2-AEO2019.9.ref2019-d111618a</t>
  </si>
  <si>
    <t>2-AEO2019.8.ref2019-d111618a</t>
  </si>
  <si>
    <t>2-AEO2019.7.ref2019-d111618a</t>
  </si>
  <si>
    <t>2-AEO2019.6.ref2019-d111618a</t>
  </si>
  <si>
    <t>2-AEO2019.5.ref2019-d111618a</t>
  </si>
  <si>
    <t>2-AEO2019.3.ref2019-d111618a</t>
  </si>
  <si>
    <t>2-AEO2019.2.</t>
  </si>
  <si>
    <t>Growth (2018-2050)</t>
  </si>
  <si>
    <t>24-AEO2019.62.ref2019-d111618a</t>
  </si>
  <si>
    <t>Renewable Energy: Nonmarketed Selected Use: Commercial: Wind: Reference case</t>
  </si>
  <si>
    <t>Wind</t>
  </si>
  <si>
    <t>24-AEO2019.61.ref2019-d111618a</t>
  </si>
  <si>
    <t>Renewable Energy: Nonmarketed Selected Use: Commercial: Solar Photovoltaic: Reference case</t>
  </si>
  <si>
    <t>Solar Photovoltaic</t>
  </si>
  <si>
    <t>24-AEO2019.60.ref2019-d111618a</t>
  </si>
  <si>
    <t>Renewable Energy: Nonmarketed Selected Use: Commercial: Solar Thermal: Reference case</t>
  </si>
  <si>
    <t>Solar Thermal</t>
  </si>
  <si>
    <t>24-AEO2019.59.ref2019-d111618a</t>
  </si>
  <si>
    <t>Renewable Energy: Nonmarketed Selected Use: Commercial: Reference case</t>
  </si>
  <si>
    <t>24-AEO2019.57.ref2019-d111618a</t>
  </si>
  <si>
    <t>Renewable Energy: Nonmarketed Selected Use: Residential: Wind: Reference case</t>
  </si>
  <si>
    <t>24-AEO2019.56.ref2019-d111618a</t>
  </si>
  <si>
    <t>Renewable Energy: Nonmarketed Selected Use: Residential: Solar Photovoltaic: Reference case</t>
  </si>
  <si>
    <t>24-AEO2019.55.ref2019-d111618a</t>
  </si>
  <si>
    <t>Renewable Energy: Nonmarketed Selected Use: Residential: Geothermal Heat Pumps: Reference case</t>
  </si>
  <si>
    <t>Geothermal Heat Pumps</t>
  </si>
  <si>
    <t>24-AEO2019.54.ref2019-d111618a</t>
  </si>
  <si>
    <t>Renewable Energy: Nonmarketed Selected Use: Residential: Solar Hot Water Heating: Reference case</t>
  </si>
  <si>
    <t>Solar Hot Water Heating</t>
  </si>
  <si>
    <t>24-AEO2019.53.ref2019-d111618a</t>
  </si>
  <si>
    <t>Renewable Energy: Nonmarketed Selected Use: Residential: Reference case</t>
  </si>
  <si>
    <t>24-AEO2019.51.</t>
  </si>
  <si>
    <t>Selected Consumption</t>
  </si>
  <si>
    <t>24-AEO2019.50.</t>
  </si>
  <si>
    <t>Nonmarketed Renewable Energy</t>
  </si>
  <si>
    <t>24-AEO2019.39.ref2019-d111618a</t>
  </si>
  <si>
    <t>Renewable Energy: Total U.S. Supply of Ethanol: Reference case</t>
  </si>
  <si>
    <t>Total U.S. Supply of Ethanol</t>
  </si>
  <si>
    <t>24-AEO2019.38.ref2019-d111618a</t>
  </si>
  <si>
    <t>Renewable Energy: Sources of Ethanol: Net Imports: Reference case</t>
  </si>
  <si>
    <t>Net Imports</t>
  </si>
  <si>
    <t>24-AEO2019.37.ref2019-d111618a</t>
  </si>
  <si>
    <t>Renewable Energy: Sources of Ethanol: From Cellulose: Reference case</t>
  </si>
  <si>
    <t>From Cellulose</t>
  </si>
  <si>
    <t>24-AEO2019.36.ref2019-d111618a</t>
  </si>
  <si>
    <t>Renewable Energy: Sources of Ethanol: From Corn: Reference case</t>
  </si>
  <si>
    <t>From Corn and Other Starch</t>
  </si>
  <si>
    <t>24-AEO2019.35.</t>
  </si>
  <si>
    <t>Sources of Ethanol</t>
  </si>
  <si>
    <t>24-AEO2019.33.ref2019-d111618a</t>
  </si>
  <si>
    <t>Renewable Energy: Total Marketed Renewable Energy Use: Reference case</t>
  </si>
  <si>
    <t>Total Marketed Renewable Energy</t>
  </si>
  <si>
    <t>24-AEO2019.31.ref2019-d111618a</t>
  </si>
  <si>
    <t>Renewable Energy: Marketed Use: Electric Power: Wind: Reference case</t>
  </si>
  <si>
    <t>24-AEO2019.30.ref2019-d111618a</t>
  </si>
  <si>
    <t>Renewable Energy: Marketed Use: Electric Power: Solar Photovoltaic: Reference case</t>
  </si>
  <si>
    <t>24-AEO2019.29.ref2019-d111618a</t>
  </si>
  <si>
    <t>Renewable Energy: Marketed Use: Electric Power: Solar Thermal: Reference case</t>
  </si>
  <si>
    <t>24-AEO2019.28.ref2019-d111618a</t>
  </si>
  <si>
    <t>Renewable Energy: Marketed Use: Electric Power: Biomass: Cofiring: Reference case</t>
  </si>
  <si>
    <t>Cofiring</t>
  </si>
  <si>
    <t>24-AEO2019.27.ref2019-d111618a</t>
  </si>
  <si>
    <t>Renewable Energy: Marketed Use: Electric Power: Biomass: Dedicated Plants: Reference case</t>
  </si>
  <si>
    <t>Dedicated Plants</t>
  </si>
  <si>
    <t>24-AEO2019.26.ref2019-d111618a</t>
  </si>
  <si>
    <t>Renewable Energy: Marketed Use: Electric Power: Biomass: Reference case</t>
  </si>
  <si>
    <t>Biomass</t>
  </si>
  <si>
    <t>24-AEO2019.25.ref2019-d111618a</t>
  </si>
  <si>
    <t>Renewable Energy: Marketed Use: Electric Power: Biogenic Municipal Waste: Reference case</t>
  </si>
  <si>
    <t>Biogenic Municipal Waste</t>
  </si>
  <si>
    <t>24-AEO2019.24.ref2019-d111618a</t>
  </si>
  <si>
    <t>Renewable Energy: Marketed Use: Electric Power: Geothermal: Reference case</t>
  </si>
  <si>
    <t>Geothermal</t>
  </si>
  <si>
    <t>24-AEO2019.23.ref2019-d111618a</t>
  </si>
  <si>
    <t>Renewable Energy: Marketed Use: Electric Power: Hydropower: Reference case</t>
  </si>
  <si>
    <t>Conventional Hydroelectric Power</t>
  </si>
  <si>
    <t>24-AEO2019.22.ref2019-d111618a</t>
  </si>
  <si>
    <t>Renewable Energy: Marketed Use: Electric Power: Reference case</t>
  </si>
  <si>
    <t>24-AEO2019.20.ref2019-d111618a</t>
  </si>
  <si>
    <t>Renewable Energy: Marketed Use: Transportation: Green Liquids: Reference case</t>
  </si>
  <si>
    <t>Renewable Diesel and Gasoline</t>
  </si>
  <si>
    <t>24-AEO2019.19.ref2019-d111618a</t>
  </si>
  <si>
    <t>Renewable Energy: Marketed Use: Transportation: Liquids from Biomass: Reference case</t>
  </si>
  <si>
    <t>Liquids from Biomass</t>
  </si>
  <si>
    <t>24-AEO2019.18.ref2019-d111618a</t>
  </si>
  <si>
    <t>Renewable Energy: Marketed Use: Transportation: Biobutanol: Reference case</t>
  </si>
  <si>
    <t>Biobutanol</t>
  </si>
  <si>
    <t>24-AEO2019.17.ref2019-d111618a</t>
  </si>
  <si>
    <t>Renewable Energy: Marketed Use: Transportation: Biodiesel used in Distillate Blending: Reference case</t>
  </si>
  <si>
    <t>Biodiesel used in Distillate Blending</t>
  </si>
  <si>
    <t>24-AEO2019.16.ref2019-d111618a</t>
  </si>
  <si>
    <t>Renewable Energy: Marketed Use: Transportation: Ethanol used in Gasoline Blending: Reference case</t>
  </si>
  <si>
    <t>Ethanol used in Gasoline Blending</t>
  </si>
  <si>
    <t>24-AEO2019.15.ref2019-d111618a</t>
  </si>
  <si>
    <t>Renewable Energy: Marketed Use: Transportation: Ethanol used in E85: Reference case</t>
  </si>
  <si>
    <t>Ethanol used in E85</t>
  </si>
  <si>
    <t>24-AEO2019.14.ref2019-d111618a</t>
  </si>
  <si>
    <t>Renewable Energy: Marketed Use: Transportation: Reference case</t>
  </si>
  <si>
    <t>24-AEO2019.12.ref2019-d111618a</t>
  </si>
  <si>
    <t>Renewable Energy: Marketed Use: Industrial: Biofuels Heat and Coproducts: Reference case</t>
  </si>
  <si>
    <t>24-AEO2019.11.ref2019-d111618a</t>
  </si>
  <si>
    <t>Renewable Energy: Marketed Use: Industrial: Biomass: Reference case</t>
  </si>
  <si>
    <t>24-AEO2019.10.ref2019-d111618a</t>
  </si>
  <si>
    <t>Renewable Energy: Marketed Use: Industrial: Municipal Waste: Reference case</t>
  </si>
  <si>
    <t>Municipal Waste</t>
  </si>
  <si>
    <t>24-AEO2019.9.ref2019-d111618a</t>
  </si>
  <si>
    <t>Renewable Energy: Marketed Use: Industrial: Hydropower: Reference case</t>
  </si>
  <si>
    <t>24-AEO2019.8.ref2019-d111618a</t>
  </si>
  <si>
    <t>Renewable Energy: Marketed Use: Industrial: Reference case</t>
  </si>
  <si>
    <t>24-AEO2019.6.ref2019-d111618a</t>
  </si>
  <si>
    <t>Renewable Energy: Marketed Use: Commercial: Biomass: Reference case</t>
  </si>
  <si>
    <t>Commercial (biomass)</t>
  </si>
  <si>
    <t>24-AEO2019.4.ref2019-d111618a</t>
  </si>
  <si>
    <t>Renewable Energy: Marketed Use: Residential: Wood: Reference case</t>
  </si>
  <si>
    <t>Residential (wood)</t>
  </si>
  <si>
    <t>24-AEO2019.2.</t>
  </si>
  <si>
    <t>Marketed Renewable Energy1</t>
  </si>
  <si>
    <t>Pinned Series</t>
  </si>
  <si>
    <t>Clean Fuels Program</t>
  </si>
  <si>
    <t>Total Diesel</t>
  </si>
  <si>
    <t>EIA National Outlook</t>
  </si>
  <si>
    <t>OEA Electric Vehicle</t>
  </si>
  <si>
    <t>(Mil. gallons, percent)</t>
  </si>
  <si>
    <t>Conventional Gasoline</t>
  </si>
  <si>
    <t>Ethanol Blend Rate</t>
  </si>
  <si>
    <t>Fossil Diesel</t>
  </si>
  <si>
    <t>Biodiesel Blend Rate</t>
  </si>
  <si>
    <t>Renew diesel Blend Rate</t>
  </si>
  <si>
    <t>Electricity (on-road)</t>
  </si>
  <si>
    <t>Electricity (off-road)</t>
  </si>
  <si>
    <t>Fossil Natural Gas</t>
  </si>
  <si>
    <t>Biogas Blend Rate</t>
  </si>
  <si>
    <t>Total Natural Gas</t>
  </si>
  <si>
    <t>Clean Fuels Program*</t>
  </si>
  <si>
    <t>ODOT Diesel Forecast</t>
  </si>
  <si>
    <t>Growth Rates by Fuel Type, EIA vs. ODOT vs. CFP/OEA</t>
  </si>
  <si>
    <t>ODOT Gasoline Forecast</t>
  </si>
  <si>
    <t>Liquefied Petroleum Gas</t>
  </si>
  <si>
    <t>electricity_res</t>
  </si>
  <si>
    <t>parameter_name</t>
  </si>
  <si>
    <t>gasoline</t>
  </si>
  <si>
    <t>diesel</t>
  </si>
  <si>
    <t>gasoline_E10</t>
  </si>
  <si>
    <t>Jet_Fuel</t>
  </si>
  <si>
    <t>EnDen</t>
  </si>
  <si>
    <t>CI_Target</t>
  </si>
  <si>
    <t>CI_Actual</t>
  </si>
  <si>
    <t>Parameter</t>
  </si>
  <si>
    <t>Sum of value</t>
  </si>
  <si>
    <t>Facility_name</t>
  </si>
  <si>
    <t>ABE South Dakota, LLC</t>
  </si>
  <si>
    <t>Absolute Energy, LLC</t>
  </si>
  <si>
    <t>Arkalon Ethanol</t>
  </si>
  <si>
    <t xml:space="preserve">Bonanza BioEnergy, LLC </t>
  </si>
  <si>
    <t>BUSHMILLS ETHANOL, INC.</t>
  </si>
  <si>
    <t>Granite Falls Energy, LLC</t>
  </si>
  <si>
    <t>Green Plains Central City LLC</t>
  </si>
  <si>
    <t>Green Plains Ord LLC</t>
  </si>
  <si>
    <t>Green Plains Shenandoah LLC</t>
  </si>
  <si>
    <t>Heartland Corn Products</t>
  </si>
  <si>
    <t>Heron Lake BioEnergy</t>
  </si>
  <si>
    <t>LSCP, LLLP</t>
  </si>
  <si>
    <t>Mid America Agri Products/Wheatland, LLC</t>
  </si>
  <si>
    <t>Poet Biorefining-Chancellor</t>
  </si>
  <si>
    <t>Poet Biorefining-Mitchell</t>
  </si>
  <si>
    <t>Red Trail Energy LLC</t>
  </si>
  <si>
    <t>Sterling Ethanol, LLC</t>
  </si>
  <si>
    <t>Western Plains Energy, LLC</t>
  </si>
  <si>
    <t>Grand Total</t>
  </si>
  <si>
    <t>Values</t>
  </si>
  <si>
    <t>Sum of Total Cap</t>
  </si>
  <si>
    <t>Sum of EIA Cap</t>
  </si>
  <si>
    <t>CFP_ID</t>
  </si>
  <si>
    <t>City</t>
  </si>
  <si>
    <t>Stockton</t>
  </si>
  <si>
    <t>Yuma</t>
  </si>
  <si>
    <t>Sterling</t>
  </si>
  <si>
    <t>Marcus</t>
  </si>
  <si>
    <t>Coon Rapids</t>
  </si>
  <si>
    <t>Emmetsburg</t>
  </si>
  <si>
    <t>Corning</t>
  </si>
  <si>
    <t>St. Ansgar</t>
  </si>
  <si>
    <t>Shenandoah</t>
  </si>
  <si>
    <t>Burley</t>
  </si>
  <si>
    <t>Garden City</t>
  </si>
  <si>
    <t>Oakley</t>
  </si>
  <si>
    <t>Liberal</t>
  </si>
  <si>
    <t>Janesville</t>
  </si>
  <si>
    <t>Heron Lake</t>
  </si>
  <si>
    <t>Atwater</t>
  </si>
  <si>
    <t>Granite Falls</t>
  </si>
  <si>
    <t>Benson</t>
  </si>
  <si>
    <t>Winthrop</t>
  </si>
  <si>
    <t>Hankinson</t>
  </si>
  <si>
    <t>Ord</t>
  </si>
  <si>
    <t>Central City</t>
  </si>
  <si>
    <t>Trenton</t>
  </si>
  <si>
    <t>Adams</t>
  </si>
  <si>
    <t>Columbus</t>
  </si>
  <si>
    <t>Jackson</t>
  </si>
  <si>
    <t>Plainview</t>
  </si>
  <si>
    <t>Madrid</t>
  </si>
  <si>
    <t>Sutherland</t>
  </si>
  <si>
    <t>Bridgeport</t>
  </si>
  <si>
    <t>Boardman</t>
  </si>
  <si>
    <t>Redfield</t>
  </si>
  <si>
    <t>Aberdeen</t>
  </si>
  <si>
    <t>Huron</t>
  </si>
  <si>
    <t>Chancellor</t>
  </si>
  <si>
    <t>Big Stone City</t>
  </si>
  <si>
    <t>Mina</t>
  </si>
  <si>
    <t>Watertown</t>
  </si>
  <si>
    <t>Mitchell</t>
  </si>
  <si>
    <t>Hudson</t>
  </si>
  <si>
    <t>Richardton</t>
  </si>
  <si>
    <t>Wentworth</t>
  </si>
  <si>
    <t>CI Weighted Average</t>
  </si>
  <si>
    <t>Max Capacity</t>
  </si>
  <si>
    <t>Energy
Density</t>
  </si>
  <si>
    <t>Carbon Intensity
Target</t>
  </si>
  <si>
    <t>Carbon Intensity
Assumption</t>
  </si>
  <si>
    <t>KWh/vehicle</t>
  </si>
  <si>
    <t>Liq. Petroleum Gas</t>
  </si>
  <si>
    <t>Banked Credits Share of 2020 Deficits</t>
  </si>
  <si>
    <t>On-road electricity include calculation of residential charging.</t>
  </si>
  <si>
    <t>Deficit Total</t>
  </si>
  <si>
    <t>Credit Total</t>
  </si>
  <si>
    <t>CBOB</t>
  </si>
  <si>
    <t>Renewable NG</t>
  </si>
  <si>
    <t>Blend Rate</t>
  </si>
  <si>
    <t>Fossil NG</t>
  </si>
  <si>
    <t>On-road electricity</t>
  </si>
  <si>
    <t>Residential electricity</t>
  </si>
  <si>
    <t>Total electricity</t>
  </si>
  <si>
    <t>Res percent</t>
  </si>
  <si>
    <t>Liquid Petroleum</t>
  </si>
  <si>
    <t>Volumes Reported</t>
  </si>
  <si>
    <t>Conventional Diesel</t>
  </si>
  <si>
    <t>Electricity-On</t>
  </si>
  <si>
    <t>Electricity-Off</t>
  </si>
  <si>
    <t>Fossil Nat. Gas</t>
  </si>
  <si>
    <t>Q1-2022</t>
  </si>
  <si>
    <t>Q2-2022</t>
  </si>
  <si>
    <t>Q3-2022</t>
  </si>
  <si>
    <t>Q4-2022</t>
  </si>
  <si>
    <t>Q1-2023</t>
  </si>
  <si>
    <t>Q2-2023</t>
  </si>
  <si>
    <t>Q3-2023</t>
  </si>
  <si>
    <t>Q4-2023</t>
  </si>
  <si>
    <t>Q1-2024</t>
  </si>
  <si>
    <t>Q2-2024</t>
  </si>
  <si>
    <t>Q3-2024</t>
  </si>
  <si>
    <t>Q4-2024</t>
  </si>
  <si>
    <t>Q1-2025</t>
  </si>
  <si>
    <t>Q2-2025</t>
  </si>
  <si>
    <t>Q3-2025</t>
  </si>
  <si>
    <t>Q4-2025</t>
  </si>
  <si>
    <t>Y/Y growth</t>
  </si>
  <si>
    <t>Residential electricity KWH</t>
  </si>
  <si>
    <t>Total KWh</t>
  </si>
  <si>
    <t>Average Evs</t>
  </si>
  <si>
    <t>KWh/EV</t>
  </si>
  <si>
    <t>Residential GGE</t>
  </si>
  <si>
    <t>Total GGE</t>
  </si>
  <si>
    <t>value</t>
  </si>
  <si>
    <t>Growth Rate</t>
  </si>
  <si>
    <t>forecast_date</t>
  </si>
  <si>
    <t>Natural_Gas</t>
  </si>
  <si>
    <t>KWh_Vehicle</t>
  </si>
  <si>
    <t>2021 Net Credits/Deficits</t>
  </si>
  <si>
    <t>2020 Estimated Ending Banked Credits</t>
  </si>
  <si>
    <t>Net Credit Total</t>
  </si>
  <si>
    <t>Off-road Electricity</t>
  </si>
  <si>
    <t>Clean Fuels Program Reported Data</t>
  </si>
  <si>
    <t>Volume is gallons, actual or gasoline and diesel equilvalents.  
Volume_EX equals exempt uses, Volume_OR equals non-transportation
Credits and deficits denoted in metric tons. 
CI equals Carbon Intensity 
Data published per DEQ at https://www.oregon.gov/deq/aq/programs/Pages/Clean-Fuels-Data.aspx</t>
  </si>
  <si>
    <t>CI</t>
  </si>
  <si>
    <t>Carbon Intensities</t>
  </si>
  <si>
    <t>2021 average</t>
  </si>
  <si>
    <t>KWh/vehicle per year</t>
  </si>
  <si>
    <t>KWh_vehicle</t>
  </si>
  <si>
    <t>Table 2.  Energy Consumption by Sector and Source</t>
  </si>
  <si>
    <t>https://www.eia.gov/outlooks/aeo/data/browser/#/?id=2-AEO2020&amp;region=1-9&amp;cases=ref2020&amp;start=2018&amp;end=2050&amp;f=A&amp;linechart=ref2020-d112119a.3-2-AEO2020.1-9&amp;map=ref2020-d112119a.5-2-AEO2020.1-9&amp;sourcekey=0</t>
  </si>
  <si>
    <t>Mon May 04 2020 10:28:33 GMT-0700 (Pacific Daylight Time)</t>
  </si>
  <si>
    <t>* reflects Q4 2018 versus Q4 2017.</t>
  </si>
  <si>
    <t>2022
Forecast</t>
  </si>
  <si>
    <t>Deficit/Credit Derivation</t>
  </si>
  <si>
    <t>CFP Data Pivot Table</t>
  </si>
  <si>
    <t>Table 1: Clean Fuels Forecast - Reported Volumes</t>
  </si>
  <si>
    <t>Table 17.  Renewable Energy Consumption by Sector and Source</t>
  </si>
  <si>
    <t>https://www.eia.gov/outlooks/aeo/data/browser/#/?id=24-AEO2020&amp;cases=ref2020&amp;sourcekey=0</t>
  </si>
  <si>
    <t>Mon May 04 2020 11:06:03 GMT-0700 (Pacific Daylight Time)</t>
  </si>
  <si>
    <t>Table 2: Parameters for Clean Fuels Forecast</t>
  </si>
  <si>
    <t>2020 (est.)</t>
  </si>
  <si>
    <t>Net Banked
Credits</t>
  </si>
  <si>
    <t>Table 3: Net Banked Credits</t>
  </si>
  <si>
    <t>Liq_Pet_Renew</t>
  </si>
  <si>
    <t>Fossil Deficit Total</t>
  </si>
  <si>
    <t>Alternative Credit Total</t>
  </si>
  <si>
    <t>Net Credits</t>
  </si>
  <si>
    <t>Cumulative Bank</t>
  </si>
  <si>
    <t>2020F</t>
  </si>
  <si>
    <t>2021F</t>
  </si>
  <si>
    <t>Credits and Deficits Over Time</t>
  </si>
  <si>
    <t>Q1-2026</t>
  </si>
  <si>
    <t>Q2-2026</t>
  </si>
  <si>
    <t>Q3-2026</t>
  </si>
  <si>
    <t>Q4-2026</t>
  </si>
  <si>
    <t>Q1-2027</t>
  </si>
  <si>
    <t>Q2-2027</t>
  </si>
  <si>
    <t>Q3-2027</t>
  </si>
  <si>
    <t>Q4-2027</t>
  </si>
  <si>
    <t>EIA Pacific Outlook</t>
  </si>
  <si>
    <t>Salem</t>
  </si>
  <si>
    <t>JC CHEMICAL CO., LTD.</t>
  </si>
  <si>
    <t>Ulju-gun</t>
  </si>
  <si>
    <t>Consolidated Biofuels Ltd.</t>
  </si>
  <si>
    <t>Delta</t>
  </si>
  <si>
    <t>TX</t>
  </si>
  <si>
    <t>El Paso</t>
  </si>
  <si>
    <t>Shiheung-City</t>
  </si>
  <si>
    <t>REG Albert Lea</t>
  </si>
  <si>
    <t>Albert Lea</t>
  </si>
  <si>
    <t>WA</t>
  </si>
  <si>
    <t>Seattle</t>
  </si>
  <si>
    <t>BIOX Canada Limited</t>
  </si>
  <si>
    <t>Hamilton</t>
  </si>
  <si>
    <t>AR</t>
  </si>
  <si>
    <t>FutureFuel Chemical Company</t>
  </si>
  <si>
    <t>Batesville</t>
  </si>
  <si>
    <t>OK</t>
  </si>
  <si>
    <t>High Plains Bioenergy</t>
  </si>
  <si>
    <t>Guymon</t>
  </si>
  <si>
    <t>MO</t>
  </si>
  <si>
    <t>St Joseph</t>
  </si>
  <si>
    <t>Mason City</t>
  </si>
  <si>
    <t>Beatrice</t>
  </si>
  <si>
    <t>Hoquiam</t>
  </si>
  <si>
    <t>Deerfield</t>
  </si>
  <si>
    <t>Sgt. Bluff</t>
  </si>
  <si>
    <t>St. Joseph</t>
  </si>
  <si>
    <t>Mexico</t>
  </si>
  <si>
    <t>ADM Agri Industries</t>
  </si>
  <si>
    <t>Lloydminster</t>
  </si>
  <si>
    <t>Velva</t>
  </si>
  <si>
    <t>Milligan Biofuels Inc</t>
  </si>
  <si>
    <t>Foam Lake</t>
  </si>
  <si>
    <t>Singapore</t>
  </si>
  <si>
    <t>LA</t>
  </si>
  <si>
    <t>REG Geismar, LLC</t>
  </si>
  <si>
    <t>Geismar</t>
  </si>
  <si>
    <t>WY</t>
  </si>
  <si>
    <t>Sinclair Wyoming Refining Company</t>
  </si>
  <si>
    <t>Sinclair</t>
  </si>
  <si>
    <t>Period</t>
  </si>
  <si>
    <t>annual %ch
vs. 2019</t>
  </si>
  <si>
    <t>SP</t>
  </si>
  <si>
    <t>Raízen Energia S/A – Serra</t>
  </si>
  <si>
    <t>Piracicaba</t>
  </si>
  <si>
    <t>Copersucar S.A.</t>
  </si>
  <si>
    <t>Quatá</t>
  </si>
  <si>
    <t>Pacific Ethanol Holding Co LLC</t>
  </si>
  <si>
    <t>Nebraska</t>
  </si>
  <si>
    <t>SIOUXLAND ETHANOL, LLC</t>
  </si>
  <si>
    <t>Bridgeport Ethanol, LLC</t>
  </si>
  <si>
    <t>Colorado</t>
  </si>
  <si>
    <t>Yuma Ethanol, LLC</t>
  </si>
  <si>
    <t>Trenton Agri Products LLC</t>
  </si>
  <si>
    <t>Midwest Renewable Energy, LLC</t>
  </si>
  <si>
    <t>Husker Ag LLC</t>
  </si>
  <si>
    <t>E Energy Adams, LLC</t>
  </si>
  <si>
    <t>Hankinson Renewable Energy, LLC</t>
  </si>
  <si>
    <t>Guardian Energy, LLC</t>
  </si>
  <si>
    <t>Iowa</t>
  </si>
  <si>
    <t>Poet Biorefining-Emmetsburg</t>
  </si>
  <si>
    <t>Poet Biorefining-Corning</t>
  </si>
  <si>
    <t>Poet Biorefining-Coon Rapids</t>
  </si>
  <si>
    <t>Glacial Lakes Corn Processors</t>
  </si>
  <si>
    <t>Poet Biorefining-Hudson</t>
  </si>
  <si>
    <t>Poet Biorefining-Big Stone</t>
  </si>
  <si>
    <t>Archer Daniels Midland Company</t>
  </si>
  <si>
    <t>Siouxland Energy Cooperative</t>
  </si>
  <si>
    <t>Sioux City</t>
  </si>
  <si>
    <t>Redfield Energy,</t>
  </si>
  <si>
    <t>South Dakota</t>
  </si>
  <si>
    <t>Poet Biorefining-Groton</t>
  </si>
  <si>
    <t xml:space="preserve">Groton
</t>
  </si>
  <si>
    <t>Chippewa Valley Ethanol Company LLLP</t>
  </si>
  <si>
    <t>KAAPA Ethanol Holdings, LLC</t>
  </si>
  <si>
    <t>Ravenna</t>
  </si>
  <si>
    <t>Dakota Ethanol, LLC</t>
  </si>
  <si>
    <t>Ring-neck Energy &amp; Feed</t>
  </si>
  <si>
    <t>Onida</t>
  </si>
  <si>
    <t>SeQuential Pacific Biodiesel</t>
  </si>
  <si>
    <t>Ulsan</t>
  </si>
  <si>
    <t>British Columbia</t>
  </si>
  <si>
    <t>Global Alternative Fuels LLC</t>
  </si>
  <si>
    <t>Kyonggi-do</t>
  </si>
  <si>
    <t>Dansuk Industrial Co., LTD.</t>
  </si>
  <si>
    <t>General Biodiesel Seattle, LLC</t>
  </si>
  <si>
    <t>Ontario</t>
  </si>
  <si>
    <t>Duonix Beatrice</t>
  </si>
  <si>
    <t>ADM Deerfield Energy</t>
  </si>
  <si>
    <t>Ag Processing, Inc.</t>
  </si>
  <si>
    <t>ADM Mexico</t>
  </si>
  <si>
    <t>Alberta</t>
  </si>
  <si>
    <t>Saskatchewan</t>
  </si>
  <si>
    <t>REG Newton, LLC</t>
  </si>
  <si>
    <t>Newton</t>
  </si>
  <si>
    <t>Paseo Cargill Energy</t>
  </si>
  <si>
    <t>Kansas City</t>
  </si>
  <si>
    <t>GYEONGGI-DO</t>
  </si>
  <si>
    <t>PYEONGTAEK-SI</t>
  </si>
  <si>
    <t>REG Mason City</t>
  </si>
  <si>
    <t>REG Grays Harbor LLC</t>
  </si>
  <si>
    <t>HPB St Joe Biodiesel, LLC</t>
  </si>
  <si>
    <t/>
  </si>
  <si>
    <t>Neste Singapore Pte Ltd</t>
  </si>
  <si>
    <t>BP Products North America Inc.</t>
  </si>
  <si>
    <t>Blaine</t>
  </si>
  <si>
    <t>Low CI producer scenario</t>
  </si>
  <si>
    <t>Trend Scenario</t>
  </si>
  <si>
    <t>Raw Data Check</t>
  </si>
  <si>
    <t>Final Data Check</t>
  </si>
  <si>
    <t>Reported Volumes Array</t>
  </si>
  <si>
    <t>Credits/Deficits Array</t>
  </si>
  <si>
    <t>Forecast Begins Here -&gt;&gt;&gt;&gt;&gt;&gt;&gt;&gt;&gt;</t>
  </si>
  <si>
    <t>Table 4: Credit and Deficit Summary</t>
  </si>
  <si>
    <t>EEReon</t>
  </si>
  <si>
    <t>EERng</t>
  </si>
  <si>
    <t>EERelect</t>
  </si>
  <si>
    <t>EER_NG</t>
  </si>
  <si>
    <t>OH</t>
  </si>
  <si>
    <t>WM Renewable Energy, LLC</t>
  </si>
  <si>
    <t>Waynesburg</t>
  </si>
  <si>
    <t>TN</t>
  </si>
  <si>
    <t>Trillium Transportation Fuels, LLC</t>
  </si>
  <si>
    <t>Athens</t>
  </si>
  <si>
    <t>Naming Convention</t>
  </si>
  <si>
    <t>T0</t>
  </si>
  <si>
    <t>Compliance Period</t>
  </si>
  <si>
    <t>T1</t>
  </si>
  <si>
    <t>One Year Prior to Compliance Period</t>
  </si>
  <si>
    <t>T2</t>
  </si>
  <si>
    <t>Two Years Prior to Compliance Period</t>
  </si>
  <si>
    <t>ED</t>
  </si>
  <si>
    <t>Energy Density</t>
  </si>
  <si>
    <t>CIT</t>
  </si>
  <si>
    <t>Carbon Intensity Target</t>
  </si>
  <si>
    <t>CIA</t>
  </si>
  <si>
    <t>Carbon Intensity Actual</t>
  </si>
  <si>
    <t>BR</t>
  </si>
  <si>
    <t>GR</t>
  </si>
  <si>
    <t>https://secure.sos.state.or.us/oard/viewSingleRule.action?ruleVrsnRsn=269347</t>
  </si>
  <si>
    <t>Link to the rule, from there find the ED and CI tables</t>
  </si>
  <si>
    <t>Final Parameter</t>
  </si>
  <si>
    <t>California</t>
  </si>
  <si>
    <t>Facility-based scenario</t>
  </si>
  <si>
    <t>Oregon (w/Trend)</t>
  </si>
  <si>
    <t>Note: Final Deficits and Credits may not foot to the raw totals due to rounding</t>
  </si>
  <si>
    <t>Note: Historical trend timeframe chosen to reflect latest movements in CI, as well as to factor in facility-based scenario and any insights gleaned from California experience.  Trend result DOES NOT dictate final CI assumption.</t>
  </si>
  <si>
    <t>Final CI assumptions based on combination of statistical measures, forecaster judgement, and input from the Clean Fuels Forecast Advisory Committee</t>
  </si>
  <si>
    <t>Forecast assumption</t>
  </si>
  <si>
    <t>Actual growth</t>
  </si>
  <si>
    <t>2019 Q1</t>
  </si>
  <si>
    <t>2020 Q1</t>
  </si>
  <si>
    <t>percent ch.</t>
  </si>
  <si>
    <t>Final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</si>
</sst>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#,##0.0"/>
    <numFmt numFmtId="166" formatCode="0.000"/>
    <numFmt numFmtId="167" formatCode="_(* #,##0_);_(* \(#,##0\);_(* &quot;-&quot;??_);_(@_)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9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A5FBF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Protection="0">
      <alignment wrapText="1"/>
    </xf>
    <xf numFmtId="0" fontId="5" fillId="0" borderId="0" applyNumberFormat="0" applyProtection="0">
      <alignment horizontal="left"/>
    </xf>
    <xf numFmtId="0" fontId="4" fillId="0" borderId="2" applyNumberFormat="0" applyProtection="0">
      <alignment wrapText="1"/>
    </xf>
    <xf numFmtId="0" fontId="3" fillId="0" borderId="3" applyNumberFormat="0" applyFont="0" applyProtection="0">
      <alignment wrapText="1"/>
    </xf>
    <xf numFmtId="0" fontId="3" fillId="0" borderId="4" applyNumberFormat="0" applyProtection="0">
      <alignment wrapText="1"/>
    </xf>
    <xf numFmtId="0" fontId="12" fillId="0" borderId="24" applyNumberFormat="0" applyFill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27" applyNumberFormat="0" applyAlignment="0" applyProtection="0"/>
    <xf numFmtId="0" fontId="19" fillId="12" borderId="28" applyNumberFormat="0" applyAlignment="0" applyProtection="0"/>
    <xf numFmtId="0" fontId="20" fillId="12" borderId="27" applyNumberFormat="0" applyAlignment="0" applyProtection="0"/>
    <xf numFmtId="0" fontId="21" fillId="0" borderId="29" applyNumberFormat="0" applyFill="0" applyAlignment="0" applyProtection="0"/>
    <xf numFmtId="0" fontId="22" fillId="13" borderId="30" applyNumberFormat="0" applyAlignment="0" applyProtection="0"/>
    <xf numFmtId="0" fontId="23" fillId="0" borderId="0" applyNumberFormat="0" applyFill="0" applyBorder="0" applyAlignment="0" applyProtection="0"/>
    <xf numFmtId="0" fontId="1" fillId="14" borderId="31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32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3" borderId="0" xfId="0" applyFill="1"/>
    <xf numFmtId="0" fontId="0" fillId="3" borderId="5" xfId="0" applyFill="1" applyBorder="1"/>
    <xf numFmtId="3" fontId="0" fillId="3" borderId="5" xfId="0" applyNumberFormat="1" applyFill="1" applyBorder="1"/>
    <xf numFmtId="0" fontId="0" fillId="3" borderId="0" xfId="0" applyFont="1" applyFill="1"/>
    <xf numFmtId="3" fontId="0" fillId="4" borderId="5" xfId="0" applyNumberFormat="1" applyFill="1" applyBorder="1"/>
    <xf numFmtId="0" fontId="0" fillId="0" borderId="5" xfId="0" applyFill="1" applyBorder="1"/>
    <xf numFmtId="164" fontId="0" fillId="3" borderId="0" xfId="1" applyNumberFormat="1" applyFont="1" applyFill="1"/>
    <xf numFmtId="10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3" fontId="0" fillId="0" borderId="0" xfId="0" applyNumberFormat="1"/>
    <xf numFmtId="3" fontId="0" fillId="0" borderId="5" xfId="0" applyNumberFormat="1" applyFill="1" applyBorder="1"/>
    <xf numFmtId="3" fontId="6" fillId="3" borderId="5" xfId="0" applyNumberFormat="1" applyFont="1" applyFill="1" applyBorder="1" applyAlignment="1"/>
    <xf numFmtId="0" fontId="2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/>
    <xf numFmtId="3" fontId="0" fillId="0" borderId="5" xfId="0" applyNumberFormat="1" applyBorder="1"/>
    <xf numFmtId="3" fontId="2" fillId="3" borderId="12" xfId="0" applyNumberFormat="1" applyFont="1" applyFill="1" applyBorder="1"/>
    <xf numFmtId="0" fontId="0" fillId="0" borderId="0" xfId="0" pivotButton="1"/>
    <xf numFmtId="14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Alignment="1">
      <alignment horizontal="left" indent="2"/>
    </xf>
    <xf numFmtId="166" fontId="0" fillId="0" borderId="0" xfId="0" applyNumberFormat="1"/>
    <xf numFmtId="0" fontId="7" fillId="0" borderId="0" xfId="0" applyFont="1" applyAlignment="1">
      <alignment horizontal="center"/>
    </xf>
    <xf numFmtId="0" fontId="0" fillId="0" borderId="15" xfId="0" applyBorder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16" xfId="0" applyBorder="1"/>
    <xf numFmtId="0" fontId="0" fillId="0" borderId="16" xfId="0" applyBorder="1" applyAlignment="1">
      <alignment horizontal="left"/>
    </xf>
    <xf numFmtId="165" fontId="0" fillId="0" borderId="0" xfId="0" applyNumberFormat="1"/>
    <xf numFmtId="165" fontId="0" fillId="0" borderId="16" xfId="0" applyNumberFormat="1" applyBorder="1"/>
    <xf numFmtId="164" fontId="0" fillId="0" borderId="16" xfId="1" applyNumberFormat="1" applyFont="1" applyBorder="1"/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/>
    </xf>
    <xf numFmtId="165" fontId="0" fillId="0" borderId="0" xfId="0" applyNumberFormat="1" applyBorder="1"/>
    <xf numFmtId="0" fontId="2" fillId="0" borderId="0" xfId="0" applyFont="1"/>
    <xf numFmtId="0" fontId="0" fillId="0" borderId="15" xfId="0" applyBorder="1" applyAlignment="1">
      <alignment horizontal="right" wrapText="1"/>
    </xf>
    <xf numFmtId="0" fontId="0" fillId="0" borderId="10" xfId="0" applyBorder="1"/>
    <xf numFmtId="164" fontId="0" fillId="0" borderId="10" xfId="1" applyNumberFormat="1" applyFont="1" applyBorder="1"/>
    <xf numFmtId="164" fontId="0" fillId="0" borderId="17" xfId="0" applyNumberFormat="1" applyBorder="1"/>
    <xf numFmtId="164" fontId="0" fillId="0" borderId="10" xfId="0" applyNumberFormat="1" applyBorder="1"/>
    <xf numFmtId="0" fontId="8" fillId="0" borderId="0" xfId="0" applyFont="1"/>
    <xf numFmtId="164" fontId="0" fillId="0" borderId="10" xfId="1" applyNumberFormat="1" applyFont="1" applyFill="1" applyBorder="1"/>
    <xf numFmtId="0" fontId="7" fillId="0" borderId="0" xfId="0" applyFont="1" applyAlignment="1"/>
    <xf numFmtId="164" fontId="0" fillId="0" borderId="0" xfId="1" applyNumberFormat="1" applyFont="1" applyFill="1" applyBorder="1"/>
    <xf numFmtId="0" fontId="0" fillId="0" borderId="18" xfId="0" applyBorder="1"/>
    <xf numFmtId="3" fontId="0" fillId="2" borderId="5" xfId="0" applyNumberFormat="1" applyFill="1" applyBorder="1"/>
    <xf numFmtId="4" fontId="0" fillId="0" borderId="0" xfId="0" applyNumberFormat="1"/>
    <xf numFmtId="0" fontId="0" fillId="3" borderId="0" xfId="0" applyFill="1" applyAlignment="1"/>
    <xf numFmtId="2" fontId="0" fillId="0" borderId="5" xfId="0" applyNumberFormat="1" applyBorder="1"/>
    <xf numFmtId="3" fontId="0" fillId="3" borderId="5" xfId="0" applyNumberFormat="1" applyFill="1" applyBorder="1" applyAlignment="1"/>
    <xf numFmtId="0" fontId="0" fillId="3" borderId="19" xfId="0" applyFill="1" applyBorder="1" applyAlignment="1"/>
    <xf numFmtId="3" fontId="2" fillId="3" borderId="5" xfId="0" applyNumberFormat="1" applyFont="1" applyFill="1" applyBorder="1" applyAlignment="1"/>
    <xf numFmtId="3" fontId="2" fillId="3" borderId="20" xfId="0" applyNumberFormat="1" applyFont="1" applyFill="1" applyBorder="1" applyAlignment="1"/>
    <xf numFmtId="3" fontId="2" fillId="3" borderId="12" xfId="0" applyNumberFormat="1" applyFont="1" applyFill="1" applyBorder="1" applyAlignment="1"/>
    <xf numFmtId="164" fontId="2" fillId="3" borderId="5" xfId="1" applyNumberFormat="1" applyFont="1" applyFill="1" applyBorder="1" applyAlignment="1"/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/>
    <xf numFmtId="0" fontId="0" fillId="3" borderId="21" xfId="0" applyFill="1" applyBorder="1"/>
    <xf numFmtId="0" fontId="2" fillId="3" borderId="2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/>
    <xf numFmtId="3" fontId="10" fillId="3" borderId="12" xfId="0" applyNumberFormat="1" applyFont="1" applyFill="1" applyBorder="1" applyAlignment="1"/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/>
    </xf>
    <xf numFmtId="14" fontId="2" fillId="6" borderId="22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horizontal="left" indent="2"/>
    </xf>
    <xf numFmtId="164" fontId="0" fillId="0" borderId="0" xfId="1" applyNumberFormat="1" applyFont="1" applyFill="1"/>
    <xf numFmtId="0" fontId="0" fillId="0" borderId="16" xfId="0" applyFill="1" applyBorder="1"/>
    <xf numFmtId="3" fontId="0" fillId="0" borderId="16" xfId="0" applyNumberFormat="1" applyFill="1" applyBorder="1"/>
    <xf numFmtId="3" fontId="0" fillId="3" borderId="11" xfId="0" applyNumberFormat="1" applyFill="1" applyBorder="1"/>
    <xf numFmtId="3" fontId="0" fillId="3" borderId="21" xfId="0" applyNumberFormat="1" applyFill="1" applyBorder="1"/>
    <xf numFmtId="0" fontId="0" fillId="7" borderId="0" xfId="0" applyFont="1" applyFill="1"/>
    <xf numFmtId="164" fontId="0" fillId="7" borderId="0" xfId="1" applyNumberFormat="1" applyFont="1" applyFill="1"/>
    <xf numFmtId="0" fontId="0" fillId="5" borderId="0" xfId="0" applyFont="1" applyFill="1"/>
    <xf numFmtId="164" fontId="0" fillId="5" borderId="0" xfId="1" applyNumberFormat="1" applyFont="1" applyFill="1"/>
    <xf numFmtId="3" fontId="2" fillId="0" borderId="23" xfId="0" applyNumberFormat="1" applyFont="1" applyFill="1" applyBorder="1" applyAlignment="1">
      <alignment horizontal="center" wrapText="1"/>
    </xf>
    <xf numFmtId="9" fontId="0" fillId="0" borderId="0" xfId="1" applyFont="1"/>
    <xf numFmtId="3" fontId="0" fillId="0" borderId="5" xfId="0" applyNumberFormat="1" applyFill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16" xfId="0" applyFont="1" applyBorder="1"/>
    <xf numFmtId="3" fontId="0" fillId="0" borderId="16" xfId="0" applyNumberFormat="1" applyBorder="1"/>
    <xf numFmtId="0" fontId="0" fillId="0" borderId="0" xfId="0" applyFill="1" applyBorder="1"/>
    <xf numFmtId="0" fontId="27" fillId="0" borderId="0" xfId="49"/>
    <xf numFmtId="0" fontId="11" fillId="0" borderId="0" xfId="0" applyFont="1"/>
    <xf numFmtId="167" fontId="28" fillId="0" borderId="33" xfId="50" applyNumberFormat="1" applyFont="1" applyFill="1" applyBorder="1" applyAlignment="1">
      <alignment horizontal="center" vertical="top" wrapText="1" readingOrder="1"/>
    </xf>
    <xf numFmtId="0" fontId="0" fillId="7" borderId="0" xfId="0" applyFill="1"/>
    <xf numFmtId="4" fontId="0" fillId="7" borderId="0" xfId="0" applyNumberFormat="1" applyFill="1"/>
    <xf numFmtId="4" fontId="0" fillId="2" borderId="0" xfId="0" applyNumberFormat="1" applyFill="1"/>
    <xf numFmtId="0" fontId="0" fillId="2" borderId="0" xfId="0" applyFill="1"/>
    <xf numFmtId="0" fontId="0" fillId="39" borderId="0" xfId="0" applyFill="1"/>
    <xf numFmtId="4" fontId="0" fillId="39" borderId="0" xfId="0" applyNumberFormat="1" applyFill="1"/>
    <xf numFmtId="10" fontId="0" fillId="2" borderId="0" xfId="0" applyNumberFormat="1" applyFill="1"/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64" fontId="0" fillId="0" borderId="0" xfId="0" applyNumberFormat="1" applyBorder="1"/>
    <xf numFmtId="0" fontId="0" fillId="3" borderId="34" xfId="0" applyFill="1" applyBorder="1"/>
    <xf numFmtId="0" fontId="0" fillId="3" borderId="0" xfId="0" applyFill="1" applyBorder="1"/>
    <xf numFmtId="0" fontId="0" fillId="3" borderId="16" xfId="0" applyFill="1" applyBorder="1"/>
    <xf numFmtId="0" fontId="0" fillId="2" borderId="15" xfId="0" applyFill="1" applyBorder="1" applyAlignment="1">
      <alignment horizontal="right"/>
    </xf>
    <xf numFmtId="3" fontId="0" fillId="2" borderId="0" xfId="0" applyNumberFormat="1" applyFill="1"/>
    <xf numFmtId="3" fontId="10" fillId="2" borderId="12" xfId="0" applyNumberFormat="1" applyFont="1" applyFill="1" applyBorder="1" applyAlignment="1"/>
    <xf numFmtId="3" fontId="2" fillId="2" borderId="5" xfId="0" applyNumberFormat="1" applyFont="1" applyFill="1" applyBorder="1" applyAlignment="1"/>
    <xf numFmtId="3" fontId="0" fillId="2" borderId="16" xfId="0" applyNumberFormat="1" applyFill="1" applyBorder="1"/>
    <xf numFmtId="0" fontId="0" fillId="5" borderId="0" xfId="0" applyFont="1" applyFill="1" applyAlignment="1">
      <alignment horizontal="right"/>
    </xf>
    <xf numFmtId="3" fontId="0" fillId="0" borderId="5" xfId="0" applyNumberFormat="1" applyBorder="1"/>
    <xf numFmtId="3" fontId="0" fillId="0" borderId="5" xfId="0" applyNumberFormat="1" applyBorder="1"/>
    <xf numFmtId="0" fontId="0" fillId="0" borderId="5" xfId="0" applyBorder="1"/>
    <xf numFmtId="3" fontId="0" fillId="0" borderId="5" xfId="0" applyNumberFormat="1" applyFill="1" applyBorder="1"/>
    <xf numFmtId="164" fontId="0" fillId="2" borderId="10" xfId="1" applyNumberFormat="1" applyFont="1" applyFill="1" applyBorder="1"/>
    <xf numFmtId="164" fontId="0" fillId="2" borderId="10" xfId="0" applyNumberFormat="1" applyFill="1" applyBorder="1"/>
    <xf numFmtId="164" fontId="0" fillId="0" borderId="0" xfId="0" applyNumberFormat="1" applyFill="1" applyBorder="1"/>
    <xf numFmtId="0" fontId="0" fillId="5" borderId="0" xfId="0" applyFill="1"/>
    <xf numFmtId="0" fontId="0" fillId="5" borderId="0" xfId="0" applyFill="1" applyBorder="1"/>
    <xf numFmtId="164" fontId="0" fillId="5" borderId="0" xfId="0" applyNumberFormat="1" applyFill="1" applyBorder="1"/>
    <xf numFmtId="164" fontId="0" fillId="0" borderId="0" xfId="1" applyNumberFormat="1" applyFont="1" applyBorder="1"/>
    <xf numFmtId="164" fontId="0" fillId="5" borderId="0" xfId="1" applyNumberFormat="1" applyFont="1" applyFill="1" applyBorder="1"/>
    <xf numFmtId="2" fontId="9" fillId="0" borderId="5" xfId="0" applyNumberFormat="1" applyFont="1" applyFill="1" applyBorder="1"/>
    <xf numFmtId="1" fontId="9" fillId="0" borderId="5" xfId="0" applyNumberFormat="1" applyFont="1" applyFill="1" applyBorder="1"/>
    <xf numFmtId="14" fontId="0" fillId="0" borderId="0" xfId="0" applyNumberFormat="1" applyAlignment="1">
      <alignment horizontal="left"/>
    </xf>
    <xf numFmtId="2" fontId="0" fillId="2" borderId="0" xfId="0" applyNumberFormat="1" applyFill="1"/>
    <xf numFmtId="0" fontId="0" fillId="0" borderId="0" xfId="0" applyFill="1" applyBorder="1" applyAlignment="1">
      <alignment horizontal="left" indent="2"/>
    </xf>
    <xf numFmtId="3" fontId="0" fillId="0" borderId="5" xfId="0" applyNumberFormat="1" applyBorder="1"/>
    <xf numFmtId="0" fontId="0" fillId="0" borderId="0" xfId="0"/>
    <xf numFmtId="3" fontId="0" fillId="0" borderId="0" xfId="0" applyNumberFormat="1"/>
    <xf numFmtId="3" fontId="0" fillId="0" borderId="5" xfId="0" applyNumberFormat="1" applyBorder="1"/>
    <xf numFmtId="3" fontId="0" fillId="0" borderId="5" xfId="0" applyNumberFormat="1" applyFill="1" applyBorder="1"/>
    <xf numFmtId="0" fontId="0" fillId="0" borderId="0" xfId="0" applyBorder="1" applyAlignment="1">
      <alignment wrapText="1"/>
    </xf>
    <xf numFmtId="164" fontId="9" fillId="0" borderId="0" xfId="0" applyNumberFormat="1" applyFont="1" applyBorder="1"/>
    <xf numFmtId="164" fontId="9" fillId="0" borderId="0" xfId="1" applyNumberFormat="1" applyFont="1" applyBorder="1"/>
    <xf numFmtId="168" fontId="0" fillId="2" borderId="35" xfId="0" applyNumberFormat="1" applyFill="1" applyBorder="1"/>
    <xf numFmtId="0" fontId="0" fillId="40" borderId="0" xfId="0" applyFill="1"/>
    <xf numFmtId="165" fontId="0" fillId="40" borderId="35" xfId="0" applyNumberFormat="1" applyFill="1" applyBorder="1"/>
    <xf numFmtId="3" fontId="0" fillId="7" borderId="0" xfId="0" applyNumberFormat="1" applyFill="1"/>
    <xf numFmtId="0" fontId="0" fillId="4" borderId="0" xfId="0" applyFill="1"/>
    <xf numFmtId="3" fontId="0" fillId="4" borderId="0" xfId="0" applyNumberFormat="1" applyFill="1"/>
    <xf numFmtId="3" fontId="0" fillId="5" borderId="16" xfId="0" applyNumberFormat="1" applyFill="1" applyBorder="1"/>
    <xf numFmtId="3" fontId="0" fillId="41" borderId="0" xfId="0" applyNumberFormat="1" applyFill="1" applyBorder="1"/>
    <xf numFmtId="0" fontId="9" fillId="42" borderId="0" xfId="0" applyFont="1" applyFill="1" applyBorder="1" applyAlignment="1">
      <alignment horizontal="left" indent="2"/>
    </xf>
    <xf numFmtId="3" fontId="9" fillId="42" borderId="0" xfId="0" applyNumberFormat="1" applyFont="1" applyFill="1" applyBorder="1"/>
    <xf numFmtId="164" fontId="9" fillId="42" borderId="0" xfId="1" applyNumberFormat="1" applyFont="1" applyFill="1" applyBorder="1"/>
    <xf numFmtId="0" fontId="11" fillId="2" borderId="0" xfId="0" applyFont="1" applyFill="1"/>
    <xf numFmtId="164" fontId="9" fillId="40" borderId="0" xfId="1" applyNumberFormat="1" applyFont="1" applyFill="1" applyBorder="1"/>
    <xf numFmtId="0" fontId="0" fillId="5" borderId="35" xfId="0" applyFill="1" applyBorder="1"/>
    <xf numFmtId="168" fontId="0" fillId="5" borderId="35" xfId="0" applyNumberFormat="1" applyFill="1" applyBorder="1"/>
    <xf numFmtId="4" fontId="0" fillId="0" borderId="0" xfId="0" applyNumberFormat="1" applyFill="1"/>
    <xf numFmtId="2" fontId="0" fillId="5" borderId="5" xfId="0" applyNumberFormat="1" applyFill="1" applyBorder="1"/>
    <xf numFmtId="0" fontId="0" fillId="43" borderId="0" xfId="0" applyFill="1"/>
    <xf numFmtId="2" fontId="0" fillId="43" borderId="5" xfId="0" applyNumberFormat="1" applyFill="1" applyBorder="1"/>
    <xf numFmtId="0" fontId="0" fillId="44" borderId="0" xfId="0" applyFill="1"/>
    <xf numFmtId="2" fontId="0" fillId="44" borderId="5" xfId="0" applyNumberFormat="1" applyFill="1" applyBorder="1"/>
    <xf numFmtId="0" fontId="9" fillId="5" borderId="0" xfId="0" applyFont="1" applyFill="1" applyAlignment="1">
      <alignment horizontal="left" indent="1"/>
    </xf>
    <xf numFmtId="164" fontId="9" fillId="5" borderId="0" xfId="0" applyNumberFormat="1" applyFont="1" applyFill="1"/>
    <xf numFmtId="164" fontId="9" fillId="5" borderId="0" xfId="1" applyNumberFormat="1" applyFont="1" applyFill="1"/>
    <xf numFmtId="4" fontId="0" fillId="4" borderId="0" xfId="0" applyNumberFormat="1" applyFill="1"/>
    <xf numFmtId="3" fontId="0" fillId="40" borderId="5" xfId="0" applyNumberFormat="1" applyFill="1" applyBorder="1"/>
    <xf numFmtId="164" fontId="0" fillId="2" borderId="0" xfId="1" applyNumberFormat="1" applyFont="1" applyFill="1"/>
    <xf numFmtId="0" fontId="0" fillId="2" borderId="0" xfId="0" applyFont="1" applyFill="1"/>
    <xf numFmtId="165" fontId="0" fillId="2" borderId="0" xfId="0" applyNumberFormat="1" applyFill="1"/>
    <xf numFmtId="165" fontId="0" fillId="2" borderId="0" xfId="0" applyNumberFormat="1" applyFill="1" applyBorder="1"/>
    <xf numFmtId="0" fontId="7" fillId="0" borderId="0" xfId="0" applyFont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Body: normal cell" xfId="6"/>
    <cellStyle name="Calculation" xfId="17" builtinId="22" customBuiltin="1"/>
    <cellStyle name="Check Cell" xfId="19" builtinId="23" customBuiltin="1"/>
    <cellStyle name="Comma" xfId="50" builtinId="3"/>
    <cellStyle name="Explanatory Text" xfId="22" builtinId="53" customBuiltin="1"/>
    <cellStyle name="Font: Calibri, 9pt regular" xfId="2"/>
    <cellStyle name="Footnotes: top row" xfId="7"/>
    <cellStyle name="Good" xfId="12" builtinId="26" customBuiltin="1"/>
    <cellStyle name="Header: bottom row" xfId="3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49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te" xfId="21" builtinId="10" customBuiltin="1"/>
    <cellStyle name="Output" xfId="16" builtinId="21" customBuiltin="1"/>
    <cellStyle name="Parent row" xfId="5"/>
    <cellStyle name="Percent" xfId="1" builtinId="5"/>
    <cellStyle name="Table title" xfId="4"/>
    <cellStyle name="Title 2" xfId="48"/>
    <cellStyle name="Total" xfId="23" builtinId="25" customBuiltin="1"/>
    <cellStyle name="Warning Text" xfId="20" builtinId="11" customBuiltin="1"/>
  </cellStyles>
  <dxfs count="98">
    <dxf>
      <numFmt numFmtId="4" formatCode="#,##0.0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4" formatCode="#,##0.00"/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4" formatCode="#,##0.0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4" formatCode="#,##0.0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colors>
    <mruColors>
      <color rgb="FFFF99FF"/>
      <color rgb="FFFF66CC"/>
      <color rgb="FF66FFFF"/>
      <color rgb="FFCCFF99"/>
      <color rgb="FFFEC200"/>
      <color rgb="FFA5FBFD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</a:t>
            </a:r>
            <a:r>
              <a:rPr lang="en-US" baseline="0"/>
              <a:t> D</a:t>
            </a:r>
            <a:r>
              <a:rPr lang="en-US"/>
              <a:t>iesel</a:t>
            </a:r>
            <a:r>
              <a:rPr lang="en-US" baseline="0"/>
              <a:t> </a:t>
            </a:r>
            <a:r>
              <a:rPr lang="en-US"/>
              <a:t>Carbon Intensity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047465025023853E-2"/>
          <c:y val="0.12584277676787517"/>
          <c:w val="0.89688066453889848"/>
          <c:h val="0.69012530477691603"/>
        </c:manualLayout>
      </c:layout>
      <c:lineChart>
        <c:grouping val="standard"/>
        <c:varyColors val="0"/>
        <c:ser>
          <c:idx val="0"/>
          <c:order val="0"/>
          <c:tx>
            <c:strRef>
              <c:f>'CI Trend'!$C$23</c:f>
              <c:strCache>
                <c:ptCount val="1"/>
                <c:pt idx="0">
                  <c:v>Oregon (w/Trend)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Trend'!$D$11:$AA$11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'CI Trend'!$D$23:$AA$23</c:f>
              <c:numCache>
                <c:formatCode>General</c:formatCode>
                <c:ptCount val="24"/>
                <c:pt idx="7" formatCode="#,##0.00">
                  <c:v>33.64</c:v>
                </c:pt>
                <c:pt idx="8" formatCode="#,##0.00">
                  <c:v>48.76</c:v>
                </c:pt>
                <c:pt idx="9" formatCode="#,##0.00">
                  <c:v>36.380000000000003</c:v>
                </c:pt>
                <c:pt idx="10" formatCode="#,##0.00">
                  <c:v>37.42</c:v>
                </c:pt>
                <c:pt idx="11" formatCode="#,##0.00">
                  <c:v>34.96</c:v>
                </c:pt>
                <c:pt idx="12" formatCode="#,##0.00">
                  <c:v>53.91</c:v>
                </c:pt>
                <c:pt idx="13" formatCode="#,##0.00">
                  <c:v>44.74</c:v>
                </c:pt>
                <c:pt idx="14" formatCode="#,##0.00">
                  <c:v>29.88</c:v>
                </c:pt>
                <c:pt idx="15" formatCode="#,##0.00">
                  <c:v>28.12</c:v>
                </c:pt>
                <c:pt idx="16" formatCode="#,##0.00">
                  <c:v>32.962208449907422</c:v>
                </c:pt>
                <c:pt idx="17" formatCode="#,##0.00">
                  <c:v>31.919141698381768</c:v>
                </c:pt>
                <c:pt idx="18" formatCode="#,##0.00">
                  <c:v>30.876074946855997</c:v>
                </c:pt>
                <c:pt idx="19" formatCode="#,##0.00">
                  <c:v>29.82154592333546</c:v>
                </c:pt>
                <c:pt idx="20" formatCode="#,##0.00">
                  <c:v>28.767016899814919</c:v>
                </c:pt>
                <c:pt idx="21" formatCode="#,##0.00">
                  <c:v>27.735412420283922</c:v>
                </c:pt>
                <c:pt idx="22" formatCode="#,##0.00">
                  <c:v>26.692345668758154</c:v>
                </c:pt>
                <c:pt idx="23" formatCode="#,##0.00">
                  <c:v>25.637816645237613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E-44C4-8D0D-E0CBC06BB266}"/>
            </c:ext>
          </c:extLst>
        </c:ser>
        <c:ser>
          <c:idx val="1"/>
          <c:order val="1"/>
          <c:tx>
            <c:strRef>
              <c:f>'CI Trend'!$C$19</c:f>
              <c:strCache>
                <c:ptCount val="1"/>
                <c:pt idx="0">
                  <c:v>Facility-based scenario</c:v>
                </c:pt>
              </c:strCache>
            </c:strRef>
          </c:tx>
          <c:spPr>
            <a:ln w="53975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val>
            <c:numRef>
              <c:f>'CI Trend'!$D$24:$AA$24</c:f>
              <c:numCache>
                <c:formatCode>General</c:formatCode>
                <c:ptCount val="24"/>
                <c:pt idx="16" formatCode="#,##0.00">
                  <c:v>32.5</c:v>
                </c:pt>
                <c:pt idx="17" formatCode="#,##0.00">
                  <c:v>32.5</c:v>
                </c:pt>
                <c:pt idx="18" formatCode="#,##0.00">
                  <c:v>32.5</c:v>
                </c:pt>
                <c:pt idx="19" formatCode="#,##0.00">
                  <c:v>32.5</c:v>
                </c:pt>
                <c:pt idx="20" formatCode="#,##0.00">
                  <c:v>28.240305224117837</c:v>
                </c:pt>
                <c:pt idx="21" formatCode="#,##0.00">
                  <c:v>28.240305224117837</c:v>
                </c:pt>
                <c:pt idx="22" formatCode="#,##0.00">
                  <c:v>28.240305224117837</c:v>
                </c:pt>
                <c:pt idx="23" formatCode="#,##0.00">
                  <c:v>28.240305224117837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E-44C4-8D0D-E0CBC06BB266}"/>
            </c:ext>
          </c:extLst>
        </c:ser>
        <c:ser>
          <c:idx val="2"/>
          <c:order val="2"/>
          <c:tx>
            <c:strRef>
              <c:f>'CI Trend'!$C$25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'CI Trend'!$D$25:$AA$25</c:f>
              <c:numCache>
                <c:formatCode>General</c:formatCode>
                <c:ptCount val="24"/>
                <c:pt idx="0">
                  <c:v>52.89</c:v>
                </c:pt>
                <c:pt idx="1">
                  <c:v>31.78</c:v>
                </c:pt>
                <c:pt idx="2">
                  <c:v>30.2</c:v>
                </c:pt>
                <c:pt idx="3">
                  <c:v>30.71</c:v>
                </c:pt>
                <c:pt idx="4">
                  <c:v>30.11</c:v>
                </c:pt>
                <c:pt idx="5">
                  <c:v>30.23</c:v>
                </c:pt>
                <c:pt idx="6">
                  <c:v>30.39</c:v>
                </c:pt>
                <c:pt idx="7">
                  <c:v>30.9</c:v>
                </c:pt>
                <c:pt idx="8">
                  <c:v>30.9</c:v>
                </c:pt>
                <c:pt idx="9">
                  <c:v>31.53</c:v>
                </c:pt>
                <c:pt idx="10">
                  <c:v>32.200000000000003</c:v>
                </c:pt>
                <c:pt idx="11">
                  <c:v>34.049999999999997</c:v>
                </c:pt>
                <c:pt idx="12">
                  <c:v>36.39</c:v>
                </c:pt>
                <c:pt idx="13">
                  <c:v>34.25</c:v>
                </c:pt>
                <c:pt idx="14">
                  <c:v>33.58</c:v>
                </c:pt>
                <c:pt idx="15">
                  <c:v>34.119999999999997</c:v>
                </c:pt>
                <c:pt idx="16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E-44C4-8D0D-E0CBC06BB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45048"/>
        <c:axId val="249441520"/>
      </c:lineChart>
      <c:dateAx>
        <c:axId val="249445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8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1520"/>
        <c:crosses val="autoZero"/>
        <c:auto val="1"/>
        <c:lblOffset val="100"/>
        <c:baseTimeUnit val="months"/>
        <c:majorUnit val="3"/>
        <c:majorTimeUnit val="months"/>
      </c:dateAx>
      <c:valAx>
        <c:axId val="24944152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23090366350643"/>
          <c:y val="0.58096161564938731"/>
          <c:w val="0.31038482856427885"/>
          <c:h val="0.1911530297456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Gasoline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Forecast_Main!$D$74:$AA$74</c:f>
              <c:numCache>
                <c:formatCode>#,##0</c:formatCode>
                <c:ptCount val="24"/>
                <c:pt idx="0">
                  <c:v>431126607</c:v>
                </c:pt>
                <c:pt idx="1">
                  <c:v>368127152</c:v>
                </c:pt>
                <c:pt idx="2">
                  <c:v>425192457</c:v>
                </c:pt>
                <c:pt idx="3">
                  <c:v>373874730</c:v>
                </c:pt>
                <c:pt idx="4">
                  <c:v>316646841</c:v>
                </c:pt>
                <c:pt idx="5">
                  <c:v>409966642</c:v>
                </c:pt>
                <c:pt idx="6">
                  <c:v>471269234</c:v>
                </c:pt>
                <c:pt idx="7">
                  <c:v>416606854</c:v>
                </c:pt>
                <c:pt idx="8">
                  <c:v>379502678</c:v>
                </c:pt>
                <c:pt idx="9">
                  <c:v>454327503</c:v>
                </c:pt>
                <c:pt idx="10">
                  <c:v>452847875</c:v>
                </c:pt>
                <c:pt idx="11">
                  <c:v>421345651</c:v>
                </c:pt>
                <c:pt idx="12">
                  <c:v>410146363</c:v>
                </c:pt>
                <c:pt idx="13">
                  <c:v>437470295</c:v>
                </c:pt>
                <c:pt idx="14">
                  <c:v>443032746</c:v>
                </c:pt>
                <c:pt idx="15">
                  <c:v>444953219</c:v>
                </c:pt>
                <c:pt idx="16">
                  <c:v>366670848.52200001</c:v>
                </c:pt>
                <c:pt idx="17">
                  <c:v>391098443.73000002</c:v>
                </c:pt>
                <c:pt idx="18">
                  <c:v>396071274.92400002</c:v>
                </c:pt>
                <c:pt idx="19">
                  <c:v>397788177.78600001</c:v>
                </c:pt>
                <c:pt idx="20">
                  <c:v>404437945.91976601</c:v>
                </c:pt>
                <c:pt idx="21">
                  <c:v>431381583.43419003</c:v>
                </c:pt>
                <c:pt idx="22">
                  <c:v>436866616.24117202</c:v>
                </c:pt>
                <c:pt idx="23">
                  <c:v>438760360.09795803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8F-4209-BA48-4D2E69786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3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393373374340477E-2"/>
                <c:y val="0.405110266389115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Ethanol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Forecast_Main!$D$72:$AA$72</c:f>
              <c:numCache>
                <c:formatCode>#,##0</c:formatCode>
                <c:ptCount val="24"/>
                <c:pt idx="0">
                  <c:v>50788778.799999997</c:v>
                </c:pt>
                <c:pt idx="1">
                  <c:v>41057914.299999997</c:v>
                </c:pt>
                <c:pt idx="2">
                  <c:v>46752888.5</c:v>
                </c:pt>
                <c:pt idx="3">
                  <c:v>38581173</c:v>
                </c:pt>
                <c:pt idx="4">
                  <c:v>39698691.799999997</c:v>
                </c:pt>
                <c:pt idx="5">
                  <c:v>42748328.399999999</c:v>
                </c:pt>
                <c:pt idx="6">
                  <c:v>49051169.200000003</c:v>
                </c:pt>
                <c:pt idx="7">
                  <c:v>42365871.399999999</c:v>
                </c:pt>
                <c:pt idx="8">
                  <c:v>41871528.299999997</c:v>
                </c:pt>
                <c:pt idx="9">
                  <c:v>40197282.399999999</c:v>
                </c:pt>
                <c:pt idx="10">
                  <c:v>46769583</c:v>
                </c:pt>
                <c:pt idx="11">
                  <c:v>43400196.799999997</c:v>
                </c:pt>
                <c:pt idx="12">
                  <c:v>38516634.899999999</c:v>
                </c:pt>
                <c:pt idx="13">
                  <c:v>44394694</c:v>
                </c:pt>
                <c:pt idx="14">
                  <c:v>47204043.299999997</c:v>
                </c:pt>
                <c:pt idx="15">
                  <c:v>43538944.299999997</c:v>
                </c:pt>
                <c:pt idx="16">
                  <c:v>37033755.700722001</c:v>
                </c:pt>
                <c:pt idx="17">
                  <c:v>39500942.816730008</c:v>
                </c:pt>
                <c:pt idx="18">
                  <c:v>40003198.767324008</c:v>
                </c:pt>
                <c:pt idx="19">
                  <c:v>40176605.956386007</c:v>
                </c:pt>
                <c:pt idx="20">
                  <c:v>40848232.537896372</c:v>
                </c:pt>
                <c:pt idx="21">
                  <c:v>43569539.926853195</c:v>
                </c:pt>
                <c:pt idx="22">
                  <c:v>44123528.240358375</c:v>
                </c:pt>
                <c:pt idx="23">
                  <c:v>44314796.369893767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A-4ABD-8E8B-2F4F1110B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3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Gallone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Biodiesel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Forecast_Main!$D$78:$AA$78</c:f>
              <c:numCache>
                <c:formatCode>#,##0</c:formatCode>
                <c:ptCount val="24"/>
                <c:pt idx="0">
                  <c:v>11865690.6</c:v>
                </c:pt>
                <c:pt idx="1">
                  <c:v>11163761</c:v>
                </c:pt>
                <c:pt idx="2">
                  <c:v>13011180.050000001</c:v>
                </c:pt>
                <c:pt idx="3">
                  <c:v>11486908.15</c:v>
                </c:pt>
                <c:pt idx="4">
                  <c:v>9101856</c:v>
                </c:pt>
                <c:pt idx="5">
                  <c:v>13397729.199999999</c:v>
                </c:pt>
                <c:pt idx="6">
                  <c:v>14468902.25</c:v>
                </c:pt>
                <c:pt idx="7">
                  <c:v>14208723.94109345</c:v>
                </c:pt>
                <c:pt idx="8">
                  <c:v>10792368.189548841</c:v>
                </c:pt>
                <c:pt idx="9">
                  <c:v>13061871.171819411</c:v>
                </c:pt>
                <c:pt idx="10">
                  <c:v>14747642.252012957</c:v>
                </c:pt>
                <c:pt idx="11">
                  <c:v>13032458.31391794</c:v>
                </c:pt>
                <c:pt idx="12">
                  <c:v>11314135.611693842</c:v>
                </c:pt>
                <c:pt idx="13">
                  <c:v>16518399.770792255</c:v>
                </c:pt>
                <c:pt idx="14">
                  <c:v>16948050.876818281</c:v>
                </c:pt>
                <c:pt idx="15">
                  <c:v>14877990.894538768</c:v>
                </c:pt>
                <c:pt idx="16">
                  <c:v>17687979.080694359</c:v>
                </c:pt>
                <c:pt idx="17">
                  <c:v>16001875.280190703</c:v>
                </c:pt>
                <c:pt idx="18">
                  <c:v>17601382.544687115</c:v>
                </c:pt>
                <c:pt idx="19">
                  <c:v>17088194.462225363</c:v>
                </c:pt>
                <c:pt idx="20">
                  <c:v>19194354.25260533</c:v>
                </c:pt>
                <c:pt idx="21">
                  <c:v>18283234.731712222</c:v>
                </c:pt>
                <c:pt idx="22">
                  <c:v>20816459.943906754</c:v>
                </c:pt>
                <c:pt idx="23">
                  <c:v>20050566.419208881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A-491B-AA8E-4F3BF16CB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 Diesel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Forecast_Main!$D$80:$AA$80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340253.85890654975</c:v>
                </c:pt>
                <c:pt idx="8">
                  <c:v>301481.0604511585</c:v>
                </c:pt>
                <c:pt idx="9">
                  <c:v>200455.67818058873</c:v>
                </c:pt>
                <c:pt idx="10">
                  <c:v>223908.34798704344</c:v>
                </c:pt>
                <c:pt idx="11">
                  <c:v>481579.2860820592</c:v>
                </c:pt>
                <c:pt idx="12">
                  <c:v>162808.98830615674</c:v>
                </c:pt>
                <c:pt idx="13">
                  <c:v>459856.37920774531</c:v>
                </c:pt>
                <c:pt idx="14">
                  <c:v>11387561.873181719</c:v>
                </c:pt>
                <c:pt idx="15">
                  <c:v>4755871.5054612309</c:v>
                </c:pt>
                <c:pt idx="16">
                  <c:v>8638315.3649902698</c:v>
                </c:pt>
                <c:pt idx="17">
                  <c:v>7814869.3228838323</c:v>
                </c:pt>
                <c:pt idx="18">
                  <c:v>8596024.0334518477</c:v>
                </c:pt>
                <c:pt idx="19">
                  <c:v>8345397.295505411</c:v>
                </c:pt>
                <c:pt idx="20">
                  <c:v>14595706.879585302</c:v>
                </c:pt>
                <c:pt idx="21">
                  <c:v>13902876.410572832</c:v>
                </c:pt>
                <c:pt idx="22">
                  <c:v>15829183.082345759</c:v>
                </c:pt>
                <c:pt idx="23">
                  <c:v>15246784.881273419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0-42F3-A159-C9605CFA7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Charging Station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Forecast_Main!$D$85:$AA$85</c:f>
              <c:numCache>
                <c:formatCode>#,##0</c:formatCode>
                <c:ptCount val="24"/>
                <c:pt idx="0">
                  <c:v>7061</c:v>
                </c:pt>
                <c:pt idx="1">
                  <c:v>10979</c:v>
                </c:pt>
                <c:pt idx="2">
                  <c:v>15031</c:v>
                </c:pt>
                <c:pt idx="3">
                  <c:v>14084</c:v>
                </c:pt>
                <c:pt idx="4">
                  <c:v>14322</c:v>
                </c:pt>
                <c:pt idx="5">
                  <c:v>18144</c:v>
                </c:pt>
                <c:pt idx="6">
                  <c:v>24117</c:v>
                </c:pt>
                <c:pt idx="7">
                  <c:v>22967</c:v>
                </c:pt>
                <c:pt idx="8">
                  <c:v>18643</c:v>
                </c:pt>
                <c:pt idx="9">
                  <c:v>26424</c:v>
                </c:pt>
                <c:pt idx="10">
                  <c:v>34852</c:v>
                </c:pt>
                <c:pt idx="11">
                  <c:v>43869</c:v>
                </c:pt>
                <c:pt idx="12">
                  <c:v>43384</c:v>
                </c:pt>
                <c:pt idx="13">
                  <c:v>54052</c:v>
                </c:pt>
                <c:pt idx="14">
                  <c:v>70193</c:v>
                </c:pt>
                <c:pt idx="15">
                  <c:v>69198</c:v>
                </c:pt>
                <c:pt idx="16">
                  <c:v>69833.568923503743</c:v>
                </c:pt>
                <c:pt idx="17">
                  <c:v>43488.445861214772</c:v>
                </c:pt>
                <c:pt idx="18">
                  <c:v>65563.960510185221</c:v>
                </c:pt>
                <c:pt idx="19">
                  <c:v>85912.896389098489</c:v>
                </c:pt>
                <c:pt idx="20">
                  <c:v>108399.4055491722</c:v>
                </c:pt>
                <c:pt idx="21">
                  <c:v>113065.06036533113</c:v>
                </c:pt>
                <c:pt idx="22">
                  <c:v>117989.13470765797</c:v>
                </c:pt>
                <c:pt idx="23">
                  <c:v>131262.44085162366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30-42A3-9C67-B5A422F77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Charging</a:t>
            </a:r>
            <a:r>
              <a:rPr lang="en-US" baseline="0"/>
              <a:t> Percentage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Forecast_Main!$D$87:$AA$87</c:f>
              <c:numCache>
                <c:formatCode>0.0%</c:formatCode>
                <c:ptCount val="24"/>
                <c:pt idx="0">
                  <c:v>0.96445123059040005</c:v>
                </c:pt>
                <c:pt idx="1">
                  <c:v>0.96445123059040005</c:v>
                </c:pt>
                <c:pt idx="2">
                  <c:v>0.96445123059040005</c:v>
                </c:pt>
                <c:pt idx="3">
                  <c:v>0.96445123059040005</c:v>
                </c:pt>
                <c:pt idx="4">
                  <c:v>0.95158695803547244</c:v>
                </c:pt>
                <c:pt idx="5">
                  <c:v>0.95158695803547244</c:v>
                </c:pt>
                <c:pt idx="6">
                  <c:v>0.95158695803547244</c:v>
                </c:pt>
                <c:pt idx="7">
                  <c:v>0.95158695803547244</c:v>
                </c:pt>
                <c:pt idx="8">
                  <c:v>0.94462868059347527</c:v>
                </c:pt>
                <c:pt idx="9">
                  <c:v>0.94462868059347527</c:v>
                </c:pt>
                <c:pt idx="10">
                  <c:v>0.94462868059347527</c:v>
                </c:pt>
                <c:pt idx="11">
                  <c:v>0.94462868059347527</c:v>
                </c:pt>
                <c:pt idx="12">
                  <c:v>0.91770971607879626</c:v>
                </c:pt>
                <c:pt idx="13">
                  <c:v>0.91770971607879626</c:v>
                </c:pt>
                <c:pt idx="14">
                  <c:v>0.91770971607879626</c:v>
                </c:pt>
                <c:pt idx="15">
                  <c:v>0.91770971607879626</c:v>
                </c:pt>
                <c:pt idx="16">
                  <c:v>0.91512135124623217</c:v>
                </c:pt>
                <c:pt idx="17">
                  <c:v>0.91166763779480275</c:v>
                </c:pt>
                <c:pt idx="18">
                  <c:v>0.90821392434337334</c:v>
                </c:pt>
                <c:pt idx="19">
                  <c:v>0.90472225799687322</c:v>
                </c:pt>
                <c:pt idx="20">
                  <c:v>0.90123059165037334</c:v>
                </c:pt>
                <c:pt idx="21">
                  <c:v>0.89781483109401461</c:v>
                </c:pt>
                <c:pt idx="22">
                  <c:v>0.89436111764258519</c:v>
                </c:pt>
                <c:pt idx="23">
                  <c:v>0.89086945129608508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1-4135-83E5-22B3E4D2D0A7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Forecast_Main!$D$87:$AA$87</c:f>
              <c:numCache>
                <c:formatCode>0.0%</c:formatCode>
                <c:ptCount val="24"/>
                <c:pt idx="0">
                  <c:v>0.96445123059040005</c:v>
                </c:pt>
                <c:pt idx="1">
                  <c:v>0.96445123059040005</c:v>
                </c:pt>
                <c:pt idx="2">
                  <c:v>0.96445123059040005</c:v>
                </c:pt>
                <c:pt idx="3">
                  <c:v>0.96445123059040005</c:v>
                </c:pt>
                <c:pt idx="4">
                  <c:v>0.95158695803547244</c:v>
                </c:pt>
                <c:pt idx="5">
                  <c:v>0.95158695803547244</c:v>
                </c:pt>
                <c:pt idx="6">
                  <c:v>0.95158695803547244</c:v>
                </c:pt>
                <c:pt idx="7">
                  <c:v>0.95158695803547244</c:v>
                </c:pt>
                <c:pt idx="8">
                  <c:v>0.94462868059347527</c:v>
                </c:pt>
                <c:pt idx="9">
                  <c:v>0.94462868059347527</c:v>
                </c:pt>
                <c:pt idx="10">
                  <c:v>0.94462868059347527</c:v>
                </c:pt>
                <c:pt idx="11">
                  <c:v>0.94462868059347527</c:v>
                </c:pt>
                <c:pt idx="12">
                  <c:v>0.91770971607879626</c:v>
                </c:pt>
                <c:pt idx="13">
                  <c:v>0.91770971607879626</c:v>
                </c:pt>
                <c:pt idx="14">
                  <c:v>0.91770971607879626</c:v>
                </c:pt>
                <c:pt idx="15">
                  <c:v>0.91770971607879626</c:v>
                </c:pt>
                <c:pt idx="16">
                  <c:v>0.91512135124623217</c:v>
                </c:pt>
                <c:pt idx="17">
                  <c:v>0.91166763779480275</c:v>
                </c:pt>
                <c:pt idx="18">
                  <c:v>0.90821392434337334</c:v>
                </c:pt>
                <c:pt idx="19">
                  <c:v>0.90472225799687322</c:v>
                </c:pt>
                <c:pt idx="20">
                  <c:v>0.90123059165037334</c:v>
                </c:pt>
                <c:pt idx="21">
                  <c:v>0.89781483109401461</c:v>
                </c:pt>
                <c:pt idx="22">
                  <c:v>0.89436111764258519</c:v>
                </c:pt>
                <c:pt idx="23">
                  <c:v>0.89086945129608508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1-4135-83E5-22B3E4D2D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On-Road</a:t>
            </a:r>
            <a:r>
              <a:rPr lang="en-US" baseline="0"/>
              <a:t> Electricity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Forecast_Main!$D$88:$AA$88</c:f>
              <c:numCache>
                <c:formatCode>#,##0</c:formatCode>
                <c:ptCount val="24"/>
                <c:pt idx="0">
                  <c:v>198628.53531276336</c:v>
                </c:pt>
                <c:pt idx="1">
                  <c:v>308843.32094587578</c:v>
                </c:pt>
                <c:pt idx="2">
                  <c:v>422827.57602126413</c:v>
                </c:pt>
                <c:pt idx="3">
                  <c:v>396188.11660458281</c:v>
                </c:pt>
                <c:pt idx="4">
                  <c:v>295829.37611096178</c:v>
                </c:pt>
                <c:pt idx="5">
                  <c:v>374775.04539570527</c:v>
                </c:pt>
                <c:pt idx="6">
                  <c:v>498150.89119313407</c:v>
                </c:pt>
                <c:pt idx="7">
                  <c:v>474396.96139788156</c:v>
                </c:pt>
                <c:pt idx="8">
                  <c:v>336690.5502671334</c:v>
                </c:pt>
                <c:pt idx="9">
                  <c:v>477214.5631206744</c:v>
                </c:pt>
                <c:pt idx="10">
                  <c:v>629423.32553291484</c:v>
                </c:pt>
                <c:pt idx="11">
                  <c:v>792269.36381853104</c:v>
                </c:pt>
                <c:pt idx="12">
                  <c:v>527206.83333091799</c:v>
                </c:pt>
                <c:pt idx="13">
                  <c:v>656845.46734286321</c:v>
                </c:pt>
                <c:pt idx="14">
                  <c:v>852992.5606674609</c:v>
                </c:pt>
                <c:pt idx="15">
                  <c:v>840901.21825633547</c:v>
                </c:pt>
                <c:pt idx="16">
                  <c:v>822746.00207279727</c:v>
                </c:pt>
                <c:pt idx="17">
                  <c:v>492327.44121786935</c:v>
                </c:pt>
                <c:pt idx="18">
                  <c:v>714312.71073687926</c:v>
                </c:pt>
                <c:pt idx="19">
                  <c:v>901710.03828238312</c:v>
                </c:pt>
                <c:pt idx="20">
                  <c:v>1097499.7963484502</c:v>
                </c:pt>
                <c:pt idx="21">
                  <c:v>1106472.3146795963</c:v>
                </c:pt>
                <c:pt idx="22">
                  <c:v>1116910.1004728326</c:v>
                </c:pt>
                <c:pt idx="23">
                  <c:v>1202801.9872579891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4-47E2-A92A-BBF66E7CA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086571233810499E-2"/>
                <c:y val="0.3336781609195402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</a:t>
            </a:r>
            <a:r>
              <a:rPr lang="en-US" baseline="0"/>
              <a:t> Gas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Forecast_Main!$D$99:$AA$99</c:f>
              <c:numCache>
                <c:formatCode>#,##0</c:formatCode>
                <c:ptCount val="24"/>
                <c:pt idx="0">
                  <c:v>136671</c:v>
                </c:pt>
                <c:pt idx="1">
                  <c:v>164875</c:v>
                </c:pt>
                <c:pt idx="2">
                  <c:v>569688</c:v>
                </c:pt>
                <c:pt idx="3">
                  <c:v>641005</c:v>
                </c:pt>
                <c:pt idx="4">
                  <c:v>653628</c:v>
                </c:pt>
                <c:pt idx="5">
                  <c:v>764053</c:v>
                </c:pt>
                <c:pt idx="6">
                  <c:v>715854</c:v>
                </c:pt>
                <c:pt idx="7">
                  <c:v>641309</c:v>
                </c:pt>
                <c:pt idx="8">
                  <c:v>656068</c:v>
                </c:pt>
                <c:pt idx="9">
                  <c:v>781791</c:v>
                </c:pt>
                <c:pt idx="10">
                  <c:v>851583</c:v>
                </c:pt>
                <c:pt idx="11">
                  <c:v>890273</c:v>
                </c:pt>
                <c:pt idx="12">
                  <c:v>832885</c:v>
                </c:pt>
                <c:pt idx="13">
                  <c:v>883967</c:v>
                </c:pt>
                <c:pt idx="14">
                  <c:v>917545</c:v>
                </c:pt>
                <c:pt idx="15">
                  <c:v>982020</c:v>
                </c:pt>
                <c:pt idx="16">
                  <c:v>916173.50000000012</c:v>
                </c:pt>
                <c:pt idx="17">
                  <c:v>972363.70000000007</c:v>
                </c:pt>
                <c:pt idx="18">
                  <c:v>1009299.5000000001</c:v>
                </c:pt>
                <c:pt idx="19">
                  <c:v>1080222</c:v>
                </c:pt>
                <c:pt idx="20">
                  <c:v>980305.64500000014</c:v>
                </c:pt>
                <c:pt idx="21">
                  <c:v>1040429.1590000001</c:v>
                </c:pt>
                <c:pt idx="22">
                  <c:v>1079950.4650000001</c:v>
                </c:pt>
                <c:pt idx="23">
                  <c:v>1155837.54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C-4DD4-8E1C-7149D58A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Liquid Petroleum</a:t>
            </a:r>
            <a:r>
              <a:rPr lang="en-US" baseline="0"/>
              <a:t> Gas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Forecast_Main!$D$102:$AA$102</c:f>
              <c:numCache>
                <c:formatCode>#,##0</c:formatCode>
                <c:ptCount val="24"/>
                <c:pt idx="0">
                  <c:v>18821</c:v>
                </c:pt>
                <c:pt idx="1">
                  <c:v>18876</c:v>
                </c:pt>
                <c:pt idx="2">
                  <c:v>7995</c:v>
                </c:pt>
                <c:pt idx="3">
                  <c:v>19358</c:v>
                </c:pt>
                <c:pt idx="4">
                  <c:v>20826</c:v>
                </c:pt>
                <c:pt idx="5">
                  <c:v>43505</c:v>
                </c:pt>
                <c:pt idx="6">
                  <c:v>24333</c:v>
                </c:pt>
                <c:pt idx="7">
                  <c:v>39627</c:v>
                </c:pt>
                <c:pt idx="8">
                  <c:v>138064</c:v>
                </c:pt>
                <c:pt idx="9">
                  <c:v>152677</c:v>
                </c:pt>
                <c:pt idx="10">
                  <c:v>162962</c:v>
                </c:pt>
                <c:pt idx="11">
                  <c:v>286715</c:v>
                </c:pt>
                <c:pt idx="12">
                  <c:v>495110</c:v>
                </c:pt>
                <c:pt idx="13">
                  <c:v>365157</c:v>
                </c:pt>
                <c:pt idx="14">
                  <c:v>486957</c:v>
                </c:pt>
                <c:pt idx="15">
                  <c:v>708353</c:v>
                </c:pt>
                <c:pt idx="16">
                  <c:v>990220</c:v>
                </c:pt>
                <c:pt idx="17">
                  <c:v>730314</c:v>
                </c:pt>
                <c:pt idx="18">
                  <c:v>973914</c:v>
                </c:pt>
                <c:pt idx="19">
                  <c:v>1416706</c:v>
                </c:pt>
                <c:pt idx="20">
                  <c:v>1683374</c:v>
                </c:pt>
                <c:pt idx="21">
                  <c:v>1241533.8</c:v>
                </c:pt>
                <c:pt idx="22">
                  <c:v>1655653.8</c:v>
                </c:pt>
                <c:pt idx="23">
                  <c:v>2408400.1999999997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7-49D3-BB79-817141FEE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KWh per Vehicle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Forecast_Main!$D$91:$AA$91</c:f>
              <c:numCache>
                <c:formatCode>#,##0</c:formatCode>
                <c:ptCount val="24"/>
                <c:pt idx="0">
                  <c:v>2782.6427645017829</c:v>
                </c:pt>
                <c:pt idx="1">
                  <c:v>3974.0654550157642</c:v>
                </c:pt>
                <c:pt idx="2">
                  <c:v>4988.6228403907226</c:v>
                </c:pt>
                <c:pt idx="3">
                  <c:v>4295.1241986707528</c:v>
                </c:pt>
                <c:pt idx="4">
                  <c:v>3047.9278881679816</c:v>
                </c:pt>
                <c:pt idx="5">
                  <c:v>3583.6626034230271</c:v>
                </c:pt>
                <c:pt idx="6">
                  <c:v>4470.4442170669745</c:v>
                </c:pt>
                <c:pt idx="7">
                  <c:v>4006.8931753559655</c:v>
                </c:pt>
                <c:pt idx="8">
                  <c:v>2668.9887419987176</c:v>
                </c:pt>
                <c:pt idx="9">
                  <c:v>3525.901041078082</c:v>
                </c:pt>
                <c:pt idx="10">
                  <c:v>4321.9917700952938</c:v>
                </c:pt>
                <c:pt idx="11">
                  <c:v>4899.2734522105184</c:v>
                </c:pt>
                <c:pt idx="12">
                  <c:v>2877.111957027666</c:v>
                </c:pt>
                <c:pt idx="13">
                  <c:v>3385.0205018566476</c:v>
                </c:pt>
                <c:pt idx="14">
                  <c:v>4042.2163101798546</c:v>
                </c:pt>
                <c:pt idx="15">
                  <c:v>3719.9617691994858</c:v>
                </c:pt>
                <c:pt idx="16">
                  <c:v>3506.0776345659137</c:v>
                </c:pt>
                <c:pt idx="17">
                  <c:v>2081.0776345659137</c:v>
                </c:pt>
                <c:pt idx="18">
                  <c:v>2991.0776345659137</c:v>
                </c:pt>
                <c:pt idx="19">
                  <c:v>3506.0776345659137</c:v>
                </c:pt>
                <c:pt idx="20">
                  <c:v>3506.0776345659137</c:v>
                </c:pt>
                <c:pt idx="21">
                  <c:v>3506.0776345659137</c:v>
                </c:pt>
                <c:pt idx="22">
                  <c:v>3506.0776345659137</c:v>
                </c:pt>
                <c:pt idx="23">
                  <c:v>3506.0776345659137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4-41CA-B0AA-5D8256A4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Ethanol Carbon Intensity</a:t>
            </a:r>
          </a:p>
        </c:rich>
      </c:tx>
      <c:layout>
        <c:manualLayout>
          <c:xMode val="edge"/>
          <c:yMode val="edge"/>
          <c:x val="0.34355054266865293"/>
          <c:y val="3.372554845738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01037272397751E-2"/>
          <c:y val="0.12228955591326579"/>
          <c:w val="0.89479327816637999"/>
          <c:h val="0.71128369540126712"/>
        </c:manualLayout>
      </c:layout>
      <c:lineChart>
        <c:grouping val="standard"/>
        <c:varyColors val="0"/>
        <c:ser>
          <c:idx val="0"/>
          <c:order val="0"/>
          <c:tx>
            <c:strRef>
              <c:f>'CI Trend'!$C$12</c:f>
              <c:strCache>
                <c:ptCount val="1"/>
                <c:pt idx="0">
                  <c:v>Oregon (w/Trend)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Trend'!$D$11:$AA$11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'CI Trend'!$D$12:$AA$12</c:f>
              <c:numCache>
                <c:formatCode>#,##0.00</c:formatCode>
                <c:ptCount val="24"/>
                <c:pt idx="0">
                  <c:v>64.5</c:v>
                </c:pt>
                <c:pt idx="1">
                  <c:v>62.85</c:v>
                </c:pt>
                <c:pt idx="2">
                  <c:v>63</c:v>
                </c:pt>
                <c:pt idx="3">
                  <c:v>62.48</c:v>
                </c:pt>
                <c:pt idx="4">
                  <c:v>62.68</c:v>
                </c:pt>
                <c:pt idx="5">
                  <c:v>63.04</c:v>
                </c:pt>
                <c:pt idx="6">
                  <c:v>63.49</c:v>
                </c:pt>
                <c:pt idx="7">
                  <c:v>61.33</c:v>
                </c:pt>
                <c:pt idx="8">
                  <c:v>61.85</c:v>
                </c:pt>
                <c:pt idx="9">
                  <c:v>61.12</c:v>
                </c:pt>
                <c:pt idx="10">
                  <c:v>60.81</c:v>
                </c:pt>
                <c:pt idx="11">
                  <c:v>59.73</c:v>
                </c:pt>
                <c:pt idx="12">
                  <c:v>60.13</c:v>
                </c:pt>
                <c:pt idx="13">
                  <c:v>59.68</c:v>
                </c:pt>
                <c:pt idx="14">
                  <c:v>57.02</c:v>
                </c:pt>
                <c:pt idx="15">
                  <c:v>55.81</c:v>
                </c:pt>
                <c:pt idx="16">
                  <c:v>53.380560475737809</c:v>
                </c:pt>
                <c:pt idx="17">
                  <c:v>52.322417206590536</c:v>
                </c:pt>
                <c:pt idx="18">
                  <c:v>51.26427393744315</c:v>
                </c:pt>
                <c:pt idx="19">
                  <c:v>50.194502720283246</c:v>
                </c:pt>
                <c:pt idx="20">
                  <c:v>49.124731503123229</c:v>
                </c:pt>
                <c:pt idx="21">
                  <c:v>48.078216181988473</c:v>
                </c:pt>
                <c:pt idx="22">
                  <c:v>47.020072912841194</c:v>
                </c:pt>
                <c:pt idx="23">
                  <c:v>45.950301695681176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8-4345-B03D-A55F693F3823}"/>
            </c:ext>
          </c:extLst>
        </c:ser>
        <c:ser>
          <c:idx val="1"/>
          <c:order val="1"/>
          <c:tx>
            <c:strRef>
              <c:f>'CI Trend'!$C$15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rgbClr val="FEC200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Trend'!$D$11:$AA$11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'CI Trend'!$D$15:$AA$15</c:f>
              <c:numCache>
                <c:formatCode>#,##0.00</c:formatCode>
                <c:ptCount val="24"/>
                <c:pt idx="0">
                  <c:v>72.87</c:v>
                </c:pt>
                <c:pt idx="1">
                  <c:v>70.83</c:v>
                </c:pt>
                <c:pt idx="2">
                  <c:v>69.98</c:v>
                </c:pt>
                <c:pt idx="3">
                  <c:v>70.34</c:v>
                </c:pt>
                <c:pt idx="4">
                  <c:v>71.489999999999995</c:v>
                </c:pt>
                <c:pt idx="5">
                  <c:v>70.290000000000006</c:v>
                </c:pt>
                <c:pt idx="6">
                  <c:v>69.510000000000005</c:v>
                </c:pt>
                <c:pt idx="7">
                  <c:v>68.98</c:v>
                </c:pt>
                <c:pt idx="8">
                  <c:v>70.099999999999994</c:v>
                </c:pt>
                <c:pt idx="9">
                  <c:v>70.02</c:v>
                </c:pt>
                <c:pt idx="10">
                  <c:v>68.41</c:v>
                </c:pt>
                <c:pt idx="11">
                  <c:v>65.88</c:v>
                </c:pt>
                <c:pt idx="12">
                  <c:v>66</c:v>
                </c:pt>
                <c:pt idx="13">
                  <c:v>63.69</c:v>
                </c:pt>
                <c:pt idx="14">
                  <c:v>59.33</c:v>
                </c:pt>
                <c:pt idx="15">
                  <c:v>59.46</c:v>
                </c:pt>
                <c:pt idx="16">
                  <c:v>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C0-4D16-935C-2BF6C569C18A}"/>
            </c:ext>
          </c:extLst>
        </c:ser>
        <c:ser>
          <c:idx val="2"/>
          <c:order val="2"/>
          <c:tx>
            <c:strRef>
              <c:f>'CI Trend'!$C$13</c:f>
              <c:strCache>
                <c:ptCount val="1"/>
                <c:pt idx="0">
                  <c:v>Facility-based scenario</c:v>
                </c:pt>
              </c:strCache>
            </c:strRef>
          </c:tx>
          <c:spPr>
            <a:ln w="63500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Trend'!$D$11:$AA$11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'CI Trend'!$D$13:$AA$13</c:f>
              <c:numCache>
                <c:formatCode>#,##0.00</c:formatCode>
                <c:ptCount val="24"/>
                <c:pt idx="16">
                  <c:v>51.9</c:v>
                </c:pt>
                <c:pt idx="17">
                  <c:v>51.9</c:v>
                </c:pt>
                <c:pt idx="18">
                  <c:v>51.9</c:v>
                </c:pt>
                <c:pt idx="19">
                  <c:v>51.9</c:v>
                </c:pt>
                <c:pt idx="20">
                  <c:v>45.280017086019186</c:v>
                </c:pt>
                <c:pt idx="21">
                  <c:v>45.280017086019186</c:v>
                </c:pt>
                <c:pt idx="22">
                  <c:v>45.280017086019186</c:v>
                </c:pt>
                <c:pt idx="23">
                  <c:v>45.280017086019186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0-4D16-935C-2BF6C569C18A}"/>
            </c:ext>
          </c:extLst>
        </c:ser>
        <c:ser>
          <c:idx val="3"/>
          <c:order val="3"/>
          <c:tx>
            <c:strRef>
              <c:f>'CI Trend'!$C$14</c:f>
              <c:strCache>
                <c:ptCount val="1"/>
                <c:pt idx="0">
                  <c:v>Forecast assumption</c:v>
                </c:pt>
              </c:strCache>
            </c:strRef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'CI Trend'!$D$14:$AA$14</c:f>
              <c:numCache>
                <c:formatCode>#,##0.00</c:formatCode>
                <c:ptCount val="24"/>
                <c:pt idx="20">
                  <c:v>47.5</c:v>
                </c:pt>
                <c:pt idx="21">
                  <c:v>47.5</c:v>
                </c:pt>
                <c:pt idx="22">
                  <c:v>47.5</c:v>
                </c:pt>
                <c:pt idx="23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6-45EE-92CF-5BE6F58CA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43584"/>
        <c:axId val="245527544"/>
      </c:lineChart>
      <c:dateAx>
        <c:axId val="164543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5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527544"/>
        <c:crosses val="autoZero"/>
        <c:auto val="1"/>
        <c:lblOffset val="100"/>
        <c:baseTimeUnit val="months"/>
        <c:majorUnit val="3"/>
        <c:majorTimeUnit val="months"/>
      </c:dateAx>
      <c:valAx>
        <c:axId val="24552754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4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52399656539449"/>
          <c:y val="0.48655828510395194"/>
          <c:w val="0.35967553939748248"/>
          <c:h val="0.296136019275193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Off-Road</a:t>
            </a:r>
            <a:r>
              <a:rPr lang="en-US" baseline="0"/>
              <a:t> Electricity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Forecast_Main!$D$93:$AA$93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431079</c:v>
                </c:pt>
                <c:pt idx="9">
                  <c:v>422832</c:v>
                </c:pt>
                <c:pt idx="10">
                  <c:v>440204</c:v>
                </c:pt>
                <c:pt idx="11">
                  <c:v>433671</c:v>
                </c:pt>
                <c:pt idx="12">
                  <c:v>477625</c:v>
                </c:pt>
                <c:pt idx="13">
                  <c:v>490452</c:v>
                </c:pt>
                <c:pt idx="14">
                  <c:v>605468</c:v>
                </c:pt>
                <c:pt idx="15">
                  <c:v>647036</c:v>
                </c:pt>
                <c:pt idx="16">
                  <c:v>716437.5</c:v>
                </c:pt>
                <c:pt idx="17">
                  <c:v>735678</c:v>
                </c:pt>
                <c:pt idx="18">
                  <c:v>908202</c:v>
                </c:pt>
                <c:pt idx="19">
                  <c:v>970554</c:v>
                </c:pt>
                <c:pt idx="20">
                  <c:v>1253765.625</c:v>
                </c:pt>
                <c:pt idx="21">
                  <c:v>1287436.5</c:v>
                </c:pt>
                <c:pt idx="22">
                  <c:v>1589353.5</c:v>
                </c:pt>
                <c:pt idx="23">
                  <c:v>1698469.5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0-4167-973B-2EB7AE9FF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086571233810499E-2"/>
                <c:y val="0.3336781609195402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Biodiesel</a:t>
            </a:r>
            <a:r>
              <a:rPr lang="en-US" baseline="0"/>
              <a:t> </a:t>
            </a:r>
            <a:r>
              <a:rPr lang="en-US"/>
              <a:t>Carbon Intensity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047465025023853E-2"/>
          <c:y val="0.12584277676787517"/>
          <c:w val="0.89688066453889848"/>
          <c:h val="0.69012530477691603"/>
        </c:manualLayout>
      </c:layout>
      <c:lineChart>
        <c:grouping val="standard"/>
        <c:varyColors val="0"/>
        <c:ser>
          <c:idx val="0"/>
          <c:order val="0"/>
          <c:tx>
            <c:strRef>
              <c:f>'CI Trend'!$C$18</c:f>
              <c:strCache>
                <c:ptCount val="1"/>
                <c:pt idx="0">
                  <c:v>Oregon (w/Trend)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Trend'!$D$11:$AA$11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'CI Trend'!$D$18:$AA$18</c:f>
              <c:numCache>
                <c:formatCode>#,##0.00</c:formatCode>
                <c:ptCount val="24"/>
                <c:pt idx="0">
                  <c:v>56.38</c:v>
                </c:pt>
                <c:pt idx="1">
                  <c:v>51.31</c:v>
                </c:pt>
                <c:pt idx="2">
                  <c:v>51.13</c:v>
                </c:pt>
                <c:pt idx="3">
                  <c:v>48.72</c:v>
                </c:pt>
                <c:pt idx="4">
                  <c:v>46.35</c:v>
                </c:pt>
                <c:pt idx="5">
                  <c:v>47.58</c:v>
                </c:pt>
                <c:pt idx="6">
                  <c:v>47.06</c:v>
                </c:pt>
                <c:pt idx="7">
                  <c:v>47.45</c:v>
                </c:pt>
                <c:pt idx="8">
                  <c:v>45.21</c:v>
                </c:pt>
                <c:pt idx="9">
                  <c:v>46.03</c:v>
                </c:pt>
                <c:pt idx="10">
                  <c:v>45.34</c:v>
                </c:pt>
                <c:pt idx="11">
                  <c:v>44.34</c:v>
                </c:pt>
                <c:pt idx="12">
                  <c:v>39.51</c:v>
                </c:pt>
                <c:pt idx="13">
                  <c:v>38.92</c:v>
                </c:pt>
                <c:pt idx="14">
                  <c:v>38.96</c:v>
                </c:pt>
                <c:pt idx="15">
                  <c:v>37.299999999999997</c:v>
                </c:pt>
                <c:pt idx="16">
                  <c:v>35.53971937809051</c:v>
                </c:pt>
                <c:pt idx="17">
                  <c:v>33.892191662397245</c:v>
                </c:pt>
                <c:pt idx="18">
                  <c:v>32.244663946703866</c:v>
                </c:pt>
                <c:pt idx="19">
                  <c:v>30.579031530838069</c:v>
                </c:pt>
                <c:pt idx="20">
                  <c:v>28.913399114972393</c:v>
                </c:pt>
                <c:pt idx="21">
                  <c:v>27.283976099451426</c:v>
                </c:pt>
                <c:pt idx="22">
                  <c:v>25.636448383758164</c:v>
                </c:pt>
                <c:pt idx="23">
                  <c:v>23.970815967892371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7-4C50-9A8F-9F4573EB8B8F}"/>
            </c:ext>
          </c:extLst>
        </c:ser>
        <c:ser>
          <c:idx val="1"/>
          <c:order val="1"/>
          <c:tx>
            <c:strRef>
              <c:f>'CI Trend'!$C$19</c:f>
              <c:strCache>
                <c:ptCount val="1"/>
                <c:pt idx="0">
                  <c:v>Facility-based scenario</c:v>
                </c:pt>
              </c:strCache>
            </c:strRef>
          </c:tx>
          <c:spPr>
            <a:ln w="50800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val>
            <c:numRef>
              <c:f>'CI Trend'!$D$19:$AA$19</c:f>
              <c:numCache>
                <c:formatCode>#,##0.00</c:formatCode>
                <c:ptCount val="24"/>
                <c:pt idx="16">
                  <c:v>22.2</c:v>
                </c:pt>
                <c:pt idx="17">
                  <c:v>22.2</c:v>
                </c:pt>
                <c:pt idx="18">
                  <c:v>22.2</c:v>
                </c:pt>
                <c:pt idx="19">
                  <c:v>22.2</c:v>
                </c:pt>
                <c:pt idx="20">
                  <c:v>20.12156448876344</c:v>
                </c:pt>
                <c:pt idx="21">
                  <c:v>20.12156448876344</c:v>
                </c:pt>
                <c:pt idx="22">
                  <c:v>20.12156448876344</c:v>
                </c:pt>
                <c:pt idx="23">
                  <c:v>20.12156448876344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C-4FD9-AB7E-FDD088311F0A}"/>
            </c:ext>
          </c:extLst>
        </c:ser>
        <c:ser>
          <c:idx val="2"/>
          <c:order val="2"/>
          <c:tx>
            <c:strRef>
              <c:f>'CI Trend'!$C$20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rgbClr val="FEC200"/>
              </a:solidFill>
              <a:round/>
            </a:ln>
            <a:effectLst/>
          </c:spPr>
          <c:marker>
            <c:symbol val="none"/>
          </c:marker>
          <c:val>
            <c:numRef>
              <c:f>'CI Trend'!$D$20:$AA$20</c:f>
              <c:numCache>
                <c:formatCode>General</c:formatCode>
                <c:ptCount val="24"/>
                <c:pt idx="0">
                  <c:v>17.25</c:v>
                </c:pt>
                <c:pt idx="1">
                  <c:v>13.83</c:v>
                </c:pt>
                <c:pt idx="2">
                  <c:v>17.53</c:v>
                </c:pt>
                <c:pt idx="3">
                  <c:v>18.309999999999999</c:v>
                </c:pt>
                <c:pt idx="4">
                  <c:v>34.76</c:v>
                </c:pt>
                <c:pt idx="5">
                  <c:v>30.84</c:v>
                </c:pt>
                <c:pt idx="6">
                  <c:v>36.82</c:v>
                </c:pt>
                <c:pt idx="7">
                  <c:v>34.15</c:v>
                </c:pt>
                <c:pt idx="8">
                  <c:v>33.97</c:v>
                </c:pt>
                <c:pt idx="9">
                  <c:v>29.93</c:v>
                </c:pt>
                <c:pt idx="10">
                  <c:v>29.61</c:v>
                </c:pt>
                <c:pt idx="11">
                  <c:v>30.67</c:v>
                </c:pt>
                <c:pt idx="12">
                  <c:v>28.46</c:v>
                </c:pt>
                <c:pt idx="13">
                  <c:v>26.98</c:v>
                </c:pt>
                <c:pt idx="14">
                  <c:v>26.15</c:v>
                </c:pt>
                <c:pt idx="15">
                  <c:v>26.34</c:v>
                </c:pt>
                <c:pt idx="16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C-4FD9-AB7E-FDD08831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45048"/>
        <c:axId val="249441520"/>
      </c:lineChart>
      <c:dateAx>
        <c:axId val="249445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8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1520"/>
        <c:crosses val="autoZero"/>
        <c:auto val="1"/>
        <c:lblOffset val="100"/>
        <c:baseTimeUnit val="months"/>
        <c:majorUnit val="3"/>
        <c:majorTimeUnit val="months"/>
      </c:dateAx>
      <c:valAx>
        <c:axId val="24944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29583668324288"/>
          <c:y val="0.56209366041866771"/>
          <c:w val="0.31038482856427885"/>
          <c:h val="0.1911530297456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Plug-in</a:t>
            </a:r>
            <a:r>
              <a:rPr lang="en-US" baseline="0"/>
              <a:t> Hybrid Electric Vehicles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 Vehicles'!$B$3</c:f>
              <c:strCache>
                <c:ptCount val="1"/>
                <c:pt idx="0">
                  <c:v>PHEV (baseline)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Vehicles'!$B$4:$B$63</c:f>
              <c:numCache>
                <c:formatCode>#,##0</c:formatCode>
                <c:ptCount val="60"/>
                <c:pt idx="0">
                  <c:v>850</c:v>
                </c:pt>
                <c:pt idx="1">
                  <c:v>989</c:v>
                </c:pt>
                <c:pt idx="2">
                  <c:v>1198</c:v>
                </c:pt>
                <c:pt idx="3">
                  <c:v>1584</c:v>
                </c:pt>
                <c:pt idx="4">
                  <c:v>1722</c:v>
                </c:pt>
                <c:pt idx="5">
                  <c:v>1892</c:v>
                </c:pt>
                <c:pt idx="6">
                  <c:v>2170</c:v>
                </c:pt>
                <c:pt idx="7">
                  <c:v>2414</c:v>
                </c:pt>
                <c:pt idx="8">
                  <c:v>2586</c:v>
                </c:pt>
                <c:pt idx="9">
                  <c:v>2804</c:v>
                </c:pt>
                <c:pt idx="10">
                  <c:v>2992</c:v>
                </c:pt>
                <c:pt idx="11">
                  <c:v>3252</c:v>
                </c:pt>
                <c:pt idx="12">
                  <c:v>3577</c:v>
                </c:pt>
                <c:pt idx="13">
                  <c:v>3924</c:v>
                </c:pt>
                <c:pt idx="14">
                  <c:v>4315</c:v>
                </c:pt>
                <c:pt idx="15">
                  <c:v>4748</c:v>
                </c:pt>
                <c:pt idx="16">
                  <c:v>4997</c:v>
                </c:pt>
                <c:pt idx="17">
                  <c:v>5427</c:v>
                </c:pt>
                <c:pt idx="18">
                  <c:v>5904</c:v>
                </c:pt>
                <c:pt idx="19">
                  <c:v>6309</c:v>
                </c:pt>
                <c:pt idx="20">
                  <c:v>6850</c:v>
                </c:pt>
                <c:pt idx="21">
                  <c:v>7475</c:v>
                </c:pt>
                <c:pt idx="22">
                  <c:v>8143</c:v>
                </c:pt>
                <c:pt idx="23">
                  <c:v>8897</c:v>
                </c:pt>
                <c:pt idx="24">
                  <c:v>9447</c:v>
                </c:pt>
                <c:pt idx="25">
                  <c:v>9976</c:v>
                </c:pt>
                <c:pt idx="26">
                  <c:v>10645</c:v>
                </c:pt>
                <c:pt idx="27">
                  <c:v>11264</c:v>
                </c:pt>
                <c:pt idx="28">
                  <c:v>11770</c:v>
                </c:pt>
                <c:pt idx="29">
                  <c:v>11748</c:v>
                </c:pt>
                <c:pt idx="30">
                  <c:v>12000</c:v>
                </c:pt>
                <c:pt idx="31">
                  <c:v>13000</c:v>
                </c:pt>
                <c:pt idx="32">
                  <c:v>15609.524691920733</c:v>
                </c:pt>
                <c:pt idx="33">
                  <c:v>15580.34801025359</c:v>
                </c:pt>
                <c:pt idx="34">
                  <c:v>15914.553636622668</c:v>
                </c:pt>
                <c:pt idx="35">
                  <c:v>17240.766439674557</c:v>
                </c:pt>
                <c:pt idx="36">
                  <c:v>19701.139327704826</c:v>
                </c:pt>
                <c:pt idx="37">
                  <c:v>19664.31476821379</c:v>
                </c:pt>
                <c:pt idx="38">
                  <c:v>20086.123358747485</c:v>
                </c:pt>
                <c:pt idx="39">
                  <c:v>21759.966971976442</c:v>
                </c:pt>
                <c:pt idx="40">
                  <c:v>24390.662473289129</c:v>
                </c:pt>
                <c:pt idx="41">
                  <c:v>24345.07244997457</c:v>
                </c:pt>
                <c:pt idx="42">
                  <c:v>24867.285444304973</c:v>
                </c:pt>
                <c:pt idx="43">
                  <c:v>26939.559231330386</c:v>
                </c:pt>
                <c:pt idx="44">
                  <c:v>29608.879808473728</c:v>
                </c:pt>
                <c:pt idx="45">
                  <c:v>29553.53610789714</c:v>
                </c:pt>
                <c:pt idx="46">
                  <c:v>30187.473041774403</c:v>
                </c:pt>
                <c:pt idx="47">
                  <c:v>32703.095795255602</c:v>
                </c:pt>
                <c:pt idx="48">
                  <c:v>35230.225852868243</c:v>
                </c:pt>
                <c:pt idx="49">
                  <c:v>35164.374963423623</c:v>
                </c:pt>
                <c:pt idx="50">
                  <c:v>35918.666969789199</c:v>
                </c:pt>
                <c:pt idx="51">
                  <c:v>38911.88921727163</c:v>
                </c:pt>
                <c:pt idx="52">
                  <c:v>41070.112450310262</c:v>
                </c:pt>
                <c:pt idx="53">
                  <c:v>40993.345884982569</c:v>
                </c:pt>
                <c:pt idx="54">
                  <c:v>41872.671996917845</c:v>
                </c:pt>
                <c:pt idx="55">
                  <c:v>45362.061329994329</c:v>
                </c:pt>
                <c:pt idx="56">
                  <c:v>46888.666226136345</c:v>
                </c:pt>
                <c:pt idx="57">
                  <c:v>46801.023859358509</c:v>
                </c:pt>
                <c:pt idx="58">
                  <c:v>47804.927333359054</c:v>
                </c:pt>
                <c:pt idx="59">
                  <c:v>51788.671277805639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B-42B6-8EF6-24830692ED7F}"/>
            </c:ext>
          </c:extLst>
        </c:ser>
        <c:ser>
          <c:idx val="1"/>
          <c:order val="1"/>
          <c:tx>
            <c:strRef>
              <c:f>'Electric Vehicles'!$C$3</c:f>
              <c:strCache>
                <c:ptCount val="1"/>
                <c:pt idx="0">
                  <c:v>PHEV (high)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Vehicles'!$C$4:$C$63</c:f>
              <c:numCache>
                <c:formatCode>#,##0</c:formatCode>
                <c:ptCount val="60"/>
                <c:pt idx="29">
                  <c:v>11748</c:v>
                </c:pt>
                <c:pt idx="30">
                  <c:v>12127.125394343133</c:v>
                </c:pt>
                <c:pt idx="31">
                  <c:v>13268.947096681099</c:v>
                </c:pt>
                <c:pt idx="32">
                  <c:v>16076.041856980895</c:v>
                </c:pt>
                <c:pt idx="33">
                  <c:v>16219.952421380958</c:v>
                </c:pt>
                <c:pt idx="34">
                  <c:v>16743.394356857887</c:v>
                </c:pt>
                <c:pt idx="35">
                  <c:v>18319.857898364698</c:v>
                </c:pt>
                <c:pt idx="36">
                  <c:v>21132.463996552618</c:v>
                </c:pt>
                <c:pt idx="37">
                  <c:v>21321.638971833447</c:v>
                </c:pt>
                <c:pt idx="38">
                  <c:v>22009.719903331428</c:v>
                </c:pt>
                <c:pt idx="39">
                  <c:v>24082.030944143004</c:v>
                </c:pt>
                <c:pt idx="40">
                  <c:v>27254.047205689916</c:v>
                </c:pt>
                <c:pt idx="41">
                  <c:v>27498.021770477058</c:v>
                </c:pt>
                <c:pt idx="42">
                  <c:v>28385.423740802915</c:v>
                </c:pt>
                <c:pt idx="43">
                  <c:v>31058.035081362377</c:v>
                </c:pt>
                <c:pt idx="44">
                  <c:v>34471.516786635846</c:v>
                </c:pt>
                <c:pt idx="45">
                  <c:v>34780.101168327841</c:v>
                </c:pt>
                <c:pt idx="46">
                  <c:v>35902.506647621027</c:v>
                </c:pt>
                <c:pt idx="47">
                  <c:v>39282.884101103045</c:v>
                </c:pt>
                <c:pt idx="48">
                  <c:v>42743.548010387043</c:v>
                </c:pt>
                <c:pt idx="49">
                  <c:v>43126.182502966738</c:v>
                </c:pt>
                <c:pt idx="50">
                  <c:v>44517.928412734473</c:v>
                </c:pt>
                <c:pt idx="51">
                  <c:v>48709.485368886613</c:v>
                </c:pt>
                <c:pt idx="52">
                  <c:v>51938.21258108686</c:v>
                </c:pt>
                <c:pt idx="53">
                  <c:v>52403.156474177609</c:v>
                </c:pt>
                <c:pt idx="54">
                  <c:v>54094.284101271369</c:v>
                </c:pt>
                <c:pt idx="55">
                  <c:v>59187.496676452531</c:v>
                </c:pt>
                <c:pt idx="56">
                  <c:v>61819.849095750913</c:v>
                </c:pt>
                <c:pt idx="57">
                  <c:v>62373.252069794107</c:v>
                </c:pt>
                <c:pt idx="58">
                  <c:v>64386.129477644339</c:v>
                </c:pt>
                <c:pt idx="59">
                  <c:v>70448.364143858795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B-42B6-8EF6-24830692ED7F}"/>
            </c:ext>
          </c:extLst>
        </c:ser>
        <c:ser>
          <c:idx val="2"/>
          <c:order val="2"/>
          <c:tx>
            <c:strRef>
              <c:f>'Electric Vehicles'!$D$3</c:f>
              <c:strCache>
                <c:ptCount val="1"/>
                <c:pt idx="0">
                  <c:v>PHEV (low)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Vehicles'!$D$4:$D$63</c:f>
              <c:numCache>
                <c:formatCode>#,##0</c:formatCode>
                <c:ptCount val="60"/>
                <c:pt idx="29">
                  <c:v>11748</c:v>
                </c:pt>
                <c:pt idx="30">
                  <c:v>11872.874605656865</c:v>
                </c:pt>
                <c:pt idx="31">
                  <c:v>12733.804157300323</c:v>
                </c:pt>
                <c:pt idx="32">
                  <c:v>15152.101842186199</c:v>
                </c:pt>
                <c:pt idx="33">
                  <c:v>14959.818893151616</c:v>
                </c:pt>
                <c:pt idx="34">
                  <c:v>15118.833319860882</c:v>
                </c:pt>
                <c:pt idx="35">
                  <c:v>16215.134832658665</c:v>
                </c:pt>
                <c:pt idx="36">
                  <c:v>18353.678849152526</c:v>
                </c:pt>
                <c:pt idx="37">
                  <c:v>18120.767301203246</c:v>
                </c:pt>
                <c:pt idx="38">
                  <c:v>18313.380824435928</c:v>
                </c:pt>
                <c:pt idx="39">
                  <c:v>19641.326352871434</c:v>
                </c:pt>
                <c:pt idx="40">
                  <c:v>21803.347159952165</c:v>
                </c:pt>
                <c:pt idx="41">
                  <c:v>21526.658688979249</c:v>
                </c:pt>
                <c:pt idx="42">
                  <c:v>21755.474914285362</c:v>
                </c:pt>
                <c:pt idx="43">
                  <c:v>23333.014632831895</c:v>
                </c:pt>
                <c:pt idx="44">
                  <c:v>25392.49169717063</c:v>
                </c:pt>
                <c:pt idx="45">
                  <c:v>25070.256324301485</c:v>
                </c:pt>
                <c:pt idx="46">
                  <c:v>25336.738991326823</c:v>
                </c:pt>
                <c:pt idx="47">
                  <c:v>27173.964437093546</c:v>
                </c:pt>
                <c:pt idx="48">
                  <c:v>28979.781019840342</c:v>
                </c:pt>
                <c:pt idx="49">
                  <c:v>28612.022288087559</c:v>
                </c:pt>
                <c:pt idx="50">
                  <c:v>28916.151927198083</c:v>
                </c:pt>
                <c:pt idx="51">
                  <c:v>31012.928869664534</c:v>
                </c:pt>
                <c:pt idx="52">
                  <c:v>32397.449622311706</c:v>
                </c:pt>
                <c:pt idx="53">
                  <c:v>31986.320049697988</c:v>
                </c:pt>
                <c:pt idx="54">
                  <c:v>32326.316568477381</c:v>
                </c:pt>
                <c:pt idx="55">
                  <c:v>34670.372423015229</c:v>
                </c:pt>
                <c:pt idx="56">
                  <c:v>35461.992612779475</c:v>
                </c:pt>
                <c:pt idx="57">
                  <c:v>35011.973428032223</c:v>
                </c:pt>
                <c:pt idx="58">
                  <c:v>35384.130933573098</c:v>
                </c:pt>
                <c:pt idx="59">
                  <c:v>37949.915968093737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CB-42B6-8EF6-24830692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915056"/>
        <c:axId val="346914664"/>
      </c:lineChart>
      <c:catAx>
        <c:axId val="3469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914664"/>
        <c:crosses val="autoZero"/>
        <c:auto val="1"/>
        <c:lblAlgn val="ctr"/>
        <c:lblOffset val="100"/>
        <c:noMultiLvlLbl val="0"/>
      </c:catAx>
      <c:valAx>
        <c:axId val="34691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91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</a:t>
            </a:r>
            <a:r>
              <a:rPr lang="en-US" baseline="0"/>
              <a:t>Electric Vehicles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 Vehicles'!$E$3</c:f>
              <c:strCache>
                <c:ptCount val="1"/>
                <c:pt idx="0">
                  <c:v>BEV (baseline)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Vehicles'!$E$4:$E$63</c:f>
              <c:numCache>
                <c:formatCode>#,##0</c:formatCode>
                <c:ptCount val="60"/>
                <c:pt idx="0">
                  <c:v>1720</c:v>
                </c:pt>
                <c:pt idx="1">
                  <c:v>2077</c:v>
                </c:pt>
                <c:pt idx="2">
                  <c:v>2471</c:v>
                </c:pt>
                <c:pt idx="3">
                  <c:v>2782</c:v>
                </c:pt>
                <c:pt idx="4">
                  <c:v>3010</c:v>
                </c:pt>
                <c:pt idx="5">
                  <c:v>3293</c:v>
                </c:pt>
                <c:pt idx="6">
                  <c:v>3657</c:v>
                </c:pt>
                <c:pt idx="7">
                  <c:v>4099</c:v>
                </c:pt>
                <c:pt idx="8">
                  <c:v>4418</c:v>
                </c:pt>
                <c:pt idx="9">
                  <c:v>4901</c:v>
                </c:pt>
                <c:pt idx="10">
                  <c:v>5396</c:v>
                </c:pt>
                <c:pt idx="11">
                  <c:v>5758</c:v>
                </c:pt>
                <c:pt idx="12">
                  <c:v>6172</c:v>
                </c:pt>
                <c:pt idx="13">
                  <c:v>6690</c:v>
                </c:pt>
                <c:pt idx="14">
                  <c:v>7261</c:v>
                </c:pt>
                <c:pt idx="15">
                  <c:v>7850</c:v>
                </c:pt>
                <c:pt idx="16">
                  <c:v>8259</c:v>
                </c:pt>
                <c:pt idx="17">
                  <c:v>8856</c:v>
                </c:pt>
                <c:pt idx="18">
                  <c:v>9315</c:v>
                </c:pt>
                <c:pt idx="19">
                  <c:v>9861</c:v>
                </c:pt>
                <c:pt idx="20">
                  <c:v>10379</c:v>
                </c:pt>
                <c:pt idx="21">
                  <c:v>11010</c:v>
                </c:pt>
                <c:pt idx="22">
                  <c:v>11747</c:v>
                </c:pt>
                <c:pt idx="23">
                  <c:v>13189</c:v>
                </c:pt>
                <c:pt idx="24">
                  <c:v>14656</c:v>
                </c:pt>
                <c:pt idx="25">
                  <c:v>15548</c:v>
                </c:pt>
                <c:pt idx="26">
                  <c:v>17112</c:v>
                </c:pt>
                <c:pt idx="27">
                  <c:v>18470</c:v>
                </c:pt>
                <c:pt idx="28">
                  <c:v>20165</c:v>
                </c:pt>
                <c:pt idx="29">
                  <c:v>20447</c:v>
                </c:pt>
                <c:pt idx="30">
                  <c:v>20500</c:v>
                </c:pt>
                <c:pt idx="31">
                  <c:v>22000</c:v>
                </c:pt>
                <c:pt idx="32">
                  <c:v>26990.081879350844</c:v>
                </c:pt>
                <c:pt idx="33">
                  <c:v>27367.528102508641</c:v>
                </c:pt>
                <c:pt idx="34">
                  <c:v>27438.466577073759</c:v>
                </c:pt>
                <c:pt idx="35">
                  <c:v>29446.15925344501</c:v>
                </c:pt>
                <c:pt idx="36">
                  <c:v>35012.945324741362</c:v>
                </c:pt>
                <c:pt idx="37">
                  <c:v>35502.588299280265</c:v>
                </c:pt>
                <c:pt idx="38">
                  <c:v>35594.613397331908</c:v>
                </c:pt>
                <c:pt idx="39">
                  <c:v>38199.097304453753</c:v>
                </c:pt>
                <c:pt idx="40">
                  <c:v>44853.080846049881</c:v>
                </c:pt>
                <c:pt idx="41">
                  <c:v>45480.334443797758</c:v>
                </c:pt>
                <c:pt idx="42">
                  <c:v>45598.222531317755</c:v>
                </c:pt>
                <c:pt idx="43">
                  <c:v>48934.677838487347</c:v>
                </c:pt>
                <c:pt idx="44">
                  <c:v>56731.669329416422</c:v>
                </c:pt>
                <c:pt idx="45">
                  <c:v>57525.040554355444</c:v>
                </c:pt>
                <c:pt idx="46">
                  <c:v>57674.149330673776</c:v>
                </c:pt>
                <c:pt idx="47">
                  <c:v>61894.209037796245</c:v>
                </c:pt>
                <c:pt idx="48">
                  <c:v>70836.511264123765</c:v>
                </c:pt>
                <c:pt idx="49">
                  <c:v>71827.133439996949</c:v>
                </c:pt>
                <c:pt idx="50">
                  <c:v>72013.31420354759</c:v>
                </c:pt>
                <c:pt idx="51">
                  <c:v>77282.581096490088</c:v>
                </c:pt>
                <c:pt idx="52">
                  <c:v>87299.927734054116</c:v>
                </c:pt>
                <c:pt idx="53">
                  <c:v>88520.78464558415</c:v>
                </c:pt>
                <c:pt idx="54">
                  <c:v>88750.236476474558</c:v>
                </c:pt>
                <c:pt idx="55">
                  <c:v>95244.156218655611</c:v>
                </c:pt>
                <c:pt idx="56">
                  <c:v>106174.58889598853</c:v>
                </c:pt>
                <c:pt idx="57">
                  <c:v>107659.40090038569</c:v>
                </c:pt>
                <c:pt idx="58">
                  <c:v>107938.46131255964</c:v>
                </c:pt>
                <c:pt idx="59">
                  <c:v>115836.39750616155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4-4906-B0DD-85879E9E56F0}"/>
            </c:ext>
          </c:extLst>
        </c:ser>
        <c:ser>
          <c:idx val="1"/>
          <c:order val="1"/>
          <c:tx>
            <c:strRef>
              <c:f>'Electric Vehicles'!$F$3</c:f>
              <c:strCache>
                <c:ptCount val="1"/>
                <c:pt idx="0">
                  <c:v>BEV (high)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Vehicles'!$F$4:$F$63</c:f>
              <c:numCache>
                <c:formatCode>#,##0</c:formatCode>
                <c:ptCount val="60"/>
                <c:pt idx="29">
                  <c:v>20447</c:v>
                </c:pt>
                <c:pt idx="30">
                  <c:v>20893.920562240906</c:v>
                </c:pt>
                <c:pt idx="31">
                  <c:v>22825.274703948744</c:v>
                </c:pt>
                <c:pt idx="32">
                  <c:v>28442.286046360972</c:v>
                </c:pt>
                <c:pt idx="33">
                  <c:v>29387.994111955417</c:v>
                </c:pt>
                <c:pt idx="34">
                  <c:v>30030.342566577005</c:v>
                </c:pt>
                <c:pt idx="35">
                  <c:v>32806.232630870574</c:v>
                </c:pt>
                <c:pt idx="36">
                  <c:v>39640.26607855317</c:v>
                </c:pt>
                <c:pt idx="37">
                  <c:v>40958.307789113693</c:v>
                </c:pt>
                <c:pt idx="38">
                  <c:v>41853.554521912971</c:v>
                </c:pt>
                <c:pt idx="39">
                  <c:v>45722.337100572382</c:v>
                </c:pt>
                <c:pt idx="40">
                  <c:v>54567.67127533906</c:v>
                </c:pt>
                <c:pt idx="41">
                  <c:v>56382.050286986632</c:v>
                </c:pt>
                <c:pt idx="42">
                  <c:v>57614.421667362978</c:v>
                </c:pt>
                <c:pt idx="43">
                  <c:v>62940.078552957501</c:v>
                </c:pt>
                <c:pt idx="44">
                  <c:v>74181.184805734214</c:v>
                </c:pt>
                <c:pt idx="45">
                  <c:v>76647.7145590664</c:v>
                </c:pt>
                <c:pt idx="46">
                  <c:v>78323.042953707103</c:v>
                </c:pt>
                <c:pt idx="47">
                  <c:v>85562.925624323485</c:v>
                </c:pt>
                <c:pt idx="48">
                  <c:v>99573.225702828684</c:v>
                </c:pt>
                <c:pt idx="49">
                  <c:v>102884.04265020513</c:v>
                </c:pt>
                <c:pt idx="50">
                  <c:v>105132.83191938139</c:v>
                </c:pt>
                <c:pt idx="51">
                  <c:v>114850.9089912315</c:v>
                </c:pt>
                <c:pt idx="52">
                  <c:v>131950.5057444011</c:v>
                </c:pt>
                <c:pt idx="53">
                  <c:v>136337.86959196042</c:v>
                </c:pt>
                <c:pt idx="54">
                  <c:v>139317.87630848444</c:v>
                </c:pt>
                <c:pt idx="55">
                  <c:v>152195.88819815312</c:v>
                </c:pt>
                <c:pt idx="56">
                  <c:v>172594.35076235197</c:v>
                </c:pt>
                <c:pt idx="57">
                  <c:v>178333.12539270119</c:v>
                </c:pt>
                <c:pt idx="58">
                  <c:v>182231.04394636111</c:v>
                </c:pt>
                <c:pt idx="59">
                  <c:v>199075.78500034928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4-4906-B0DD-85879E9E56F0}"/>
            </c:ext>
          </c:extLst>
        </c:ser>
        <c:ser>
          <c:idx val="2"/>
          <c:order val="2"/>
          <c:tx>
            <c:strRef>
              <c:f>'Electric Vehicles'!$G$3</c:f>
              <c:strCache>
                <c:ptCount val="1"/>
                <c:pt idx="0">
                  <c:v>BEV (low)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Vehicles'!$G$4:$G$63</c:f>
              <c:numCache>
                <c:formatCode>#,##0</c:formatCode>
                <c:ptCount val="60"/>
                <c:pt idx="29">
                  <c:v>20447</c:v>
                </c:pt>
                <c:pt idx="30">
                  <c:v>20106.079437759097</c:v>
                </c:pt>
                <c:pt idx="31">
                  <c:v>21189.903406224508</c:v>
                </c:pt>
                <c:pt idx="32">
                  <c:v>25588.004706813423</c:v>
                </c:pt>
                <c:pt idx="33">
                  <c:v>25452.879096170149</c:v>
                </c:pt>
                <c:pt idx="34">
                  <c:v>25028.493618979555</c:v>
                </c:pt>
                <c:pt idx="35">
                  <c:v>26377.661733171441</c:v>
                </c:pt>
                <c:pt idx="36">
                  <c:v>30856.172023209252</c:v>
                </c:pt>
                <c:pt idx="37">
                  <c:v>30693.226176726741</c:v>
                </c:pt>
                <c:pt idx="38">
                  <c:v>30181.466411227797</c:v>
                </c:pt>
                <c:pt idx="39">
                  <c:v>31808.406999082559</c:v>
                </c:pt>
                <c:pt idx="40">
                  <c:v>36736.379218444992</c:v>
                </c:pt>
                <c:pt idx="41">
                  <c:v>36542.381064560264</c:v>
                </c:pt>
                <c:pt idx="42">
                  <c:v>35933.096127985154</c:v>
                </c:pt>
                <c:pt idx="43">
                  <c:v>37870.07996241402</c:v>
                </c:pt>
                <c:pt idx="44">
                  <c:v>43174.51327532166</c:v>
                </c:pt>
                <c:pt idx="45">
                  <c:v>42946.516503498307</c:v>
                </c:pt>
                <c:pt idx="46">
                  <c:v>42230.45299527407</c:v>
                </c:pt>
                <c:pt idx="47">
                  <c:v>44506.897654568187</c:v>
                </c:pt>
                <c:pt idx="48">
                  <c:v>50079.68455118651</c:v>
                </c:pt>
                <c:pt idx="49">
                  <c:v>49815.22282260163</c:v>
                </c:pt>
                <c:pt idx="50">
                  <c:v>48984.634776783794</c:v>
                </c:pt>
                <c:pt idx="51">
                  <c:v>51625.165538733258</c:v>
                </c:pt>
                <c:pt idx="52">
                  <c:v>57322.223309287328</c:v>
                </c:pt>
                <c:pt idx="53">
                  <c:v>57019.515047472938</c:v>
                </c:pt>
                <c:pt idx="54">
                  <c:v>56068.807113365823</c:v>
                </c:pt>
                <c:pt idx="55">
                  <c:v>59091.212213318147</c:v>
                </c:pt>
                <c:pt idx="56">
                  <c:v>64734.233545195137</c:v>
                </c:pt>
                <c:pt idx="57">
                  <c:v>64392.383802022705</c:v>
                </c:pt>
                <c:pt idx="58">
                  <c:v>63318.7452394063</c:v>
                </c:pt>
                <c:pt idx="59">
                  <c:v>66731.960329701004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4-4906-B0DD-85879E9E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881528"/>
        <c:axId val="347879176"/>
      </c:lineChart>
      <c:catAx>
        <c:axId val="34788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879176"/>
        <c:crosses val="autoZero"/>
        <c:auto val="1"/>
        <c:lblAlgn val="ctr"/>
        <c:lblOffset val="100"/>
        <c:noMultiLvlLbl val="0"/>
      </c:catAx>
      <c:valAx>
        <c:axId val="34787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88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</a:t>
            </a:r>
            <a:r>
              <a:rPr lang="en-US" baseline="0"/>
              <a:t>Electric Vehicles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5948969493567"/>
          <c:y val="0.12003236245954693"/>
          <c:w val="0.8484858654963211"/>
          <c:h val="0.74502127768009585"/>
        </c:manualLayout>
      </c:layout>
      <c:lineChart>
        <c:grouping val="standard"/>
        <c:varyColors val="0"/>
        <c:ser>
          <c:idx val="0"/>
          <c:order val="0"/>
          <c:tx>
            <c:strRef>
              <c:f>'Electric Vehicles'!$H$3</c:f>
              <c:strCache>
                <c:ptCount val="1"/>
                <c:pt idx="0">
                  <c:v>Total (baseline)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Vehicles'!$H$4:$H$63</c:f>
              <c:numCache>
                <c:formatCode>#,##0</c:formatCode>
                <c:ptCount val="60"/>
                <c:pt idx="0">
                  <c:v>2570</c:v>
                </c:pt>
                <c:pt idx="1">
                  <c:v>3066</c:v>
                </c:pt>
                <c:pt idx="2">
                  <c:v>3669</c:v>
                </c:pt>
                <c:pt idx="3">
                  <c:v>4366</c:v>
                </c:pt>
                <c:pt idx="4">
                  <c:v>4732</c:v>
                </c:pt>
                <c:pt idx="5">
                  <c:v>5185</c:v>
                </c:pt>
                <c:pt idx="6">
                  <c:v>5827</c:v>
                </c:pt>
                <c:pt idx="7">
                  <c:v>6513</c:v>
                </c:pt>
                <c:pt idx="8">
                  <c:v>7004</c:v>
                </c:pt>
                <c:pt idx="9">
                  <c:v>7705</c:v>
                </c:pt>
                <c:pt idx="10">
                  <c:v>8388</c:v>
                </c:pt>
                <c:pt idx="11">
                  <c:v>9010</c:v>
                </c:pt>
                <c:pt idx="12">
                  <c:v>9749</c:v>
                </c:pt>
                <c:pt idx="13">
                  <c:v>10614</c:v>
                </c:pt>
                <c:pt idx="14">
                  <c:v>11576</c:v>
                </c:pt>
                <c:pt idx="15">
                  <c:v>12598</c:v>
                </c:pt>
                <c:pt idx="16">
                  <c:v>13256</c:v>
                </c:pt>
                <c:pt idx="17">
                  <c:v>14283</c:v>
                </c:pt>
                <c:pt idx="18">
                  <c:v>15219</c:v>
                </c:pt>
                <c:pt idx="19">
                  <c:v>16170</c:v>
                </c:pt>
                <c:pt idx="20">
                  <c:v>17229</c:v>
                </c:pt>
                <c:pt idx="21">
                  <c:v>18485</c:v>
                </c:pt>
                <c:pt idx="22">
                  <c:v>19890</c:v>
                </c:pt>
                <c:pt idx="23">
                  <c:v>22086</c:v>
                </c:pt>
                <c:pt idx="24">
                  <c:v>24103</c:v>
                </c:pt>
                <c:pt idx="25">
                  <c:v>25524</c:v>
                </c:pt>
                <c:pt idx="26">
                  <c:v>27757</c:v>
                </c:pt>
                <c:pt idx="27">
                  <c:v>29734</c:v>
                </c:pt>
                <c:pt idx="28">
                  <c:v>31935</c:v>
                </c:pt>
                <c:pt idx="29">
                  <c:v>32195</c:v>
                </c:pt>
                <c:pt idx="30">
                  <c:v>32500</c:v>
                </c:pt>
                <c:pt idx="31">
                  <c:v>35000</c:v>
                </c:pt>
                <c:pt idx="32">
                  <c:v>42599.606571271579</c:v>
                </c:pt>
                <c:pt idx="33">
                  <c:v>42947.876112762227</c:v>
                </c:pt>
                <c:pt idx="34">
                  <c:v>43353.020213696429</c:v>
                </c:pt>
                <c:pt idx="35">
                  <c:v>46686.92569311957</c:v>
                </c:pt>
                <c:pt idx="36">
                  <c:v>54714.084652446189</c:v>
                </c:pt>
                <c:pt idx="37">
                  <c:v>55166.903067494059</c:v>
                </c:pt>
                <c:pt idx="38">
                  <c:v>55680.736756079394</c:v>
                </c:pt>
                <c:pt idx="39">
                  <c:v>59959.064276430196</c:v>
                </c:pt>
                <c:pt idx="40">
                  <c:v>69243.743319339002</c:v>
                </c:pt>
                <c:pt idx="41">
                  <c:v>69825.406893772335</c:v>
                </c:pt>
                <c:pt idx="42">
                  <c:v>70465.507975622721</c:v>
                </c:pt>
                <c:pt idx="43">
                  <c:v>75874.237069817726</c:v>
                </c:pt>
                <c:pt idx="44">
                  <c:v>86340.54913789015</c:v>
                </c:pt>
                <c:pt idx="45">
                  <c:v>87078.576662252584</c:v>
                </c:pt>
                <c:pt idx="46">
                  <c:v>87861.622372448182</c:v>
                </c:pt>
                <c:pt idx="47">
                  <c:v>94597.30483305185</c:v>
                </c:pt>
                <c:pt idx="48">
                  <c:v>106066.73711699201</c:v>
                </c:pt>
                <c:pt idx="49">
                  <c:v>106991.50840342056</c:v>
                </c:pt>
                <c:pt idx="50">
                  <c:v>107931.9811733368</c:v>
                </c:pt>
                <c:pt idx="51">
                  <c:v>116194.47031376172</c:v>
                </c:pt>
                <c:pt idx="52">
                  <c:v>128370.04018436438</c:v>
                </c:pt>
                <c:pt idx="53">
                  <c:v>129514.13053056672</c:v>
                </c:pt>
                <c:pt idx="54">
                  <c:v>130622.9084733924</c:v>
                </c:pt>
                <c:pt idx="55">
                  <c:v>140606.21754864993</c:v>
                </c:pt>
                <c:pt idx="56">
                  <c:v>153063.25512212489</c:v>
                </c:pt>
                <c:pt idx="57">
                  <c:v>154460.4247597442</c:v>
                </c:pt>
                <c:pt idx="58">
                  <c:v>155743.38864591869</c:v>
                </c:pt>
                <c:pt idx="59">
                  <c:v>167625.06878396717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4-4740-A444-3B2B1319CDF5}"/>
            </c:ext>
          </c:extLst>
        </c:ser>
        <c:ser>
          <c:idx val="1"/>
          <c:order val="1"/>
          <c:tx>
            <c:strRef>
              <c:f>'Electric Vehicles'!$I$3</c:f>
              <c:strCache>
                <c:ptCount val="1"/>
                <c:pt idx="0">
                  <c:v>Total (high)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Vehicles'!$I$4:$I$63</c:f>
              <c:numCache>
                <c:formatCode>#,##0</c:formatCode>
                <c:ptCount val="60"/>
                <c:pt idx="29">
                  <c:v>32195</c:v>
                </c:pt>
                <c:pt idx="30">
                  <c:v>33021.045956584043</c:v>
                </c:pt>
                <c:pt idx="31">
                  <c:v>36094.221800629843</c:v>
                </c:pt>
                <c:pt idx="32">
                  <c:v>44518.327903341866</c:v>
                </c:pt>
                <c:pt idx="33">
                  <c:v>45607.946533336377</c:v>
                </c:pt>
                <c:pt idx="34">
                  <c:v>46773.736923434888</c:v>
                </c:pt>
                <c:pt idx="35">
                  <c:v>51126.090529235269</c:v>
                </c:pt>
                <c:pt idx="36">
                  <c:v>60772.730075105792</c:v>
                </c:pt>
                <c:pt idx="37">
                  <c:v>62279.946760947139</c:v>
                </c:pt>
                <c:pt idx="38">
                  <c:v>63863.274425244395</c:v>
                </c:pt>
                <c:pt idx="39">
                  <c:v>69804.368044715389</c:v>
                </c:pt>
                <c:pt idx="40">
                  <c:v>81821.718481028976</c:v>
                </c:pt>
                <c:pt idx="41">
                  <c:v>83880.072057463694</c:v>
                </c:pt>
                <c:pt idx="42">
                  <c:v>85999.845408165886</c:v>
                </c:pt>
                <c:pt idx="43">
                  <c:v>93998.113634319874</c:v>
                </c:pt>
                <c:pt idx="44">
                  <c:v>108652.70159237005</c:v>
                </c:pt>
                <c:pt idx="45">
                  <c:v>111427.81572739425</c:v>
                </c:pt>
                <c:pt idx="46">
                  <c:v>114225.54960132812</c:v>
                </c:pt>
                <c:pt idx="47">
                  <c:v>124845.80972542653</c:v>
                </c:pt>
                <c:pt idx="48">
                  <c:v>142316.77371321572</c:v>
                </c:pt>
                <c:pt idx="49">
                  <c:v>146010.22515317186</c:v>
                </c:pt>
                <c:pt idx="50">
                  <c:v>149650.76033211587</c:v>
                </c:pt>
                <c:pt idx="51">
                  <c:v>163560.39436011811</c:v>
                </c:pt>
                <c:pt idx="52">
                  <c:v>183888.71832548798</c:v>
                </c:pt>
                <c:pt idx="53">
                  <c:v>188741.02606613803</c:v>
                </c:pt>
                <c:pt idx="54">
                  <c:v>193412.1604097558</c:v>
                </c:pt>
                <c:pt idx="55">
                  <c:v>211383.38487460563</c:v>
                </c:pt>
                <c:pt idx="56">
                  <c:v>234414.19985810289</c:v>
                </c:pt>
                <c:pt idx="57">
                  <c:v>240706.37746249529</c:v>
                </c:pt>
                <c:pt idx="58">
                  <c:v>246617.17342400545</c:v>
                </c:pt>
                <c:pt idx="59">
                  <c:v>269524.14914420806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4-4740-A444-3B2B1319CDF5}"/>
            </c:ext>
          </c:extLst>
        </c:ser>
        <c:ser>
          <c:idx val="2"/>
          <c:order val="2"/>
          <c:tx>
            <c:strRef>
              <c:f>'Electric Vehicles'!$J$3</c:f>
              <c:strCache>
                <c:ptCount val="1"/>
                <c:pt idx="0">
                  <c:v>Total (low)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Vehicles'!$J$4:$J$63</c:f>
              <c:numCache>
                <c:formatCode>#,##0</c:formatCode>
                <c:ptCount val="60"/>
                <c:pt idx="29">
                  <c:v>32195</c:v>
                </c:pt>
                <c:pt idx="30">
                  <c:v>31978.954043415964</c:v>
                </c:pt>
                <c:pt idx="31">
                  <c:v>33923.707563524833</c:v>
                </c:pt>
                <c:pt idx="32">
                  <c:v>40740.106548999625</c:v>
                </c:pt>
                <c:pt idx="33">
                  <c:v>40412.697989321765</c:v>
                </c:pt>
                <c:pt idx="34">
                  <c:v>40147.326938840437</c:v>
                </c:pt>
                <c:pt idx="35">
                  <c:v>42592.796565830104</c:v>
                </c:pt>
                <c:pt idx="36">
                  <c:v>49209.850872361778</c:v>
                </c:pt>
                <c:pt idx="37">
                  <c:v>48813.993477929987</c:v>
                </c:pt>
                <c:pt idx="38">
                  <c:v>48494.847235663721</c:v>
                </c:pt>
                <c:pt idx="39">
                  <c:v>51449.733351953997</c:v>
                </c:pt>
                <c:pt idx="40">
                  <c:v>58539.726378397158</c:v>
                </c:pt>
                <c:pt idx="41">
                  <c:v>58069.039753539517</c:v>
                </c:pt>
                <c:pt idx="42">
                  <c:v>57688.571042270516</c:v>
                </c:pt>
                <c:pt idx="43">
                  <c:v>61203.094595245915</c:v>
                </c:pt>
                <c:pt idx="44">
                  <c:v>68567.004972492286</c:v>
                </c:pt>
                <c:pt idx="45">
                  <c:v>68016.772827799796</c:v>
                </c:pt>
                <c:pt idx="46">
                  <c:v>67567.191986600898</c:v>
                </c:pt>
                <c:pt idx="47">
                  <c:v>71680.862091661736</c:v>
                </c:pt>
                <c:pt idx="48">
                  <c:v>79059.465571026856</c:v>
                </c:pt>
                <c:pt idx="49">
                  <c:v>78427.245110689197</c:v>
                </c:pt>
                <c:pt idx="50">
                  <c:v>77900.786703981881</c:v>
                </c:pt>
                <c:pt idx="51">
                  <c:v>82638.094408397796</c:v>
                </c:pt>
                <c:pt idx="52">
                  <c:v>89719.672931599038</c:v>
                </c:pt>
                <c:pt idx="53">
                  <c:v>89005.83509717093</c:v>
                </c:pt>
                <c:pt idx="54">
                  <c:v>88395.123681843208</c:v>
                </c:pt>
                <c:pt idx="55">
                  <c:v>93761.584636333369</c:v>
                </c:pt>
                <c:pt idx="56">
                  <c:v>100196.22615797461</c:v>
                </c:pt>
                <c:pt idx="57">
                  <c:v>99404.357230054928</c:v>
                </c:pt>
                <c:pt idx="58">
                  <c:v>98702.876172979391</c:v>
                </c:pt>
                <c:pt idx="59">
                  <c:v>104681.87629779475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4-4740-A444-3B2B1319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422656"/>
        <c:axId val="434422264"/>
      </c:lineChart>
      <c:catAx>
        <c:axId val="4344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2264"/>
        <c:crosses val="autoZero"/>
        <c:auto val="1"/>
        <c:lblAlgn val="ctr"/>
        <c:lblOffset val="100"/>
        <c:noMultiLvlLbl val="0"/>
      </c:catAx>
      <c:valAx>
        <c:axId val="434422264"/>
        <c:scaling>
          <c:orientation val="minMax"/>
          <c:max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40299470762875"/>
          <c:y val="0.16221644624519027"/>
          <c:w val="0.68665849145905944"/>
          <c:h val="5.461203271921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changes, year-over-year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91822995606254E-2"/>
          <c:y val="9.3543487098035547E-2"/>
          <c:w val="0.89931179561852925"/>
          <c:h val="0.8075722001425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 Vehicles'!$L$3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 Vehicles'!$A$8:$A$33</c:f>
              <c:strCache>
                <c:ptCount val="26"/>
                <c:pt idx="0">
                  <c:v>Q1-2014</c:v>
                </c:pt>
                <c:pt idx="1">
                  <c:v>Q2-2014</c:v>
                </c:pt>
                <c:pt idx="2">
                  <c:v>Q3-2014</c:v>
                </c:pt>
                <c:pt idx="3">
                  <c:v>Q4-2014</c:v>
                </c:pt>
                <c:pt idx="4">
                  <c:v>Q1-2015</c:v>
                </c:pt>
                <c:pt idx="5">
                  <c:v>Q2-2015</c:v>
                </c:pt>
                <c:pt idx="6">
                  <c:v>Q3-2015</c:v>
                </c:pt>
                <c:pt idx="7">
                  <c:v>Q4-2015</c:v>
                </c:pt>
                <c:pt idx="8">
                  <c:v>Q1-2016</c:v>
                </c:pt>
                <c:pt idx="9">
                  <c:v>Q2-2016</c:v>
                </c:pt>
                <c:pt idx="10">
                  <c:v>Q3-2016</c:v>
                </c:pt>
                <c:pt idx="11">
                  <c:v>Q4-2016</c:v>
                </c:pt>
                <c:pt idx="12">
                  <c:v>Q1-2017</c:v>
                </c:pt>
                <c:pt idx="13">
                  <c:v>Q2-2017</c:v>
                </c:pt>
                <c:pt idx="14">
                  <c:v>Q3-2017</c:v>
                </c:pt>
                <c:pt idx="15">
                  <c:v>Q4-2017</c:v>
                </c:pt>
                <c:pt idx="16">
                  <c:v>Q1-2018</c:v>
                </c:pt>
                <c:pt idx="17">
                  <c:v>Q2-2018</c:v>
                </c:pt>
                <c:pt idx="18">
                  <c:v>Q3-2018</c:v>
                </c:pt>
                <c:pt idx="19">
                  <c:v>Q4-2018</c:v>
                </c:pt>
                <c:pt idx="20">
                  <c:v>Q1-2019</c:v>
                </c:pt>
                <c:pt idx="21">
                  <c:v>Q2-2019</c:v>
                </c:pt>
                <c:pt idx="22">
                  <c:v>Q3-2019</c:v>
                </c:pt>
                <c:pt idx="23">
                  <c:v>Q4-2019</c:v>
                </c:pt>
                <c:pt idx="24">
                  <c:v>Q1-2020</c:v>
                </c:pt>
                <c:pt idx="25">
                  <c:v>Q2-2020</c:v>
                </c:pt>
              </c:strCache>
            </c:strRef>
          </c:cat>
          <c:val>
            <c:numRef>
              <c:f>'Electric Vehicles'!$L$8:$L$33</c:f>
              <c:numCache>
                <c:formatCode>0%</c:formatCode>
                <c:ptCount val="26"/>
                <c:pt idx="0">
                  <c:v>1.0258823529411765</c:v>
                </c:pt>
                <c:pt idx="1">
                  <c:v>0.91304347826086962</c:v>
                </c:pt>
                <c:pt idx="2">
                  <c:v>0.81135225375626052</c:v>
                </c:pt>
                <c:pt idx="3">
                  <c:v>0.52398989898989901</c:v>
                </c:pt>
                <c:pt idx="4">
                  <c:v>0.50174216027874574</c:v>
                </c:pt>
                <c:pt idx="5">
                  <c:v>0.48202959830866798</c:v>
                </c:pt>
                <c:pt idx="6">
                  <c:v>0.37880184331797229</c:v>
                </c:pt>
                <c:pt idx="7">
                  <c:v>0.34714167357083681</c:v>
                </c:pt>
                <c:pt idx="8">
                  <c:v>0.3832173240525909</c:v>
                </c:pt>
                <c:pt idx="9">
                  <c:v>0.39942938659058491</c:v>
                </c:pt>
                <c:pt idx="10">
                  <c:v>0.4421791443850267</c:v>
                </c:pt>
                <c:pt idx="11">
                  <c:v>0.46002460024600245</c:v>
                </c:pt>
                <c:pt idx="12">
                  <c:v>0.396980710092256</c:v>
                </c:pt>
                <c:pt idx="13">
                  <c:v>0.3830275229357798</c:v>
                </c:pt>
                <c:pt idx="14">
                  <c:v>0.3682502896871378</c:v>
                </c:pt>
                <c:pt idx="15">
                  <c:v>0.32877000842459991</c:v>
                </c:pt>
                <c:pt idx="16">
                  <c:v>0.37082249349609775</c:v>
                </c:pt>
                <c:pt idx="17">
                  <c:v>0.37737239727289484</c:v>
                </c:pt>
                <c:pt idx="18">
                  <c:v>0.37923441734417351</c:v>
                </c:pt>
                <c:pt idx="19">
                  <c:v>0.41020763987953712</c:v>
                </c:pt>
                <c:pt idx="20">
                  <c:v>0.37912408759124094</c:v>
                </c:pt>
                <c:pt idx="21">
                  <c:v>0.33458193979933104</c:v>
                </c:pt>
                <c:pt idx="22">
                  <c:v>0.30725776740758937</c:v>
                </c:pt>
                <c:pt idx="23">
                  <c:v>0.26604473418006069</c:v>
                </c:pt>
                <c:pt idx="24">
                  <c:v>0.24589816873081394</c:v>
                </c:pt>
                <c:pt idx="25">
                  <c:v>0.17762630312750605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E-4B74-B8E9-2806189225CA}"/>
            </c:ext>
          </c:extLst>
        </c:ser>
        <c:ser>
          <c:idx val="1"/>
          <c:order val="1"/>
          <c:tx>
            <c:strRef>
              <c:f>'Electric Vehicles'!$M$3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 Vehicles'!$A$8:$A$33</c:f>
              <c:strCache>
                <c:ptCount val="26"/>
                <c:pt idx="0">
                  <c:v>Q1-2014</c:v>
                </c:pt>
                <c:pt idx="1">
                  <c:v>Q2-2014</c:v>
                </c:pt>
                <c:pt idx="2">
                  <c:v>Q3-2014</c:v>
                </c:pt>
                <c:pt idx="3">
                  <c:v>Q4-2014</c:v>
                </c:pt>
                <c:pt idx="4">
                  <c:v>Q1-2015</c:v>
                </c:pt>
                <c:pt idx="5">
                  <c:v>Q2-2015</c:v>
                </c:pt>
                <c:pt idx="6">
                  <c:v>Q3-2015</c:v>
                </c:pt>
                <c:pt idx="7">
                  <c:v>Q4-2015</c:v>
                </c:pt>
                <c:pt idx="8">
                  <c:v>Q1-2016</c:v>
                </c:pt>
                <c:pt idx="9">
                  <c:v>Q2-2016</c:v>
                </c:pt>
                <c:pt idx="10">
                  <c:v>Q3-2016</c:v>
                </c:pt>
                <c:pt idx="11">
                  <c:v>Q4-2016</c:v>
                </c:pt>
                <c:pt idx="12">
                  <c:v>Q1-2017</c:v>
                </c:pt>
                <c:pt idx="13">
                  <c:v>Q2-2017</c:v>
                </c:pt>
                <c:pt idx="14">
                  <c:v>Q3-2017</c:v>
                </c:pt>
                <c:pt idx="15">
                  <c:v>Q4-2017</c:v>
                </c:pt>
                <c:pt idx="16">
                  <c:v>Q1-2018</c:v>
                </c:pt>
                <c:pt idx="17">
                  <c:v>Q2-2018</c:v>
                </c:pt>
                <c:pt idx="18">
                  <c:v>Q3-2018</c:v>
                </c:pt>
                <c:pt idx="19">
                  <c:v>Q4-2018</c:v>
                </c:pt>
                <c:pt idx="20">
                  <c:v>Q1-2019</c:v>
                </c:pt>
                <c:pt idx="21">
                  <c:v>Q2-2019</c:v>
                </c:pt>
                <c:pt idx="22">
                  <c:v>Q3-2019</c:v>
                </c:pt>
                <c:pt idx="23">
                  <c:v>Q4-2019</c:v>
                </c:pt>
                <c:pt idx="24">
                  <c:v>Q1-2020</c:v>
                </c:pt>
                <c:pt idx="25">
                  <c:v>Q2-2020</c:v>
                </c:pt>
              </c:strCache>
            </c:strRef>
          </c:cat>
          <c:val>
            <c:numRef>
              <c:f>'Electric Vehicles'!$M$8:$M$33</c:f>
              <c:numCache>
                <c:formatCode>0%</c:formatCode>
                <c:ptCount val="26"/>
                <c:pt idx="0">
                  <c:v>0.75</c:v>
                </c:pt>
                <c:pt idx="1">
                  <c:v>0.58545979778526713</c:v>
                </c:pt>
                <c:pt idx="2">
                  <c:v>0.47996762444354513</c:v>
                </c:pt>
                <c:pt idx="3">
                  <c:v>0.4734004313443565</c:v>
                </c:pt>
                <c:pt idx="4">
                  <c:v>0.46777408637873763</c:v>
                </c:pt>
                <c:pt idx="5">
                  <c:v>0.48830853325235357</c:v>
                </c:pt>
                <c:pt idx="6">
                  <c:v>0.4755263877495215</c:v>
                </c:pt>
                <c:pt idx="7">
                  <c:v>0.40473286167357903</c:v>
                </c:pt>
                <c:pt idx="8">
                  <c:v>0.39701222272521508</c:v>
                </c:pt>
                <c:pt idx="9">
                  <c:v>0.36502754539889826</c:v>
                </c:pt>
                <c:pt idx="10">
                  <c:v>0.34562638991845818</c:v>
                </c:pt>
                <c:pt idx="11">
                  <c:v>0.36332059742966316</c:v>
                </c:pt>
                <c:pt idx="12">
                  <c:v>0.33813998703823711</c:v>
                </c:pt>
                <c:pt idx="13">
                  <c:v>0.32376681614349767</c:v>
                </c:pt>
                <c:pt idx="14">
                  <c:v>0.28288114584767943</c:v>
                </c:pt>
                <c:pt idx="15">
                  <c:v>0.2561783439490446</c:v>
                </c:pt>
                <c:pt idx="16">
                  <c:v>0.2566896718731082</c:v>
                </c:pt>
                <c:pt idx="17">
                  <c:v>0.24322493224932251</c:v>
                </c:pt>
                <c:pt idx="18">
                  <c:v>0.26108427267847567</c:v>
                </c:pt>
                <c:pt idx="19">
                  <c:v>0.33749112666058201</c:v>
                </c:pt>
                <c:pt idx="20">
                  <c:v>0.41208208883322084</c:v>
                </c:pt>
                <c:pt idx="21">
                  <c:v>0.41217075386012714</c:v>
                </c:pt>
                <c:pt idx="22">
                  <c:v>0.45671235208989525</c:v>
                </c:pt>
                <c:pt idx="23">
                  <c:v>0.40040943210250957</c:v>
                </c:pt>
                <c:pt idx="24">
                  <c:v>0.37588700873362435</c:v>
                </c:pt>
                <c:pt idx="25">
                  <c:v>0.31508875739644981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E-4B74-B8E9-2806189225CA}"/>
            </c:ext>
          </c:extLst>
        </c:ser>
        <c:ser>
          <c:idx val="2"/>
          <c:order val="2"/>
          <c:tx>
            <c:strRef>
              <c:f>'Electric Vehicles'!$N$3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'Electric Vehicles'!$A$8:$A$33</c:f>
              <c:strCache>
                <c:ptCount val="26"/>
                <c:pt idx="0">
                  <c:v>Q1-2014</c:v>
                </c:pt>
                <c:pt idx="1">
                  <c:v>Q2-2014</c:v>
                </c:pt>
                <c:pt idx="2">
                  <c:v>Q3-2014</c:v>
                </c:pt>
                <c:pt idx="3">
                  <c:v>Q4-2014</c:v>
                </c:pt>
                <c:pt idx="4">
                  <c:v>Q1-2015</c:v>
                </c:pt>
                <c:pt idx="5">
                  <c:v>Q2-2015</c:v>
                </c:pt>
                <c:pt idx="6">
                  <c:v>Q3-2015</c:v>
                </c:pt>
                <c:pt idx="7">
                  <c:v>Q4-2015</c:v>
                </c:pt>
                <c:pt idx="8">
                  <c:v>Q1-2016</c:v>
                </c:pt>
                <c:pt idx="9">
                  <c:v>Q2-2016</c:v>
                </c:pt>
                <c:pt idx="10">
                  <c:v>Q3-2016</c:v>
                </c:pt>
                <c:pt idx="11">
                  <c:v>Q4-2016</c:v>
                </c:pt>
                <c:pt idx="12">
                  <c:v>Q1-2017</c:v>
                </c:pt>
                <c:pt idx="13">
                  <c:v>Q2-2017</c:v>
                </c:pt>
                <c:pt idx="14">
                  <c:v>Q3-2017</c:v>
                </c:pt>
                <c:pt idx="15">
                  <c:v>Q4-2017</c:v>
                </c:pt>
                <c:pt idx="16">
                  <c:v>Q1-2018</c:v>
                </c:pt>
                <c:pt idx="17">
                  <c:v>Q2-2018</c:v>
                </c:pt>
                <c:pt idx="18">
                  <c:v>Q3-2018</c:v>
                </c:pt>
                <c:pt idx="19">
                  <c:v>Q4-2018</c:v>
                </c:pt>
                <c:pt idx="20">
                  <c:v>Q1-2019</c:v>
                </c:pt>
                <c:pt idx="21">
                  <c:v>Q2-2019</c:v>
                </c:pt>
                <c:pt idx="22">
                  <c:v>Q3-2019</c:v>
                </c:pt>
                <c:pt idx="23">
                  <c:v>Q4-2019</c:v>
                </c:pt>
                <c:pt idx="24">
                  <c:v>Q1-2020</c:v>
                </c:pt>
                <c:pt idx="25">
                  <c:v>Q2-2020</c:v>
                </c:pt>
              </c:strCache>
            </c:strRef>
          </c:cat>
          <c:val>
            <c:numRef>
              <c:f>'Electric Vehicles'!$N$8:$N$33</c:f>
              <c:numCache>
                <c:formatCode>0%</c:formatCode>
                <c:ptCount val="26"/>
                <c:pt idx="0">
                  <c:v>0.84124513618677033</c:v>
                </c:pt>
                <c:pt idx="1">
                  <c:v>0.69112850619699939</c:v>
                </c:pt>
                <c:pt idx="2">
                  <c:v>0.58817116380485146</c:v>
                </c:pt>
                <c:pt idx="3">
                  <c:v>0.49175446633073761</c:v>
                </c:pt>
                <c:pt idx="4">
                  <c:v>0.4801352493660187</c:v>
                </c:pt>
                <c:pt idx="5">
                  <c:v>0.48601735776277732</c:v>
                </c:pt>
                <c:pt idx="6">
                  <c:v>0.43950574909902174</c:v>
                </c:pt>
                <c:pt idx="7">
                  <c:v>0.38338707200982647</c:v>
                </c:pt>
                <c:pt idx="8">
                  <c:v>0.3919189034837236</c:v>
                </c:pt>
                <c:pt idx="9">
                  <c:v>0.37754704737183653</c:v>
                </c:pt>
                <c:pt idx="10">
                  <c:v>0.38006676204101097</c:v>
                </c:pt>
                <c:pt idx="11">
                  <c:v>0.39822419533851283</c:v>
                </c:pt>
                <c:pt idx="12">
                  <c:v>0.35972920299517908</c:v>
                </c:pt>
                <c:pt idx="13">
                  <c:v>0.34567552289429049</c:v>
                </c:pt>
                <c:pt idx="14">
                  <c:v>0.31470283344851424</c:v>
                </c:pt>
                <c:pt idx="15">
                  <c:v>0.28353706937609147</c:v>
                </c:pt>
                <c:pt idx="16">
                  <c:v>0.29971333735666872</c:v>
                </c:pt>
                <c:pt idx="17">
                  <c:v>0.2941958972204719</c:v>
                </c:pt>
                <c:pt idx="18">
                  <c:v>0.30691898285038444</c:v>
                </c:pt>
                <c:pt idx="19">
                  <c:v>0.3658627087198516</c:v>
                </c:pt>
                <c:pt idx="20">
                  <c:v>0.39897846653897506</c:v>
                </c:pt>
                <c:pt idx="21">
                  <c:v>0.38079523938328363</c:v>
                </c:pt>
                <c:pt idx="22">
                  <c:v>0.39552538964303663</c:v>
                </c:pt>
                <c:pt idx="23">
                  <c:v>0.34628271303087921</c:v>
                </c:pt>
                <c:pt idx="24">
                  <c:v>0.3249388042982202</c:v>
                </c:pt>
                <c:pt idx="25">
                  <c:v>0.26136185550854107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E-4B74-B8E9-28061892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420696"/>
        <c:axId val="434423440"/>
      </c:barChart>
      <c:catAx>
        <c:axId val="43442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6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3440"/>
        <c:crosses val="autoZero"/>
        <c:auto val="1"/>
        <c:lblAlgn val="ctr"/>
        <c:lblOffset val="100"/>
        <c:noMultiLvlLbl val="0"/>
      </c:catAx>
      <c:valAx>
        <c:axId val="43442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998250295685193"/>
          <c:y val="0.13020164029715911"/>
          <c:w val="0.36537996819691626"/>
          <c:h val="5.7692594117307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growth in Electric Vehicles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650758535877278E-2"/>
          <c:y val="0.11416949187186375"/>
          <c:w val="0.89293193163642648"/>
          <c:h val="0.76560033558699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'Electric Vehicles'!$B$3</c:f>
              <c:strCache>
                <c:ptCount val="1"/>
                <c:pt idx="0">
                  <c:v>PHEV (baseline)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'Electric Vehicles'!$A$68:$A$81</c:f>
              <c:numCache>
                <c:formatCode>General</c:formatCode>
                <c:ptCount val="1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</c:numCache>
            </c:numRef>
          </c:cat>
          <c:val>
            <c:numRef>
              <c:f>'Electric Vehicles'!$B$68:$B$81</c:f>
              <c:numCache>
                <c:formatCode>0.0%</c:formatCode>
                <c:ptCount val="14"/>
                <c:pt idx="0">
                  <c:v>0.77407487556805887</c:v>
                </c:pt>
                <c:pt idx="1">
                  <c:v>0.41912661624786529</c:v>
                </c:pt>
                <c:pt idx="2">
                  <c:v>0.423757950833763</c:v>
                </c:pt>
                <c:pt idx="3">
                  <c:v>0.36663849311760455</c:v>
                </c:pt>
                <c:pt idx="4">
                  <c:v>0.38556345805539594</c:v>
                </c:pt>
                <c:pt idx="5">
                  <c:v>0.317774589510601</c:v>
                </c:pt>
                <c:pt idx="6">
                  <c:v>0.17386044711119708</c:v>
                </c:pt>
                <c:pt idx="7">
                  <c:v>0.32621280305188888</c:v>
                </c:pt>
                <c:pt idx="8">
                  <c:v>0.262122948426601</c:v>
                </c:pt>
                <c:pt idx="9">
                  <c:v>0.2380330938013131</c:v>
                </c:pt>
                <c:pt idx="10">
                  <c:v>0.2139432391760252</c:v>
                </c:pt>
                <c:pt idx="11">
                  <c:v>0.1898533845507302</c:v>
                </c:pt>
                <c:pt idx="12">
                  <c:v>0.1657635299254423</c:v>
                </c:pt>
                <c:pt idx="13">
                  <c:v>0.1416736753001544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2-48BD-96A6-030ADE46C6E3}"/>
            </c:ext>
          </c:extLst>
        </c:ser>
        <c:ser>
          <c:idx val="2"/>
          <c:order val="1"/>
          <c:tx>
            <c:strRef>
              <c:f>'Electric Vehicles'!$E$3</c:f>
              <c:strCache>
                <c:ptCount val="1"/>
                <c:pt idx="0">
                  <c:v>BEV (baseline)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'Electric Vehicles'!$A$68:$A$81</c:f>
              <c:numCache>
                <c:formatCode>General</c:formatCode>
                <c:ptCount val="1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</c:numCache>
            </c:numRef>
          </c:cat>
          <c:val>
            <c:numRef>
              <c:f>'Electric Vehicles'!$E$68:$E$81</c:f>
              <c:numCache>
                <c:formatCode>0.0%</c:formatCode>
                <c:ptCount val="14"/>
                <c:pt idx="0">
                  <c:v>0.55348066298342546</c:v>
                </c:pt>
                <c:pt idx="1">
                  <c:v>0.45622021480901909</c:v>
                </c:pt>
                <c:pt idx="2">
                  <c:v>0.36633615005128717</c:v>
                </c:pt>
                <c:pt idx="3">
                  <c:v>0.29735816680370353</c:v>
                </c:pt>
                <c:pt idx="4">
                  <c:v>0.2764872833484886</c:v>
                </c:pt>
                <c:pt idx="5">
                  <c:v>0.42009713977334062</c:v>
                </c:pt>
                <c:pt idx="6">
                  <c:v>0.26336910588879103</c:v>
                </c:pt>
                <c:pt idx="7">
                  <c:v>0.33846178424750034</c:v>
                </c:pt>
                <c:pt idx="8">
                  <c:v>0.2972522825700844</c:v>
                </c:pt>
                <c:pt idx="9">
                  <c:v>0.28104278089267554</c:v>
                </c:pt>
                <c:pt idx="10">
                  <c:v>0.26483327921525956</c:v>
                </c:pt>
                <c:pt idx="11">
                  <c:v>0.24862377753784359</c:v>
                </c:pt>
                <c:pt idx="12">
                  <c:v>0.23241427586042762</c:v>
                </c:pt>
                <c:pt idx="13">
                  <c:v>0.21620477418301165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2-48BD-96A6-030ADE46C6E3}"/>
            </c:ext>
          </c:extLst>
        </c:ser>
        <c:ser>
          <c:idx val="0"/>
          <c:order val="2"/>
          <c:tx>
            <c:strRef>
              <c:f>'Electric Vehicles'!$H$3</c:f>
              <c:strCache>
                <c:ptCount val="1"/>
                <c:pt idx="0">
                  <c:v>Total (baseline)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'Electric Vehicles'!$A$68:$A$81</c:f>
              <c:numCache>
                <c:formatCode>General</c:formatCode>
                <c:ptCount val="1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</c:numCache>
            </c:numRef>
          </c:cat>
          <c:val>
            <c:numRef>
              <c:f>'Electric Vehicles'!$H$68:$H$81</c:f>
              <c:numCache>
                <c:formatCode>0.0%</c:formatCode>
                <c:ptCount val="14"/>
                <c:pt idx="0">
                  <c:v>0.62804476629361417</c:v>
                </c:pt>
                <c:pt idx="1">
                  <c:v>0.44255739767264224</c:v>
                </c:pt>
                <c:pt idx="2">
                  <c:v>0.38714299062509738</c:v>
                </c:pt>
                <c:pt idx="3">
                  <c:v>0.32312459303500463</c:v>
                </c:pt>
                <c:pt idx="4">
                  <c:v>0.31838854194949762</c:v>
                </c:pt>
                <c:pt idx="5">
                  <c:v>0.39169843896122569</c:v>
                </c:pt>
                <c:pt idx="6">
                  <c:v>0.22883175563397384</c:v>
                </c:pt>
                <c:pt idx="7">
                  <c:v>0.33394688589872978</c:v>
                </c:pt>
                <c:pt idx="8">
                  <c:v>0.28437890207933814</c:v>
                </c:pt>
                <c:pt idx="9">
                  <c:v>0.26555470490057598</c:v>
                </c:pt>
                <c:pt idx="10">
                  <c:v>0.24690596164934875</c:v>
                </c:pt>
                <c:pt idx="11">
                  <c:v>0.22846771054066406</c:v>
                </c:pt>
                <c:pt idx="12">
                  <c:v>0.21027405661429821</c:v>
                </c:pt>
                <c:pt idx="13">
                  <c:v>0.19235736694286243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2-48BD-96A6-030ADE46C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512312"/>
        <c:axId val="434513096"/>
      </c:barChart>
      <c:catAx>
        <c:axId val="43451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513096"/>
        <c:crosses val="autoZero"/>
        <c:auto val="1"/>
        <c:lblAlgn val="ctr"/>
        <c:lblOffset val="100"/>
        <c:noMultiLvlLbl val="0"/>
      </c:catAx>
      <c:valAx>
        <c:axId val="43451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51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972538727193"/>
          <c:y val="0.13026689014357215"/>
          <c:w val="0.56786499092079679"/>
          <c:h val="6.0482541021607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Diesel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Forecast_Main!$D$70:$AA$70</c:f>
              <c:numCache>
                <c:formatCode>m/d/yyyy</c:formatCode>
                <c:ptCount val="24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</c:numCache>
            </c:numRef>
          </c:cat>
          <c:val>
            <c:numRef>
              <c:f>Forecast_Main!$D$77:$AA$77</c:f>
              <c:numCache>
                <c:formatCode>#,##0</c:formatCode>
                <c:ptCount val="24"/>
                <c:pt idx="0">
                  <c:v>200513350.40000001</c:v>
                </c:pt>
                <c:pt idx="1">
                  <c:v>158403068</c:v>
                </c:pt>
                <c:pt idx="2">
                  <c:v>184328096.94999999</c:v>
                </c:pt>
                <c:pt idx="3">
                  <c:v>165505341.84999999</c:v>
                </c:pt>
                <c:pt idx="4">
                  <c:v>140558506</c:v>
                </c:pt>
                <c:pt idx="5">
                  <c:v>185055513.80000001</c:v>
                </c:pt>
                <c:pt idx="6">
                  <c:v>193110321.75</c:v>
                </c:pt>
                <c:pt idx="7">
                  <c:v>163844419.19999999</c:v>
                </c:pt>
                <c:pt idx="8">
                  <c:v>161892917.75</c:v>
                </c:pt>
                <c:pt idx="9">
                  <c:v>181615605.14999998</c:v>
                </c:pt>
                <c:pt idx="10">
                  <c:v>204766975.40000001</c:v>
                </c:pt>
                <c:pt idx="11">
                  <c:v>168142547.40000001</c:v>
                </c:pt>
                <c:pt idx="12">
                  <c:v>174755442.40000001</c:v>
                </c:pt>
                <c:pt idx="13">
                  <c:v>169782898.84999999</c:v>
                </c:pt>
                <c:pt idx="14">
                  <c:v>191916755.25</c:v>
                </c:pt>
                <c:pt idx="15">
                  <c:v>179479067.59999999</c:v>
                </c:pt>
                <c:pt idx="16">
                  <c:v>179347880.91122657</c:v>
                </c:pt>
                <c:pt idx="17">
                  <c:v>162251572.60844529</c:v>
                </c:pt>
                <c:pt idx="18">
                  <c:v>178469832.31357169</c:v>
                </c:pt>
                <c:pt idx="19">
                  <c:v>173266343.84954089</c:v>
                </c:pt>
                <c:pt idx="20">
                  <c:v>166151128.99911487</c:v>
                </c:pt>
                <c:pt idx="21">
                  <c:v>158264250.64638391</c:v>
                </c:pt>
                <c:pt idx="22">
                  <c:v>180192481.38944283</c:v>
                </c:pt>
                <c:pt idx="23">
                  <c:v>173562715.56627688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10-4083-82EA-527008730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1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666666666666666E-2"/>
                <c:y val="0.34763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28</xdr:row>
      <xdr:rowOff>38100</xdr:rowOff>
    </xdr:from>
    <xdr:to>
      <xdr:col>30</xdr:col>
      <xdr:colOff>850901</xdr:colOff>
      <xdr:row>49</xdr:row>
      <xdr:rowOff>50799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28</xdr:row>
      <xdr:rowOff>25400</xdr:rowOff>
    </xdr:from>
    <xdr:to>
      <xdr:col>17</xdr:col>
      <xdr:colOff>812800</xdr:colOff>
      <xdr:row>49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146049</xdr:colOff>
      <xdr:row>28</xdr:row>
      <xdr:rowOff>25400</xdr:rowOff>
    </xdr:from>
    <xdr:to>
      <xdr:col>24</xdr:col>
      <xdr:colOff>342900</xdr:colOff>
      <xdr:row>49</xdr:row>
      <xdr:rowOff>50799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295276</xdr:colOff>
      <xdr:row>31</xdr:row>
      <xdr:rowOff>25400</xdr:rowOff>
    </xdr:from>
    <xdr:to>
      <xdr:col>22</xdr:col>
      <xdr:colOff>304800</xdr:colOff>
      <xdr:row>45</xdr:row>
      <xdr:rowOff>53976</xdr:rowOff>
    </xdr:to>
    <xdr:cxnSp macro="">
      <xdr:nvCxnSpPr>
        <xdr:cNvPr id="5" name="Straight Connector 4"/>
        <xdr:cNvCxnSpPr/>
      </xdr:nvCxnSpPr>
      <xdr:spPr>
        <a:xfrm flipV="1">
          <a:off x="24514176" y="6261100"/>
          <a:ext cx="9524" cy="2695576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762000</xdr:colOff>
      <xdr:row>30</xdr:row>
      <xdr:rowOff>177800</xdr:rowOff>
    </xdr:from>
    <xdr:to>
      <xdr:col>15</xdr:col>
      <xdr:colOff>762000</xdr:colOff>
      <xdr:row>45</xdr:row>
      <xdr:rowOff>101600</xdr:rowOff>
    </xdr:to>
    <xdr:cxnSp macro="">
      <xdr:nvCxnSpPr>
        <xdr:cNvPr id="6" name="Straight Connector 5"/>
        <xdr:cNvCxnSpPr/>
      </xdr:nvCxnSpPr>
      <xdr:spPr>
        <a:xfrm flipV="1">
          <a:off x="18935700" y="6223000"/>
          <a:ext cx="0" cy="278130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114300</xdr:colOff>
      <xdr:row>31</xdr:row>
      <xdr:rowOff>12700</xdr:rowOff>
    </xdr:from>
    <xdr:to>
      <xdr:col>29</xdr:col>
      <xdr:colOff>114302</xdr:colOff>
      <xdr:row>45</xdr:row>
      <xdr:rowOff>82552</xdr:rowOff>
    </xdr:to>
    <xdr:cxnSp macro="">
      <xdr:nvCxnSpPr>
        <xdr:cNvPr id="7" name="Straight Connector 6"/>
        <xdr:cNvCxnSpPr/>
      </xdr:nvCxnSpPr>
      <xdr:spPr>
        <a:xfrm flipH="1" flipV="1">
          <a:off x="30378400" y="6248400"/>
          <a:ext cx="2" cy="2736852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628657</xdr:colOff>
      <xdr:row>35</xdr:row>
      <xdr:rowOff>152400</xdr:rowOff>
    </xdr:from>
    <xdr:to>
      <xdr:col>15</xdr:col>
      <xdr:colOff>469900</xdr:colOff>
      <xdr:row>56</xdr:row>
      <xdr:rowOff>98424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641351</xdr:colOff>
      <xdr:row>35</xdr:row>
      <xdr:rowOff>142875</xdr:rowOff>
    </xdr:from>
    <xdr:to>
      <xdr:col>21</xdr:col>
      <xdr:colOff>914401</xdr:colOff>
      <xdr:row>56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1079501</xdr:colOff>
      <xdr:row>35</xdr:row>
      <xdr:rowOff>127000</xdr:rowOff>
    </xdr:from>
    <xdr:to>
      <xdr:col>28</xdr:col>
      <xdr:colOff>25401</xdr:colOff>
      <xdr:row>56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488948</xdr:colOff>
      <xdr:row>3</xdr:row>
      <xdr:rowOff>107948</xdr:rowOff>
    </xdr:from>
    <xdr:to>
      <xdr:col>21</xdr:col>
      <xdr:colOff>1079499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603248</xdr:colOff>
      <xdr:row>58</xdr:row>
      <xdr:rowOff>25408</xdr:rowOff>
    </xdr:from>
    <xdr:to>
      <xdr:col>16</xdr:col>
      <xdr:colOff>609600</xdr:colOff>
      <xdr:row>83</xdr:row>
      <xdr:rowOff>25400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18</xdr:row>
      <xdr:rowOff>114300</xdr:rowOff>
    </xdr:from>
    <xdr:to>
      <xdr:col>7</xdr:col>
      <xdr:colOff>504824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142875</xdr:rowOff>
    </xdr:from>
    <xdr:to>
      <xdr:col>7</xdr:col>
      <xdr:colOff>485775</xdr:colOff>
      <xdr:row>18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88900</xdr:colOff>
      <xdr:row>0</xdr:row>
      <xdr:rowOff>136525</xdr:rowOff>
    </xdr:from>
    <xdr:to>
      <xdr:col>15</xdr:col>
      <xdr:colOff>479425</xdr:colOff>
      <xdr:row>18</xdr:row>
      <xdr:rowOff>22225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101600</xdr:colOff>
      <xdr:row>18</xdr:row>
      <xdr:rowOff>76200</xdr:rowOff>
    </xdr:from>
    <xdr:to>
      <xdr:col>15</xdr:col>
      <xdr:colOff>492125</xdr:colOff>
      <xdr:row>35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63500</xdr:colOff>
      <xdr:row>18</xdr:row>
      <xdr:rowOff>76200</xdr:rowOff>
    </xdr:from>
    <xdr:to>
      <xdr:col>23</xdr:col>
      <xdr:colOff>454025</xdr:colOff>
      <xdr:row>35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127000</xdr:colOff>
      <xdr:row>36</xdr:row>
      <xdr:rowOff>76200</xdr:rowOff>
    </xdr:from>
    <xdr:to>
      <xdr:col>7</xdr:col>
      <xdr:colOff>517525</xdr:colOff>
      <xdr:row>53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127000</xdr:colOff>
      <xdr:row>36</xdr:row>
      <xdr:rowOff>50800</xdr:rowOff>
    </xdr:from>
    <xdr:to>
      <xdr:col>15</xdr:col>
      <xdr:colOff>517525</xdr:colOff>
      <xdr:row>53</xdr:row>
      <xdr:rowOff>127000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63500</xdr:colOff>
      <xdr:row>36</xdr:row>
      <xdr:rowOff>25400</xdr:rowOff>
    </xdr:from>
    <xdr:to>
      <xdr:col>31</xdr:col>
      <xdr:colOff>454025</xdr:colOff>
      <xdr:row>53</xdr:row>
      <xdr:rowOff>101600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127000</xdr:colOff>
      <xdr:row>54</xdr:row>
      <xdr:rowOff>50800</xdr:rowOff>
    </xdr:from>
    <xdr:to>
      <xdr:col>15</xdr:col>
      <xdr:colOff>517525</xdr:colOff>
      <xdr:row>71</xdr:row>
      <xdr:rowOff>127000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127000</xdr:colOff>
      <xdr:row>54</xdr:row>
      <xdr:rowOff>76200</xdr:rowOff>
    </xdr:from>
    <xdr:to>
      <xdr:col>23</xdr:col>
      <xdr:colOff>517525</xdr:colOff>
      <xdr:row>71</xdr:row>
      <xdr:rowOff>152400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101600</xdr:colOff>
      <xdr:row>36</xdr:row>
      <xdr:rowOff>50800</xdr:rowOff>
    </xdr:from>
    <xdr:to>
      <xdr:col>23</xdr:col>
      <xdr:colOff>492125</xdr:colOff>
      <xdr:row>53</xdr:row>
      <xdr:rowOff>127000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127000</xdr:colOff>
      <xdr:row>54</xdr:row>
      <xdr:rowOff>63500</xdr:rowOff>
    </xdr:from>
    <xdr:to>
      <xdr:col>7</xdr:col>
      <xdr:colOff>517525</xdr:colOff>
      <xdr:row>71</xdr:row>
      <xdr:rowOff>139700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%20Documents/ODOT%20inputs%20for%202021%20Clean%20Fuels%20Foreca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%20Documents/California%20LCFS%20Data%200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Work"/>
      <sheetName val="Gas Share2 - C"/>
      <sheetName val="History and July 2020 forecast"/>
      <sheetName val="VMT forecast to HCAS July 2020"/>
      <sheetName val="HUS Annual Weight Mile Data"/>
      <sheetName val="Annual Data"/>
    </sheetNames>
    <sheetDataSet>
      <sheetData sheetId="0">
        <row r="19">
          <cell r="J19">
            <v>-3.8598155568676074E-2</v>
          </cell>
          <cell r="Q19">
            <v>0.10439531313590034</v>
          </cell>
        </row>
        <row r="20">
          <cell r="J20">
            <v>-0.25991269066460265</v>
          </cell>
          <cell r="Q20">
            <v>-3.7097531790279969E-3</v>
          </cell>
        </row>
        <row r="21">
          <cell r="J21">
            <v>-5.2811926254784924E-2</v>
          </cell>
          <cell r="Q21">
            <v>-7.0760324848309297E-2</v>
          </cell>
        </row>
        <row r="22">
          <cell r="J22">
            <v>-2.8343065745025542E-2</v>
          </cell>
          <cell r="Q22">
            <v>-2.0741716408287925E-3</v>
          </cell>
        </row>
        <row r="23">
          <cell r="J23">
            <v>3.1722578108112742E-2</v>
          </cell>
          <cell r="Q23">
            <v>-2.7874113099795261E-2</v>
          </cell>
        </row>
        <row r="24">
          <cell r="J24">
            <v>0.33358010991986853</v>
          </cell>
          <cell r="Q24">
            <v>2.3550729338663867E-2</v>
          </cell>
        </row>
        <row r="25">
          <cell r="J25">
            <v>5.3259556717861756E-2</v>
          </cell>
          <cell r="Q25">
            <v>5.9466701118806364E-2</v>
          </cell>
        </row>
        <row r="26">
          <cell r="J26">
            <v>1.4439035001483358E-2</v>
          </cell>
          <cell r="Q26">
            <v>5.1133037504193846E-2</v>
          </cell>
        </row>
        <row r="45">
          <cell r="C45">
            <v>1.8666000423515072E-3</v>
          </cell>
          <cell r="P45">
            <v>0.13634536834187316</v>
          </cell>
        </row>
        <row r="46">
          <cell r="C46">
            <v>-1.1531428822663781E-2</v>
          </cell>
          <cell r="P46">
            <v>2.7500684730805691E-3</v>
          </cell>
        </row>
        <row r="47">
          <cell r="C47">
            <v>-9.6947158528657762E-2</v>
          </cell>
          <cell r="P47">
            <v>1.3000380081111818E-3</v>
          </cell>
        </row>
        <row r="48">
          <cell r="C48">
            <v>9.7000001409885739E-2</v>
          </cell>
          <cell r="P48">
            <v>2.7689256297723119E-2</v>
          </cell>
        </row>
        <row r="49">
          <cell r="C49">
            <v>2.794708783996569E-3</v>
          </cell>
          <cell r="P49">
            <v>8.1213102447343921E-3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3">
          <cell r="B33">
            <v>-0.106</v>
          </cell>
          <cell r="L33">
            <v>-3.1046501075563837E-2</v>
          </cell>
        </row>
        <row r="34">
          <cell r="B34">
            <v>0.10299999999999999</v>
          </cell>
          <cell r="L34">
            <v>4.6262661114707893E-2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harts - OEA"/>
      <sheetName val="Fuels"/>
      <sheetName val="FeedStock"/>
      <sheetName val="Graphs"/>
      <sheetName val="Graph Data"/>
    </sheetNames>
    <sheetDataSet>
      <sheetData sheetId="0"/>
      <sheetData sheetId="1"/>
      <sheetData sheetId="2">
        <row r="102">
          <cell r="W102">
            <v>72.87</v>
          </cell>
          <cell r="X102">
            <v>70.83</v>
          </cell>
          <cell r="Y102">
            <v>69.98</v>
          </cell>
          <cell r="Z102">
            <v>70.34</v>
          </cell>
          <cell r="AA102">
            <v>71.489999999999995</v>
          </cell>
          <cell r="AB102">
            <v>70.290000000000006</v>
          </cell>
          <cell r="AC102">
            <v>69.510000000000005</v>
          </cell>
          <cell r="AD102">
            <v>68.98</v>
          </cell>
          <cell r="AE102">
            <v>70.099999999999994</v>
          </cell>
          <cell r="AF102">
            <v>70.02</v>
          </cell>
          <cell r="AG102">
            <v>68.41</v>
          </cell>
          <cell r="AH102">
            <v>65.88</v>
          </cell>
          <cell r="AI102">
            <v>66</v>
          </cell>
          <cell r="AJ102">
            <v>63.69</v>
          </cell>
          <cell r="AK102">
            <v>59.33</v>
          </cell>
          <cell r="AL102">
            <v>59.46</v>
          </cell>
          <cell r="AM102">
            <v>60.34</v>
          </cell>
        </row>
        <row r="106">
          <cell r="W106">
            <v>17.25</v>
          </cell>
          <cell r="X106">
            <v>13.83</v>
          </cell>
          <cell r="Y106">
            <v>17.53</v>
          </cell>
          <cell r="Z106">
            <v>18.309999999999999</v>
          </cell>
          <cell r="AA106">
            <v>34.76</v>
          </cell>
          <cell r="AB106">
            <v>30.84</v>
          </cell>
          <cell r="AC106">
            <v>36.82</v>
          </cell>
          <cell r="AD106">
            <v>34.15</v>
          </cell>
          <cell r="AE106">
            <v>33.97</v>
          </cell>
          <cell r="AF106">
            <v>29.93</v>
          </cell>
          <cell r="AG106">
            <v>29.61</v>
          </cell>
          <cell r="AH106">
            <v>30.67</v>
          </cell>
          <cell r="AI106">
            <v>28.46</v>
          </cell>
          <cell r="AJ106">
            <v>26.98</v>
          </cell>
          <cell r="AK106">
            <v>26.15</v>
          </cell>
          <cell r="AL106">
            <v>26.34</v>
          </cell>
          <cell r="AM106">
            <v>25.84</v>
          </cell>
        </row>
        <row r="110">
          <cell r="W110">
            <v>52.89</v>
          </cell>
          <cell r="X110">
            <v>31.78</v>
          </cell>
          <cell r="Y110">
            <v>30.2</v>
          </cell>
          <cell r="Z110">
            <v>30.71</v>
          </cell>
          <cell r="AA110">
            <v>30.11</v>
          </cell>
          <cell r="AB110">
            <v>30.23</v>
          </cell>
          <cell r="AC110">
            <v>30.39</v>
          </cell>
          <cell r="AD110">
            <v>30.9</v>
          </cell>
          <cell r="AE110">
            <v>30.9</v>
          </cell>
          <cell r="AF110">
            <v>31.53</v>
          </cell>
          <cell r="AG110">
            <v>32.200000000000003</v>
          </cell>
          <cell r="AH110">
            <v>34.049999999999997</v>
          </cell>
          <cell r="AI110">
            <v>36.39</v>
          </cell>
          <cell r="AJ110">
            <v>34.25</v>
          </cell>
          <cell r="AK110">
            <v>33.58</v>
          </cell>
          <cell r="AL110">
            <v>34.119999999999997</v>
          </cell>
          <cell r="AM110">
            <v>32.1</v>
          </cell>
        </row>
      </sheetData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DY Michael  * DAS" refreshedDate="44042.435660995368" createdVersion="5" refreshedVersion="6" minRefreshableVersion="3" recordCount="152">
  <cacheSource type="external" connectionId="3"/>
  <cacheFields count="10">
    <cacheField name="Period" numFmtId="0">
      <sharedItems containsSemiMixedTypes="0" containsNonDate="0" containsDate="1" containsString="0" minDate="2018-01-01T00:00:00" maxDate="2019-01-02T00:00:00" count="2">
        <d v="2018-01-01T00:00:00"/>
        <d v="2019-01-01T00:00:00"/>
      </sharedItems>
    </cacheField>
    <cacheField name="CFP_ID" numFmtId="0">
      <sharedItems containsSemiMixedTypes="0" containsString="0" containsNumber="1" containsInteger="1" minValue="3360" maxValue="7765" count="72">
        <n v="3360"/>
        <n v="3367"/>
        <n v="3368"/>
        <n v="3383"/>
        <n v="3697"/>
        <n v="3702"/>
        <n v="3758"/>
        <n v="3805"/>
        <n v="3919"/>
        <n v="3994"/>
        <n v="4015"/>
        <n v="4054"/>
        <n v="4061"/>
        <n v="4063"/>
        <n v="4094"/>
        <n v="4137"/>
        <n v="4285"/>
        <n v="4305"/>
        <n v="4552"/>
        <n v="4664"/>
        <n v="4727"/>
        <n v="4728"/>
        <n v="4735"/>
        <n v="4736"/>
        <n v="4740"/>
        <n v="4754"/>
        <n v="4755"/>
        <n v="4764"/>
        <n v="4766"/>
        <n v="4769"/>
        <n v="4783"/>
        <n v="4789"/>
        <n v="4791"/>
        <n v="4792"/>
        <n v="4793"/>
        <n v="4803"/>
        <n v="4804"/>
        <n v="4810"/>
        <n v="4827"/>
        <n v="4831"/>
        <n v="4846"/>
        <n v="4887"/>
        <n v="4888"/>
        <n v="5026"/>
        <n v="5046"/>
        <n v="5049"/>
        <n v="5073"/>
        <n v="5078"/>
        <n v="5095"/>
        <n v="5214"/>
        <n v="5715"/>
        <n v="5934"/>
        <n v="5953"/>
        <n v="5981"/>
        <n v="6094"/>
        <n v="6129"/>
        <n v="6130"/>
        <n v="6137"/>
        <n v="6169"/>
        <n v="6268"/>
        <n v="6320"/>
        <n v="6322"/>
        <n v="6326"/>
        <n v="6412"/>
        <n v="7765"/>
        <n v="3514"/>
        <n v="4060"/>
        <n v="4320"/>
        <n v="4805"/>
        <n v="5769"/>
        <n v="6274"/>
        <n v="6497"/>
      </sharedItems>
    </cacheField>
    <cacheField name="City" numFmtId="0">
      <sharedItems count="84">
        <s v="Ord"/>
        <s v="Seattle"/>
        <s v="Central City"/>
        <s v="Janesville"/>
        <s v="Boardman"/>
        <s v="Burley"/>
        <s v="Stockton"/>
        <s v="Quata"/>
        <s v="Hamilton"/>
        <s v="Costa Pinto"/>
        <s v="Delta"/>
        <s v="Sinclair"/>
        <s v="Heron Lake"/>
        <s v="Garden City"/>
        <s v="Redfield"/>
        <s v="Atwater"/>
        <s v="Aberdeen"/>
        <s v="Huron"/>
        <s v="Singapore"/>
        <s v="Deerfield"/>
        <s v="Albert Lea"/>
        <s v="Sgt. Bluff"/>
        <s v="St. Joseph"/>
        <s v="Batesville"/>
        <s v="Chancellor"/>
        <s v="Marcus"/>
        <s v="Yuma"/>
        <s v="Big Stone City"/>
        <s v="Oakley"/>
        <s v="Trenton"/>
        <s v="Lakota"/>
        <s v="Mina"/>
        <s v="Watertown"/>
        <s v="Sterling"/>
        <s v="Granite Falls"/>
        <s v="Coon Rapids"/>
        <s v="Mitchell"/>
        <s v="Hudson"/>
        <s v="Emmetsburg"/>
        <s v="Groton"/>
        <s v="Richardton"/>
        <s v="Benson"/>
        <s v="Wentworth"/>
        <s v="Winthrop"/>
        <s v="Adams"/>
        <s v="Guymon"/>
        <s v="Mexico"/>
        <s v="Columbus"/>
        <s v="Velva"/>
        <s v="Jackson"/>
        <s v="Corning"/>
        <s v="St. Ansgar"/>
        <s v="Shenandoah"/>
        <s v="Plainview"/>
        <s v="Madrid"/>
        <s v="Sutherland"/>
        <s v="Liberal"/>
        <s v="Bridgeport"/>
        <s v="Shiheung-City"/>
        <s v="Foam Lake"/>
        <s v="Ulju-gun"/>
        <s v="Salem"/>
        <s v="Mason City"/>
        <s v="Lloydminster"/>
        <s v="Hankinson"/>
        <s v="Geismar"/>
        <s v="Louisville"/>
        <s v="Waynesburg"/>
        <s v="Beatrice"/>
        <s v="Hoquiam"/>
        <s v="St Joseph"/>
        <s v="El Paso"/>
        <s v="Newton"/>
        <s v="Quatá"/>
        <s v="Piracicaba"/>
        <s v="Sioux City"/>
        <s v="Blaine"/>
        <s v="Groton_x000a_"/>
        <s v="Ravenna"/>
        <s v="Kansas City"/>
        <s v="PYEONGTAEK-SI"/>
        <s v="Ulsan"/>
        <s v="Onida"/>
        <s v="Athens"/>
      </sharedItems>
    </cacheField>
    <cacheField name="State" numFmtId="0">
      <sharedItems count="37">
        <s v="NE"/>
        <s v="WA"/>
        <s v="MN"/>
        <s v="OR"/>
        <s v="ID"/>
        <s v="CA"/>
        <s v="BRAZIL"/>
        <s v="CANADA"/>
        <s v="WY"/>
        <s v="KS"/>
        <s v="SD"/>
        <s v="SINGAPORE"/>
        <s v="MO"/>
        <s v="IA"/>
        <s v="AR"/>
        <s v="CO"/>
        <s v="ND"/>
        <s v="OK"/>
        <s v="KOREA"/>
        <s v="LA"/>
        <s v="KY"/>
        <s v="OH"/>
        <s v="TX"/>
        <s v="Nebraska"/>
        <s v="SP"/>
        <s v="Ontario"/>
        <s v="British Columbia"/>
        <s v=""/>
        <s v="Colorado"/>
        <s v="Iowa"/>
        <s v="South Dakota"/>
        <s v="GYEONGGI-DO"/>
        <s v="Kyonggi-do"/>
        <s v="Saskatchewan"/>
        <s v="Ulju-gun"/>
        <s v="Alberta"/>
        <s v="TN"/>
      </sharedItems>
    </cacheField>
    <cacheField name="Company_name" numFmtId="0">
      <sharedItems/>
    </cacheField>
    <cacheField name="Facility_name" numFmtId="0">
      <sharedItems count="115">
        <s v="Green Plains Ord LLC"/>
        <s v="General Biodiesel Seattle"/>
        <s v="Green Plains Central City LLC"/>
        <s v="Guardian Energy Janesville"/>
        <s v="Pacific Ethanol Columbia LLC"/>
        <s v="Pacific Ethanol Magic Valley LLC"/>
        <s v="Pacific Ethanol Stockton"/>
        <s v="Açucareira Quatá S.A."/>
        <s v="BIOX Canada Limited"/>
        <s v="Raízen Energia S/A - Costa Pinto"/>
        <s v="Consolidated Biofuels Ltd."/>
        <s v="Sinclair Wyoming Refining Company"/>
        <s v="Heron Lake BioEnergy"/>
        <s v="Bonanza BioEnergy, LLC "/>
        <s v="Redfield Energy, LLC"/>
        <s v="BUSHMILLS ETHANOL, INC."/>
        <s v="ABE South Dakota, LLC"/>
        <s v="ABE South Dakota, LLC (Huron)"/>
        <s v="Neste Singapore"/>
        <s v="ADM Deerfield"/>
        <s v="REG Albert Lea"/>
        <s v="Ag Processing, Inc - Sgt. Bluff"/>
        <s v="Ag Processing, Inc. - St. Joseph"/>
        <s v="FutureFuel Chemical Company"/>
        <s v="Poet Biorefining-Chancellor"/>
        <s v="LSCP, LLLP"/>
        <s v="Yuma Ethanol"/>
        <s v="POET Biorefining - Big Stone"/>
        <s v="Western Plains Energy, LLC"/>
        <s v="Trenton Agri Products"/>
        <s v="Green Plains Holdings II LLC - Lakota"/>
        <s v="Glacial Lakes-Aberdeen Energy (Mina)"/>
        <s v="Glacial Lakes-Watertown"/>
        <s v="Sterling Ethanol, LLC"/>
        <s v="Granite Falls Energy, LLC"/>
        <s v="POET Biorefining - Coon Rapids"/>
        <s v="Poet Biorefining-Mitchell"/>
        <s v="POET Biorefining - Hudson"/>
        <s v="POET Biorefining - Emmetsburg "/>
        <s v="Poet Biorefining Groton"/>
        <s v="Red Trail Energy LLC"/>
        <s v="CVEC"/>
        <s v="Dakota Ethanol"/>
        <s v="Heartland Corn Products"/>
        <s v="E Energy Adams"/>
        <s v="High Plains Bioenergy"/>
        <s v="MID AMERICA BIOFUELS"/>
        <s v="Archer Daniels Midland Company - CLM Dry"/>
        <s v="Archer Daniels Midland"/>
        <s v="Siouxland Ethanol"/>
        <s v="POET Biorefining - Corning"/>
        <s v="Absolute Energy, LLC"/>
        <s v="Green Plains Shenandoah LLC"/>
        <s v="Husker Ag, LLC"/>
        <s v="Mid America Agri Products/Wheatland, LLC"/>
        <s v="Midwest Renewable Energy"/>
        <s v="Arkalon Ethanol"/>
        <s v="Bridgeport Ethanol"/>
        <s v="Dansuk Industrial Ltd- Siwha"/>
        <s v="Milligan Biofuels Inc"/>
        <s v="JC CHEMICAL CO., LTD."/>
        <s v="SeQuential"/>
        <s v="REG Mason City, LLC"/>
        <s v="ADM Agri Industries"/>
        <s v="Guardian Energy Hankinson"/>
        <s v="REG Geismar, LLC"/>
        <s v="Outer Loop High Btu Gas Plant"/>
        <s v="WM Renewable Energy of Ohio - American"/>
        <s v="Beatrice"/>
        <s v="REG Grays Harbor, LLC"/>
        <s v="HPB St Joe Biodiesel LLC"/>
        <s v="Global Alternative Fuels LLC/Rio Valley Biofuels"/>
        <s v="General Biodiesel Seattle, LLC"/>
        <s v="Guardian Energy, LLC"/>
        <s v="REG Newton, LLC"/>
        <s v="Pacific Ethanol Holding Co LLC"/>
        <s v="Copersucar S.A."/>
        <s v="Raízen Energia S/A – Serra"/>
        <s v="Siouxland Energy Cooperative"/>
        <s v="Redfield Energy,"/>
        <s v="Neste Singapore Pte Ltd"/>
        <s v="ADM Deerfield Energy"/>
        <s v="BP Products North America Inc."/>
        <s v="Ag Processing, Inc."/>
        <s v="Yuma Ethanol, LLC"/>
        <s v="Poet Biorefining-Big Stone"/>
        <s v="Trenton Agri Products LLC"/>
        <s v="Glacial Lakes Corn Processors"/>
        <s v="Poet Biorefining-Coon Rapids"/>
        <s v="Poet Biorefining-Hudson"/>
        <s v="Poet Biorefining-Emmetsburg"/>
        <s v="Poet Biorefining-Groton"/>
        <s v="Chippewa Valley Ethanol Company LLLP"/>
        <s v="KAAPA Ethanol Holdings, LLC"/>
        <s v="Dakota Ethanol, LLC"/>
        <s v="E Energy Adams, LLC"/>
        <s v="ADM Mexico"/>
        <s v="Archer Daniels Midland Company"/>
        <s v="SIOUXLAND ETHANOL, LLC"/>
        <s v="Poet Biorefining-Corning"/>
        <s v="Husker Ag LLC"/>
        <s v="Midwest Renewable Energy, LLC"/>
        <s v="Paseo Cargill Energy"/>
        <s v="Bridgeport Ethanol, LLC"/>
        <s v="Dansuk Industrial Co., LTD."/>
        <s v="SeQuential Pacific Biodiesel"/>
        <s v="REG Mason City"/>
        <s v="Hankinson Renewable Energy, LLC"/>
        <s v="Ring-neck Energy &amp; Feed"/>
        <s v="WM Renewable Energy, LLC"/>
        <s v="Duonix Beatrice"/>
        <s v="REG Grays Harbor LLC"/>
        <s v="HPB St Joe Biodiesel, LLC"/>
        <s v="Trillium Transportation Fuels, LLC"/>
        <s v="Global Alternative Fuels LLC"/>
      </sharedItems>
    </cacheField>
    <cacheField name="fuel_name" numFmtId="0">
      <sharedItems count="5">
        <s v="Ethanol"/>
        <s v="Biodiesel"/>
        <s v="Diesel_Renew"/>
        <s v="Natural Gas"/>
        <s v="Compressed Natural Gas"/>
      </sharedItems>
    </cacheField>
    <cacheField name="Total Cap" numFmtId="0">
      <sharedItems containsString="0" containsBlank="1" containsNumber="1" containsInteger="1" minValue="1385" maxValue="1178801445"/>
    </cacheField>
    <cacheField name="EIA Cap" numFmtId="0">
      <sharedItems containsString="0" containsBlank="1" containsNumber="1" containsInteger="1" minValue="5000000" maxValue="206500000"/>
    </cacheField>
    <cacheField name="CI" numFmtId="0">
      <sharedItems containsSemiMixedTypes="0" containsString="0" containsNumber="1" minValue="15.43" maxValue="69.435000000000002" count="100">
        <n v="62.64"/>
        <n v="28.59"/>
        <n v="58.51"/>
        <n v="62.4"/>
        <n v="52.644999999999996"/>
        <n v="54"/>
        <n v="55.3"/>
        <n v="49.27"/>
        <n v="30.083333333333332"/>
        <n v="41.24"/>
        <n v="20.38"/>
        <n v="56.55"/>
        <n v="65.13"/>
        <n v="65.180000000000007"/>
        <n v="61.8"/>
        <n v="62.555000000000007"/>
        <n v="56.760000000000005"/>
        <n v="64.7"/>
        <n v="32.478750000000005"/>
        <n v="49.16"/>
        <n v="27.900000000000002"/>
        <n v="50"/>
        <n v="50.46"/>
        <n v="32.524999999999999"/>
        <n v="53.284999999999997"/>
        <n v="63.405000000000001"/>
        <n v="55.48"/>
        <n v="67.819999999999993"/>
        <n v="60.663333333333334"/>
        <n v="57.55"/>
        <n v="69.22"/>
        <n v="67.989999999999995"/>
        <n v="67.010000000000005"/>
        <n v="57.6"/>
        <n v="62.1"/>
        <n v="66.599999999999994"/>
        <n v="58.388333333333343"/>
        <n v="67.52"/>
        <n v="65.78"/>
        <n v="67.3"/>
        <n v="67.180000000000007"/>
        <n v="60.349999999999994"/>
        <n v="63.414999999999992"/>
        <n v="68.040000000000006"/>
        <n v="58.475000000000001"/>
        <n v="35.880000000000003"/>
        <n v="50.85"/>
        <n v="69.27"/>
        <n v="52.25"/>
        <n v="54.861666666666672"/>
        <n v="66.16"/>
        <n v="64.489999999999995"/>
        <n v="62.67"/>
        <n v="57.68"/>
        <n v="59.58"/>
        <n v="57.63"/>
        <n v="69.435000000000002"/>
        <n v="55.23"/>
        <n v="26.84"/>
        <n v="59.24"/>
        <n v="20"/>
        <n v="15.43"/>
        <n v="40.772500000000001"/>
        <n v="51.33"/>
        <n v="60.11"/>
        <n v="34.866666666666667"/>
        <n v="63.96"/>
        <n v="43.97"/>
        <n v="42.959999999999994"/>
        <n v="43.025999999999996"/>
        <n v="37.28"/>
        <n v="25.7"/>
        <n v="34.1"/>
        <n v="51.48"/>
        <n v="58.38"/>
        <n v="54.629999999999995"/>
        <n v="59.489999999999995"/>
        <n v="59.99666666666667"/>
        <n v="31.509999999999998"/>
        <n v="30.140000000000004"/>
        <n v="26.92"/>
        <n v="45.263333333333328"/>
        <n v="54.596000000000004"/>
        <n v="53"/>
        <n v="58.994999999999997"/>
        <n v="60.709999999999994"/>
        <n v="56.594999999999999"/>
        <n v="50.25"/>
        <n v="36.167500000000004"/>
        <n v="54.94"/>
        <n v="27.48"/>
        <n v="36.969000000000001"/>
        <n v="33.988"/>
        <n v="61.605000000000004"/>
        <n v="56.77"/>
        <n v="37.366666666666667"/>
        <n v="30.862499999999997"/>
        <n v="51.98"/>
        <n v="52.645000000000003" u="1"/>
        <n v="55.2999999999999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NEDY Michael  * DAS" refreshedDate="44062.40425162037" createdVersion="6" refreshedVersion="6" minRefreshableVersion="3" recordCount="153">
  <cacheSource type="external" connectionId="5"/>
  <cacheFields count="5">
    <cacheField name="forecast_date" numFmtId="0">
      <sharedItems containsSemiMixedTypes="0" containsNonDate="0" containsDate="1" containsString="0" minDate="2018-01-01T00:00:00" maxDate="2021-01-02T00:00:00" count="4">
        <d v="2018-01-01T00:00:00"/>
        <d v="2019-01-01T00:00:00"/>
        <d v="2020-01-01T00:00:00"/>
        <d v="2021-01-01T00:00:00"/>
      </sharedItems>
    </cacheField>
    <cacheField name="period" numFmtId="0">
      <sharedItems containsSemiMixedTypes="0" containsNonDate="0" containsDate="1" containsString="0" minDate="2018-01-01T00:00:00" maxDate="2021-01-02T00:00:00" count="4">
        <d v="2018-01-01T00:00:00"/>
        <d v="2019-01-01T00:00:00"/>
        <d v="2020-01-01T00:00:00"/>
        <d v="2021-01-01T00:00:00"/>
      </sharedItems>
    </cacheField>
    <cacheField name="fuel_name" numFmtId="0">
      <sharedItems count="21">
        <s v="Biodiesel"/>
        <s v="Biogas"/>
        <s v="CBOB"/>
        <s v="diesel"/>
        <s v="Diesel_Renew"/>
        <s v="EEReon"/>
        <s v="EERng"/>
        <s v="Electricity_On"/>
        <s v="Ethanol"/>
        <s v="Fossil_CNG"/>
        <s v="Fossil_LNG"/>
        <s v="gasoline"/>
        <s v="gasoline_E10"/>
        <s v="Hydrogen"/>
        <s v="Jet_Fuel"/>
        <s v="KWh_vehicle"/>
        <s v="Liq_Petroleum"/>
        <s v="Electricity_Off"/>
        <s v="Natural_Gas"/>
        <s v="Renewable Diesel"/>
        <s v="EER" u="1"/>
      </sharedItems>
    </cacheField>
    <cacheField name="parameter_name" numFmtId="0">
      <sharedItems count="6">
        <s v="CI_Actual"/>
        <s v="EnDen"/>
        <s v="CI_Target"/>
        <s v="Parameter"/>
        <s v="Growth Rate"/>
        <s v="Blend Rate"/>
      </sharedItems>
    </cacheField>
    <cacheField name="value" numFmtId="0">
      <sharedItems containsString="0" containsBlank="1" containsNumber="1" minValue="-0.106" maxValue="36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NNEDY Michael  * DAS" refreshedDate="44097.314750347221" createdVersion="5" refreshedVersion="6" minRefreshableVersion="3" recordCount="1037">
  <cacheSource type="external" connectionId="1"/>
  <cacheFields count="6">
    <cacheField name="data_type" numFmtId="0">
      <sharedItems count="6">
        <s v="credit"/>
        <s v="deficit"/>
        <s v="volume"/>
        <s v="CI"/>
        <s v="volume_OR" u="1"/>
        <s v="volume_EX" u="1"/>
      </sharedItems>
    </cacheField>
    <cacheField name="fuel_name" numFmtId="0">
      <sharedItems count="22">
        <s v="Fossil_LNG"/>
        <s v="Liq_Pet_Renew"/>
        <s v="Bio_CNG"/>
        <s v="Biodiesel"/>
        <s v="Bio_LNG"/>
        <s v="Diesel"/>
        <s v="Diesel_B20"/>
        <s v="Diesel_B5"/>
        <s v="Electricity_Off"/>
        <s v="Electricity_On"/>
        <s v="Ethanol&lt;55"/>
        <s v="Ethanol55-65"/>
        <s v="Ethanol65-75"/>
        <s v="Ethanol&gt;75"/>
        <s v="Fossil_CNG"/>
        <s v="Gasoline"/>
        <s v="Gasoline_E10"/>
        <s v="Liq_Petroleum"/>
        <s v="Diesel_Renew"/>
        <s v="electricity_res"/>
        <s v="Ethanol"/>
        <s v="Diesel_B5_InState" u="1"/>
      </sharedItems>
    </cacheField>
    <cacheField name="period" numFmtId="0">
      <sharedItems containsSemiMixedTypes="0" containsNonDate="0" containsDate="1" containsString="0" minDate="2016-01-01T00:00:00" maxDate="2020-01-02T00:00:00" count="17">
        <d v="2017-01-01T00:00:00"/>
        <d v="2016-07-01T00:00:00"/>
        <d v="2017-07-01T00:00:00"/>
        <d v="2019-01-01T00:00:00"/>
        <d v="2018-01-01T00:00:00"/>
        <d v="2017-10-01T00:00:00"/>
        <d v="2016-01-01T00:00:00"/>
        <d v="2019-07-01T00:00:00"/>
        <d v="2018-07-01T00:00:00"/>
        <d v="2016-10-01T00:00:00"/>
        <d v="2016-04-01T00:00:00"/>
        <d v="2020-01-01T00:00:00"/>
        <d v="2019-04-01T00:00:00"/>
        <d v="2018-10-01T00:00:00"/>
        <d v="2019-10-01T00:00:00"/>
        <d v="2017-04-01T00:00:00"/>
        <d v="2018-04-01T00:00:00"/>
      </sharedItems>
    </cacheField>
    <cacheField name="quantity" numFmtId="0">
      <sharedItems containsString="0" containsBlank="1" containsNumber="1" minValue="-7482271" maxValue="398951677"/>
    </cacheField>
    <cacheField name="fuel_category" numFmtId="0">
      <sharedItems count="8">
        <s v="Natural Gas"/>
        <s v="Liq_Petroleum_Gas"/>
        <s v="Diesel"/>
        <s v="Electricity"/>
        <s v="Ethanol"/>
        <s v="Gasoline"/>
        <s v="Biodiesel"/>
        <s v="Diesel_Renew"/>
      </sharedItems>
    </cacheField>
    <cacheField name="fuel_type" numFmtId="0">
      <sharedItems count="5">
        <s v="Alternative"/>
        <s v="Fossil"/>
        <s v="Ethanol"/>
        <s v="Biodiesel"/>
        <s v="Diesel_Rene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ENNEDY Michael  * DAS" refreshedDate="44097.333489814817" createdVersion="5" refreshedVersion="6" minRefreshableVersion="3" recordCount="1037">
  <cacheSource type="external" connectionId="4"/>
  <cacheFields count="6">
    <cacheField name="data_type" numFmtId="0">
      <sharedItems count="6">
        <s v="credit"/>
        <s v="deficit"/>
        <s v="volume"/>
        <s v="CI"/>
        <s v="volume_OR" u="1"/>
        <s v="volume_EX" u="1"/>
      </sharedItems>
    </cacheField>
    <cacheField name="fuel_name" numFmtId="0">
      <sharedItems count="22">
        <s v="Fossil_LNG"/>
        <s v="Liq_Pet_Renew"/>
        <s v="Bio_CNG"/>
        <s v="Biodiesel"/>
        <s v="Bio_LNG"/>
        <s v="Diesel"/>
        <s v="Diesel_B20"/>
        <s v="Diesel_B5"/>
        <s v="Electricity_Off"/>
        <s v="Electricity_On"/>
        <s v="Ethanol&lt;55"/>
        <s v="Ethanol55-65"/>
        <s v="Ethanol65-75"/>
        <s v="Ethanol&gt;75"/>
        <s v="Fossil_CNG"/>
        <s v="Gasoline"/>
        <s v="Gasoline_E10"/>
        <s v="Liq_Petroleum"/>
        <s v="Diesel_Renew"/>
        <s v="electricity_res"/>
        <s v="Ethanol"/>
        <s v="Diesel_B5_InState" u="1"/>
      </sharedItems>
    </cacheField>
    <cacheField name="period" numFmtId="0">
      <sharedItems containsSemiMixedTypes="0" containsNonDate="0" containsDate="1" containsString="0" minDate="2016-01-01T00:00:00" maxDate="2020-01-02T00:00:00" count="17">
        <d v="2017-01-01T00:00:00"/>
        <d v="2016-07-01T00:00:00"/>
        <d v="2017-07-01T00:00:00"/>
        <d v="2019-01-01T00:00:00"/>
        <d v="2018-01-01T00:00:00"/>
        <d v="2017-10-01T00:00:00"/>
        <d v="2016-01-01T00:00:00"/>
        <d v="2019-07-01T00:00:00"/>
        <d v="2018-07-01T00:00:00"/>
        <d v="2016-10-01T00:00:00"/>
        <d v="2016-04-01T00:00:00"/>
        <d v="2020-01-01T00:00:00"/>
        <d v="2019-04-01T00:00:00"/>
        <d v="2018-10-01T00:00:00"/>
        <d v="2019-10-01T00:00:00"/>
        <d v="2017-04-01T00:00:00"/>
        <d v="2018-04-01T00:00:00"/>
      </sharedItems>
    </cacheField>
    <cacheField name="quantity" numFmtId="0">
      <sharedItems containsString="0" containsBlank="1" containsNumber="1" minValue="-7482271" maxValue="398951677"/>
    </cacheField>
    <cacheField name="fuel_category" numFmtId="0">
      <sharedItems count="8">
        <s v="Natural Gas"/>
        <s v="Liq_Petroleum_Gas"/>
        <s v="Diesel"/>
        <s v="Electricity"/>
        <s v="Ethanol"/>
        <s v="Gasoline"/>
        <s v="Biodiesel"/>
        <s v="Diesel_Renew"/>
      </sharedItems>
    </cacheField>
    <cacheField name="fuel_type" numFmtId="0">
      <sharedItems count="5">
        <s v="Alternative"/>
        <s v="Fossil"/>
        <s v="Ethanol"/>
        <s v="Biodiesel"/>
        <s v="Diesel_Rene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x v="0"/>
    <x v="0"/>
    <s v="Green Plains Ord LLC"/>
    <x v="0"/>
    <x v="0"/>
    <m/>
    <n v="57000000"/>
    <x v="0"/>
  </r>
  <r>
    <x v="0"/>
    <x v="1"/>
    <x v="1"/>
    <x v="1"/>
    <s v="General Biodiesel Seattle, LLC"/>
    <x v="1"/>
    <x v="1"/>
    <n v="5000000"/>
    <m/>
    <x v="1"/>
  </r>
  <r>
    <x v="0"/>
    <x v="2"/>
    <x v="2"/>
    <x v="0"/>
    <s v="Green Plains Central City LLC"/>
    <x v="2"/>
    <x v="0"/>
    <m/>
    <n v="100000000"/>
    <x v="2"/>
  </r>
  <r>
    <x v="0"/>
    <x v="3"/>
    <x v="3"/>
    <x v="2"/>
    <s v="Guardian Energy Janesville"/>
    <x v="3"/>
    <x v="0"/>
    <m/>
    <n v="143000000"/>
    <x v="3"/>
  </r>
  <r>
    <x v="0"/>
    <x v="4"/>
    <x v="4"/>
    <x v="3"/>
    <s v="Pacific Ethanol Holding Co LLC"/>
    <x v="4"/>
    <x v="0"/>
    <n v="43045800"/>
    <n v="35000000"/>
    <x v="4"/>
  </r>
  <r>
    <x v="0"/>
    <x v="4"/>
    <x v="5"/>
    <x v="4"/>
    <s v="Pacific Ethanol Holding Co LLC"/>
    <x v="5"/>
    <x v="0"/>
    <n v="75330150"/>
    <n v="70000000"/>
    <x v="5"/>
  </r>
  <r>
    <x v="0"/>
    <x v="4"/>
    <x v="6"/>
    <x v="5"/>
    <s v="Pacific Ethanol Holding Co LLC"/>
    <x v="6"/>
    <x v="0"/>
    <m/>
    <n v="50000000"/>
    <x v="6"/>
  </r>
  <r>
    <x v="0"/>
    <x v="5"/>
    <x v="7"/>
    <x v="6"/>
    <s v="Copersucar S.A."/>
    <x v="7"/>
    <x v="0"/>
    <n v="51038199"/>
    <m/>
    <x v="7"/>
  </r>
  <r>
    <x v="0"/>
    <x v="6"/>
    <x v="8"/>
    <x v="7"/>
    <s v="BIOX Canada Limited"/>
    <x v="8"/>
    <x v="1"/>
    <n v="16642847"/>
    <m/>
    <x v="8"/>
  </r>
  <r>
    <x v="0"/>
    <x v="7"/>
    <x v="9"/>
    <x v="6"/>
    <s v="Raízen Energia S/A – Serra"/>
    <x v="9"/>
    <x v="0"/>
    <m/>
    <m/>
    <x v="9"/>
  </r>
  <r>
    <x v="0"/>
    <x v="8"/>
    <x v="10"/>
    <x v="7"/>
    <s v="Consolidated Biofuels Ltd."/>
    <x v="10"/>
    <x v="1"/>
    <n v="489175"/>
    <m/>
    <x v="10"/>
  </r>
  <r>
    <x v="0"/>
    <x v="9"/>
    <x v="11"/>
    <x v="8"/>
    <s v="Sinclair Wyoming Refining Company"/>
    <x v="11"/>
    <x v="2"/>
    <n v="108983768"/>
    <m/>
    <x v="11"/>
  </r>
  <r>
    <x v="0"/>
    <x v="10"/>
    <x v="12"/>
    <x v="2"/>
    <s v="Heron Lake BioEnergy"/>
    <x v="12"/>
    <x v="0"/>
    <m/>
    <n v="72000000"/>
    <x v="12"/>
  </r>
  <r>
    <x v="0"/>
    <x v="11"/>
    <x v="13"/>
    <x v="9"/>
    <s v="Bonanza BioEnergy, LLC "/>
    <x v="13"/>
    <x v="0"/>
    <m/>
    <n v="55000000"/>
    <x v="13"/>
  </r>
  <r>
    <x v="0"/>
    <x v="12"/>
    <x v="14"/>
    <x v="10"/>
    <s v="Redfield Energy,"/>
    <x v="14"/>
    <x v="0"/>
    <n v="70000000"/>
    <n v="50000000"/>
    <x v="14"/>
  </r>
  <r>
    <x v="0"/>
    <x v="13"/>
    <x v="15"/>
    <x v="2"/>
    <s v="Bushmills Ethanol, Inc."/>
    <x v="15"/>
    <x v="0"/>
    <n v="65000000"/>
    <n v="65000000"/>
    <x v="15"/>
  </r>
  <r>
    <x v="0"/>
    <x v="14"/>
    <x v="16"/>
    <x v="10"/>
    <s v="ABE South Dakota, LLC"/>
    <x v="16"/>
    <x v="0"/>
    <m/>
    <n v="35000000"/>
    <x v="16"/>
  </r>
  <r>
    <x v="0"/>
    <x v="14"/>
    <x v="17"/>
    <x v="10"/>
    <s v="ABE South Dakota, LLC"/>
    <x v="17"/>
    <x v="0"/>
    <n v="40000000"/>
    <n v="35000000"/>
    <x v="17"/>
  </r>
  <r>
    <x v="0"/>
    <x v="15"/>
    <x v="18"/>
    <x v="11"/>
    <s v="Neste Singapore Pte Ltd"/>
    <x v="18"/>
    <x v="2"/>
    <n v="290756447"/>
    <m/>
    <x v="18"/>
  </r>
  <r>
    <x v="0"/>
    <x v="16"/>
    <x v="19"/>
    <x v="12"/>
    <s v="ADM Deerfield Energy"/>
    <x v="19"/>
    <x v="1"/>
    <n v="33000000"/>
    <m/>
    <x v="19"/>
  </r>
  <r>
    <x v="0"/>
    <x v="17"/>
    <x v="20"/>
    <x v="2"/>
    <s v="REG Albert Lea"/>
    <x v="20"/>
    <x v="1"/>
    <n v="30000000"/>
    <m/>
    <x v="20"/>
  </r>
  <r>
    <x v="0"/>
    <x v="18"/>
    <x v="21"/>
    <x v="13"/>
    <s v="Ag Processing, Inc."/>
    <x v="21"/>
    <x v="1"/>
    <n v="75508819"/>
    <m/>
    <x v="21"/>
  </r>
  <r>
    <x v="0"/>
    <x v="18"/>
    <x v="22"/>
    <x v="12"/>
    <s v="Ag Processing, Inc."/>
    <x v="22"/>
    <x v="1"/>
    <n v="41601085"/>
    <m/>
    <x v="22"/>
  </r>
  <r>
    <x v="0"/>
    <x v="19"/>
    <x v="23"/>
    <x v="14"/>
    <s v="FutureFuel Chemical Company"/>
    <x v="23"/>
    <x v="1"/>
    <n v="59000000"/>
    <m/>
    <x v="23"/>
  </r>
  <r>
    <x v="0"/>
    <x v="20"/>
    <x v="24"/>
    <x v="10"/>
    <s v="Poet Biorefining-Chancellor"/>
    <x v="24"/>
    <x v="0"/>
    <n v="128722000"/>
    <m/>
    <x v="24"/>
  </r>
  <r>
    <x v="0"/>
    <x v="21"/>
    <x v="25"/>
    <x v="13"/>
    <s v="LSCP, LLLP"/>
    <x v="25"/>
    <x v="0"/>
    <n v="185000000"/>
    <n v="165000000"/>
    <x v="25"/>
  </r>
  <r>
    <x v="0"/>
    <x v="22"/>
    <x v="26"/>
    <x v="15"/>
    <s v="Yuma Ethanol, LLC"/>
    <x v="26"/>
    <x v="0"/>
    <m/>
    <n v="50000000"/>
    <x v="26"/>
  </r>
  <r>
    <x v="0"/>
    <x v="23"/>
    <x v="27"/>
    <x v="10"/>
    <s v="Poet Biorefining-Big Stone"/>
    <x v="27"/>
    <x v="0"/>
    <n v="90000000"/>
    <m/>
    <x v="27"/>
  </r>
  <r>
    <x v="0"/>
    <x v="24"/>
    <x v="28"/>
    <x v="9"/>
    <s v="Western Plains Energy, LLC"/>
    <x v="28"/>
    <x v="0"/>
    <n v="54600000"/>
    <n v="45000000"/>
    <x v="28"/>
  </r>
  <r>
    <x v="0"/>
    <x v="25"/>
    <x v="29"/>
    <x v="0"/>
    <s v="Trenton Agri Products LLC"/>
    <x v="29"/>
    <x v="0"/>
    <m/>
    <n v="50000000"/>
    <x v="29"/>
  </r>
  <r>
    <x v="0"/>
    <x v="26"/>
    <x v="30"/>
    <x v="13"/>
    <s v="Green Plains Holdings II LLC - Lakota"/>
    <x v="30"/>
    <x v="0"/>
    <m/>
    <n v="115000000"/>
    <x v="30"/>
  </r>
  <r>
    <x v="0"/>
    <x v="27"/>
    <x v="31"/>
    <x v="10"/>
    <s v="Glacial Lakes-Watertown"/>
    <x v="31"/>
    <x v="0"/>
    <m/>
    <n v="130000000"/>
    <x v="31"/>
  </r>
  <r>
    <x v="0"/>
    <x v="27"/>
    <x v="32"/>
    <x v="10"/>
    <s v="Glacial Lakes-Watertown"/>
    <x v="32"/>
    <x v="0"/>
    <m/>
    <n v="130000000"/>
    <x v="32"/>
  </r>
  <r>
    <x v="0"/>
    <x v="28"/>
    <x v="33"/>
    <x v="15"/>
    <s v="Sterling Ethanol, LLC"/>
    <x v="33"/>
    <x v="0"/>
    <n v="60000000"/>
    <n v="40000000"/>
    <x v="33"/>
  </r>
  <r>
    <x v="0"/>
    <x v="29"/>
    <x v="34"/>
    <x v="2"/>
    <s v="Granite Falls Energy, LLC"/>
    <x v="34"/>
    <x v="0"/>
    <m/>
    <n v="60000000"/>
    <x v="34"/>
  </r>
  <r>
    <x v="0"/>
    <x v="30"/>
    <x v="35"/>
    <x v="13"/>
    <s v="Poet Biorefining-Coon Rapids"/>
    <x v="35"/>
    <x v="0"/>
    <n v="60000000"/>
    <m/>
    <x v="35"/>
  </r>
  <r>
    <x v="0"/>
    <x v="31"/>
    <x v="36"/>
    <x v="10"/>
    <s v="Poet Biorefining-Mitchell"/>
    <x v="36"/>
    <x v="0"/>
    <n v="81555600"/>
    <n v="80000000"/>
    <x v="36"/>
  </r>
  <r>
    <x v="0"/>
    <x v="32"/>
    <x v="37"/>
    <x v="10"/>
    <s v="Poet Biorefining-Hudson"/>
    <x v="37"/>
    <x v="0"/>
    <n v="70000000"/>
    <m/>
    <x v="37"/>
  </r>
  <r>
    <x v="0"/>
    <x v="33"/>
    <x v="38"/>
    <x v="13"/>
    <s v="Poet Biorefining-Emmetsburg"/>
    <x v="38"/>
    <x v="0"/>
    <m/>
    <m/>
    <x v="38"/>
  </r>
  <r>
    <x v="0"/>
    <x v="34"/>
    <x v="39"/>
    <x v="10"/>
    <s v="Poet Biorefining-Groton"/>
    <x v="39"/>
    <x v="0"/>
    <n v="65000000"/>
    <m/>
    <x v="39"/>
  </r>
  <r>
    <x v="0"/>
    <x v="35"/>
    <x v="40"/>
    <x v="16"/>
    <s v="Red Trail Energy LLC"/>
    <x v="40"/>
    <x v="0"/>
    <n v="170000000"/>
    <n v="65000000"/>
    <x v="40"/>
  </r>
  <r>
    <x v="0"/>
    <x v="36"/>
    <x v="41"/>
    <x v="2"/>
    <s v="Chippewa Valley Ethanol Company LLLP"/>
    <x v="41"/>
    <x v="0"/>
    <n v="53269178"/>
    <n v="49000000"/>
    <x v="41"/>
  </r>
  <r>
    <x v="0"/>
    <x v="37"/>
    <x v="42"/>
    <x v="10"/>
    <s v="Dakota Ethanol, LLC"/>
    <x v="42"/>
    <x v="0"/>
    <n v="60000000"/>
    <n v="50000000"/>
    <x v="42"/>
  </r>
  <r>
    <x v="0"/>
    <x v="38"/>
    <x v="43"/>
    <x v="2"/>
    <s v="Heartland Corn Products"/>
    <x v="43"/>
    <x v="0"/>
    <m/>
    <n v="85000000"/>
    <x v="43"/>
  </r>
  <r>
    <x v="0"/>
    <x v="39"/>
    <x v="44"/>
    <x v="0"/>
    <s v="E Energy Adams, LLC"/>
    <x v="44"/>
    <x v="0"/>
    <n v="84000000"/>
    <n v="50000000"/>
    <x v="44"/>
  </r>
  <r>
    <x v="0"/>
    <x v="40"/>
    <x v="45"/>
    <x v="17"/>
    <s v="High Plains Bioenergy"/>
    <x v="45"/>
    <x v="1"/>
    <n v="34675000"/>
    <m/>
    <x v="45"/>
  </r>
  <r>
    <x v="0"/>
    <x v="41"/>
    <x v="46"/>
    <x v="12"/>
    <s v="ADM Mexico"/>
    <x v="46"/>
    <x v="1"/>
    <n v="50000000"/>
    <m/>
    <x v="46"/>
  </r>
  <r>
    <x v="0"/>
    <x v="42"/>
    <x v="47"/>
    <x v="0"/>
    <s v="Archer Daniels Midland Company"/>
    <x v="47"/>
    <x v="0"/>
    <m/>
    <n v="206500000"/>
    <x v="47"/>
  </r>
  <r>
    <x v="0"/>
    <x v="42"/>
    <x v="48"/>
    <x v="3"/>
    <s v="Archer Daniels Midland Company"/>
    <x v="48"/>
    <x v="1"/>
    <n v="94500000"/>
    <m/>
    <x v="48"/>
  </r>
  <r>
    <x v="0"/>
    <x v="43"/>
    <x v="49"/>
    <x v="0"/>
    <s v="SIOUXLAND ETHANOL, LLC"/>
    <x v="49"/>
    <x v="0"/>
    <n v="82125000"/>
    <n v="80000000"/>
    <x v="49"/>
  </r>
  <r>
    <x v="0"/>
    <x v="44"/>
    <x v="50"/>
    <x v="13"/>
    <s v="Poet Biorefining-Corning"/>
    <x v="50"/>
    <x v="0"/>
    <n v="80000000"/>
    <n v="80000000"/>
    <x v="50"/>
  </r>
  <r>
    <x v="0"/>
    <x v="45"/>
    <x v="51"/>
    <x v="13"/>
    <s v="Absolute Energy, LLC"/>
    <x v="51"/>
    <x v="0"/>
    <n v="130000000"/>
    <n v="110000000"/>
    <x v="51"/>
  </r>
  <r>
    <x v="0"/>
    <x v="46"/>
    <x v="52"/>
    <x v="13"/>
    <s v="Green Plains Shenandoah LLC"/>
    <x v="52"/>
    <x v="0"/>
    <m/>
    <n v="80000000"/>
    <x v="52"/>
  </r>
  <r>
    <x v="0"/>
    <x v="47"/>
    <x v="53"/>
    <x v="0"/>
    <s v="Husker Ag LLC"/>
    <x v="53"/>
    <x v="0"/>
    <n v="109000000"/>
    <n v="90000000"/>
    <x v="53"/>
  </r>
  <r>
    <x v="0"/>
    <x v="48"/>
    <x v="54"/>
    <x v="0"/>
    <s v="Mid America Agri Products/Wheatland, LLC"/>
    <x v="54"/>
    <x v="0"/>
    <n v="46000000"/>
    <n v="46000000"/>
    <x v="54"/>
  </r>
  <r>
    <x v="0"/>
    <x v="49"/>
    <x v="55"/>
    <x v="0"/>
    <s v="Midwest Renewable Energy, LLC"/>
    <x v="55"/>
    <x v="0"/>
    <n v="26500000"/>
    <n v="28000000"/>
    <x v="55"/>
  </r>
  <r>
    <x v="0"/>
    <x v="50"/>
    <x v="56"/>
    <x v="9"/>
    <s v="Arkalon Ethanol"/>
    <x v="56"/>
    <x v="0"/>
    <m/>
    <n v="110000000"/>
    <x v="56"/>
  </r>
  <r>
    <x v="0"/>
    <x v="51"/>
    <x v="57"/>
    <x v="0"/>
    <s v="Bridgeport Ethanol, LLC"/>
    <x v="57"/>
    <x v="0"/>
    <m/>
    <n v="54000000"/>
    <x v="57"/>
  </r>
  <r>
    <x v="0"/>
    <x v="52"/>
    <x v="58"/>
    <x v="18"/>
    <s v="Dansuk Industrial Co., LTD."/>
    <x v="58"/>
    <x v="1"/>
    <n v="16706637"/>
    <m/>
    <x v="58"/>
  </r>
  <r>
    <x v="0"/>
    <x v="53"/>
    <x v="59"/>
    <x v="7"/>
    <s v="Milligan Biofuels Inc"/>
    <x v="59"/>
    <x v="1"/>
    <n v="5284016"/>
    <m/>
    <x v="59"/>
  </r>
  <r>
    <x v="0"/>
    <x v="54"/>
    <x v="60"/>
    <x v="18"/>
    <s v="JC Chemical Co., Ltd."/>
    <x v="60"/>
    <x v="1"/>
    <n v="33285679"/>
    <m/>
    <x v="60"/>
  </r>
  <r>
    <x v="0"/>
    <x v="55"/>
    <x v="61"/>
    <x v="3"/>
    <s v="SeQuential Pacific Biodiesel"/>
    <x v="61"/>
    <x v="1"/>
    <n v="10000000"/>
    <m/>
    <x v="61"/>
  </r>
  <r>
    <x v="0"/>
    <x v="56"/>
    <x v="62"/>
    <x v="13"/>
    <s v="REG Mason City"/>
    <x v="62"/>
    <x v="1"/>
    <n v="30000000"/>
    <m/>
    <x v="62"/>
  </r>
  <r>
    <x v="0"/>
    <x v="57"/>
    <x v="63"/>
    <x v="7"/>
    <s v="ADM Agri Industries"/>
    <x v="63"/>
    <x v="1"/>
    <m/>
    <m/>
    <x v="63"/>
  </r>
  <r>
    <x v="0"/>
    <x v="58"/>
    <x v="64"/>
    <x v="16"/>
    <s v="Guardian Energy Hankinson"/>
    <x v="64"/>
    <x v="0"/>
    <m/>
    <n v="130000000"/>
    <x v="64"/>
  </r>
  <r>
    <x v="0"/>
    <x v="59"/>
    <x v="65"/>
    <x v="19"/>
    <s v="REG Geismar, LLC"/>
    <x v="65"/>
    <x v="2"/>
    <n v="75000000"/>
    <m/>
    <x v="65"/>
  </r>
  <r>
    <x v="0"/>
    <x v="60"/>
    <x v="66"/>
    <x v="20"/>
    <s v="WM Renewable Energy, LLC"/>
    <x v="66"/>
    <x v="3"/>
    <n v="1178801445"/>
    <m/>
    <x v="66"/>
  </r>
  <r>
    <x v="0"/>
    <x v="60"/>
    <x v="67"/>
    <x v="21"/>
    <s v="WM Renewable Energy, LLC"/>
    <x v="67"/>
    <x v="3"/>
    <n v="990193214"/>
    <m/>
    <x v="67"/>
  </r>
  <r>
    <x v="0"/>
    <x v="61"/>
    <x v="68"/>
    <x v="0"/>
    <s v="Duonix Beatrice"/>
    <x v="68"/>
    <x v="1"/>
    <n v="62500000"/>
    <m/>
    <x v="68"/>
  </r>
  <r>
    <x v="0"/>
    <x v="62"/>
    <x v="69"/>
    <x v="1"/>
    <s v="REG Grays Harbor LLC"/>
    <x v="69"/>
    <x v="1"/>
    <n v="100000000"/>
    <m/>
    <x v="69"/>
  </r>
  <r>
    <x v="0"/>
    <x v="63"/>
    <x v="70"/>
    <x v="12"/>
    <s v="HPB St Joe Biodiesel, LLC"/>
    <x v="70"/>
    <x v="1"/>
    <n v="30000000"/>
    <m/>
    <x v="70"/>
  </r>
  <r>
    <x v="0"/>
    <x v="64"/>
    <x v="71"/>
    <x v="22"/>
    <s v="Global Alternative Fuels LLC"/>
    <x v="71"/>
    <x v="1"/>
    <n v="15000000"/>
    <m/>
    <x v="71"/>
  </r>
  <r>
    <x v="1"/>
    <x v="0"/>
    <x v="0"/>
    <x v="23"/>
    <s v="Green Plains Ord LLC"/>
    <x v="0"/>
    <x v="0"/>
    <n v="65000000"/>
    <m/>
    <x v="0"/>
  </r>
  <r>
    <x v="1"/>
    <x v="1"/>
    <x v="1"/>
    <x v="1"/>
    <s v="General Biodiesel Seattle"/>
    <x v="72"/>
    <x v="1"/>
    <n v="5000000"/>
    <n v="5000000"/>
    <x v="1"/>
  </r>
  <r>
    <x v="1"/>
    <x v="2"/>
    <x v="2"/>
    <x v="23"/>
    <s v="Green Plains Central City"/>
    <x v="2"/>
    <x v="0"/>
    <n v="116000000"/>
    <m/>
    <x v="2"/>
  </r>
  <r>
    <x v="1"/>
    <x v="3"/>
    <x v="3"/>
    <x v="2"/>
    <s v="Guardian Energy Janesville"/>
    <x v="73"/>
    <x v="0"/>
    <n v="149000000"/>
    <n v="150000000"/>
    <x v="3"/>
  </r>
  <r>
    <x v="1"/>
    <x v="65"/>
    <x v="72"/>
    <x v="13"/>
    <s v="REG Newton, LLC"/>
    <x v="74"/>
    <x v="1"/>
    <n v="30000000"/>
    <m/>
    <x v="72"/>
  </r>
  <r>
    <x v="1"/>
    <x v="4"/>
    <x v="4"/>
    <x v="3"/>
    <s v="Pacific Ethanol Columbia LLC"/>
    <x v="75"/>
    <x v="0"/>
    <n v="43045800"/>
    <n v="40000000"/>
    <x v="73"/>
  </r>
  <r>
    <x v="1"/>
    <x v="4"/>
    <x v="5"/>
    <x v="4"/>
    <s v="Pacific Ethanol Magic Valley LLC"/>
    <x v="75"/>
    <x v="0"/>
    <n v="75330150"/>
    <n v="60000000"/>
    <x v="5"/>
  </r>
  <r>
    <x v="1"/>
    <x v="4"/>
    <x v="6"/>
    <x v="5"/>
    <s v="Pacific Ethanol Stockton"/>
    <x v="75"/>
    <x v="0"/>
    <n v="60000000"/>
    <n v="60000000"/>
    <x v="6"/>
  </r>
  <r>
    <x v="1"/>
    <x v="5"/>
    <x v="73"/>
    <x v="24"/>
    <s v="Açucareira Quatá S.A."/>
    <x v="76"/>
    <x v="0"/>
    <n v="51038199"/>
    <m/>
    <x v="7"/>
  </r>
  <r>
    <x v="1"/>
    <x v="6"/>
    <x v="8"/>
    <x v="25"/>
    <s v="BIOX Canada Limited"/>
    <x v="8"/>
    <x v="1"/>
    <n v="16642847"/>
    <m/>
    <x v="8"/>
  </r>
  <r>
    <x v="1"/>
    <x v="7"/>
    <x v="74"/>
    <x v="24"/>
    <s v="Raízen Energia S/A - Costa Pinto"/>
    <x v="77"/>
    <x v="0"/>
    <n v="21662108"/>
    <m/>
    <x v="9"/>
  </r>
  <r>
    <x v="1"/>
    <x v="8"/>
    <x v="10"/>
    <x v="26"/>
    <s v="Consolidated Biofuels Ltd."/>
    <x v="10"/>
    <x v="1"/>
    <n v="489175"/>
    <m/>
    <x v="10"/>
  </r>
  <r>
    <x v="1"/>
    <x v="9"/>
    <x v="11"/>
    <x v="8"/>
    <s v="Sinclair Wyoming Refining Company"/>
    <x v="11"/>
    <x v="2"/>
    <n v="108983768"/>
    <m/>
    <x v="74"/>
  </r>
  <r>
    <x v="1"/>
    <x v="10"/>
    <x v="12"/>
    <x v="2"/>
    <s v="Heron Lake BioEnergy"/>
    <x v="12"/>
    <x v="0"/>
    <n v="59000000"/>
    <n v="72000000"/>
    <x v="12"/>
  </r>
  <r>
    <x v="1"/>
    <x v="11"/>
    <x v="13"/>
    <x v="9"/>
    <s v="Bonanza BioEnergy, LLC "/>
    <x v="13"/>
    <x v="0"/>
    <n v="55000000"/>
    <n v="55000000"/>
    <x v="13"/>
  </r>
  <r>
    <x v="1"/>
    <x v="66"/>
    <x v="75"/>
    <x v="13"/>
    <s v="Siouxland Energy Cooperative"/>
    <x v="78"/>
    <x v="0"/>
    <n v="70000000"/>
    <m/>
    <x v="75"/>
  </r>
  <r>
    <x v="1"/>
    <x v="12"/>
    <x v="14"/>
    <x v="10"/>
    <s v="Redfield Energy, LLC"/>
    <x v="79"/>
    <x v="0"/>
    <n v="70000000"/>
    <n v="50000000"/>
    <x v="76"/>
  </r>
  <r>
    <x v="1"/>
    <x v="13"/>
    <x v="15"/>
    <x v="2"/>
    <s v="BUSHMILLS ETHANOL, INC."/>
    <x v="15"/>
    <x v="0"/>
    <n v="65000000"/>
    <n v="65000000"/>
    <x v="77"/>
  </r>
  <r>
    <x v="1"/>
    <x v="14"/>
    <x v="16"/>
    <x v="10"/>
    <s v="ABE South Dakota, LLC"/>
    <x v="16"/>
    <x v="0"/>
    <n v="55300000"/>
    <n v="35000000"/>
    <x v="16"/>
  </r>
  <r>
    <x v="1"/>
    <x v="14"/>
    <x v="17"/>
    <x v="10"/>
    <s v="ABE South Dakota, LLC (Huron)"/>
    <x v="16"/>
    <x v="0"/>
    <n v="40000000"/>
    <n v="35000000"/>
    <x v="17"/>
  </r>
  <r>
    <x v="1"/>
    <x v="15"/>
    <x v="18"/>
    <x v="27"/>
    <s v="Neste Singapore"/>
    <x v="80"/>
    <x v="2"/>
    <n v="290756447"/>
    <m/>
    <x v="78"/>
  </r>
  <r>
    <x v="1"/>
    <x v="16"/>
    <x v="19"/>
    <x v="12"/>
    <s v="ADM Deerfield"/>
    <x v="81"/>
    <x v="1"/>
    <n v="33000000"/>
    <n v="50000000"/>
    <x v="19"/>
  </r>
  <r>
    <x v="1"/>
    <x v="17"/>
    <x v="20"/>
    <x v="2"/>
    <s v="REG Albert Lea"/>
    <x v="20"/>
    <x v="1"/>
    <n v="30000000"/>
    <n v="45565043"/>
    <x v="79"/>
  </r>
  <r>
    <x v="1"/>
    <x v="67"/>
    <x v="76"/>
    <x v="1"/>
    <s v="Cherry Point Refinery"/>
    <x v="82"/>
    <x v="2"/>
    <n v="42438039"/>
    <m/>
    <x v="80"/>
  </r>
  <r>
    <x v="1"/>
    <x v="18"/>
    <x v="21"/>
    <x v="13"/>
    <s v="Ag Processing, Inc - Sgt. Bluff"/>
    <x v="83"/>
    <x v="1"/>
    <n v="75508819"/>
    <n v="75508819"/>
    <x v="21"/>
  </r>
  <r>
    <x v="1"/>
    <x v="18"/>
    <x v="22"/>
    <x v="12"/>
    <s v="Ag Processing, Inc. - St. Joseph"/>
    <x v="83"/>
    <x v="1"/>
    <n v="41601085"/>
    <n v="41601085"/>
    <x v="22"/>
  </r>
  <r>
    <x v="1"/>
    <x v="19"/>
    <x v="23"/>
    <x v="14"/>
    <s v="FutureFuel Chemical Company"/>
    <x v="23"/>
    <x v="1"/>
    <n v="59000000"/>
    <n v="60000000"/>
    <x v="23"/>
  </r>
  <r>
    <x v="1"/>
    <x v="20"/>
    <x v="24"/>
    <x v="10"/>
    <s v="Poet Biorefining-Chancellor"/>
    <x v="24"/>
    <x v="0"/>
    <n v="128722000"/>
    <m/>
    <x v="81"/>
  </r>
  <r>
    <x v="1"/>
    <x v="21"/>
    <x v="25"/>
    <x v="13"/>
    <s v="LSCP, LLLP"/>
    <x v="25"/>
    <x v="0"/>
    <n v="185000000"/>
    <n v="165000000"/>
    <x v="25"/>
  </r>
  <r>
    <x v="1"/>
    <x v="22"/>
    <x v="26"/>
    <x v="28"/>
    <s v="Yuma Ethanol"/>
    <x v="84"/>
    <x v="0"/>
    <n v="40000000"/>
    <m/>
    <x v="26"/>
  </r>
  <r>
    <x v="1"/>
    <x v="23"/>
    <x v="27"/>
    <x v="10"/>
    <s v="POET Biorefining - Big Stone"/>
    <x v="85"/>
    <x v="0"/>
    <n v="90000000"/>
    <m/>
    <x v="27"/>
  </r>
  <r>
    <x v="1"/>
    <x v="24"/>
    <x v="28"/>
    <x v="9"/>
    <s v="Western Plains Energy, LLC"/>
    <x v="28"/>
    <x v="0"/>
    <n v="54600000"/>
    <n v="51000000"/>
    <x v="28"/>
  </r>
  <r>
    <x v="1"/>
    <x v="25"/>
    <x v="29"/>
    <x v="23"/>
    <s v="Trenton Agri Products LLC"/>
    <x v="86"/>
    <x v="0"/>
    <n v="55000000"/>
    <m/>
    <x v="29"/>
  </r>
  <r>
    <x v="1"/>
    <x v="27"/>
    <x v="31"/>
    <x v="10"/>
    <s v="Glacial Lakes-Aberdeen Energy (Mina)"/>
    <x v="87"/>
    <x v="0"/>
    <n v="100000000"/>
    <n v="130000000"/>
    <x v="31"/>
  </r>
  <r>
    <x v="1"/>
    <x v="27"/>
    <x v="32"/>
    <x v="10"/>
    <s v="Glacial Lakes-Watertown"/>
    <x v="87"/>
    <x v="0"/>
    <n v="100000000"/>
    <n v="130000000"/>
    <x v="32"/>
  </r>
  <r>
    <x v="1"/>
    <x v="28"/>
    <x v="33"/>
    <x v="28"/>
    <s v="Sterling Ethanol, LLC"/>
    <x v="33"/>
    <x v="0"/>
    <n v="60000000"/>
    <m/>
    <x v="33"/>
  </r>
  <r>
    <x v="1"/>
    <x v="29"/>
    <x v="34"/>
    <x v="2"/>
    <s v="Granite Falls Energy, LLC"/>
    <x v="34"/>
    <x v="0"/>
    <n v="70000000"/>
    <n v="60000000"/>
    <x v="34"/>
  </r>
  <r>
    <x v="1"/>
    <x v="30"/>
    <x v="35"/>
    <x v="29"/>
    <s v="POET Biorefining - Coon Rapids"/>
    <x v="88"/>
    <x v="0"/>
    <n v="60000000"/>
    <m/>
    <x v="35"/>
  </r>
  <r>
    <x v="1"/>
    <x v="31"/>
    <x v="36"/>
    <x v="10"/>
    <s v="Poet Biorefining-Mitchell"/>
    <x v="36"/>
    <x v="0"/>
    <n v="81555600"/>
    <n v="80000000"/>
    <x v="82"/>
  </r>
  <r>
    <x v="1"/>
    <x v="32"/>
    <x v="37"/>
    <x v="10"/>
    <s v="POET Biorefining - Hudson"/>
    <x v="89"/>
    <x v="0"/>
    <n v="70000000"/>
    <m/>
    <x v="37"/>
  </r>
  <r>
    <x v="1"/>
    <x v="33"/>
    <x v="38"/>
    <x v="29"/>
    <s v="POET Biorefining - Emmetsburg "/>
    <x v="90"/>
    <x v="0"/>
    <n v="55000000"/>
    <m/>
    <x v="38"/>
  </r>
  <r>
    <x v="1"/>
    <x v="34"/>
    <x v="77"/>
    <x v="30"/>
    <s v="Poet Biorefining Groton"/>
    <x v="91"/>
    <x v="0"/>
    <n v="65000000"/>
    <m/>
    <x v="83"/>
  </r>
  <r>
    <x v="1"/>
    <x v="35"/>
    <x v="40"/>
    <x v="10"/>
    <s v="Red Trail Energy LLC"/>
    <x v="40"/>
    <x v="0"/>
    <n v="69949425"/>
    <m/>
    <x v="84"/>
  </r>
  <r>
    <x v="1"/>
    <x v="36"/>
    <x v="41"/>
    <x v="2"/>
    <s v="CVEC"/>
    <x v="92"/>
    <x v="0"/>
    <n v="53269178"/>
    <n v="49000000"/>
    <x v="85"/>
  </r>
  <r>
    <x v="1"/>
    <x v="68"/>
    <x v="78"/>
    <x v="0"/>
    <s v="KAAPA Ethanol Ravenna LLC"/>
    <x v="93"/>
    <x v="0"/>
    <n v="130000000"/>
    <m/>
    <x v="86"/>
  </r>
  <r>
    <x v="1"/>
    <x v="37"/>
    <x v="42"/>
    <x v="10"/>
    <s v="Dakota Ethanol"/>
    <x v="94"/>
    <x v="0"/>
    <n v="60000000"/>
    <n v="50000000"/>
    <x v="87"/>
  </r>
  <r>
    <x v="1"/>
    <x v="38"/>
    <x v="43"/>
    <x v="2"/>
    <s v="Heartland Corn Products"/>
    <x v="43"/>
    <x v="0"/>
    <n v="100000000"/>
    <n v="120000000"/>
    <x v="43"/>
  </r>
  <r>
    <x v="1"/>
    <x v="39"/>
    <x v="44"/>
    <x v="0"/>
    <s v="E Energy Adams"/>
    <x v="95"/>
    <x v="0"/>
    <n v="84000000"/>
    <n v="84000000"/>
    <x v="44"/>
  </r>
  <r>
    <x v="1"/>
    <x v="40"/>
    <x v="45"/>
    <x v="17"/>
    <s v="High Plains Bioenergy"/>
    <x v="45"/>
    <x v="1"/>
    <n v="34675000"/>
    <m/>
    <x v="88"/>
  </r>
  <r>
    <x v="1"/>
    <x v="41"/>
    <x v="46"/>
    <x v="12"/>
    <s v="MID AMERICA BIOFUELS"/>
    <x v="96"/>
    <x v="1"/>
    <n v="50000000"/>
    <n v="50000000"/>
    <x v="46"/>
  </r>
  <r>
    <x v="1"/>
    <x v="42"/>
    <x v="47"/>
    <x v="0"/>
    <s v="Archer Daniels Midland Company - CLM Dry"/>
    <x v="97"/>
    <x v="0"/>
    <n v="300000000"/>
    <n v="206500000"/>
    <x v="47"/>
  </r>
  <r>
    <x v="1"/>
    <x v="42"/>
    <x v="48"/>
    <x v="3"/>
    <s v="Archer Daniels Midland"/>
    <x v="97"/>
    <x v="1"/>
    <n v="94500000"/>
    <m/>
    <x v="48"/>
  </r>
  <r>
    <x v="1"/>
    <x v="43"/>
    <x v="49"/>
    <x v="23"/>
    <s v="Siouxland Ethanol"/>
    <x v="98"/>
    <x v="0"/>
    <n v="82125000"/>
    <m/>
    <x v="49"/>
  </r>
  <r>
    <x v="1"/>
    <x v="44"/>
    <x v="50"/>
    <x v="29"/>
    <s v="POET Biorefining - Corning"/>
    <x v="99"/>
    <x v="0"/>
    <n v="80000000"/>
    <m/>
    <x v="50"/>
  </r>
  <r>
    <x v="1"/>
    <x v="45"/>
    <x v="51"/>
    <x v="13"/>
    <s v="Absolute Energy, LLC"/>
    <x v="51"/>
    <x v="0"/>
    <n v="130000000"/>
    <n v="110000000"/>
    <x v="51"/>
  </r>
  <r>
    <x v="1"/>
    <x v="46"/>
    <x v="52"/>
    <x v="29"/>
    <s v="Green Plains Shenandoah LLC"/>
    <x v="52"/>
    <x v="0"/>
    <n v="82000000"/>
    <m/>
    <x v="52"/>
  </r>
  <r>
    <x v="1"/>
    <x v="47"/>
    <x v="53"/>
    <x v="23"/>
    <s v="Husker Ag, LLC"/>
    <x v="100"/>
    <x v="0"/>
    <n v="109000000"/>
    <m/>
    <x v="53"/>
  </r>
  <r>
    <x v="1"/>
    <x v="48"/>
    <x v="54"/>
    <x v="0"/>
    <s v="Mid America Agri Products/Wheatland, LLC"/>
    <x v="54"/>
    <x v="0"/>
    <n v="46000000"/>
    <n v="49000000"/>
    <x v="54"/>
  </r>
  <r>
    <x v="1"/>
    <x v="49"/>
    <x v="55"/>
    <x v="0"/>
    <s v="Midwest Renewable Energy"/>
    <x v="101"/>
    <x v="0"/>
    <n v="26500000"/>
    <n v="28000000"/>
    <x v="55"/>
  </r>
  <r>
    <x v="1"/>
    <x v="50"/>
    <x v="56"/>
    <x v="9"/>
    <s v="Arkalon Ethanol"/>
    <x v="56"/>
    <x v="0"/>
    <n v="110000000"/>
    <n v="110000000"/>
    <x v="56"/>
  </r>
  <r>
    <x v="1"/>
    <x v="69"/>
    <x v="79"/>
    <x v="12"/>
    <s v="Paseo Cargill Energy"/>
    <x v="102"/>
    <x v="1"/>
    <n v="69350000"/>
    <m/>
    <x v="89"/>
  </r>
  <r>
    <x v="1"/>
    <x v="51"/>
    <x v="57"/>
    <x v="23"/>
    <s v="Bridgeport Ethanol"/>
    <x v="103"/>
    <x v="0"/>
    <n v="50000000"/>
    <m/>
    <x v="57"/>
  </r>
  <r>
    <x v="1"/>
    <x v="52"/>
    <x v="80"/>
    <x v="31"/>
    <s v="PyeongTaek2"/>
    <x v="104"/>
    <x v="1"/>
    <n v="5000000"/>
    <m/>
    <x v="90"/>
  </r>
  <r>
    <x v="1"/>
    <x v="52"/>
    <x v="58"/>
    <x v="32"/>
    <s v="Dansuk Industrial Ltd- Siwha"/>
    <x v="104"/>
    <x v="1"/>
    <n v="16706637"/>
    <m/>
    <x v="58"/>
  </r>
  <r>
    <x v="1"/>
    <x v="53"/>
    <x v="59"/>
    <x v="33"/>
    <s v="Milligan Biofuels Inc"/>
    <x v="59"/>
    <x v="1"/>
    <n v="5284016"/>
    <m/>
    <x v="59"/>
  </r>
  <r>
    <x v="1"/>
    <x v="54"/>
    <x v="81"/>
    <x v="34"/>
    <s v="JC CHEMICAL CO., LTD."/>
    <x v="60"/>
    <x v="1"/>
    <n v="33285679"/>
    <m/>
    <x v="60"/>
  </r>
  <r>
    <x v="1"/>
    <x v="55"/>
    <x v="61"/>
    <x v="3"/>
    <s v="SeQuential"/>
    <x v="105"/>
    <x v="1"/>
    <n v="10000000"/>
    <n v="17000000"/>
    <x v="61"/>
  </r>
  <r>
    <x v="1"/>
    <x v="56"/>
    <x v="62"/>
    <x v="13"/>
    <s v="REG Mason City, LLC"/>
    <x v="106"/>
    <x v="1"/>
    <n v="30000000"/>
    <n v="38479329"/>
    <x v="91"/>
  </r>
  <r>
    <x v="1"/>
    <x v="57"/>
    <x v="63"/>
    <x v="35"/>
    <s v="ADM Agri Industries"/>
    <x v="63"/>
    <x v="1"/>
    <n v="70000000"/>
    <m/>
    <x v="63"/>
  </r>
  <r>
    <x v="1"/>
    <x v="58"/>
    <x v="64"/>
    <x v="16"/>
    <s v="Hankinson Renewable Energy, LLC"/>
    <x v="107"/>
    <x v="0"/>
    <n v="145000000"/>
    <m/>
    <x v="64"/>
  </r>
  <r>
    <x v="1"/>
    <x v="59"/>
    <x v="65"/>
    <x v="19"/>
    <s v="REG Geismar, LLC"/>
    <x v="65"/>
    <x v="2"/>
    <n v="75000000"/>
    <m/>
    <x v="92"/>
  </r>
  <r>
    <x v="1"/>
    <x v="70"/>
    <x v="82"/>
    <x v="10"/>
    <s v="RING-NECK ENERGY &amp; FEED, LLC"/>
    <x v="108"/>
    <x v="0"/>
    <n v="105000000"/>
    <m/>
    <x v="93"/>
  </r>
  <r>
    <x v="1"/>
    <x v="60"/>
    <x v="66"/>
    <x v="20"/>
    <s v="Outer Loop High Btu Gas Plant"/>
    <x v="109"/>
    <x v="4"/>
    <n v="1178801445"/>
    <m/>
    <x v="94"/>
  </r>
  <r>
    <x v="1"/>
    <x v="60"/>
    <x v="67"/>
    <x v="21"/>
    <s v="WM Renewable Energy of Ohio - American"/>
    <x v="109"/>
    <x v="3"/>
    <n v="990193214"/>
    <m/>
    <x v="67"/>
  </r>
  <r>
    <x v="1"/>
    <x v="61"/>
    <x v="68"/>
    <x v="0"/>
    <s v="Beatrice"/>
    <x v="110"/>
    <x v="1"/>
    <n v="62500000"/>
    <m/>
    <x v="68"/>
  </r>
  <r>
    <x v="1"/>
    <x v="62"/>
    <x v="69"/>
    <x v="1"/>
    <s v="REG Grays Harbor, LLC"/>
    <x v="111"/>
    <x v="1"/>
    <n v="100000000"/>
    <n v="106695307"/>
    <x v="95"/>
  </r>
  <r>
    <x v="1"/>
    <x v="63"/>
    <x v="70"/>
    <x v="12"/>
    <s v="HPB St Joe Biodiesel LLC"/>
    <x v="112"/>
    <x v="1"/>
    <n v="30000000"/>
    <m/>
    <x v="96"/>
  </r>
  <r>
    <x v="1"/>
    <x v="63"/>
    <x v="22"/>
    <x v="12"/>
    <s v="HPB St Joe Biodiesel LLC"/>
    <x v="112"/>
    <x v="1"/>
    <n v="30000000"/>
    <m/>
    <x v="96"/>
  </r>
  <r>
    <x v="1"/>
    <x v="71"/>
    <x v="83"/>
    <x v="36"/>
    <s v="Meadow Branch"/>
    <x v="113"/>
    <x v="3"/>
    <n v="1385"/>
    <m/>
    <x v="97"/>
  </r>
  <r>
    <x v="1"/>
    <x v="64"/>
    <x v="71"/>
    <x v="22"/>
    <s v="Global Alternative Fuels LLC/Rio Valley Biofuels"/>
    <x v="114"/>
    <x v="1"/>
    <n v="15000000"/>
    <n v="15000000"/>
    <x v="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3">
  <r>
    <x v="0"/>
    <x v="0"/>
    <x v="0"/>
    <x v="0"/>
    <n v="45.230000000000004"/>
  </r>
  <r>
    <x v="0"/>
    <x v="0"/>
    <x v="0"/>
    <x v="1"/>
    <n v="119.55"/>
  </r>
  <r>
    <x v="0"/>
    <x v="0"/>
    <x v="1"/>
    <x v="0"/>
    <n v="35"/>
  </r>
  <r>
    <x v="0"/>
    <x v="0"/>
    <x v="2"/>
    <x v="0"/>
    <n v="100.77"/>
  </r>
  <r>
    <x v="0"/>
    <x v="0"/>
    <x v="3"/>
    <x v="0"/>
    <n v="99.64"/>
  </r>
  <r>
    <x v="0"/>
    <x v="0"/>
    <x v="3"/>
    <x v="2"/>
    <n v="98.64"/>
  </r>
  <r>
    <x v="0"/>
    <x v="0"/>
    <x v="3"/>
    <x v="1"/>
    <n v="129.49"/>
  </r>
  <r>
    <x v="0"/>
    <x v="0"/>
    <x v="4"/>
    <x v="0"/>
    <n v="39.380000000000003"/>
  </r>
  <r>
    <x v="0"/>
    <x v="0"/>
    <x v="4"/>
    <x v="1"/>
    <n v="129.65"/>
  </r>
  <r>
    <x v="0"/>
    <x v="0"/>
    <x v="5"/>
    <x v="3"/>
    <n v="3.4"/>
  </r>
  <r>
    <x v="0"/>
    <x v="0"/>
    <x v="6"/>
    <x v="3"/>
    <n v="0.9"/>
  </r>
  <r>
    <x v="0"/>
    <x v="0"/>
    <x v="7"/>
    <x v="0"/>
    <n v="120.27"/>
  </r>
  <r>
    <x v="0"/>
    <x v="0"/>
    <x v="7"/>
    <x v="1"/>
    <n v="3.6"/>
  </r>
  <r>
    <x v="0"/>
    <x v="0"/>
    <x v="8"/>
    <x v="0"/>
    <n v="60.877499999999998"/>
  </r>
  <r>
    <x v="0"/>
    <x v="0"/>
    <x v="8"/>
    <x v="1"/>
    <n v="81.510000000000005"/>
  </r>
  <r>
    <x v="0"/>
    <x v="0"/>
    <x v="9"/>
    <x v="0"/>
    <n v="79.930000000000007"/>
  </r>
  <r>
    <x v="0"/>
    <x v="0"/>
    <x v="9"/>
    <x v="1"/>
    <n v="0.98"/>
  </r>
  <r>
    <x v="0"/>
    <x v="0"/>
    <x v="10"/>
    <x v="1"/>
    <n v="76.84"/>
  </r>
  <r>
    <x v="0"/>
    <x v="0"/>
    <x v="11"/>
    <x v="0"/>
    <n v="98.62"/>
  </r>
  <r>
    <x v="0"/>
    <x v="0"/>
    <x v="11"/>
    <x v="2"/>
    <n v="97.63"/>
  </r>
  <r>
    <x v="0"/>
    <x v="0"/>
    <x v="11"/>
    <x v="1"/>
    <n v="116.09"/>
  </r>
  <r>
    <x v="0"/>
    <x v="0"/>
    <x v="12"/>
    <x v="0"/>
    <n v="100.77"/>
  </r>
  <r>
    <x v="0"/>
    <x v="0"/>
    <x v="12"/>
    <x v="1"/>
    <n v="116.09"/>
  </r>
  <r>
    <x v="0"/>
    <x v="0"/>
    <x v="13"/>
    <x v="1"/>
    <n v="123"/>
  </r>
  <r>
    <x v="0"/>
    <x v="0"/>
    <x v="14"/>
    <x v="2"/>
    <m/>
  </r>
  <r>
    <x v="0"/>
    <x v="0"/>
    <x v="14"/>
    <x v="1"/>
    <n v="0"/>
  </r>
  <r>
    <x v="0"/>
    <x v="0"/>
    <x v="15"/>
    <x v="3"/>
    <n v="3470"/>
  </r>
  <r>
    <x v="0"/>
    <x v="0"/>
    <x v="16"/>
    <x v="0"/>
    <n v="83.05"/>
  </r>
  <r>
    <x v="0"/>
    <x v="0"/>
    <x v="16"/>
    <x v="1"/>
    <n v="96.5"/>
  </r>
  <r>
    <x v="1"/>
    <x v="1"/>
    <x v="0"/>
    <x v="0"/>
    <n v="47.09"/>
  </r>
  <r>
    <x v="1"/>
    <x v="1"/>
    <x v="0"/>
    <x v="1"/>
    <n v="126.13"/>
  </r>
  <r>
    <x v="1"/>
    <x v="1"/>
    <x v="1"/>
    <x v="0"/>
    <n v="35"/>
  </r>
  <r>
    <x v="1"/>
    <x v="1"/>
    <x v="2"/>
    <x v="0"/>
    <n v="100.77"/>
  </r>
  <r>
    <x v="1"/>
    <x v="1"/>
    <x v="3"/>
    <x v="0"/>
    <n v="101.65"/>
  </r>
  <r>
    <x v="1"/>
    <x v="1"/>
    <x v="3"/>
    <x v="2"/>
    <n v="98.12"/>
  </r>
  <r>
    <x v="1"/>
    <x v="1"/>
    <x v="3"/>
    <x v="1"/>
    <n v="134.47999999999999"/>
  </r>
  <r>
    <x v="1"/>
    <x v="1"/>
    <x v="4"/>
    <x v="0"/>
    <n v="45.752499999999998"/>
  </r>
  <r>
    <x v="1"/>
    <x v="1"/>
    <x v="4"/>
    <x v="1"/>
    <n v="129.65"/>
  </r>
  <r>
    <x v="1"/>
    <x v="1"/>
    <x v="5"/>
    <x v="3"/>
    <n v="3.4"/>
  </r>
  <r>
    <x v="1"/>
    <x v="1"/>
    <x v="6"/>
    <x v="3"/>
    <n v="0.9"/>
  </r>
  <r>
    <x v="1"/>
    <x v="1"/>
    <x v="7"/>
    <x v="0"/>
    <n v="120.27"/>
  </r>
  <r>
    <x v="1"/>
    <x v="1"/>
    <x v="7"/>
    <x v="1"/>
    <n v="3.6"/>
  </r>
  <r>
    <x v="1"/>
    <x v="1"/>
    <x v="8"/>
    <x v="0"/>
    <n v="59.01863095238096"/>
  </r>
  <r>
    <x v="1"/>
    <x v="1"/>
    <x v="8"/>
    <x v="1"/>
    <n v="81.510000000000005"/>
  </r>
  <r>
    <x v="1"/>
    <x v="1"/>
    <x v="9"/>
    <x v="0"/>
    <n v="79.930000000000007"/>
  </r>
  <r>
    <x v="1"/>
    <x v="1"/>
    <x v="9"/>
    <x v="1"/>
    <n v="0.98"/>
  </r>
  <r>
    <x v="1"/>
    <x v="1"/>
    <x v="10"/>
    <x v="1"/>
    <n v="78.83"/>
  </r>
  <r>
    <x v="1"/>
    <x v="1"/>
    <x v="11"/>
    <x v="0"/>
    <n v="98.64"/>
  </r>
  <r>
    <x v="1"/>
    <x v="1"/>
    <x v="11"/>
    <x v="2"/>
    <n v="97.16"/>
  </r>
  <r>
    <x v="1"/>
    <x v="1"/>
    <x v="11"/>
    <x v="1"/>
    <n v="118.383"/>
  </r>
  <r>
    <x v="1"/>
    <x v="1"/>
    <x v="12"/>
    <x v="0"/>
    <n v="100.77"/>
  </r>
  <r>
    <x v="1"/>
    <x v="1"/>
    <x v="12"/>
    <x v="1"/>
    <n v="122.48"/>
  </r>
  <r>
    <x v="1"/>
    <x v="1"/>
    <x v="13"/>
    <x v="1"/>
    <n v="123"/>
  </r>
  <r>
    <x v="1"/>
    <x v="1"/>
    <x v="14"/>
    <x v="2"/>
    <m/>
  </r>
  <r>
    <x v="1"/>
    <x v="1"/>
    <x v="14"/>
    <x v="1"/>
    <n v="0"/>
  </r>
  <r>
    <x v="1"/>
    <x v="1"/>
    <x v="15"/>
    <x v="3"/>
    <n v="3470"/>
  </r>
  <r>
    <x v="1"/>
    <x v="1"/>
    <x v="16"/>
    <x v="0"/>
    <n v="83.05"/>
  </r>
  <r>
    <x v="1"/>
    <x v="1"/>
    <x v="16"/>
    <x v="1"/>
    <n v="89.63"/>
  </r>
  <r>
    <x v="2"/>
    <x v="1"/>
    <x v="3"/>
    <x v="4"/>
    <n v="-1.556351194E-2"/>
  </r>
  <r>
    <x v="2"/>
    <x v="1"/>
    <x v="17"/>
    <x v="4"/>
    <n v="0.01"/>
  </r>
  <r>
    <x v="2"/>
    <x v="1"/>
    <x v="11"/>
    <x v="4"/>
    <n v="4.5776239147999999E-3"/>
  </r>
  <r>
    <x v="2"/>
    <x v="1"/>
    <x v="16"/>
    <x v="4"/>
    <n v="2"/>
  </r>
  <r>
    <x v="2"/>
    <x v="1"/>
    <x v="18"/>
    <x v="4"/>
    <n v="0.14299109235999999"/>
  </r>
  <r>
    <x v="2"/>
    <x v="2"/>
    <x v="0"/>
    <x v="5"/>
    <n v="6.9000000000000006E-2"/>
  </r>
  <r>
    <x v="2"/>
    <x v="2"/>
    <x v="0"/>
    <x v="0"/>
    <n v="35.4"/>
  </r>
  <r>
    <x v="2"/>
    <x v="2"/>
    <x v="0"/>
    <x v="1"/>
    <n v="126.13"/>
  </r>
  <r>
    <x v="2"/>
    <x v="2"/>
    <x v="1"/>
    <x v="5"/>
    <n v="0.7"/>
  </r>
  <r>
    <x v="2"/>
    <x v="2"/>
    <x v="1"/>
    <x v="0"/>
    <n v="50"/>
  </r>
  <r>
    <x v="2"/>
    <x v="2"/>
    <x v="2"/>
    <x v="0"/>
    <n v="100.14"/>
  </r>
  <r>
    <x v="2"/>
    <x v="2"/>
    <x v="3"/>
    <x v="0"/>
    <n v="100.74"/>
  </r>
  <r>
    <x v="2"/>
    <x v="2"/>
    <x v="3"/>
    <x v="2"/>
    <n v="96.27"/>
  </r>
  <r>
    <x v="2"/>
    <x v="2"/>
    <x v="3"/>
    <x v="1"/>
    <n v="134.47999999999999"/>
  </r>
  <r>
    <x v="2"/>
    <x v="2"/>
    <x v="3"/>
    <x v="4"/>
    <n v="4.4104026435999996E-3"/>
  </r>
  <r>
    <x v="2"/>
    <x v="2"/>
    <x v="4"/>
    <x v="0"/>
    <n v="29.165339245815588"/>
  </r>
  <r>
    <x v="2"/>
    <x v="2"/>
    <x v="4"/>
    <x v="1"/>
    <n v="129.65"/>
  </r>
  <r>
    <x v="2"/>
    <x v="2"/>
    <x v="5"/>
    <x v="3"/>
    <n v="3.4"/>
  </r>
  <r>
    <x v="2"/>
    <x v="2"/>
    <x v="6"/>
    <x v="3"/>
    <n v="0.9"/>
  </r>
  <r>
    <x v="2"/>
    <x v="2"/>
    <x v="17"/>
    <x v="4"/>
    <n v="0.01"/>
  </r>
  <r>
    <x v="2"/>
    <x v="2"/>
    <x v="7"/>
    <x v="0"/>
    <n v="109.31"/>
  </r>
  <r>
    <x v="2"/>
    <x v="2"/>
    <x v="7"/>
    <x v="1"/>
    <n v="3.6"/>
  </r>
  <r>
    <x v="2"/>
    <x v="2"/>
    <x v="8"/>
    <x v="5"/>
    <n v="0.10100000000000001"/>
  </r>
  <r>
    <x v="2"/>
    <x v="2"/>
    <x v="8"/>
    <x v="0"/>
    <n v="57.76"/>
  </r>
  <r>
    <x v="2"/>
    <x v="2"/>
    <x v="8"/>
    <x v="1"/>
    <n v="81.510000000000005"/>
  </r>
  <r>
    <x v="2"/>
    <x v="2"/>
    <x v="9"/>
    <x v="0"/>
    <n v="79.98"/>
  </r>
  <r>
    <x v="2"/>
    <x v="2"/>
    <x v="9"/>
    <x v="1"/>
    <n v="0.98"/>
  </r>
  <r>
    <x v="2"/>
    <x v="2"/>
    <x v="10"/>
    <x v="1"/>
    <n v="78.83"/>
  </r>
  <r>
    <x v="2"/>
    <x v="2"/>
    <x v="11"/>
    <x v="0"/>
    <n v="100.14"/>
  </r>
  <r>
    <x v="2"/>
    <x v="2"/>
    <x v="11"/>
    <x v="2"/>
    <n v="95.61"/>
  </r>
  <r>
    <x v="2"/>
    <x v="2"/>
    <x v="11"/>
    <x v="1"/>
    <n v="122.48"/>
  </r>
  <r>
    <x v="2"/>
    <x v="2"/>
    <x v="11"/>
    <x v="4"/>
    <n v="4.8945290938999996E-3"/>
  </r>
  <r>
    <x v="2"/>
    <x v="2"/>
    <x v="12"/>
    <x v="0"/>
    <n v="100.14"/>
  </r>
  <r>
    <x v="2"/>
    <x v="2"/>
    <x v="12"/>
    <x v="1"/>
    <n v="122.48"/>
  </r>
  <r>
    <x v="2"/>
    <x v="2"/>
    <x v="13"/>
    <x v="1"/>
    <n v="120"/>
  </r>
  <r>
    <x v="2"/>
    <x v="2"/>
    <x v="14"/>
    <x v="2"/>
    <n v="90.8"/>
  </r>
  <r>
    <x v="2"/>
    <x v="2"/>
    <x v="14"/>
    <x v="1"/>
    <n v="126.37"/>
  </r>
  <r>
    <x v="2"/>
    <x v="2"/>
    <x v="15"/>
    <x v="3"/>
    <n v="3621"/>
  </r>
  <r>
    <x v="2"/>
    <x v="2"/>
    <x v="16"/>
    <x v="0"/>
    <n v="80.88"/>
  </r>
  <r>
    <x v="2"/>
    <x v="2"/>
    <x v="16"/>
    <x v="1"/>
    <n v="89.63"/>
  </r>
  <r>
    <x v="2"/>
    <x v="2"/>
    <x v="16"/>
    <x v="4"/>
    <n v="1"/>
  </r>
  <r>
    <x v="2"/>
    <x v="2"/>
    <x v="18"/>
    <x v="4"/>
    <n v="6.5668580803999996E-2"/>
  </r>
  <r>
    <x v="2"/>
    <x v="2"/>
    <x v="19"/>
    <x v="5"/>
    <n v="3.5000000000000003E-2"/>
  </r>
  <r>
    <x v="3"/>
    <x v="2"/>
    <x v="0"/>
    <x v="5"/>
    <n v="8.5999999999999993E-2"/>
  </r>
  <r>
    <x v="3"/>
    <x v="2"/>
    <x v="0"/>
    <x v="0"/>
    <n v="32.596249999999998"/>
  </r>
  <r>
    <x v="3"/>
    <x v="2"/>
    <x v="1"/>
    <x v="5"/>
    <n v="0.67500000000000004"/>
  </r>
  <r>
    <x v="3"/>
    <x v="2"/>
    <x v="1"/>
    <x v="0"/>
    <n v="49"/>
  </r>
  <r>
    <x v="3"/>
    <x v="2"/>
    <x v="3"/>
    <x v="4"/>
    <n v="-3.1046501075563837E-2"/>
  </r>
  <r>
    <x v="3"/>
    <x v="2"/>
    <x v="4"/>
    <x v="0"/>
    <n v="33.181249999999999"/>
  </r>
  <r>
    <x v="3"/>
    <x v="2"/>
    <x v="17"/>
    <x v="4"/>
    <n v="0.5"/>
  </r>
  <r>
    <x v="3"/>
    <x v="2"/>
    <x v="8"/>
    <x v="5"/>
    <n v="0.10100000000000001"/>
  </r>
  <r>
    <x v="3"/>
    <x v="2"/>
    <x v="8"/>
    <x v="0"/>
    <n v="52.83"/>
  </r>
  <r>
    <x v="3"/>
    <x v="2"/>
    <x v="11"/>
    <x v="4"/>
    <n v="-0.106"/>
  </r>
  <r>
    <x v="3"/>
    <x v="2"/>
    <x v="15"/>
    <x v="3"/>
    <n v="3020.9444372876028"/>
  </r>
  <r>
    <x v="3"/>
    <x v="2"/>
    <x v="16"/>
    <x v="4"/>
    <n v="1"/>
  </r>
  <r>
    <x v="3"/>
    <x v="2"/>
    <x v="18"/>
    <x v="4"/>
    <n v="0.1"/>
  </r>
  <r>
    <x v="3"/>
    <x v="2"/>
    <x v="19"/>
    <x v="5"/>
    <n v="4.2000000000000003E-2"/>
  </r>
  <r>
    <x v="3"/>
    <x v="3"/>
    <x v="0"/>
    <x v="5"/>
    <n v="9.6000000000000002E-2"/>
  </r>
  <r>
    <x v="3"/>
    <x v="3"/>
    <x v="0"/>
    <x v="0"/>
    <n v="26.5"/>
  </r>
  <r>
    <x v="3"/>
    <x v="3"/>
    <x v="0"/>
    <x v="1"/>
    <n v="126.13"/>
  </r>
  <r>
    <x v="3"/>
    <x v="3"/>
    <x v="1"/>
    <x v="5"/>
    <n v="0.75"/>
  </r>
  <r>
    <x v="3"/>
    <x v="3"/>
    <x v="1"/>
    <x v="0"/>
    <n v="49"/>
  </r>
  <r>
    <x v="3"/>
    <x v="3"/>
    <x v="2"/>
    <x v="0"/>
    <n v="100.14"/>
  </r>
  <r>
    <x v="3"/>
    <x v="3"/>
    <x v="3"/>
    <x v="0"/>
    <n v="100.74"/>
  </r>
  <r>
    <x v="3"/>
    <x v="3"/>
    <x v="3"/>
    <x v="2"/>
    <n v="95.29"/>
  </r>
  <r>
    <x v="3"/>
    <x v="3"/>
    <x v="3"/>
    <x v="1"/>
    <n v="134.47999999999999"/>
  </r>
  <r>
    <x v="3"/>
    <x v="3"/>
    <x v="3"/>
    <x v="4"/>
    <n v="4.6262661114707893E-2"/>
  </r>
  <r>
    <x v="3"/>
    <x v="3"/>
    <x v="4"/>
    <x v="0"/>
    <n v="27.2"/>
  </r>
  <r>
    <x v="3"/>
    <x v="3"/>
    <x v="4"/>
    <x v="1"/>
    <n v="129.65"/>
  </r>
  <r>
    <x v="3"/>
    <x v="3"/>
    <x v="5"/>
    <x v="3"/>
    <n v="3.4"/>
  </r>
  <r>
    <x v="3"/>
    <x v="3"/>
    <x v="6"/>
    <x v="3"/>
    <n v="0.9"/>
  </r>
  <r>
    <x v="3"/>
    <x v="3"/>
    <x v="17"/>
    <x v="4"/>
    <n v="0.75"/>
  </r>
  <r>
    <x v="3"/>
    <x v="3"/>
    <x v="7"/>
    <x v="0"/>
    <n v="107.92"/>
  </r>
  <r>
    <x v="3"/>
    <x v="3"/>
    <x v="7"/>
    <x v="1"/>
    <n v="3.6"/>
  </r>
  <r>
    <x v="3"/>
    <x v="3"/>
    <x v="8"/>
    <x v="5"/>
    <n v="0.10100000000000001"/>
  </r>
  <r>
    <x v="3"/>
    <x v="3"/>
    <x v="8"/>
    <x v="0"/>
    <n v="47.5"/>
  </r>
  <r>
    <x v="3"/>
    <x v="3"/>
    <x v="8"/>
    <x v="1"/>
    <n v="81.510000000000005"/>
  </r>
  <r>
    <x v="3"/>
    <x v="3"/>
    <x v="9"/>
    <x v="0"/>
    <n v="79.98"/>
  </r>
  <r>
    <x v="3"/>
    <x v="3"/>
    <x v="9"/>
    <x v="1"/>
    <n v="105.5"/>
  </r>
  <r>
    <x v="3"/>
    <x v="3"/>
    <x v="10"/>
    <x v="1"/>
    <n v="78.83"/>
  </r>
  <r>
    <x v="3"/>
    <x v="3"/>
    <x v="11"/>
    <x v="0"/>
    <n v="100.14"/>
  </r>
  <r>
    <x v="3"/>
    <x v="3"/>
    <x v="11"/>
    <x v="2"/>
    <n v="94.63"/>
  </r>
  <r>
    <x v="3"/>
    <x v="3"/>
    <x v="11"/>
    <x v="1"/>
    <n v="122.48"/>
  </r>
  <r>
    <x v="3"/>
    <x v="3"/>
    <x v="11"/>
    <x v="4"/>
    <n v="0.10299999999999999"/>
  </r>
  <r>
    <x v="3"/>
    <x v="3"/>
    <x v="12"/>
    <x v="0"/>
    <n v="98.16"/>
  </r>
  <r>
    <x v="3"/>
    <x v="3"/>
    <x v="12"/>
    <x v="1"/>
    <n v="122.48"/>
  </r>
  <r>
    <x v="3"/>
    <x v="3"/>
    <x v="13"/>
    <x v="1"/>
    <n v="120"/>
  </r>
  <r>
    <x v="3"/>
    <x v="3"/>
    <x v="14"/>
    <x v="2"/>
    <n v="90.8"/>
  </r>
  <r>
    <x v="3"/>
    <x v="3"/>
    <x v="14"/>
    <x v="1"/>
    <n v="126.37"/>
  </r>
  <r>
    <x v="3"/>
    <x v="3"/>
    <x v="15"/>
    <x v="3"/>
    <n v="3505.9444372876028"/>
  </r>
  <r>
    <x v="3"/>
    <x v="3"/>
    <x v="16"/>
    <x v="0"/>
    <n v="80.88"/>
  </r>
  <r>
    <x v="3"/>
    <x v="3"/>
    <x v="16"/>
    <x v="1"/>
    <n v="89.63"/>
  </r>
  <r>
    <x v="3"/>
    <x v="3"/>
    <x v="16"/>
    <x v="4"/>
    <n v="0.7"/>
  </r>
  <r>
    <x v="3"/>
    <x v="3"/>
    <x v="18"/>
    <x v="4"/>
    <n v="7.0000000000000007E-2"/>
  </r>
  <r>
    <x v="3"/>
    <x v="3"/>
    <x v="19"/>
    <x v="5"/>
    <n v="7.2999999999999995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37">
  <r>
    <x v="0"/>
    <x v="0"/>
    <x v="0"/>
    <n v="0"/>
    <x v="0"/>
    <x v="0"/>
  </r>
  <r>
    <x v="0"/>
    <x v="0"/>
    <x v="1"/>
    <n v="0"/>
    <x v="0"/>
    <x v="0"/>
  </r>
  <r>
    <x v="0"/>
    <x v="0"/>
    <x v="2"/>
    <n v="0"/>
    <x v="0"/>
    <x v="0"/>
  </r>
  <r>
    <x v="0"/>
    <x v="0"/>
    <x v="3"/>
    <n v="10"/>
    <x v="0"/>
    <x v="0"/>
  </r>
  <r>
    <x v="0"/>
    <x v="0"/>
    <x v="4"/>
    <n v="0"/>
    <x v="0"/>
    <x v="0"/>
  </r>
  <r>
    <x v="0"/>
    <x v="0"/>
    <x v="5"/>
    <n v="0"/>
    <x v="0"/>
    <x v="0"/>
  </r>
  <r>
    <x v="0"/>
    <x v="0"/>
    <x v="6"/>
    <n v="0"/>
    <x v="0"/>
    <x v="0"/>
  </r>
  <r>
    <x v="0"/>
    <x v="0"/>
    <x v="7"/>
    <n v="0"/>
    <x v="0"/>
    <x v="0"/>
  </r>
  <r>
    <x v="0"/>
    <x v="0"/>
    <x v="8"/>
    <n v="0"/>
    <x v="0"/>
    <x v="0"/>
  </r>
  <r>
    <x v="0"/>
    <x v="0"/>
    <x v="9"/>
    <n v="0"/>
    <x v="0"/>
    <x v="0"/>
  </r>
  <r>
    <x v="0"/>
    <x v="0"/>
    <x v="10"/>
    <n v="0"/>
    <x v="0"/>
    <x v="0"/>
  </r>
  <r>
    <x v="0"/>
    <x v="0"/>
    <x v="11"/>
    <n v="0"/>
    <x v="0"/>
    <x v="0"/>
  </r>
  <r>
    <x v="0"/>
    <x v="0"/>
    <x v="12"/>
    <n v="0"/>
    <x v="0"/>
    <x v="0"/>
  </r>
  <r>
    <x v="0"/>
    <x v="0"/>
    <x v="13"/>
    <n v="43"/>
    <x v="0"/>
    <x v="0"/>
  </r>
  <r>
    <x v="0"/>
    <x v="0"/>
    <x v="14"/>
    <n v="0"/>
    <x v="0"/>
    <x v="0"/>
  </r>
  <r>
    <x v="0"/>
    <x v="0"/>
    <x v="15"/>
    <n v="0"/>
    <x v="0"/>
    <x v="0"/>
  </r>
  <r>
    <x v="0"/>
    <x v="0"/>
    <x v="16"/>
    <n v="0"/>
    <x v="0"/>
    <x v="0"/>
  </r>
  <r>
    <x v="1"/>
    <x v="0"/>
    <x v="8"/>
    <n v="0"/>
    <x v="0"/>
    <x v="0"/>
  </r>
  <r>
    <x v="1"/>
    <x v="0"/>
    <x v="16"/>
    <n v="0"/>
    <x v="0"/>
    <x v="0"/>
  </r>
  <r>
    <x v="1"/>
    <x v="0"/>
    <x v="10"/>
    <n v="0"/>
    <x v="0"/>
    <x v="0"/>
  </r>
  <r>
    <x v="1"/>
    <x v="0"/>
    <x v="1"/>
    <n v="0"/>
    <x v="0"/>
    <x v="0"/>
  </r>
  <r>
    <x v="1"/>
    <x v="0"/>
    <x v="15"/>
    <n v="0"/>
    <x v="0"/>
    <x v="0"/>
  </r>
  <r>
    <x v="1"/>
    <x v="0"/>
    <x v="6"/>
    <n v="0"/>
    <x v="0"/>
    <x v="0"/>
  </r>
  <r>
    <x v="1"/>
    <x v="0"/>
    <x v="12"/>
    <n v="0"/>
    <x v="0"/>
    <x v="0"/>
  </r>
  <r>
    <x v="1"/>
    <x v="0"/>
    <x v="3"/>
    <n v="0"/>
    <x v="0"/>
    <x v="0"/>
  </r>
  <r>
    <x v="1"/>
    <x v="0"/>
    <x v="9"/>
    <n v="0"/>
    <x v="0"/>
    <x v="0"/>
  </r>
  <r>
    <x v="1"/>
    <x v="0"/>
    <x v="0"/>
    <n v="0"/>
    <x v="0"/>
    <x v="0"/>
  </r>
  <r>
    <x v="1"/>
    <x v="0"/>
    <x v="13"/>
    <n v="0"/>
    <x v="0"/>
    <x v="0"/>
  </r>
  <r>
    <x v="1"/>
    <x v="0"/>
    <x v="5"/>
    <n v="0"/>
    <x v="0"/>
    <x v="0"/>
  </r>
  <r>
    <x v="1"/>
    <x v="0"/>
    <x v="7"/>
    <n v="0"/>
    <x v="0"/>
    <x v="0"/>
  </r>
  <r>
    <x v="1"/>
    <x v="0"/>
    <x v="4"/>
    <n v="0"/>
    <x v="0"/>
    <x v="0"/>
  </r>
  <r>
    <x v="1"/>
    <x v="0"/>
    <x v="2"/>
    <n v="0"/>
    <x v="0"/>
    <x v="0"/>
  </r>
  <r>
    <x v="1"/>
    <x v="0"/>
    <x v="11"/>
    <n v="0"/>
    <x v="0"/>
    <x v="0"/>
  </r>
  <r>
    <x v="1"/>
    <x v="0"/>
    <x v="14"/>
    <n v="0"/>
    <x v="0"/>
    <x v="0"/>
  </r>
  <r>
    <x v="2"/>
    <x v="0"/>
    <x v="3"/>
    <n v="27631"/>
    <x v="0"/>
    <x v="0"/>
  </r>
  <r>
    <x v="2"/>
    <x v="0"/>
    <x v="5"/>
    <n v="0"/>
    <x v="0"/>
    <x v="0"/>
  </r>
  <r>
    <x v="2"/>
    <x v="0"/>
    <x v="2"/>
    <n v="0"/>
    <x v="0"/>
    <x v="0"/>
  </r>
  <r>
    <x v="2"/>
    <x v="0"/>
    <x v="0"/>
    <n v="0"/>
    <x v="0"/>
    <x v="0"/>
  </r>
  <r>
    <x v="2"/>
    <x v="0"/>
    <x v="12"/>
    <n v="0"/>
    <x v="0"/>
    <x v="0"/>
  </r>
  <r>
    <x v="2"/>
    <x v="0"/>
    <x v="1"/>
    <n v="0"/>
    <x v="0"/>
    <x v="0"/>
  </r>
  <r>
    <x v="2"/>
    <x v="0"/>
    <x v="16"/>
    <n v="0"/>
    <x v="0"/>
    <x v="0"/>
  </r>
  <r>
    <x v="2"/>
    <x v="0"/>
    <x v="15"/>
    <n v="0"/>
    <x v="0"/>
    <x v="0"/>
  </r>
  <r>
    <x v="2"/>
    <x v="0"/>
    <x v="6"/>
    <n v="0"/>
    <x v="0"/>
    <x v="0"/>
  </r>
  <r>
    <x v="2"/>
    <x v="0"/>
    <x v="9"/>
    <n v="0"/>
    <x v="0"/>
    <x v="0"/>
  </r>
  <r>
    <x v="2"/>
    <x v="0"/>
    <x v="4"/>
    <n v="0"/>
    <x v="0"/>
    <x v="0"/>
  </r>
  <r>
    <x v="2"/>
    <x v="0"/>
    <x v="11"/>
    <n v="0"/>
    <x v="0"/>
    <x v="0"/>
  </r>
  <r>
    <x v="2"/>
    <x v="0"/>
    <x v="7"/>
    <n v="0"/>
    <x v="0"/>
    <x v="0"/>
  </r>
  <r>
    <x v="2"/>
    <x v="0"/>
    <x v="10"/>
    <n v="0"/>
    <x v="0"/>
    <x v="0"/>
  </r>
  <r>
    <x v="2"/>
    <x v="0"/>
    <x v="14"/>
    <n v="0"/>
    <x v="0"/>
    <x v="0"/>
  </r>
  <r>
    <x v="2"/>
    <x v="0"/>
    <x v="8"/>
    <n v="0"/>
    <x v="0"/>
    <x v="0"/>
  </r>
  <r>
    <x v="2"/>
    <x v="0"/>
    <x v="13"/>
    <n v="76765"/>
    <x v="0"/>
    <x v="0"/>
  </r>
  <r>
    <x v="0"/>
    <x v="1"/>
    <x v="8"/>
    <n v="0"/>
    <x v="1"/>
    <x v="0"/>
  </r>
  <r>
    <x v="0"/>
    <x v="1"/>
    <x v="1"/>
    <n v="0"/>
    <x v="1"/>
    <x v="0"/>
  </r>
  <r>
    <x v="0"/>
    <x v="1"/>
    <x v="15"/>
    <n v="0"/>
    <x v="1"/>
    <x v="0"/>
  </r>
  <r>
    <x v="0"/>
    <x v="1"/>
    <x v="11"/>
    <n v="1182"/>
    <x v="1"/>
    <x v="0"/>
  </r>
  <r>
    <x v="0"/>
    <x v="1"/>
    <x v="7"/>
    <n v="1268"/>
    <x v="1"/>
    <x v="0"/>
  </r>
  <r>
    <x v="0"/>
    <x v="1"/>
    <x v="16"/>
    <n v="0"/>
    <x v="1"/>
    <x v="0"/>
  </r>
  <r>
    <x v="0"/>
    <x v="1"/>
    <x v="12"/>
    <n v="0"/>
    <x v="1"/>
    <x v="0"/>
  </r>
  <r>
    <x v="0"/>
    <x v="1"/>
    <x v="0"/>
    <n v="0"/>
    <x v="1"/>
    <x v="0"/>
  </r>
  <r>
    <x v="0"/>
    <x v="1"/>
    <x v="9"/>
    <n v="0"/>
    <x v="1"/>
    <x v="0"/>
  </r>
  <r>
    <x v="0"/>
    <x v="1"/>
    <x v="10"/>
    <n v="0"/>
    <x v="1"/>
    <x v="0"/>
  </r>
  <r>
    <x v="0"/>
    <x v="1"/>
    <x v="5"/>
    <n v="0"/>
    <x v="1"/>
    <x v="0"/>
  </r>
  <r>
    <x v="0"/>
    <x v="1"/>
    <x v="14"/>
    <n v="1235"/>
    <x v="1"/>
    <x v="0"/>
  </r>
  <r>
    <x v="0"/>
    <x v="1"/>
    <x v="2"/>
    <n v="0"/>
    <x v="1"/>
    <x v="0"/>
  </r>
  <r>
    <x v="0"/>
    <x v="1"/>
    <x v="6"/>
    <n v="0"/>
    <x v="1"/>
    <x v="0"/>
  </r>
  <r>
    <x v="0"/>
    <x v="1"/>
    <x v="4"/>
    <n v="0"/>
    <x v="1"/>
    <x v="0"/>
  </r>
  <r>
    <x v="0"/>
    <x v="1"/>
    <x v="13"/>
    <n v="0"/>
    <x v="1"/>
    <x v="0"/>
  </r>
  <r>
    <x v="0"/>
    <x v="1"/>
    <x v="3"/>
    <n v="0"/>
    <x v="1"/>
    <x v="0"/>
  </r>
  <r>
    <x v="1"/>
    <x v="1"/>
    <x v="11"/>
    <n v="0"/>
    <x v="1"/>
    <x v="0"/>
  </r>
  <r>
    <x v="1"/>
    <x v="1"/>
    <x v="15"/>
    <n v="0"/>
    <x v="1"/>
    <x v="0"/>
  </r>
  <r>
    <x v="1"/>
    <x v="1"/>
    <x v="5"/>
    <n v="0"/>
    <x v="1"/>
    <x v="0"/>
  </r>
  <r>
    <x v="1"/>
    <x v="1"/>
    <x v="1"/>
    <n v="0"/>
    <x v="1"/>
    <x v="0"/>
  </r>
  <r>
    <x v="1"/>
    <x v="1"/>
    <x v="8"/>
    <n v="0"/>
    <x v="1"/>
    <x v="0"/>
  </r>
  <r>
    <x v="1"/>
    <x v="1"/>
    <x v="9"/>
    <n v="0"/>
    <x v="1"/>
    <x v="0"/>
  </r>
  <r>
    <x v="1"/>
    <x v="1"/>
    <x v="2"/>
    <n v="0"/>
    <x v="1"/>
    <x v="0"/>
  </r>
  <r>
    <x v="1"/>
    <x v="1"/>
    <x v="14"/>
    <n v="0"/>
    <x v="1"/>
    <x v="0"/>
  </r>
  <r>
    <x v="1"/>
    <x v="1"/>
    <x v="3"/>
    <n v="0"/>
    <x v="1"/>
    <x v="0"/>
  </r>
  <r>
    <x v="1"/>
    <x v="1"/>
    <x v="7"/>
    <n v="0"/>
    <x v="1"/>
    <x v="0"/>
  </r>
  <r>
    <x v="1"/>
    <x v="1"/>
    <x v="13"/>
    <n v="0"/>
    <x v="1"/>
    <x v="0"/>
  </r>
  <r>
    <x v="1"/>
    <x v="1"/>
    <x v="4"/>
    <n v="0"/>
    <x v="1"/>
    <x v="0"/>
  </r>
  <r>
    <x v="1"/>
    <x v="1"/>
    <x v="12"/>
    <n v="0"/>
    <x v="1"/>
    <x v="0"/>
  </r>
  <r>
    <x v="1"/>
    <x v="1"/>
    <x v="6"/>
    <n v="0"/>
    <x v="1"/>
    <x v="0"/>
  </r>
  <r>
    <x v="1"/>
    <x v="1"/>
    <x v="0"/>
    <n v="0"/>
    <x v="1"/>
    <x v="0"/>
  </r>
  <r>
    <x v="1"/>
    <x v="1"/>
    <x v="10"/>
    <n v="0"/>
    <x v="1"/>
    <x v="0"/>
  </r>
  <r>
    <x v="1"/>
    <x v="1"/>
    <x v="16"/>
    <n v="0"/>
    <x v="1"/>
    <x v="0"/>
  </r>
  <r>
    <x v="2"/>
    <x v="1"/>
    <x v="9"/>
    <n v="0"/>
    <x v="1"/>
    <x v="0"/>
  </r>
  <r>
    <x v="2"/>
    <x v="1"/>
    <x v="11"/>
    <n v="217376"/>
    <x v="1"/>
    <x v="0"/>
  </r>
  <r>
    <x v="2"/>
    <x v="1"/>
    <x v="4"/>
    <n v="0"/>
    <x v="1"/>
    <x v="0"/>
  </r>
  <r>
    <x v="2"/>
    <x v="1"/>
    <x v="6"/>
    <n v="0"/>
    <x v="1"/>
    <x v="0"/>
  </r>
  <r>
    <x v="2"/>
    <x v="1"/>
    <x v="15"/>
    <n v="0"/>
    <x v="1"/>
    <x v="0"/>
  </r>
  <r>
    <x v="2"/>
    <x v="1"/>
    <x v="7"/>
    <n v="229264"/>
    <x v="1"/>
    <x v="0"/>
  </r>
  <r>
    <x v="2"/>
    <x v="1"/>
    <x v="10"/>
    <n v="0"/>
    <x v="1"/>
    <x v="0"/>
  </r>
  <r>
    <x v="2"/>
    <x v="1"/>
    <x v="8"/>
    <n v="0"/>
    <x v="1"/>
    <x v="0"/>
  </r>
  <r>
    <x v="2"/>
    <x v="1"/>
    <x v="14"/>
    <n v="223209"/>
    <x v="1"/>
    <x v="0"/>
  </r>
  <r>
    <x v="2"/>
    <x v="1"/>
    <x v="13"/>
    <n v="0"/>
    <x v="1"/>
    <x v="0"/>
  </r>
  <r>
    <x v="2"/>
    <x v="1"/>
    <x v="5"/>
    <n v="0"/>
    <x v="1"/>
    <x v="0"/>
  </r>
  <r>
    <x v="2"/>
    <x v="1"/>
    <x v="12"/>
    <n v="0"/>
    <x v="1"/>
    <x v="0"/>
  </r>
  <r>
    <x v="2"/>
    <x v="1"/>
    <x v="3"/>
    <n v="0"/>
    <x v="1"/>
    <x v="0"/>
  </r>
  <r>
    <x v="2"/>
    <x v="1"/>
    <x v="16"/>
    <n v="0"/>
    <x v="1"/>
    <x v="0"/>
  </r>
  <r>
    <x v="2"/>
    <x v="1"/>
    <x v="0"/>
    <n v="0"/>
    <x v="1"/>
    <x v="0"/>
  </r>
  <r>
    <x v="2"/>
    <x v="1"/>
    <x v="2"/>
    <n v="0"/>
    <x v="1"/>
    <x v="0"/>
  </r>
  <r>
    <x v="2"/>
    <x v="1"/>
    <x v="1"/>
    <n v="0"/>
    <x v="1"/>
    <x v="0"/>
  </r>
  <r>
    <x v="2"/>
    <x v="2"/>
    <x v="6"/>
    <n v="0"/>
    <x v="0"/>
    <x v="0"/>
  </r>
  <r>
    <x v="2"/>
    <x v="2"/>
    <x v="3"/>
    <n v="429380"/>
    <x v="0"/>
    <x v="0"/>
  </r>
  <r>
    <x v="2"/>
    <x v="2"/>
    <x v="8"/>
    <n v="368794"/>
    <x v="0"/>
    <x v="0"/>
  </r>
  <r>
    <x v="2"/>
    <x v="2"/>
    <x v="2"/>
    <n v="362447"/>
    <x v="0"/>
    <x v="0"/>
  </r>
  <r>
    <x v="2"/>
    <x v="2"/>
    <x v="5"/>
    <n v="402283"/>
    <x v="0"/>
    <x v="0"/>
  </r>
  <r>
    <x v="2"/>
    <x v="2"/>
    <x v="4"/>
    <n v="187421"/>
    <x v="0"/>
    <x v="0"/>
  </r>
  <r>
    <x v="2"/>
    <x v="2"/>
    <x v="16"/>
    <n v="322942"/>
    <x v="0"/>
    <x v="0"/>
  </r>
  <r>
    <x v="2"/>
    <x v="2"/>
    <x v="13"/>
    <n v="457503"/>
    <x v="0"/>
    <x v="0"/>
  </r>
  <r>
    <x v="2"/>
    <x v="2"/>
    <x v="14"/>
    <n v="530766"/>
    <x v="0"/>
    <x v="0"/>
  </r>
  <r>
    <x v="2"/>
    <x v="2"/>
    <x v="7"/>
    <n v="495990"/>
    <x v="0"/>
    <x v="0"/>
  </r>
  <r>
    <x v="2"/>
    <x v="2"/>
    <x v="0"/>
    <n v="319232"/>
    <x v="0"/>
    <x v="0"/>
  </r>
  <r>
    <x v="2"/>
    <x v="2"/>
    <x v="10"/>
    <n v="0"/>
    <x v="0"/>
    <x v="0"/>
  </r>
  <r>
    <x v="2"/>
    <x v="2"/>
    <x v="1"/>
    <n v="218045"/>
    <x v="0"/>
    <x v="0"/>
  </r>
  <r>
    <x v="2"/>
    <x v="2"/>
    <x v="11"/>
    <n v="586566"/>
    <x v="0"/>
    <x v="0"/>
  </r>
  <r>
    <x v="2"/>
    <x v="2"/>
    <x v="15"/>
    <n v="423939"/>
    <x v="0"/>
    <x v="0"/>
  </r>
  <r>
    <x v="2"/>
    <x v="2"/>
    <x v="9"/>
    <n v="336127"/>
    <x v="0"/>
    <x v="0"/>
  </r>
  <r>
    <x v="2"/>
    <x v="2"/>
    <x v="12"/>
    <n v="471796"/>
    <x v="0"/>
    <x v="0"/>
  </r>
  <r>
    <x v="2"/>
    <x v="3"/>
    <x v="6"/>
    <n v="11352077"/>
    <x v="2"/>
    <x v="0"/>
  </r>
  <r>
    <x v="2"/>
    <x v="3"/>
    <x v="1"/>
    <n v="13039026"/>
    <x v="2"/>
    <x v="0"/>
  </r>
  <r>
    <x v="2"/>
    <x v="3"/>
    <x v="13"/>
    <n v="13232817"/>
    <x v="2"/>
    <x v="0"/>
  </r>
  <r>
    <x v="2"/>
    <x v="3"/>
    <x v="7"/>
    <n v="16834451"/>
    <x v="2"/>
    <x v="0"/>
  </r>
  <r>
    <x v="2"/>
    <x v="3"/>
    <x v="14"/>
    <n v="14838494"/>
    <x v="2"/>
    <x v="0"/>
  </r>
  <r>
    <x v="2"/>
    <x v="3"/>
    <x v="4"/>
    <n v="10796089"/>
    <x v="2"/>
    <x v="0"/>
  </r>
  <r>
    <x v="2"/>
    <x v="3"/>
    <x v="10"/>
    <n v="11117694"/>
    <x v="2"/>
    <x v="0"/>
  </r>
  <r>
    <x v="2"/>
    <x v="3"/>
    <x v="9"/>
    <n v="11378429"/>
    <x v="2"/>
    <x v="0"/>
  </r>
  <r>
    <x v="2"/>
    <x v="3"/>
    <x v="3"/>
    <n v="11225046"/>
    <x v="2"/>
    <x v="0"/>
  </r>
  <r>
    <x v="2"/>
    <x v="3"/>
    <x v="0"/>
    <n v="9021643"/>
    <x v="2"/>
    <x v="0"/>
  </r>
  <r>
    <x v="2"/>
    <x v="3"/>
    <x v="15"/>
    <n v="13379247"/>
    <x v="2"/>
    <x v="0"/>
  </r>
  <r>
    <x v="2"/>
    <x v="3"/>
    <x v="5"/>
    <n v="14093558"/>
    <x v="2"/>
    <x v="0"/>
  </r>
  <r>
    <x v="2"/>
    <x v="3"/>
    <x v="16"/>
    <n v="13217757"/>
    <x v="2"/>
    <x v="0"/>
  </r>
  <r>
    <x v="2"/>
    <x v="3"/>
    <x v="8"/>
    <n v="14938034"/>
    <x v="2"/>
    <x v="0"/>
  </r>
  <r>
    <x v="2"/>
    <x v="3"/>
    <x v="12"/>
    <n v="16375170"/>
    <x v="2"/>
    <x v="0"/>
  </r>
  <r>
    <x v="2"/>
    <x v="3"/>
    <x v="2"/>
    <n v="14465304"/>
    <x v="2"/>
    <x v="0"/>
  </r>
  <r>
    <x v="2"/>
    <x v="3"/>
    <x v="11"/>
    <n v="15543670"/>
    <x v="2"/>
    <x v="0"/>
  </r>
  <r>
    <x v="2"/>
    <x v="4"/>
    <x v="0"/>
    <n v="99904"/>
    <x v="0"/>
    <x v="0"/>
  </r>
  <r>
    <x v="2"/>
    <x v="4"/>
    <x v="2"/>
    <n v="104296"/>
    <x v="0"/>
    <x v="0"/>
  </r>
  <r>
    <x v="2"/>
    <x v="4"/>
    <x v="5"/>
    <n v="33816"/>
    <x v="0"/>
    <x v="0"/>
  </r>
  <r>
    <x v="2"/>
    <x v="4"/>
    <x v="13"/>
    <n v="81027"/>
    <x v="0"/>
    <x v="0"/>
  </r>
  <r>
    <x v="2"/>
    <x v="4"/>
    <x v="11"/>
    <n v="61614"/>
    <x v="0"/>
    <x v="0"/>
  </r>
  <r>
    <x v="2"/>
    <x v="4"/>
    <x v="10"/>
    <n v="81346"/>
    <x v="0"/>
    <x v="0"/>
  </r>
  <r>
    <x v="2"/>
    <x v="4"/>
    <x v="15"/>
    <n v="115353"/>
    <x v="0"/>
    <x v="0"/>
  </r>
  <r>
    <x v="2"/>
    <x v="4"/>
    <x v="9"/>
    <n v="92354"/>
    <x v="0"/>
    <x v="0"/>
  </r>
  <r>
    <x v="2"/>
    <x v="4"/>
    <x v="7"/>
    <n v="60935"/>
    <x v="0"/>
    <x v="0"/>
  </r>
  <r>
    <x v="2"/>
    <x v="4"/>
    <x v="16"/>
    <n v="111748"/>
    <x v="0"/>
    <x v="0"/>
  </r>
  <r>
    <x v="2"/>
    <x v="4"/>
    <x v="1"/>
    <n v="98006"/>
    <x v="0"/>
    <x v="0"/>
  </r>
  <r>
    <x v="2"/>
    <x v="4"/>
    <x v="12"/>
    <n v="83726"/>
    <x v="0"/>
    <x v="0"/>
  </r>
  <r>
    <x v="2"/>
    <x v="4"/>
    <x v="6"/>
    <n v="88727"/>
    <x v="0"/>
    <x v="0"/>
  </r>
  <r>
    <x v="2"/>
    <x v="4"/>
    <x v="14"/>
    <n v="75549"/>
    <x v="0"/>
    <x v="0"/>
  </r>
  <r>
    <x v="2"/>
    <x v="4"/>
    <x v="4"/>
    <n v="84406"/>
    <x v="0"/>
    <x v="0"/>
  </r>
  <r>
    <x v="2"/>
    <x v="4"/>
    <x v="8"/>
    <n v="105494"/>
    <x v="0"/>
    <x v="0"/>
  </r>
  <r>
    <x v="2"/>
    <x v="4"/>
    <x v="3"/>
    <n v="74326"/>
    <x v="0"/>
    <x v="0"/>
  </r>
  <r>
    <x v="2"/>
    <x v="5"/>
    <x v="11"/>
    <n v="140391429"/>
    <x v="2"/>
    <x v="1"/>
  </r>
  <r>
    <x v="2"/>
    <x v="5"/>
    <x v="3"/>
    <n v="173032637"/>
    <x v="2"/>
    <x v="1"/>
  </r>
  <r>
    <x v="2"/>
    <x v="5"/>
    <x v="1"/>
    <n v="184857170"/>
    <x v="2"/>
    <x v="1"/>
  </r>
  <r>
    <x v="2"/>
    <x v="5"/>
    <x v="12"/>
    <n v="166966084"/>
    <x v="2"/>
    <x v="1"/>
  </r>
  <r>
    <x v="2"/>
    <x v="5"/>
    <x v="7"/>
    <n v="188285348"/>
    <x v="2"/>
    <x v="1"/>
  </r>
  <r>
    <x v="2"/>
    <x v="5"/>
    <x v="13"/>
    <n v="172090033"/>
    <x v="2"/>
    <x v="1"/>
  </r>
  <r>
    <x v="2"/>
    <x v="5"/>
    <x v="9"/>
    <n v="163444238"/>
    <x v="2"/>
    <x v="1"/>
  </r>
  <r>
    <x v="2"/>
    <x v="5"/>
    <x v="14"/>
    <n v="178472968"/>
    <x v="2"/>
    <x v="1"/>
  </r>
  <r>
    <x v="2"/>
    <x v="5"/>
    <x v="10"/>
    <n v="157527795"/>
    <x v="2"/>
    <x v="1"/>
  </r>
  <r>
    <x v="2"/>
    <x v="5"/>
    <x v="2"/>
    <n v="193041955"/>
    <x v="2"/>
    <x v="1"/>
  </r>
  <r>
    <x v="2"/>
    <x v="5"/>
    <x v="16"/>
    <n v="184672867"/>
    <x v="2"/>
    <x v="1"/>
  </r>
  <r>
    <x v="2"/>
    <x v="5"/>
    <x v="0"/>
    <n v="139034459"/>
    <x v="2"/>
    <x v="1"/>
  </r>
  <r>
    <x v="2"/>
    <x v="5"/>
    <x v="15"/>
    <n v="184704352"/>
    <x v="2"/>
    <x v="1"/>
  </r>
  <r>
    <x v="2"/>
    <x v="5"/>
    <x v="4"/>
    <n v="161965588"/>
    <x v="2"/>
    <x v="1"/>
  </r>
  <r>
    <x v="2"/>
    <x v="5"/>
    <x v="8"/>
    <n v="208439341"/>
    <x v="2"/>
    <x v="1"/>
  </r>
  <r>
    <x v="2"/>
    <x v="5"/>
    <x v="5"/>
    <n v="161603867"/>
    <x v="2"/>
    <x v="1"/>
  </r>
  <r>
    <x v="2"/>
    <x v="5"/>
    <x v="6"/>
    <n v="190754692"/>
    <x v="2"/>
    <x v="1"/>
  </r>
  <r>
    <x v="2"/>
    <x v="6"/>
    <x v="3"/>
    <n v="-1915"/>
    <x v="2"/>
    <x v="1"/>
  </r>
  <r>
    <x v="2"/>
    <x v="6"/>
    <x v="0"/>
    <n v="0"/>
    <x v="2"/>
    <x v="1"/>
  </r>
  <r>
    <x v="2"/>
    <x v="6"/>
    <x v="8"/>
    <n v="0"/>
    <x v="2"/>
    <x v="1"/>
  </r>
  <r>
    <x v="2"/>
    <x v="6"/>
    <x v="11"/>
    <n v="-29358"/>
    <x v="2"/>
    <x v="1"/>
  </r>
  <r>
    <x v="2"/>
    <x v="6"/>
    <x v="9"/>
    <n v="0"/>
    <x v="2"/>
    <x v="1"/>
  </r>
  <r>
    <x v="2"/>
    <x v="6"/>
    <x v="1"/>
    <n v="0"/>
    <x v="2"/>
    <x v="1"/>
  </r>
  <r>
    <x v="2"/>
    <x v="6"/>
    <x v="16"/>
    <n v="16659"/>
    <x v="2"/>
    <x v="1"/>
  </r>
  <r>
    <x v="2"/>
    <x v="6"/>
    <x v="5"/>
    <n v="0"/>
    <x v="2"/>
    <x v="1"/>
  </r>
  <r>
    <x v="2"/>
    <x v="6"/>
    <x v="15"/>
    <n v="0"/>
    <x v="2"/>
    <x v="1"/>
  </r>
  <r>
    <x v="2"/>
    <x v="6"/>
    <x v="12"/>
    <n v="-6563"/>
    <x v="2"/>
    <x v="1"/>
  </r>
  <r>
    <x v="2"/>
    <x v="6"/>
    <x v="14"/>
    <n v="-5258"/>
    <x v="2"/>
    <x v="1"/>
  </r>
  <r>
    <x v="2"/>
    <x v="6"/>
    <x v="10"/>
    <n v="0"/>
    <x v="2"/>
    <x v="1"/>
  </r>
  <r>
    <x v="2"/>
    <x v="6"/>
    <x v="4"/>
    <n v="0"/>
    <x v="2"/>
    <x v="1"/>
  </r>
  <r>
    <x v="2"/>
    <x v="6"/>
    <x v="7"/>
    <n v="-7587"/>
    <x v="2"/>
    <x v="1"/>
  </r>
  <r>
    <x v="2"/>
    <x v="6"/>
    <x v="13"/>
    <n v="0"/>
    <x v="2"/>
    <x v="1"/>
  </r>
  <r>
    <x v="2"/>
    <x v="6"/>
    <x v="6"/>
    <n v="0"/>
    <x v="2"/>
    <x v="1"/>
  </r>
  <r>
    <x v="2"/>
    <x v="6"/>
    <x v="2"/>
    <n v="0"/>
    <x v="2"/>
    <x v="1"/>
  </r>
  <r>
    <x v="2"/>
    <x v="7"/>
    <x v="11"/>
    <n v="-2767599"/>
    <x v="2"/>
    <x v="1"/>
  </r>
  <r>
    <x v="2"/>
    <x v="7"/>
    <x v="5"/>
    <n v="2358476"/>
    <x v="2"/>
    <x v="1"/>
  </r>
  <r>
    <x v="2"/>
    <x v="7"/>
    <x v="8"/>
    <n v="-3865648"/>
    <x v="2"/>
    <x v="1"/>
  </r>
  <r>
    <x v="2"/>
    <x v="7"/>
    <x v="9"/>
    <n v="2169583"/>
    <x v="2"/>
    <x v="1"/>
  </r>
  <r>
    <x v="2"/>
    <x v="7"/>
    <x v="10"/>
    <n v="921340"/>
    <x v="2"/>
    <x v="1"/>
  </r>
  <r>
    <x v="2"/>
    <x v="7"/>
    <x v="3"/>
    <n v="1815092"/>
    <x v="2"/>
    <x v="1"/>
  </r>
  <r>
    <x v="2"/>
    <x v="7"/>
    <x v="0"/>
    <n v="1604260"/>
    <x v="2"/>
    <x v="1"/>
  </r>
  <r>
    <x v="2"/>
    <x v="7"/>
    <x v="4"/>
    <n v="-76495"/>
    <x v="2"/>
    <x v="1"/>
  </r>
  <r>
    <x v="2"/>
    <x v="7"/>
    <x v="15"/>
    <n v="369644"/>
    <x v="2"/>
    <x v="1"/>
  </r>
  <r>
    <x v="2"/>
    <x v="7"/>
    <x v="6"/>
    <n v="10272272"/>
    <x v="2"/>
    <x v="1"/>
  </r>
  <r>
    <x v="2"/>
    <x v="7"/>
    <x v="16"/>
    <n v="-3232199"/>
    <x v="2"/>
    <x v="1"/>
  </r>
  <r>
    <x v="2"/>
    <x v="7"/>
    <x v="14"/>
    <n v="1063480"/>
    <x v="2"/>
    <x v="1"/>
  </r>
  <r>
    <x v="2"/>
    <x v="7"/>
    <x v="12"/>
    <n v="2970595"/>
    <x v="2"/>
    <x v="1"/>
  </r>
  <r>
    <x v="2"/>
    <x v="7"/>
    <x v="7"/>
    <n v="3828923"/>
    <x v="2"/>
    <x v="1"/>
  </r>
  <r>
    <x v="2"/>
    <x v="7"/>
    <x v="2"/>
    <n v="71965"/>
    <x v="2"/>
    <x v="1"/>
  </r>
  <r>
    <x v="2"/>
    <x v="7"/>
    <x v="1"/>
    <n v="-556919"/>
    <x v="2"/>
    <x v="1"/>
  </r>
  <r>
    <x v="2"/>
    <x v="7"/>
    <x v="13"/>
    <n v="-4155248"/>
    <x v="2"/>
    <x v="1"/>
  </r>
  <r>
    <x v="2"/>
    <x v="8"/>
    <x v="1"/>
    <n v="0"/>
    <x v="3"/>
    <x v="0"/>
  </r>
  <r>
    <x v="2"/>
    <x v="8"/>
    <x v="0"/>
    <n v="0"/>
    <x v="3"/>
    <x v="0"/>
  </r>
  <r>
    <x v="2"/>
    <x v="8"/>
    <x v="16"/>
    <n v="422832"/>
    <x v="3"/>
    <x v="0"/>
  </r>
  <r>
    <x v="2"/>
    <x v="8"/>
    <x v="4"/>
    <n v="431079"/>
    <x v="3"/>
    <x v="0"/>
  </r>
  <r>
    <x v="2"/>
    <x v="8"/>
    <x v="9"/>
    <n v="0"/>
    <x v="3"/>
    <x v="0"/>
  </r>
  <r>
    <x v="2"/>
    <x v="8"/>
    <x v="8"/>
    <n v="440204"/>
    <x v="3"/>
    <x v="0"/>
  </r>
  <r>
    <x v="2"/>
    <x v="8"/>
    <x v="11"/>
    <n v="690934"/>
    <x v="3"/>
    <x v="0"/>
  </r>
  <r>
    <x v="2"/>
    <x v="8"/>
    <x v="2"/>
    <n v="0"/>
    <x v="3"/>
    <x v="0"/>
  </r>
  <r>
    <x v="2"/>
    <x v="8"/>
    <x v="12"/>
    <n v="490452"/>
    <x v="3"/>
    <x v="0"/>
  </r>
  <r>
    <x v="2"/>
    <x v="8"/>
    <x v="13"/>
    <n v="433671"/>
    <x v="3"/>
    <x v="0"/>
  </r>
  <r>
    <x v="2"/>
    <x v="8"/>
    <x v="3"/>
    <n v="477625"/>
    <x v="3"/>
    <x v="0"/>
  </r>
  <r>
    <x v="2"/>
    <x v="8"/>
    <x v="7"/>
    <n v="605468"/>
    <x v="3"/>
    <x v="0"/>
  </r>
  <r>
    <x v="2"/>
    <x v="8"/>
    <x v="10"/>
    <n v="0"/>
    <x v="3"/>
    <x v="0"/>
  </r>
  <r>
    <x v="2"/>
    <x v="8"/>
    <x v="5"/>
    <n v="0"/>
    <x v="3"/>
    <x v="0"/>
  </r>
  <r>
    <x v="2"/>
    <x v="8"/>
    <x v="14"/>
    <n v="647036"/>
    <x v="3"/>
    <x v="0"/>
  </r>
  <r>
    <x v="2"/>
    <x v="8"/>
    <x v="6"/>
    <n v="0"/>
    <x v="3"/>
    <x v="0"/>
  </r>
  <r>
    <x v="2"/>
    <x v="8"/>
    <x v="15"/>
    <n v="0"/>
    <x v="3"/>
    <x v="0"/>
  </r>
  <r>
    <x v="2"/>
    <x v="9"/>
    <x v="1"/>
    <n v="15031"/>
    <x v="3"/>
    <x v="0"/>
  </r>
  <r>
    <x v="2"/>
    <x v="9"/>
    <x v="16"/>
    <n v="26424"/>
    <x v="3"/>
    <x v="0"/>
  </r>
  <r>
    <x v="2"/>
    <x v="9"/>
    <x v="15"/>
    <n v="18144"/>
    <x v="3"/>
    <x v="0"/>
  </r>
  <r>
    <x v="2"/>
    <x v="9"/>
    <x v="4"/>
    <n v="18643"/>
    <x v="3"/>
    <x v="0"/>
  </r>
  <r>
    <x v="2"/>
    <x v="9"/>
    <x v="2"/>
    <n v="24117"/>
    <x v="3"/>
    <x v="0"/>
  </r>
  <r>
    <x v="2"/>
    <x v="9"/>
    <x v="14"/>
    <n v="69198"/>
    <x v="3"/>
    <x v="0"/>
  </r>
  <r>
    <x v="2"/>
    <x v="9"/>
    <x v="13"/>
    <n v="43869"/>
    <x v="3"/>
    <x v="0"/>
  </r>
  <r>
    <x v="2"/>
    <x v="9"/>
    <x v="7"/>
    <n v="70193"/>
    <x v="3"/>
    <x v="0"/>
  </r>
  <r>
    <x v="2"/>
    <x v="9"/>
    <x v="10"/>
    <n v="10979"/>
    <x v="3"/>
    <x v="0"/>
  </r>
  <r>
    <x v="2"/>
    <x v="9"/>
    <x v="6"/>
    <n v="7061"/>
    <x v="3"/>
    <x v="0"/>
  </r>
  <r>
    <x v="2"/>
    <x v="9"/>
    <x v="12"/>
    <n v="54052"/>
    <x v="3"/>
    <x v="0"/>
  </r>
  <r>
    <x v="2"/>
    <x v="9"/>
    <x v="0"/>
    <n v="14322"/>
    <x v="3"/>
    <x v="0"/>
  </r>
  <r>
    <x v="2"/>
    <x v="9"/>
    <x v="5"/>
    <n v="22967"/>
    <x v="3"/>
    <x v="0"/>
  </r>
  <r>
    <x v="2"/>
    <x v="9"/>
    <x v="3"/>
    <n v="43384"/>
    <x v="3"/>
    <x v="0"/>
  </r>
  <r>
    <x v="2"/>
    <x v="9"/>
    <x v="11"/>
    <n v="54381"/>
    <x v="3"/>
    <x v="0"/>
  </r>
  <r>
    <x v="2"/>
    <x v="9"/>
    <x v="8"/>
    <n v="34852"/>
    <x v="3"/>
    <x v="0"/>
  </r>
  <r>
    <x v="2"/>
    <x v="9"/>
    <x v="9"/>
    <n v="14084"/>
    <x v="3"/>
    <x v="0"/>
  </r>
  <r>
    <x v="2"/>
    <x v="10"/>
    <x v="4"/>
    <n v="8411434"/>
    <x v="4"/>
    <x v="0"/>
  </r>
  <r>
    <x v="2"/>
    <x v="10"/>
    <x v="2"/>
    <n v="9212448"/>
    <x v="4"/>
    <x v="0"/>
  </r>
  <r>
    <x v="2"/>
    <x v="10"/>
    <x v="10"/>
    <n v="10636624"/>
    <x v="4"/>
    <x v="0"/>
  </r>
  <r>
    <x v="2"/>
    <x v="10"/>
    <x v="14"/>
    <n v="13891154"/>
    <x v="4"/>
    <x v="0"/>
  </r>
  <r>
    <x v="2"/>
    <x v="10"/>
    <x v="0"/>
    <n v="9776863"/>
    <x v="4"/>
    <x v="0"/>
  </r>
  <r>
    <x v="2"/>
    <x v="10"/>
    <x v="5"/>
    <n v="8937202"/>
    <x v="4"/>
    <x v="0"/>
  </r>
  <r>
    <x v="2"/>
    <x v="10"/>
    <x v="12"/>
    <n v="9379218"/>
    <x v="4"/>
    <x v="0"/>
  </r>
  <r>
    <x v="2"/>
    <x v="10"/>
    <x v="7"/>
    <n v="14044376"/>
    <x v="4"/>
    <x v="0"/>
  </r>
  <r>
    <x v="2"/>
    <x v="10"/>
    <x v="6"/>
    <n v="10084584"/>
    <x v="4"/>
    <x v="0"/>
  </r>
  <r>
    <x v="2"/>
    <x v="10"/>
    <x v="15"/>
    <n v="9310276"/>
    <x v="4"/>
    <x v="0"/>
  </r>
  <r>
    <x v="2"/>
    <x v="10"/>
    <x v="1"/>
    <n v="9704693"/>
    <x v="4"/>
    <x v="0"/>
  </r>
  <r>
    <x v="2"/>
    <x v="10"/>
    <x v="3"/>
    <n v="7797055"/>
    <x v="4"/>
    <x v="0"/>
  </r>
  <r>
    <x v="2"/>
    <x v="10"/>
    <x v="11"/>
    <n v="12830798"/>
    <x v="4"/>
    <x v="0"/>
  </r>
  <r>
    <x v="2"/>
    <x v="10"/>
    <x v="13"/>
    <n v="8795011"/>
    <x v="4"/>
    <x v="0"/>
  </r>
  <r>
    <x v="2"/>
    <x v="10"/>
    <x v="9"/>
    <n v="10227805"/>
    <x v="4"/>
    <x v="0"/>
  </r>
  <r>
    <x v="2"/>
    <x v="10"/>
    <x v="16"/>
    <n v="8861240"/>
    <x v="4"/>
    <x v="0"/>
  </r>
  <r>
    <x v="2"/>
    <x v="10"/>
    <x v="8"/>
    <n v="9273634"/>
    <x v="4"/>
    <x v="0"/>
  </r>
  <r>
    <x v="2"/>
    <x v="11"/>
    <x v="6"/>
    <n v="14139186"/>
    <x v="4"/>
    <x v="0"/>
  </r>
  <r>
    <x v="2"/>
    <x v="11"/>
    <x v="13"/>
    <n v="30617772"/>
    <x v="4"/>
    <x v="0"/>
  </r>
  <r>
    <x v="2"/>
    <x v="11"/>
    <x v="8"/>
    <n v="29679739"/>
    <x v="4"/>
    <x v="0"/>
  </r>
  <r>
    <x v="2"/>
    <x v="11"/>
    <x v="3"/>
    <n v="26435068"/>
    <x v="4"/>
    <x v="0"/>
  </r>
  <r>
    <x v="2"/>
    <x v="11"/>
    <x v="7"/>
    <n v="30484265"/>
    <x v="4"/>
    <x v="0"/>
  </r>
  <r>
    <x v="2"/>
    <x v="11"/>
    <x v="15"/>
    <n v="17354390"/>
    <x v="4"/>
    <x v="0"/>
  </r>
  <r>
    <x v="2"/>
    <x v="11"/>
    <x v="14"/>
    <n v="27523886"/>
    <x v="4"/>
    <x v="0"/>
  </r>
  <r>
    <x v="2"/>
    <x v="11"/>
    <x v="1"/>
    <n v="16763834"/>
    <x v="4"/>
    <x v="0"/>
  </r>
  <r>
    <x v="2"/>
    <x v="11"/>
    <x v="4"/>
    <n v="23044585"/>
    <x v="4"/>
    <x v="0"/>
  </r>
  <r>
    <x v="2"/>
    <x v="11"/>
    <x v="16"/>
    <n v="24546488"/>
    <x v="4"/>
    <x v="0"/>
  </r>
  <r>
    <x v="2"/>
    <x v="11"/>
    <x v="5"/>
    <n v="22286606"/>
    <x v="4"/>
    <x v="0"/>
  </r>
  <r>
    <x v="2"/>
    <x v="11"/>
    <x v="11"/>
    <n v="24343383"/>
    <x v="4"/>
    <x v="0"/>
  </r>
  <r>
    <x v="2"/>
    <x v="11"/>
    <x v="2"/>
    <n v="15301245"/>
    <x v="4"/>
    <x v="0"/>
  </r>
  <r>
    <x v="2"/>
    <x v="11"/>
    <x v="0"/>
    <n v="12743468"/>
    <x v="4"/>
    <x v="0"/>
  </r>
  <r>
    <x v="2"/>
    <x v="11"/>
    <x v="12"/>
    <n v="27263997"/>
    <x v="4"/>
    <x v="0"/>
  </r>
  <r>
    <x v="2"/>
    <x v="11"/>
    <x v="10"/>
    <n v="13543571"/>
    <x v="4"/>
    <x v="0"/>
  </r>
  <r>
    <x v="2"/>
    <x v="11"/>
    <x v="9"/>
    <n v="11612820"/>
    <x v="4"/>
    <x v="0"/>
  </r>
  <r>
    <x v="2"/>
    <x v="12"/>
    <x v="10"/>
    <n v="16846719"/>
    <x v="4"/>
    <x v="0"/>
  </r>
  <r>
    <x v="2"/>
    <x v="12"/>
    <x v="8"/>
    <n v="5968474"/>
    <x v="4"/>
    <x v="0"/>
  </r>
  <r>
    <x v="2"/>
    <x v="12"/>
    <x v="0"/>
    <n v="15727391"/>
    <x v="4"/>
    <x v="0"/>
  </r>
  <r>
    <x v="2"/>
    <x v="12"/>
    <x v="4"/>
    <n v="8661266"/>
    <x v="4"/>
    <x v="0"/>
  </r>
  <r>
    <x v="2"/>
    <x v="12"/>
    <x v="12"/>
    <n v="5458262"/>
    <x v="4"/>
    <x v="0"/>
  </r>
  <r>
    <x v="2"/>
    <x v="12"/>
    <x v="1"/>
    <n v="19851146"/>
    <x v="4"/>
    <x v="0"/>
  </r>
  <r>
    <x v="2"/>
    <x v="12"/>
    <x v="15"/>
    <n v="14239785"/>
    <x v="4"/>
    <x v="0"/>
  </r>
  <r>
    <x v="2"/>
    <x v="12"/>
    <x v="16"/>
    <n v="4791519"/>
    <x v="4"/>
    <x v="0"/>
  </r>
  <r>
    <x v="2"/>
    <x v="12"/>
    <x v="9"/>
    <n v="15078450"/>
    <x v="4"/>
    <x v="0"/>
  </r>
  <r>
    <x v="2"/>
    <x v="12"/>
    <x v="14"/>
    <n v="323008"/>
    <x v="4"/>
    <x v="0"/>
  </r>
  <r>
    <x v="2"/>
    <x v="12"/>
    <x v="5"/>
    <n v="9236517"/>
    <x v="4"/>
    <x v="0"/>
  </r>
  <r>
    <x v="2"/>
    <x v="12"/>
    <x v="7"/>
    <n v="962825"/>
    <x v="4"/>
    <x v="0"/>
  </r>
  <r>
    <x v="2"/>
    <x v="12"/>
    <x v="2"/>
    <n v="21952322"/>
    <x v="4"/>
    <x v="0"/>
  </r>
  <r>
    <x v="2"/>
    <x v="12"/>
    <x v="11"/>
    <n v="8231"/>
    <x v="4"/>
    <x v="0"/>
  </r>
  <r>
    <x v="2"/>
    <x v="12"/>
    <x v="3"/>
    <n v="2402287"/>
    <x v="4"/>
    <x v="0"/>
  </r>
  <r>
    <x v="2"/>
    <x v="12"/>
    <x v="6"/>
    <n v="24779263"/>
    <x v="4"/>
    <x v="0"/>
  </r>
  <r>
    <x v="2"/>
    <x v="12"/>
    <x v="13"/>
    <n v="2689426"/>
    <x v="4"/>
    <x v="0"/>
  </r>
  <r>
    <x v="2"/>
    <x v="13"/>
    <x v="16"/>
    <n v="0"/>
    <x v="4"/>
    <x v="0"/>
  </r>
  <r>
    <x v="2"/>
    <x v="13"/>
    <x v="1"/>
    <n v="341382"/>
    <x v="4"/>
    <x v="0"/>
  </r>
  <r>
    <x v="2"/>
    <x v="13"/>
    <x v="2"/>
    <n v="0"/>
    <x v="4"/>
    <x v="0"/>
  </r>
  <r>
    <x v="2"/>
    <x v="13"/>
    <x v="10"/>
    <n v="0"/>
    <x v="4"/>
    <x v="0"/>
  </r>
  <r>
    <x v="2"/>
    <x v="13"/>
    <x v="4"/>
    <n v="0"/>
    <x v="4"/>
    <x v="0"/>
  </r>
  <r>
    <x v="2"/>
    <x v="13"/>
    <x v="9"/>
    <n v="0"/>
    <x v="4"/>
    <x v="0"/>
  </r>
  <r>
    <x v="2"/>
    <x v="13"/>
    <x v="14"/>
    <n v="172797"/>
    <x v="4"/>
    <x v="0"/>
  </r>
  <r>
    <x v="2"/>
    <x v="13"/>
    <x v="7"/>
    <n v="0"/>
    <x v="4"/>
    <x v="0"/>
  </r>
  <r>
    <x v="2"/>
    <x v="13"/>
    <x v="0"/>
    <n v="0"/>
    <x v="4"/>
    <x v="0"/>
  </r>
  <r>
    <x v="2"/>
    <x v="13"/>
    <x v="15"/>
    <n v="0"/>
    <x v="4"/>
    <x v="0"/>
  </r>
  <r>
    <x v="2"/>
    <x v="13"/>
    <x v="3"/>
    <n v="0"/>
    <x v="4"/>
    <x v="0"/>
  </r>
  <r>
    <x v="2"/>
    <x v="13"/>
    <x v="6"/>
    <n v="1219304"/>
    <x v="4"/>
    <x v="0"/>
  </r>
  <r>
    <x v="2"/>
    <x v="13"/>
    <x v="13"/>
    <n v="0"/>
    <x v="4"/>
    <x v="0"/>
  </r>
  <r>
    <x v="2"/>
    <x v="13"/>
    <x v="8"/>
    <n v="0"/>
    <x v="4"/>
    <x v="0"/>
  </r>
  <r>
    <x v="2"/>
    <x v="13"/>
    <x v="5"/>
    <n v="0"/>
    <x v="4"/>
    <x v="0"/>
  </r>
  <r>
    <x v="2"/>
    <x v="13"/>
    <x v="11"/>
    <n v="0"/>
    <x v="4"/>
    <x v="0"/>
  </r>
  <r>
    <x v="2"/>
    <x v="13"/>
    <x v="12"/>
    <n v="298937"/>
    <x v="4"/>
    <x v="0"/>
  </r>
  <r>
    <x v="2"/>
    <x v="14"/>
    <x v="2"/>
    <n v="249111"/>
    <x v="0"/>
    <x v="0"/>
  </r>
  <r>
    <x v="2"/>
    <x v="14"/>
    <x v="6"/>
    <n v="47944"/>
    <x v="0"/>
    <x v="0"/>
  </r>
  <r>
    <x v="2"/>
    <x v="14"/>
    <x v="5"/>
    <n v="205210"/>
    <x v="0"/>
    <x v="0"/>
  </r>
  <r>
    <x v="2"/>
    <x v="14"/>
    <x v="14"/>
    <n v="375705"/>
    <x v="0"/>
    <x v="0"/>
  </r>
  <r>
    <x v="2"/>
    <x v="14"/>
    <x v="7"/>
    <n v="360620"/>
    <x v="0"/>
    <x v="0"/>
  </r>
  <r>
    <x v="2"/>
    <x v="14"/>
    <x v="11"/>
    <n v="339900"/>
    <x v="0"/>
    <x v="0"/>
  </r>
  <r>
    <x v="2"/>
    <x v="14"/>
    <x v="12"/>
    <n v="328445"/>
    <x v="0"/>
    <x v="0"/>
  </r>
  <r>
    <x v="2"/>
    <x v="14"/>
    <x v="9"/>
    <n v="212524"/>
    <x v="0"/>
    <x v="0"/>
  </r>
  <r>
    <x v="2"/>
    <x v="14"/>
    <x v="4"/>
    <n v="384241"/>
    <x v="0"/>
    <x v="0"/>
  </r>
  <r>
    <x v="2"/>
    <x v="14"/>
    <x v="10"/>
    <n v="83529"/>
    <x v="0"/>
    <x v="0"/>
  </r>
  <r>
    <x v="2"/>
    <x v="14"/>
    <x v="16"/>
    <n v="347101"/>
    <x v="0"/>
    <x v="0"/>
  </r>
  <r>
    <x v="2"/>
    <x v="14"/>
    <x v="1"/>
    <n v="253637"/>
    <x v="0"/>
    <x v="0"/>
  </r>
  <r>
    <x v="2"/>
    <x v="14"/>
    <x v="8"/>
    <n v="377295"/>
    <x v="0"/>
    <x v="0"/>
  </r>
  <r>
    <x v="2"/>
    <x v="14"/>
    <x v="13"/>
    <n v="274978"/>
    <x v="0"/>
    <x v="0"/>
  </r>
  <r>
    <x v="2"/>
    <x v="14"/>
    <x v="0"/>
    <n v="234492"/>
    <x v="0"/>
    <x v="0"/>
  </r>
  <r>
    <x v="2"/>
    <x v="14"/>
    <x v="15"/>
    <n v="224761"/>
    <x v="0"/>
    <x v="0"/>
  </r>
  <r>
    <x v="2"/>
    <x v="14"/>
    <x v="3"/>
    <n v="301548"/>
    <x v="0"/>
    <x v="0"/>
  </r>
  <r>
    <x v="2"/>
    <x v="15"/>
    <x v="16"/>
    <n v="396147902"/>
    <x v="5"/>
    <x v="1"/>
  </r>
  <r>
    <x v="2"/>
    <x v="15"/>
    <x v="8"/>
    <n v="389448668"/>
    <x v="5"/>
    <x v="1"/>
  </r>
  <r>
    <x v="2"/>
    <x v="15"/>
    <x v="13"/>
    <n v="366263564"/>
    <x v="5"/>
    <x v="1"/>
  </r>
  <r>
    <x v="2"/>
    <x v="15"/>
    <x v="0"/>
    <n v="263889421"/>
    <x v="5"/>
    <x v="1"/>
  </r>
  <r>
    <x v="2"/>
    <x v="15"/>
    <x v="6"/>
    <n v="375239852"/>
    <x v="5"/>
    <x v="1"/>
  </r>
  <r>
    <x v="2"/>
    <x v="15"/>
    <x v="5"/>
    <n v="357091065"/>
    <x v="5"/>
    <x v="1"/>
  </r>
  <r>
    <x v="2"/>
    <x v="15"/>
    <x v="3"/>
    <n v="354689704"/>
    <x v="5"/>
    <x v="1"/>
  </r>
  <r>
    <x v="2"/>
    <x v="15"/>
    <x v="11"/>
    <n v="338253997"/>
    <x v="5"/>
    <x v="1"/>
  </r>
  <r>
    <x v="2"/>
    <x v="15"/>
    <x v="9"/>
    <n v="320334675"/>
    <x v="5"/>
    <x v="1"/>
  </r>
  <r>
    <x v="2"/>
    <x v="15"/>
    <x v="14"/>
    <n v="386761381"/>
    <x v="5"/>
    <x v="1"/>
  </r>
  <r>
    <x v="2"/>
    <x v="15"/>
    <x v="12"/>
    <n v="375127081"/>
    <x v="5"/>
    <x v="1"/>
  </r>
  <r>
    <x v="2"/>
    <x v="15"/>
    <x v="15"/>
    <n v="350623417"/>
    <x v="5"/>
    <x v="1"/>
  </r>
  <r>
    <x v="2"/>
    <x v="15"/>
    <x v="4"/>
    <n v="321842960"/>
    <x v="5"/>
    <x v="1"/>
  </r>
  <r>
    <x v="2"/>
    <x v="15"/>
    <x v="10"/>
    <n v="326790235"/>
    <x v="5"/>
    <x v="1"/>
  </r>
  <r>
    <x v="2"/>
    <x v="15"/>
    <x v="7"/>
    <n v="380415507"/>
    <x v="5"/>
    <x v="1"/>
  </r>
  <r>
    <x v="2"/>
    <x v="15"/>
    <x v="1"/>
    <n v="377613067"/>
    <x v="5"/>
    <x v="1"/>
  </r>
  <r>
    <x v="2"/>
    <x v="15"/>
    <x v="2"/>
    <n v="398951677"/>
    <x v="5"/>
    <x v="1"/>
  </r>
  <r>
    <x v="2"/>
    <x v="16"/>
    <x v="0"/>
    <n v="14509698"/>
    <x v="5"/>
    <x v="1"/>
  </r>
  <r>
    <x v="2"/>
    <x v="16"/>
    <x v="9"/>
    <n v="16620980"/>
    <x v="5"/>
    <x v="1"/>
  </r>
  <r>
    <x v="2"/>
    <x v="16"/>
    <x v="7"/>
    <n v="17125773"/>
    <x v="5"/>
    <x v="1"/>
  </r>
  <r>
    <x v="2"/>
    <x v="16"/>
    <x v="11"/>
    <n v="-7482271"/>
    <x v="5"/>
    <x v="1"/>
  </r>
  <r>
    <x v="2"/>
    <x v="16"/>
    <x v="3"/>
    <n v="18822249"/>
    <x v="5"/>
    <x v="1"/>
  </r>
  <r>
    <x v="2"/>
    <x v="16"/>
    <x v="6"/>
    <n v="5664418"/>
    <x v="5"/>
    <x v="1"/>
  </r>
  <r>
    <x v="2"/>
    <x v="16"/>
    <x v="14"/>
    <n v="16280993"/>
    <x v="5"/>
    <x v="1"/>
  </r>
  <r>
    <x v="2"/>
    <x v="16"/>
    <x v="12"/>
    <n v="19942800"/>
    <x v="5"/>
    <x v="1"/>
  </r>
  <r>
    <x v="2"/>
    <x v="16"/>
    <x v="16"/>
    <n v="19980354"/>
    <x v="5"/>
    <x v="1"/>
  </r>
  <r>
    <x v="2"/>
    <x v="16"/>
    <x v="8"/>
    <n v="18477360"/>
    <x v="5"/>
    <x v="1"/>
  </r>
  <r>
    <x v="2"/>
    <x v="16"/>
    <x v="10"/>
    <n v="310003"/>
    <x v="5"/>
    <x v="1"/>
  </r>
  <r>
    <x v="2"/>
    <x v="16"/>
    <x v="1"/>
    <n v="918335"/>
    <x v="5"/>
    <x v="1"/>
  </r>
  <r>
    <x v="2"/>
    <x v="16"/>
    <x v="5"/>
    <n v="19055464"/>
    <x v="5"/>
    <x v="1"/>
  </r>
  <r>
    <x v="2"/>
    <x v="16"/>
    <x v="15"/>
    <n v="18438774"/>
    <x v="5"/>
    <x v="1"/>
  </r>
  <r>
    <x v="2"/>
    <x v="16"/>
    <x v="2"/>
    <n v="25851542"/>
    <x v="5"/>
    <x v="1"/>
  </r>
  <r>
    <x v="2"/>
    <x v="16"/>
    <x v="4"/>
    <n v="17542433"/>
    <x v="5"/>
    <x v="1"/>
  </r>
  <r>
    <x v="2"/>
    <x v="16"/>
    <x v="13"/>
    <n v="12979878"/>
    <x v="5"/>
    <x v="1"/>
  </r>
  <r>
    <x v="2"/>
    <x v="17"/>
    <x v="16"/>
    <n v="152677"/>
    <x v="1"/>
    <x v="0"/>
  </r>
  <r>
    <x v="2"/>
    <x v="17"/>
    <x v="2"/>
    <n v="24333"/>
    <x v="1"/>
    <x v="0"/>
  </r>
  <r>
    <x v="2"/>
    <x v="17"/>
    <x v="10"/>
    <n v="18876"/>
    <x v="1"/>
    <x v="0"/>
  </r>
  <r>
    <x v="2"/>
    <x v="17"/>
    <x v="8"/>
    <n v="162962"/>
    <x v="1"/>
    <x v="0"/>
  </r>
  <r>
    <x v="2"/>
    <x v="17"/>
    <x v="5"/>
    <n v="39627"/>
    <x v="1"/>
    <x v="0"/>
  </r>
  <r>
    <x v="2"/>
    <x v="17"/>
    <x v="14"/>
    <n v="485144"/>
    <x v="1"/>
    <x v="0"/>
  </r>
  <r>
    <x v="2"/>
    <x v="17"/>
    <x v="1"/>
    <n v="7995"/>
    <x v="1"/>
    <x v="0"/>
  </r>
  <r>
    <x v="2"/>
    <x v="17"/>
    <x v="4"/>
    <n v="138064"/>
    <x v="1"/>
    <x v="0"/>
  </r>
  <r>
    <x v="2"/>
    <x v="17"/>
    <x v="15"/>
    <n v="43505"/>
    <x v="1"/>
    <x v="0"/>
  </r>
  <r>
    <x v="2"/>
    <x v="17"/>
    <x v="13"/>
    <n v="286715"/>
    <x v="1"/>
    <x v="0"/>
  </r>
  <r>
    <x v="2"/>
    <x v="17"/>
    <x v="3"/>
    <n v="495110"/>
    <x v="1"/>
    <x v="0"/>
  </r>
  <r>
    <x v="2"/>
    <x v="17"/>
    <x v="12"/>
    <n v="365157"/>
    <x v="1"/>
    <x v="0"/>
  </r>
  <r>
    <x v="2"/>
    <x v="17"/>
    <x v="11"/>
    <n v="458192"/>
    <x v="1"/>
    <x v="0"/>
  </r>
  <r>
    <x v="2"/>
    <x v="17"/>
    <x v="9"/>
    <n v="19358"/>
    <x v="1"/>
    <x v="0"/>
  </r>
  <r>
    <x v="2"/>
    <x v="17"/>
    <x v="0"/>
    <n v="20826"/>
    <x v="1"/>
    <x v="0"/>
  </r>
  <r>
    <x v="2"/>
    <x v="17"/>
    <x v="7"/>
    <n v="257693"/>
    <x v="1"/>
    <x v="0"/>
  </r>
  <r>
    <x v="2"/>
    <x v="17"/>
    <x v="6"/>
    <n v="18821"/>
    <x v="1"/>
    <x v="0"/>
  </r>
  <r>
    <x v="2"/>
    <x v="18"/>
    <x v="14"/>
    <n v="4743246"/>
    <x v="2"/>
    <x v="0"/>
  </r>
  <r>
    <x v="2"/>
    <x v="18"/>
    <x v="16"/>
    <n v="202848"/>
    <x v="2"/>
    <x v="0"/>
  </r>
  <r>
    <x v="2"/>
    <x v="18"/>
    <x v="3"/>
    <n v="161527"/>
    <x v="2"/>
    <x v="0"/>
  </r>
  <r>
    <x v="2"/>
    <x v="18"/>
    <x v="10"/>
    <n v="0"/>
    <x v="2"/>
    <x v="0"/>
  </r>
  <r>
    <x v="2"/>
    <x v="18"/>
    <x v="5"/>
    <n v="337496"/>
    <x v="2"/>
    <x v="0"/>
  </r>
  <r>
    <x v="2"/>
    <x v="18"/>
    <x v="7"/>
    <n v="11311233"/>
    <x v="2"/>
    <x v="0"/>
  </r>
  <r>
    <x v="2"/>
    <x v="18"/>
    <x v="2"/>
    <n v="0"/>
    <x v="2"/>
    <x v="0"/>
  </r>
  <r>
    <x v="2"/>
    <x v="18"/>
    <x v="15"/>
    <n v="0"/>
    <x v="2"/>
    <x v="0"/>
  </r>
  <r>
    <x v="2"/>
    <x v="18"/>
    <x v="1"/>
    <n v="0"/>
    <x v="2"/>
    <x v="0"/>
  </r>
  <r>
    <x v="2"/>
    <x v="18"/>
    <x v="12"/>
    <n v="455869"/>
    <x v="2"/>
    <x v="0"/>
  </r>
  <r>
    <x v="2"/>
    <x v="18"/>
    <x v="4"/>
    <n v="301585"/>
    <x v="2"/>
    <x v="0"/>
  </r>
  <r>
    <x v="2"/>
    <x v="18"/>
    <x v="6"/>
    <n v="0"/>
    <x v="2"/>
    <x v="0"/>
  </r>
  <r>
    <x v="2"/>
    <x v="18"/>
    <x v="0"/>
    <n v="0"/>
    <x v="2"/>
    <x v="0"/>
  </r>
  <r>
    <x v="2"/>
    <x v="18"/>
    <x v="13"/>
    <n v="488983"/>
    <x v="2"/>
    <x v="0"/>
  </r>
  <r>
    <x v="2"/>
    <x v="18"/>
    <x v="9"/>
    <n v="0"/>
    <x v="2"/>
    <x v="0"/>
  </r>
  <r>
    <x v="2"/>
    <x v="18"/>
    <x v="11"/>
    <n v="7890131"/>
    <x v="2"/>
    <x v="0"/>
  </r>
  <r>
    <x v="2"/>
    <x v="18"/>
    <x v="8"/>
    <n v="226799"/>
    <x v="2"/>
    <x v="0"/>
  </r>
  <r>
    <x v="1"/>
    <x v="2"/>
    <x v="8"/>
    <n v="0"/>
    <x v="0"/>
    <x v="0"/>
  </r>
  <r>
    <x v="1"/>
    <x v="2"/>
    <x v="6"/>
    <n v="0"/>
    <x v="0"/>
    <x v="0"/>
  </r>
  <r>
    <x v="1"/>
    <x v="2"/>
    <x v="7"/>
    <n v="0"/>
    <x v="0"/>
    <x v="0"/>
  </r>
  <r>
    <x v="1"/>
    <x v="2"/>
    <x v="16"/>
    <n v="0"/>
    <x v="0"/>
    <x v="0"/>
  </r>
  <r>
    <x v="1"/>
    <x v="2"/>
    <x v="2"/>
    <n v="0"/>
    <x v="0"/>
    <x v="0"/>
  </r>
  <r>
    <x v="1"/>
    <x v="2"/>
    <x v="14"/>
    <n v="0"/>
    <x v="0"/>
    <x v="0"/>
  </r>
  <r>
    <x v="1"/>
    <x v="2"/>
    <x v="15"/>
    <n v="0"/>
    <x v="0"/>
    <x v="0"/>
  </r>
  <r>
    <x v="1"/>
    <x v="2"/>
    <x v="9"/>
    <n v="0"/>
    <x v="0"/>
    <x v="0"/>
  </r>
  <r>
    <x v="1"/>
    <x v="2"/>
    <x v="12"/>
    <n v="0"/>
    <x v="0"/>
    <x v="0"/>
  </r>
  <r>
    <x v="1"/>
    <x v="2"/>
    <x v="13"/>
    <n v="0"/>
    <x v="0"/>
    <x v="0"/>
  </r>
  <r>
    <x v="1"/>
    <x v="2"/>
    <x v="11"/>
    <n v="0"/>
    <x v="0"/>
    <x v="0"/>
  </r>
  <r>
    <x v="1"/>
    <x v="2"/>
    <x v="4"/>
    <n v="0"/>
    <x v="0"/>
    <x v="0"/>
  </r>
  <r>
    <x v="1"/>
    <x v="2"/>
    <x v="0"/>
    <n v="0"/>
    <x v="0"/>
    <x v="0"/>
  </r>
  <r>
    <x v="1"/>
    <x v="2"/>
    <x v="1"/>
    <n v="0"/>
    <x v="0"/>
    <x v="0"/>
  </r>
  <r>
    <x v="1"/>
    <x v="2"/>
    <x v="5"/>
    <n v="0"/>
    <x v="0"/>
    <x v="0"/>
  </r>
  <r>
    <x v="1"/>
    <x v="2"/>
    <x v="3"/>
    <n v="0"/>
    <x v="0"/>
    <x v="0"/>
  </r>
  <r>
    <x v="1"/>
    <x v="2"/>
    <x v="10"/>
    <n v="0"/>
    <x v="0"/>
    <x v="0"/>
  </r>
  <r>
    <x v="1"/>
    <x v="11"/>
    <x v="15"/>
    <n v="2800"/>
    <x v="4"/>
    <x v="0"/>
  </r>
  <r>
    <x v="1"/>
    <x v="11"/>
    <x v="6"/>
    <n v="0"/>
    <x v="4"/>
    <x v="0"/>
  </r>
  <r>
    <x v="1"/>
    <x v="11"/>
    <x v="2"/>
    <n v="3123"/>
    <x v="4"/>
    <x v="0"/>
  </r>
  <r>
    <x v="1"/>
    <x v="11"/>
    <x v="1"/>
    <n v="1447"/>
    <x v="4"/>
    <x v="0"/>
  </r>
  <r>
    <x v="1"/>
    <x v="11"/>
    <x v="9"/>
    <n v="2771"/>
    <x v="4"/>
    <x v="0"/>
  </r>
  <r>
    <x v="1"/>
    <x v="11"/>
    <x v="0"/>
    <n v="7370"/>
    <x v="4"/>
    <x v="0"/>
  </r>
  <r>
    <x v="1"/>
    <x v="11"/>
    <x v="10"/>
    <n v="1817"/>
    <x v="4"/>
    <x v="0"/>
  </r>
  <r>
    <x v="1"/>
    <x v="11"/>
    <x v="7"/>
    <n v="11085"/>
    <x v="4"/>
    <x v="0"/>
  </r>
  <r>
    <x v="1"/>
    <x v="11"/>
    <x v="12"/>
    <n v="8574"/>
    <x v="4"/>
    <x v="0"/>
  </r>
  <r>
    <x v="1"/>
    <x v="11"/>
    <x v="8"/>
    <n v="5393"/>
    <x v="4"/>
    <x v="0"/>
  </r>
  <r>
    <x v="1"/>
    <x v="11"/>
    <x v="11"/>
    <n v="1334"/>
    <x v="4"/>
    <x v="0"/>
  </r>
  <r>
    <x v="1"/>
    <x v="11"/>
    <x v="3"/>
    <n v="4010"/>
    <x v="4"/>
    <x v="0"/>
  </r>
  <r>
    <x v="1"/>
    <x v="11"/>
    <x v="16"/>
    <n v="2984"/>
    <x v="4"/>
    <x v="0"/>
  </r>
  <r>
    <x v="1"/>
    <x v="11"/>
    <x v="5"/>
    <n v="3653"/>
    <x v="4"/>
    <x v="0"/>
  </r>
  <r>
    <x v="1"/>
    <x v="11"/>
    <x v="4"/>
    <n v="3494"/>
    <x v="4"/>
    <x v="0"/>
  </r>
  <r>
    <x v="1"/>
    <x v="11"/>
    <x v="13"/>
    <n v="3490"/>
    <x v="4"/>
    <x v="0"/>
  </r>
  <r>
    <x v="1"/>
    <x v="11"/>
    <x v="14"/>
    <n v="1691"/>
    <x v="4"/>
    <x v="0"/>
  </r>
  <r>
    <x v="1"/>
    <x v="12"/>
    <x v="2"/>
    <n v="12273"/>
    <x v="4"/>
    <x v="0"/>
  </r>
  <r>
    <x v="1"/>
    <x v="12"/>
    <x v="15"/>
    <n v="2470"/>
    <x v="4"/>
    <x v="0"/>
  </r>
  <r>
    <x v="1"/>
    <x v="12"/>
    <x v="7"/>
    <n v="4"/>
    <x v="4"/>
    <x v="0"/>
  </r>
  <r>
    <x v="1"/>
    <x v="12"/>
    <x v="1"/>
    <n v="2618"/>
    <x v="4"/>
    <x v="0"/>
  </r>
  <r>
    <x v="1"/>
    <x v="12"/>
    <x v="10"/>
    <n v="480"/>
    <x v="4"/>
    <x v="0"/>
  </r>
  <r>
    <x v="1"/>
    <x v="12"/>
    <x v="14"/>
    <n v="0"/>
    <x v="4"/>
    <x v="0"/>
  </r>
  <r>
    <x v="1"/>
    <x v="12"/>
    <x v="6"/>
    <n v="0"/>
    <x v="4"/>
    <x v="0"/>
  </r>
  <r>
    <x v="1"/>
    <x v="12"/>
    <x v="11"/>
    <n v="0"/>
    <x v="4"/>
    <x v="0"/>
  </r>
  <r>
    <x v="1"/>
    <x v="12"/>
    <x v="16"/>
    <n v="0"/>
    <x v="4"/>
    <x v="0"/>
  </r>
  <r>
    <x v="1"/>
    <x v="12"/>
    <x v="12"/>
    <n v="9"/>
    <x v="4"/>
    <x v="0"/>
  </r>
  <r>
    <x v="1"/>
    <x v="12"/>
    <x v="8"/>
    <n v="10"/>
    <x v="4"/>
    <x v="0"/>
  </r>
  <r>
    <x v="1"/>
    <x v="12"/>
    <x v="5"/>
    <n v="17390"/>
    <x v="4"/>
    <x v="0"/>
  </r>
  <r>
    <x v="1"/>
    <x v="12"/>
    <x v="13"/>
    <n v="206"/>
    <x v="4"/>
    <x v="0"/>
  </r>
  <r>
    <x v="1"/>
    <x v="12"/>
    <x v="0"/>
    <n v="3234"/>
    <x v="4"/>
    <x v="0"/>
  </r>
  <r>
    <x v="1"/>
    <x v="12"/>
    <x v="3"/>
    <n v="282"/>
    <x v="4"/>
    <x v="0"/>
  </r>
  <r>
    <x v="1"/>
    <x v="12"/>
    <x v="9"/>
    <n v="905"/>
    <x v="4"/>
    <x v="0"/>
  </r>
  <r>
    <x v="1"/>
    <x v="12"/>
    <x v="4"/>
    <n v="203"/>
    <x v="4"/>
    <x v="0"/>
  </r>
  <r>
    <x v="1"/>
    <x v="13"/>
    <x v="9"/>
    <n v="0"/>
    <x v="4"/>
    <x v="0"/>
  </r>
  <r>
    <x v="1"/>
    <x v="13"/>
    <x v="0"/>
    <n v="0"/>
    <x v="4"/>
    <x v="0"/>
  </r>
  <r>
    <x v="1"/>
    <x v="13"/>
    <x v="16"/>
    <n v="0"/>
    <x v="4"/>
    <x v="0"/>
  </r>
  <r>
    <x v="1"/>
    <x v="13"/>
    <x v="5"/>
    <n v="0"/>
    <x v="4"/>
    <x v="0"/>
  </r>
  <r>
    <x v="1"/>
    <x v="13"/>
    <x v="4"/>
    <n v="0"/>
    <x v="4"/>
    <x v="0"/>
  </r>
  <r>
    <x v="1"/>
    <x v="13"/>
    <x v="6"/>
    <n v="0"/>
    <x v="4"/>
    <x v="0"/>
  </r>
  <r>
    <x v="1"/>
    <x v="13"/>
    <x v="14"/>
    <n v="0"/>
    <x v="4"/>
    <x v="0"/>
  </r>
  <r>
    <x v="1"/>
    <x v="13"/>
    <x v="7"/>
    <n v="0"/>
    <x v="4"/>
    <x v="0"/>
  </r>
  <r>
    <x v="1"/>
    <x v="13"/>
    <x v="15"/>
    <n v="0"/>
    <x v="4"/>
    <x v="0"/>
  </r>
  <r>
    <x v="1"/>
    <x v="13"/>
    <x v="3"/>
    <n v="0"/>
    <x v="4"/>
    <x v="0"/>
  </r>
  <r>
    <x v="1"/>
    <x v="13"/>
    <x v="1"/>
    <n v="0"/>
    <x v="4"/>
    <x v="0"/>
  </r>
  <r>
    <x v="1"/>
    <x v="13"/>
    <x v="10"/>
    <n v="0"/>
    <x v="4"/>
    <x v="0"/>
  </r>
  <r>
    <x v="1"/>
    <x v="13"/>
    <x v="2"/>
    <n v="0"/>
    <x v="4"/>
    <x v="0"/>
  </r>
  <r>
    <x v="1"/>
    <x v="13"/>
    <x v="13"/>
    <n v="0"/>
    <x v="4"/>
    <x v="0"/>
  </r>
  <r>
    <x v="1"/>
    <x v="13"/>
    <x v="11"/>
    <n v="0"/>
    <x v="4"/>
    <x v="0"/>
  </r>
  <r>
    <x v="1"/>
    <x v="13"/>
    <x v="8"/>
    <n v="0"/>
    <x v="4"/>
    <x v="0"/>
  </r>
  <r>
    <x v="1"/>
    <x v="13"/>
    <x v="12"/>
    <n v="0"/>
    <x v="4"/>
    <x v="0"/>
  </r>
  <r>
    <x v="1"/>
    <x v="14"/>
    <x v="7"/>
    <n v="0"/>
    <x v="0"/>
    <x v="0"/>
  </r>
  <r>
    <x v="1"/>
    <x v="14"/>
    <x v="2"/>
    <n v="0"/>
    <x v="0"/>
    <x v="0"/>
  </r>
  <r>
    <x v="1"/>
    <x v="14"/>
    <x v="0"/>
    <n v="0"/>
    <x v="0"/>
    <x v="0"/>
  </r>
  <r>
    <x v="1"/>
    <x v="14"/>
    <x v="4"/>
    <n v="0"/>
    <x v="0"/>
    <x v="0"/>
  </r>
  <r>
    <x v="1"/>
    <x v="14"/>
    <x v="6"/>
    <n v="0"/>
    <x v="0"/>
    <x v="0"/>
  </r>
  <r>
    <x v="1"/>
    <x v="14"/>
    <x v="15"/>
    <n v="0"/>
    <x v="0"/>
    <x v="0"/>
  </r>
  <r>
    <x v="1"/>
    <x v="14"/>
    <x v="16"/>
    <n v="0"/>
    <x v="0"/>
    <x v="0"/>
  </r>
  <r>
    <x v="1"/>
    <x v="14"/>
    <x v="12"/>
    <n v="0"/>
    <x v="0"/>
    <x v="0"/>
  </r>
  <r>
    <x v="1"/>
    <x v="14"/>
    <x v="13"/>
    <n v="0"/>
    <x v="0"/>
    <x v="0"/>
  </r>
  <r>
    <x v="1"/>
    <x v="14"/>
    <x v="1"/>
    <n v="0"/>
    <x v="0"/>
    <x v="0"/>
  </r>
  <r>
    <x v="1"/>
    <x v="14"/>
    <x v="3"/>
    <n v="0"/>
    <x v="0"/>
    <x v="0"/>
  </r>
  <r>
    <x v="1"/>
    <x v="14"/>
    <x v="8"/>
    <n v="0"/>
    <x v="0"/>
    <x v="0"/>
  </r>
  <r>
    <x v="1"/>
    <x v="14"/>
    <x v="9"/>
    <n v="0"/>
    <x v="0"/>
    <x v="0"/>
  </r>
  <r>
    <x v="1"/>
    <x v="14"/>
    <x v="5"/>
    <n v="0"/>
    <x v="0"/>
    <x v="0"/>
  </r>
  <r>
    <x v="1"/>
    <x v="14"/>
    <x v="10"/>
    <n v="0"/>
    <x v="0"/>
    <x v="0"/>
  </r>
  <r>
    <x v="1"/>
    <x v="14"/>
    <x v="14"/>
    <n v="0"/>
    <x v="0"/>
    <x v="0"/>
  </r>
  <r>
    <x v="1"/>
    <x v="14"/>
    <x v="11"/>
    <n v="0"/>
    <x v="0"/>
    <x v="0"/>
  </r>
  <r>
    <x v="1"/>
    <x v="15"/>
    <x v="12"/>
    <n v="165206"/>
    <x v="5"/>
    <x v="1"/>
  </r>
  <r>
    <x v="1"/>
    <x v="15"/>
    <x v="0"/>
    <n v="81068"/>
    <x v="5"/>
    <x v="1"/>
  </r>
  <r>
    <x v="1"/>
    <x v="15"/>
    <x v="16"/>
    <n v="152102"/>
    <x v="5"/>
    <x v="1"/>
  </r>
  <r>
    <x v="1"/>
    <x v="15"/>
    <x v="5"/>
    <n v="109770"/>
    <x v="5"/>
    <x v="1"/>
  </r>
  <r>
    <x v="1"/>
    <x v="15"/>
    <x v="1"/>
    <n v="105333"/>
    <x v="5"/>
    <x v="1"/>
  </r>
  <r>
    <x v="1"/>
    <x v="15"/>
    <x v="11"/>
    <n v="189849"/>
    <x v="5"/>
    <x v="1"/>
  </r>
  <r>
    <x v="1"/>
    <x v="15"/>
    <x v="7"/>
    <n v="167815"/>
    <x v="5"/>
    <x v="1"/>
  </r>
  <r>
    <x v="1"/>
    <x v="15"/>
    <x v="10"/>
    <n v="91755"/>
    <x v="5"/>
    <x v="1"/>
  </r>
  <r>
    <x v="1"/>
    <x v="15"/>
    <x v="2"/>
    <n v="122947"/>
    <x v="5"/>
    <x v="1"/>
  </r>
  <r>
    <x v="1"/>
    <x v="15"/>
    <x v="15"/>
    <n v="108298"/>
    <x v="5"/>
    <x v="1"/>
  </r>
  <r>
    <x v="1"/>
    <x v="15"/>
    <x v="3"/>
    <n v="155569"/>
    <x v="5"/>
    <x v="1"/>
  </r>
  <r>
    <x v="1"/>
    <x v="15"/>
    <x v="4"/>
    <n v="122722"/>
    <x v="5"/>
    <x v="1"/>
  </r>
  <r>
    <x v="1"/>
    <x v="15"/>
    <x v="6"/>
    <n v="104547"/>
    <x v="5"/>
    <x v="1"/>
  </r>
  <r>
    <x v="1"/>
    <x v="15"/>
    <x v="13"/>
    <n v="141307"/>
    <x v="5"/>
    <x v="1"/>
  </r>
  <r>
    <x v="1"/>
    <x v="15"/>
    <x v="14"/>
    <n v="168167"/>
    <x v="5"/>
    <x v="1"/>
  </r>
  <r>
    <x v="1"/>
    <x v="15"/>
    <x v="8"/>
    <n v="148748"/>
    <x v="5"/>
    <x v="1"/>
  </r>
  <r>
    <x v="1"/>
    <x v="15"/>
    <x v="9"/>
    <n v="89375"/>
    <x v="5"/>
    <x v="1"/>
  </r>
  <r>
    <x v="1"/>
    <x v="16"/>
    <x v="4"/>
    <n v="2207"/>
    <x v="5"/>
    <x v="1"/>
  </r>
  <r>
    <x v="1"/>
    <x v="16"/>
    <x v="15"/>
    <n v="991"/>
    <x v="5"/>
    <x v="1"/>
  </r>
  <r>
    <x v="1"/>
    <x v="16"/>
    <x v="3"/>
    <n v="3762"/>
    <x v="5"/>
    <x v="1"/>
  </r>
  <r>
    <x v="1"/>
    <x v="16"/>
    <x v="10"/>
    <n v="392"/>
    <x v="5"/>
    <x v="1"/>
  </r>
  <r>
    <x v="1"/>
    <x v="16"/>
    <x v="2"/>
    <n v="1312"/>
    <x v="5"/>
    <x v="1"/>
  </r>
  <r>
    <x v="1"/>
    <x v="16"/>
    <x v="0"/>
    <n v="783"/>
    <x v="5"/>
    <x v="1"/>
  </r>
  <r>
    <x v="1"/>
    <x v="16"/>
    <x v="7"/>
    <n v="3750"/>
    <x v="5"/>
    <x v="1"/>
  </r>
  <r>
    <x v="1"/>
    <x v="16"/>
    <x v="14"/>
    <n v="3741"/>
    <x v="5"/>
    <x v="1"/>
  </r>
  <r>
    <x v="1"/>
    <x v="16"/>
    <x v="12"/>
    <n v="4194"/>
    <x v="5"/>
    <x v="1"/>
  </r>
  <r>
    <x v="1"/>
    <x v="16"/>
    <x v="1"/>
    <n v="433"/>
    <x v="5"/>
    <x v="1"/>
  </r>
  <r>
    <x v="1"/>
    <x v="16"/>
    <x v="13"/>
    <n v="1707"/>
    <x v="5"/>
    <x v="1"/>
  </r>
  <r>
    <x v="1"/>
    <x v="16"/>
    <x v="16"/>
    <n v="2403"/>
    <x v="5"/>
    <x v="1"/>
  </r>
  <r>
    <x v="1"/>
    <x v="16"/>
    <x v="6"/>
    <n v="461"/>
    <x v="5"/>
    <x v="1"/>
  </r>
  <r>
    <x v="1"/>
    <x v="16"/>
    <x v="8"/>
    <n v="2234"/>
    <x v="5"/>
    <x v="1"/>
  </r>
  <r>
    <x v="1"/>
    <x v="16"/>
    <x v="5"/>
    <n v="982"/>
    <x v="5"/>
    <x v="1"/>
  </r>
  <r>
    <x v="1"/>
    <x v="16"/>
    <x v="9"/>
    <n v="372"/>
    <x v="5"/>
    <x v="1"/>
  </r>
  <r>
    <x v="1"/>
    <x v="16"/>
    <x v="11"/>
    <n v="4747"/>
    <x v="5"/>
    <x v="1"/>
  </r>
  <r>
    <x v="1"/>
    <x v="17"/>
    <x v="11"/>
    <n v="0"/>
    <x v="1"/>
    <x v="0"/>
  </r>
  <r>
    <x v="1"/>
    <x v="17"/>
    <x v="6"/>
    <n v="0"/>
    <x v="1"/>
    <x v="0"/>
  </r>
  <r>
    <x v="1"/>
    <x v="17"/>
    <x v="8"/>
    <n v="0"/>
    <x v="1"/>
    <x v="0"/>
  </r>
  <r>
    <x v="1"/>
    <x v="17"/>
    <x v="9"/>
    <n v="0"/>
    <x v="1"/>
    <x v="0"/>
  </r>
  <r>
    <x v="1"/>
    <x v="17"/>
    <x v="16"/>
    <n v="0"/>
    <x v="1"/>
    <x v="0"/>
  </r>
  <r>
    <x v="1"/>
    <x v="17"/>
    <x v="13"/>
    <n v="0"/>
    <x v="1"/>
    <x v="0"/>
  </r>
  <r>
    <x v="1"/>
    <x v="17"/>
    <x v="1"/>
    <n v="0"/>
    <x v="1"/>
    <x v="0"/>
  </r>
  <r>
    <x v="1"/>
    <x v="17"/>
    <x v="5"/>
    <n v="0"/>
    <x v="1"/>
    <x v="0"/>
  </r>
  <r>
    <x v="1"/>
    <x v="17"/>
    <x v="7"/>
    <n v="0"/>
    <x v="1"/>
    <x v="0"/>
  </r>
  <r>
    <x v="1"/>
    <x v="17"/>
    <x v="4"/>
    <n v="0"/>
    <x v="1"/>
    <x v="0"/>
  </r>
  <r>
    <x v="1"/>
    <x v="17"/>
    <x v="2"/>
    <n v="0"/>
    <x v="1"/>
    <x v="0"/>
  </r>
  <r>
    <x v="1"/>
    <x v="17"/>
    <x v="10"/>
    <n v="0"/>
    <x v="1"/>
    <x v="0"/>
  </r>
  <r>
    <x v="1"/>
    <x v="17"/>
    <x v="0"/>
    <n v="0"/>
    <x v="1"/>
    <x v="0"/>
  </r>
  <r>
    <x v="1"/>
    <x v="17"/>
    <x v="14"/>
    <n v="0"/>
    <x v="1"/>
    <x v="0"/>
  </r>
  <r>
    <x v="1"/>
    <x v="17"/>
    <x v="3"/>
    <n v="0"/>
    <x v="1"/>
    <x v="0"/>
  </r>
  <r>
    <x v="1"/>
    <x v="17"/>
    <x v="12"/>
    <n v="0"/>
    <x v="1"/>
    <x v="0"/>
  </r>
  <r>
    <x v="1"/>
    <x v="17"/>
    <x v="15"/>
    <n v="0"/>
    <x v="1"/>
    <x v="0"/>
  </r>
  <r>
    <x v="1"/>
    <x v="18"/>
    <x v="10"/>
    <n v="0"/>
    <x v="2"/>
    <x v="0"/>
  </r>
  <r>
    <x v="1"/>
    <x v="18"/>
    <x v="12"/>
    <n v="0"/>
    <x v="2"/>
    <x v="0"/>
  </r>
  <r>
    <x v="1"/>
    <x v="18"/>
    <x v="1"/>
    <n v="0"/>
    <x v="2"/>
    <x v="0"/>
  </r>
  <r>
    <x v="1"/>
    <x v="18"/>
    <x v="11"/>
    <n v="0"/>
    <x v="2"/>
    <x v="0"/>
  </r>
  <r>
    <x v="1"/>
    <x v="18"/>
    <x v="14"/>
    <n v="0"/>
    <x v="2"/>
    <x v="0"/>
  </r>
  <r>
    <x v="1"/>
    <x v="18"/>
    <x v="2"/>
    <n v="0"/>
    <x v="2"/>
    <x v="0"/>
  </r>
  <r>
    <x v="1"/>
    <x v="18"/>
    <x v="0"/>
    <n v="0"/>
    <x v="2"/>
    <x v="0"/>
  </r>
  <r>
    <x v="1"/>
    <x v="18"/>
    <x v="3"/>
    <n v="0"/>
    <x v="2"/>
    <x v="0"/>
  </r>
  <r>
    <x v="1"/>
    <x v="18"/>
    <x v="4"/>
    <n v="18"/>
    <x v="2"/>
    <x v="0"/>
  </r>
  <r>
    <x v="1"/>
    <x v="18"/>
    <x v="8"/>
    <n v="0"/>
    <x v="2"/>
    <x v="0"/>
  </r>
  <r>
    <x v="1"/>
    <x v="18"/>
    <x v="7"/>
    <n v="0"/>
    <x v="2"/>
    <x v="0"/>
  </r>
  <r>
    <x v="1"/>
    <x v="18"/>
    <x v="9"/>
    <n v="0"/>
    <x v="2"/>
    <x v="0"/>
  </r>
  <r>
    <x v="1"/>
    <x v="18"/>
    <x v="13"/>
    <n v="0"/>
    <x v="2"/>
    <x v="0"/>
  </r>
  <r>
    <x v="1"/>
    <x v="18"/>
    <x v="6"/>
    <n v="0"/>
    <x v="2"/>
    <x v="0"/>
  </r>
  <r>
    <x v="1"/>
    <x v="18"/>
    <x v="16"/>
    <n v="0"/>
    <x v="2"/>
    <x v="0"/>
  </r>
  <r>
    <x v="1"/>
    <x v="18"/>
    <x v="5"/>
    <n v="0"/>
    <x v="2"/>
    <x v="0"/>
  </r>
  <r>
    <x v="1"/>
    <x v="18"/>
    <x v="15"/>
    <n v="0"/>
    <x v="2"/>
    <x v="0"/>
  </r>
  <r>
    <x v="1"/>
    <x v="3"/>
    <x v="8"/>
    <n v="1096"/>
    <x v="2"/>
    <x v="0"/>
  </r>
  <r>
    <x v="1"/>
    <x v="3"/>
    <x v="2"/>
    <n v="2144"/>
    <x v="2"/>
    <x v="0"/>
  </r>
  <r>
    <x v="1"/>
    <x v="3"/>
    <x v="13"/>
    <n v="593"/>
    <x v="2"/>
    <x v="0"/>
  </r>
  <r>
    <x v="1"/>
    <x v="3"/>
    <x v="10"/>
    <n v="1256"/>
    <x v="2"/>
    <x v="0"/>
  </r>
  <r>
    <x v="1"/>
    <x v="3"/>
    <x v="0"/>
    <n v="514"/>
    <x v="2"/>
    <x v="0"/>
  </r>
  <r>
    <x v="1"/>
    <x v="3"/>
    <x v="9"/>
    <n v="483"/>
    <x v="2"/>
    <x v="0"/>
  </r>
  <r>
    <x v="1"/>
    <x v="3"/>
    <x v="4"/>
    <n v="659"/>
    <x v="2"/>
    <x v="0"/>
  </r>
  <r>
    <x v="1"/>
    <x v="3"/>
    <x v="14"/>
    <n v="942"/>
    <x v="2"/>
    <x v="0"/>
  </r>
  <r>
    <x v="1"/>
    <x v="3"/>
    <x v="16"/>
    <n v="1134"/>
    <x v="2"/>
    <x v="0"/>
  </r>
  <r>
    <x v="1"/>
    <x v="3"/>
    <x v="5"/>
    <n v="1286"/>
    <x v="2"/>
    <x v="0"/>
  </r>
  <r>
    <x v="1"/>
    <x v="3"/>
    <x v="3"/>
    <n v="1869"/>
    <x v="2"/>
    <x v="0"/>
  </r>
  <r>
    <x v="1"/>
    <x v="3"/>
    <x v="6"/>
    <n v="148"/>
    <x v="2"/>
    <x v="0"/>
  </r>
  <r>
    <x v="1"/>
    <x v="3"/>
    <x v="1"/>
    <n v="1287"/>
    <x v="2"/>
    <x v="0"/>
  </r>
  <r>
    <x v="1"/>
    <x v="3"/>
    <x v="12"/>
    <n v="1406"/>
    <x v="2"/>
    <x v="0"/>
  </r>
  <r>
    <x v="1"/>
    <x v="3"/>
    <x v="15"/>
    <n v="906"/>
    <x v="2"/>
    <x v="0"/>
  </r>
  <r>
    <x v="1"/>
    <x v="3"/>
    <x v="11"/>
    <n v="159"/>
    <x v="2"/>
    <x v="0"/>
  </r>
  <r>
    <x v="1"/>
    <x v="3"/>
    <x v="7"/>
    <n v="1513"/>
    <x v="2"/>
    <x v="0"/>
  </r>
  <r>
    <x v="1"/>
    <x v="4"/>
    <x v="10"/>
    <n v="0"/>
    <x v="0"/>
    <x v="0"/>
  </r>
  <r>
    <x v="1"/>
    <x v="4"/>
    <x v="7"/>
    <n v="0"/>
    <x v="0"/>
    <x v="0"/>
  </r>
  <r>
    <x v="1"/>
    <x v="4"/>
    <x v="12"/>
    <n v="0"/>
    <x v="0"/>
    <x v="0"/>
  </r>
  <r>
    <x v="1"/>
    <x v="4"/>
    <x v="6"/>
    <n v="0"/>
    <x v="0"/>
    <x v="0"/>
  </r>
  <r>
    <x v="1"/>
    <x v="4"/>
    <x v="3"/>
    <n v="0"/>
    <x v="0"/>
    <x v="0"/>
  </r>
  <r>
    <x v="1"/>
    <x v="4"/>
    <x v="13"/>
    <n v="0"/>
    <x v="0"/>
    <x v="0"/>
  </r>
  <r>
    <x v="1"/>
    <x v="4"/>
    <x v="9"/>
    <n v="0"/>
    <x v="0"/>
    <x v="0"/>
  </r>
  <r>
    <x v="1"/>
    <x v="4"/>
    <x v="5"/>
    <n v="0"/>
    <x v="0"/>
    <x v="0"/>
  </r>
  <r>
    <x v="1"/>
    <x v="4"/>
    <x v="0"/>
    <n v="0"/>
    <x v="0"/>
    <x v="0"/>
  </r>
  <r>
    <x v="1"/>
    <x v="4"/>
    <x v="16"/>
    <n v="0"/>
    <x v="0"/>
    <x v="0"/>
  </r>
  <r>
    <x v="1"/>
    <x v="4"/>
    <x v="15"/>
    <n v="0"/>
    <x v="0"/>
    <x v="0"/>
  </r>
  <r>
    <x v="1"/>
    <x v="4"/>
    <x v="14"/>
    <n v="0"/>
    <x v="0"/>
    <x v="0"/>
  </r>
  <r>
    <x v="1"/>
    <x v="4"/>
    <x v="2"/>
    <n v="0"/>
    <x v="0"/>
    <x v="0"/>
  </r>
  <r>
    <x v="1"/>
    <x v="4"/>
    <x v="4"/>
    <n v="0"/>
    <x v="0"/>
    <x v="0"/>
  </r>
  <r>
    <x v="1"/>
    <x v="4"/>
    <x v="11"/>
    <n v="0"/>
    <x v="0"/>
    <x v="0"/>
  </r>
  <r>
    <x v="1"/>
    <x v="4"/>
    <x v="8"/>
    <n v="0"/>
    <x v="0"/>
    <x v="0"/>
  </r>
  <r>
    <x v="1"/>
    <x v="4"/>
    <x v="1"/>
    <n v="0"/>
    <x v="0"/>
    <x v="0"/>
  </r>
  <r>
    <x v="1"/>
    <x v="5"/>
    <x v="16"/>
    <n v="76566"/>
    <x v="2"/>
    <x v="1"/>
  </r>
  <r>
    <x v="1"/>
    <x v="5"/>
    <x v="7"/>
    <n v="89434"/>
    <x v="2"/>
    <x v="1"/>
  </r>
  <r>
    <x v="1"/>
    <x v="5"/>
    <x v="1"/>
    <n v="54201"/>
    <x v="2"/>
    <x v="1"/>
  </r>
  <r>
    <x v="1"/>
    <x v="5"/>
    <x v="4"/>
    <n v="66838"/>
    <x v="2"/>
    <x v="1"/>
  </r>
  <r>
    <x v="1"/>
    <x v="5"/>
    <x v="12"/>
    <n v="79480"/>
    <x v="2"/>
    <x v="1"/>
  </r>
  <r>
    <x v="1"/>
    <x v="5"/>
    <x v="14"/>
    <n v="83725"/>
    <x v="2"/>
    <x v="1"/>
  </r>
  <r>
    <x v="1"/>
    <x v="5"/>
    <x v="5"/>
    <n v="52942"/>
    <x v="2"/>
    <x v="1"/>
  </r>
  <r>
    <x v="1"/>
    <x v="5"/>
    <x v="8"/>
    <n v="85836"/>
    <x v="2"/>
    <x v="1"/>
  </r>
  <r>
    <x v="1"/>
    <x v="5"/>
    <x v="15"/>
    <n v="60724"/>
    <x v="2"/>
    <x v="1"/>
  </r>
  <r>
    <x v="1"/>
    <x v="5"/>
    <x v="9"/>
    <n v="48325"/>
    <x v="2"/>
    <x v="1"/>
  </r>
  <r>
    <x v="1"/>
    <x v="5"/>
    <x v="0"/>
    <n v="45512"/>
    <x v="2"/>
    <x v="1"/>
  </r>
  <r>
    <x v="1"/>
    <x v="5"/>
    <x v="3"/>
    <n v="82983"/>
    <x v="2"/>
    <x v="1"/>
  </r>
  <r>
    <x v="1"/>
    <x v="5"/>
    <x v="6"/>
    <n v="56055"/>
    <x v="2"/>
    <x v="1"/>
  </r>
  <r>
    <x v="1"/>
    <x v="5"/>
    <x v="10"/>
    <n v="47099"/>
    <x v="2"/>
    <x v="1"/>
  </r>
  <r>
    <x v="1"/>
    <x v="5"/>
    <x v="13"/>
    <n v="71442"/>
    <x v="2"/>
    <x v="1"/>
  </r>
  <r>
    <x v="1"/>
    <x v="5"/>
    <x v="2"/>
    <n v="63232"/>
    <x v="2"/>
    <x v="1"/>
  </r>
  <r>
    <x v="1"/>
    <x v="5"/>
    <x v="11"/>
    <n v="84804"/>
    <x v="2"/>
    <x v="1"/>
  </r>
  <r>
    <x v="1"/>
    <x v="6"/>
    <x v="12"/>
    <n v="11"/>
    <x v="2"/>
    <x v="1"/>
  </r>
  <r>
    <x v="1"/>
    <x v="6"/>
    <x v="6"/>
    <n v="0"/>
    <x v="2"/>
    <x v="1"/>
  </r>
  <r>
    <x v="1"/>
    <x v="6"/>
    <x v="11"/>
    <n v="61"/>
    <x v="2"/>
    <x v="1"/>
  </r>
  <r>
    <x v="1"/>
    <x v="6"/>
    <x v="8"/>
    <n v="0"/>
    <x v="2"/>
    <x v="1"/>
  </r>
  <r>
    <x v="1"/>
    <x v="6"/>
    <x v="3"/>
    <n v="3"/>
    <x v="2"/>
    <x v="1"/>
  </r>
  <r>
    <x v="1"/>
    <x v="6"/>
    <x v="4"/>
    <n v="0"/>
    <x v="2"/>
    <x v="1"/>
  </r>
  <r>
    <x v="1"/>
    <x v="6"/>
    <x v="5"/>
    <n v="0"/>
    <x v="2"/>
    <x v="1"/>
  </r>
  <r>
    <x v="1"/>
    <x v="6"/>
    <x v="0"/>
    <n v="0"/>
    <x v="2"/>
    <x v="1"/>
  </r>
  <r>
    <x v="1"/>
    <x v="6"/>
    <x v="16"/>
    <n v="0"/>
    <x v="2"/>
    <x v="1"/>
  </r>
  <r>
    <x v="1"/>
    <x v="6"/>
    <x v="9"/>
    <n v="0"/>
    <x v="2"/>
    <x v="1"/>
  </r>
  <r>
    <x v="1"/>
    <x v="6"/>
    <x v="7"/>
    <n v="13"/>
    <x v="2"/>
    <x v="1"/>
  </r>
  <r>
    <x v="1"/>
    <x v="6"/>
    <x v="14"/>
    <n v="9"/>
    <x v="2"/>
    <x v="1"/>
  </r>
  <r>
    <x v="1"/>
    <x v="6"/>
    <x v="1"/>
    <n v="0"/>
    <x v="2"/>
    <x v="1"/>
  </r>
  <r>
    <x v="1"/>
    <x v="6"/>
    <x v="2"/>
    <n v="0"/>
    <x v="2"/>
    <x v="1"/>
  </r>
  <r>
    <x v="1"/>
    <x v="6"/>
    <x v="15"/>
    <n v="0"/>
    <x v="2"/>
    <x v="1"/>
  </r>
  <r>
    <x v="1"/>
    <x v="6"/>
    <x v="13"/>
    <n v="0"/>
    <x v="2"/>
    <x v="1"/>
  </r>
  <r>
    <x v="1"/>
    <x v="6"/>
    <x v="10"/>
    <n v="0"/>
    <x v="2"/>
    <x v="1"/>
  </r>
  <r>
    <x v="1"/>
    <x v="7"/>
    <x v="14"/>
    <n v="1064"/>
    <x v="2"/>
    <x v="1"/>
  </r>
  <r>
    <x v="1"/>
    <x v="7"/>
    <x v="11"/>
    <n v="1508"/>
    <x v="2"/>
    <x v="1"/>
  </r>
  <r>
    <x v="1"/>
    <x v="7"/>
    <x v="4"/>
    <n v="549"/>
    <x v="2"/>
    <x v="1"/>
  </r>
  <r>
    <x v="1"/>
    <x v="7"/>
    <x v="10"/>
    <n v="213"/>
    <x v="2"/>
    <x v="1"/>
  </r>
  <r>
    <x v="1"/>
    <x v="7"/>
    <x v="2"/>
    <n v="309"/>
    <x v="2"/>
    <x v="1"/>
  </r>
  <r>
    <x v="1"/>
    <x v="7"/>
    <x v="1"/>
    <n v="194"/>
    <x v="2"/>
    <x v="1"/>
  </r>
  <r>
    <x v="1"/>
    <x v="7"/>
    <x v="5"/>
    <n v="367"/>
    <x v="2"/>
    <x v="1"/>
  </r>
  <r>
    <x v="1"/>
    <x v="7"/>
    <x v="7"/>
    <n v="1623"/>
    <x v="2"/>
    <x v="1"/>
  </r>
  <r>
    <x v="1"/>
    <x v="7"/>
    <x v="8"/>
    <n v="534"/>
    <x v="2"/>
    <x v="1"/>
  </r>
  <r>
    <x v="1"/>
    <x v="7"/>
    <x v="15"/>
    <n v="335"/>
    <x v="2"/>
    <x v="1"/>
  </r>
  <r>
    <x v="1"/>
    <x v="7"/>
    <x v="3"/>
    <n v="1056"/>
    <x v="2"/>
    <x v="1"/>
  </r>
  <r>
    <x v="1"/>
    <x v="7"/>
    <x v="9"/>
    <n v="169"/>
    <x v="2"/>
    <x v="1"/>
  </r>
  <r>
    <x v="1"/>
    <x v="7"/>
    <x v="6"/>
    <n v="455"/>
    <x v="2"/>
    <x v="1"/>
  </r>
  <r>
    <x v="1"/>
    <x v="7"/>
    <x v="13"/>
    <n v="488"/>
    <x v="2"/>
    <x v="1"/>
  </r>
  <r>
    <x v="1"/>
    <x v="7"/>
    <x v="12"/>
    <n v="1593"/>
    <x v="2"/>
    <x v="1"/>
  </r>
  <r>
    <x v="1"/>
    <x v="7"/>
    <x v="0"/>
    <n v="262"/>
    <x v="2"/>
    <x v="1"/>
  </r>
  <r>
    <x v="1"/>
    <x v="7"/>
    <x v="16"/>
    <n v="437"/>
    <x v="2"/>
    <x v="1"/>
  </r>
  <r>
    <x v="1"/>
    <x v="8"/>
    <x v="3"/>
    <n v="0"/>
    <x v="3"/>
    <x v="0"/>
  </r>
  <r>
    <x v="1"/>
    <x v="8"/>
    <x v="13"/>
    <n v="0"/>
    <x v="3"/>
    <x v="0"/>
  </r>
  <r>
    <x v="1"/>
    <x v="8"/>
    <x v="1"/>
    <n v="0"/>
    <x v="3"/>
    <x v="0"/>
  </r>
  <r>
    <x v="1"/>
    <x v="8"/>
    <x v="9"/>
    <n v="0"/>
    <x v="3"/>
    <x v="0"/>
  </r>
  <r>
    <x v="1"/>
    <x v="8"/>
    <x v="14"/>
    <n v="0"/>
    <x v="3"/>
    <x v="0"/>
  </r>
  <r>
    <x v="1"/>
    <x v="8"/>
    <x v="0"/>
    <n v="0"/>
    <x v="3"/>
    <x v="0"/>
  </r>
  <r>
    <x v="1"/>
    <x v="8"/>
    <x v="11"/>
    <n v="0"/>
    <x v="3"/>
    <x v="0"/>
  </r>
  <r>
    <x v="1"/>
    <x v="8"/>
    <x v="8"/>
    <n v="0"/>
    <x v="3"/>
    <x v="0"/>
  </r>
  <r>
    <x v="1"/>
    <x v="8"/>
    <x v="6"/>
    <n v="0"/>
    <x v="3"/>
    <x v="0"/>
  </r>
  <r>
    <x v="1"/>
    <x v="8"/>
    <x v="10"/>
    <n v="0"/>
    <x v="3"/>
    <x v="0"/>
  </r>
  <r>
    <x v="1"/>
    <x v="8"/>
    <x v="7"/>
    <n v="0"/>
    <x v="3"/>
    <x v="0"/>
  </r>
  <r>
    <x v="1"/>
    <x v="8"/>
    <x v="15"/>
    <n v="0"/>
    <x v="3"/>
    <x v="0"/>
  </r>
  <r>
    <x v="1"/>
    <x v="8"/>
    <x v="16"/>
    <n v="0"/>
    <x v="3"/>
    <x v="0"/>
  </r>
  <r>
    <x v="1"/>
    <x v="8"/>
    <x v="5"/>
    <n v="0"/>
    <x v="3"/>
    <x v="0"/>
  </r>
  <r>
    <x v="1"/>
    <x v="8"/>
    <x v="12"/>
    <n v="0"/>
    <x v="3"/>
    <x v="0"/>
  </r>
  <r>
    <x v="1"/>
    <x v="8"/>
    <x v="2"/>
    <n v="0"/>
    <x v="3"/>
    <x v="0"/>
  </r>
  <r>
    <x v="1"/>
    <x v="8"/>
    <x v="4"/>
    <n v="0"/>
    <x v="3"/>
    <x v="0"/>
  </r>
  <r>
    <x v="1"/>
    <x v="9"/>
    <x v="13"/>
    <n v="0"/>
    <x v="3"/>
    <x v="0"/>
  </r>
  <r>
    <x v="1"/>
    <x v="9"/>
    <x v="10"/>
    <n v="0"/>
    <x v="3"/>
    <x v="0"/>
  </r>
  <r>
    <x v="1"/>
    <x v="9"/>
    <x v="5"/>
    <n v="0"/>
    <x v="3"/>
    <x v="0"/>
  </r>
  <r>
    <x v="1"/>
    <x v="9"/>
    <x v="11"/>
    <n v="0"/>
    <x v="3"/>
    <x v="0"/>
  </r>
  <r>
    <x v="1"/>
    <x v="9"/>
    <x v="12"/>
    <n v="0"/>
    <x v="3"/>
    <x v="0"/>
  </r>
  <r>
    <x v="1"/>
    <x v="9"/>
    <x v="16"/>
    <n v="0"/>
    <x v="3"/>
    <x v="0"/>
  </r>
  <r>
    <x v="1"/>
    <x v="9"/>
    <x v="3"/>
    <n v="0"/>
    <x v="3"/>
    <x v="0"/>
  </r>
  <r>
    <x v="1"/>
    <x v="9"/>
    <x v="15"/>
    <n v="0"/>
    <x v="3"/>
    <x v="0"/>
  </r>
  <r>
    <x v="1"/>
    <x v="9"/>
    <x v="7"/>
    <n v="0"/>
    <x v="3"/>
    <x v="0"/>
  </r>
  <r>
    <x v="1"/>
    <x v="9"/>
    <x v="2"/>
    <n v="0"/>
    <x v="3"/>
    <x v="0"/>
  </r>
  <r>
    <x v="1"/>
    <x v="9"/>
    <x v="0"/>
    <n v="0"/>
    <x v="3"/>
    <x v="0"/>
  </r>
  <r>
    <x v="1"/>
    <x v="9"/>
    <x v="6"/>
    <n v="0"/>
    <x v="3"/>
    <x v="0"/>
  </r>
  <r>
    <x v="1"/>
    <x v="9"/>
    <x v="4"/>
    <n v="0"/>
    <x v="3"/>
    <x v="0"/>
  </r>
  <r>
    <x v="1"/>
    <x v="9"/>
    <x v="8"/>
    <n v="0"/>
    <x v="3"/>
    <x v="0"/>
  </r>
  <r>
    <x v="1"/>
    <x v="9"/>
    <x v="9"/>
    <n v="0"/>
    <x v="3"/>
    <x v="0"/>
  </r>
  <r>
    <x v="1"/>
    <x v="9"/>
    <x v="14"/>
    <n v="0"/>
    <x v="3"/>
    <x v="0"/>
  </r>
  <r>
    <x v="1"/>
    <x v="9"/>
    <x v="1"/>
    <n v="0"/>
    <x v="3"/>
    <x v="0"/>
  </r>
  <r>
    <x v="1"/>
    <x v="10"/>
    <x v="13"/>
    <n v="3765"/>
    <x v="4"/>
    <x v="0"/>
  </r>
  <r>
    <x v="1"/>
    <x v="10"/>
    <x v="3"/>
    <n v="0"/>
    <x v="4"/>
    <x v="0"/>
  </r>
  <r>
    <x v="1"/>
    <x v="10"/>
    <x v="11"/>
    <n v="106"/>
    <x v="4"/>
    <x v="0"/>
  </r>
  <r>
    <x v="1"/>
    <x v="10"/>
    <x v="9"/>
    <n v="0"/>
    <x v="4"/>
    <x v="0"/>
  </r>
  <r>
    <x v="1"/>
    <x v="10"/>
    <x v="5"/>
    <n v="0"/>
    <x v="4"/>
    <x v="0"/>
  </r>
  <r>
    <x v="1"/>
    <x v="10"/>
    <x v="2"/>
    <n v="0"/>
    <x v="4"/>
    <x v="0"/>
  </r>
  <r>
    <x v="1"/>
    <x v="10"/>
    <x v="16"/>
    <n v="0"/>
    <x v="4"/>
    <x v="0"/>
  </r>
  <r>
    <x v="1"/>
    <x v="10"/>
    <x v="6"/>
    <n v="0"/>
    <x v="4"/>
    <x v="0"/>
  </r>
  <r>
    <x v="1"/>
    <x v="10"/>
    <x v="14"/>
    <n v="4915"/>
    <x v="4"/>
    <x v="0"/>
  </r>
  <r>
    <x v="1"/>
    <x v="10"/>
    <x v="7"/>
    <n v="354"/>
    <x v="4"/>
    <x v="0"/>
  </r>
  <r>
    <x v="1"/>
    <x v="10"/>
    <x v="15"/>
    <n v="8226"/>
    <x v="4"/>
    <x v="0"/>
  </r>
  <r>
    <x v="1"/>
    <x v="10"/>
    <x v="0"/>
    <n v="0"/>
    <x v="4"/>
    <x v="0"/>
  </r>
  <r>
    <x v="1"/>
    <x v="10"/>
    <x v="4"/>
    <n v="292"/>
    <x v="4"/>
    <x v="0"/>
  </r>
  <r>
    <x v="1"/>
    <x v="10"/>
    <x v="8"/>
    <n v="0"/>
    <x v="4"/>
    <x v="0"/>
  </r>
  <r>
    <x v="1"/>
    <x v="10"/>
    <x v="12"/>
    <n v="388"/>
    <x v="4"/>
    <x v="0"/>
  </r>
  <r>
    <x v="1"/>
    <x v="10"/>
    <x v="10"/>
    <n v="1516"/>
    <x v="4"/>
    <x v="0"/>
  </r>
  <r>
    <x v="1"/>
    <x v="10"/>
    <x v="1"/>
    <n v="2383"/>
    <x v="4"/>
    <x v="0"/>
  </r>
  <r>
    <x v="0"/>
    <x v="2"/>
    <x v="0"/>
    <n v="1673"/>
    <x v="0"/>
    <x v="0"/>
  </r>
  <r>
    <x v="0"/>
    <x v="2"/>
    <x v="7"/>
    <n v="1863"/>
    <x v="0"/>
    <x v="0"/>
  </r>
  <r>
    <x v="0"/>
    <x v="2"/>
    <x v="4"/>
    <n v="876"/>
    <x v="0"/>
    <x v="0"/>
  </r>
  <r>
    <x v="0"/>
    <x v="2"/>
    <x v="12"/>
    <n v="1786"/>
    <x v="0"/>
    <x v="0"/>
  </r>
  <r>
    <x v="0"/>
    <x v="2"/>
    <x v="13"/>
    <n v="1801"/>
    <x v="0"/>
    <x v="0"/>
  </r>
  <r>
    <x v="0"/>
    <x v="2"/>
    <x v="5"/>
    <n v="2478"/>
    <x v="0"/>
    <x v="0"/>
  </r>
  <r>
    <x v="0"/>
    <x v="2"/>
    <x v="9"/>
    <n v="2486"/>
    <x v="0"/>
    <x v="0"/>
  </r>
  <r>
    <x v="0"/>
    <x v="2"/>
    <x v="1"/>
    <n v="1655"/>
    <x v="0"/>
    <x v="0"/>
  </r>
  <r>
    <x v="0"/>
    <x v="2"/>
    <x v="6"/>
    <n v="0"/>
    <x v="0"/>
    <x v="0"/>
  </r>
  <r>
    <x v="0"/>
    <x v="2"/>
    <x v="2"/>
    <n v="2237"/>
    <x v="0"/>
    <x v="0"/>
  </r>
  <r>
    <x v="0"/>
    <x v="2"/>
    <x v="15"/>
    <n v="2277"/>
    <x v="0"/>
    <x v="0"/>
  </r>
  <r>
    <x v="0"/>
    <x v="2"/>
    <x v="14"/>
    <n v="2366"/>
    <x v="0"/>
    <x v="0"/>
  </r>
  <r>
    <x v="0"/>
    <x v="2"/>
    <x v="3"/>
    <n v="1629"/>
    <x v="0"/>
    <x v="0"/>
  </r>
  <r>
    <x v="0"/>
    <x v="2"/>
    <x v="16"/>
    <n v="1337"/>
    <x v="0"/>
    <x v="0"/>
  </r>
  <r>
    <x v="0"/>
    <x v="2"/>
    <x v="8"/>
    <n v="1512"/>
    <x v="0"/>
    <x v="0"/>
  </r>
  <r>
    <x v="0"/>
    <x v="2"/>
    <x v="11"/>
    <n v="2235"/>
    <x v="0"/>
    <x v="0"/>
  </r>
  <r>
    <x v="0"/>
    <x v="2"/>
    <x v="10"/>
    <n v="0"/>
    <x v="0"/>
    <x v="0"/>
  </r>
  <r>
    <x v="0"/>
    <x v="4"/>
    <x v="4"/>
    <n v="327"/>
    <x v="0"/>
    <x v="0"/>
  </r>
  <r>
    <x v="0"/>
    <x v="4"/>
    <x v="5"/>
    <n v="129"/>
    <x v="0"/>
    <x v="0"/>
  </r>
  <r>
    <x v="0"/>
    <x v="4"/>
    <x v="1"/>
    <n v="379"/>
    <x v="0"/>
    <x v="0"/>
  </r>
  <r>
    <x v="0"/>
    <x v="4"/>
    <x v="11"/>
    <n v="219"/>
    <x v="0"/>
    <x v="0"/>
  </r>
  <r>
    <x v="0"/>
    <x v="4"/>
    <x v="16"/>
    <n v="433"/>
    <x v="0"/>
    <x v="0"/>
  </r>
  <r>
    <x v="0"/>
    <x v="4"/>
    <x v="15"/>
    <n v="442"/>
    <x v="0"/>
    <x v="0"/>
  </r>
  <r>
    <x v="0"/>
    <x v="4"/>
    <x v="12"/>
    <n v="311"/>
    <x v="0"/>
    <x v="0"/>
  </r>
  <r>
    <x v="0"/>
    <x v="4"/>
    <x v="7"/>
    <n v="226"/>
    <x v="0"/>
    <x v="0"/>
  </r>
  <r>
    <x v="0"/>
    <x v="4"/>
    <x v="2"/>
    <n v="397"/>
    <x v="0"/>
    <x v="0"/>
  </r>
  <r>
    <x v="0"/>
    <x v="4"/>
    <x v="13"/>
    <n v="314"/>
    <x v="0"/>
    <x v="0"/>
  </r>
  <r>
    <x v="0"/>
    <x v="4"/>
    <x v="14"/>
    <n v="280"/>
    <x v="0"/>
    <x v="0"/>
  </r>
  <r>
    <x v="0"/>
    <x v="4"/>
    <x v="10"/>
    <n v="315"/>
    <x v="0"/>
    <x v="0"/>
  </r>
  <r>
    <x v="0"/>
    <x v="4"/>
    <x v="3"/>
    <n v="276"/>
    <x v="0"/>
    <x v="0"/>
  </r>
  <r>
    <x v="0"/>
    <x v="4"/>
    <x v="0"/>
    <n v="383"/>
    <x v="0"/>
    <x v="0"/>
  </r>
  <r>
    <x v="0"/>
    <x v="4"/>
    <x v="8"/>
    <n v="409"/>
    <x v="0"/>
    <x v="0"/>
  </r>
  <r>
    <x v="0"/>
    <x v="4"/>
    <x v="9"/>
    <n v="357"/>
    <x v="0"/>
    <x v="0"/>
  </r>
  <r>
    <x v="0"/>
    <x v="4"/>
    <x v="6"/>
    <n v="474"/>
    <x v="0"/>
    <x v="0"/>
  </r>
  <r>
    <x v="0"/>
    <x v="3"/>
    <x v="13"/>
    <n v="91164"/>
    <x v="2"/>
    <x v="0"/>
  </r>
  <r>
    <x v="0"/>
    <x v="3"/>
    <x v="9"/>
    <n v="69408"/>
    <x v="2"/>
    <x v="0"/>
  </r>
  <r>
    <x v="0"/>
    <x v="3"/>
    <x v="8"/>
    <n v="101470"/>
    <x v="2"/>
    <x v="0"/>
  </r>
  <r>
    <x v="0"/>
    <x v="3"/>
    <x v="2"/>
    <n v="92206"/>
    <x v="2"/>
    <x v="0"/>
  </r>
  <r>
    <x v="0"/>
    <x v="3"/>
    <x v="16"/>
    <n v="88796"/>
    <x v="2"/>
    <x v="0"/>
  </r>
  <r>
    <x v="0"/>
    <x v="3"/>
    <x v="3"/>
    <n v="83632"/>
    <x v="2"/>
    <x v="0"/>
  </r>
  <r>
    <x v="0"/>
    <x v="3"/>
    <x v="15"/>
    <n v="83371"/>
    <x v="2"/>
    <x v="0"/>
  </r>
  <r>
    <x v="0"/>
    <x v="3"/>
    <x v="5"/>
    <n v="88382"/>
    <x v="2"/>
    <x v="0"/>
  </r>
  <r>
    <x v="0"/>
    <x v="3"/>
    <x v="14"/>
    <n v="113151"/>
    <x v="2"/>
    <x v="0"/>
  </r>
  <r>
    <x v="0"/>
    <x v="3"/>
    <x v="12"/>
    <n v="121910"/>
    <x v="2"/>
    <x v="0"/>
  </r>
  <r>
    <x v="0"/>
    <x v="3"/>
    <x v="1"/>
    <n v="76518"/>
    <x v="2"/>
    <x v="0"/>
  </r>
  <r>
    <x v="0"/>
    <x v="3"/>
    <x v="10"/>
    <n v="65163"/>
    <x v="2"/>
    <x v="0"/>
  </r>
  <r>
    <x v="0"/>
    <x v="3"/>
    <x v="6"/>
    <n v="58522"/>
    <x v="2"/>
    <x v="0"/>
  </r>
  <r>
    <x v="0"/>
    <x v="3"/>
    <x v="7"/>
    <n v="125294"/>
    <x v="2"/>
    <x v="0"/>
  </r>
  <r>
    <x v="0"/>
    <x v="3"/>
    <x v="11"/>
    <n v="117045"/>
    <x v="2"/>
    <x v="0"/>
  </r>
  <r>
    <x v="0"/>
    <x v="3"/>
    <x v="4"/>
    <n v="73371"/>
    <x v="2"/>
    <x v="0"/>
  </r>
  <r>
    <x v="0"/>
    <x v="3"/>
    <x v="0"/>
    <n v="57451"/>
    <x v="2"/>
    <x v="0"/>
  </r>
  <r>
    <x v="0"/>
    <x v="5"/>
    <x v="14"/>
    <n v="201"/>
    <x v="2"/>
    <x v="1"/>
  </r>
  <r>
    <x v="0"/>
    <x v="5"/>
    <x v="3"/>
    <n v="2324"/>
    <x v="2"/>
    <x v="1"/>
  </r>
  <r>
    <x v="0"/>
    <x v="5"/>
    <x v="8"/>
    <n v="626"/>
    <x v="2"/>
    <x v="1"/>
  </r>
  <r>
    <x v="0"/>
    <x v="5"/>
    <x v="6"/>
    <n v="230"/>
    <x v="2"/>
    <x v="1"/>
  </r>
  <r>
    <x v="0"/>
    <x v="5"/>
    <x v="13"/>
    <n v="1089"/>
    <x v="2"/>
    <x v="1"/>
  </r>
  <r>
    <x v="0"/>
    <x v="5"/>
    <x v="0"/>
    <n v="322"/>
    <x v="2"/>
    <x v="1"/>
  </r>
  <r>
    <x v="0"/>
    <x v="5"/>
    <x v="4"/>
    <n v="625"/>
    <x v="2"/>
    <x v="1"/>
  </r>
  <r>
    <x v="0"/>
    <x v="5"/>
    <x v="7"/>
    <n v="1316"/>
    <x v="2"/>
    <x v="1"/>
  </r>
  <r>
    <x v="0"/>
    <x v="5"/>
    <x v="12"/>
    <n v="1374"/>
    <x v="2"/>
    <x v="1"/>
  </r>
  <r>
    <x v="0"/>
    <x v="5"/>
    <x v="9"/>
    <n v="495"/>
    <x v="2"/>
    <x v="1"/>
  </r>
  <r>
    <x v="0"/>
    <x v="5"/>
    <x v="16"/>
    <n v="1068"/>
    <x v="2"/>
    <x v="1"/>
  </r>
  <r>
    <x v="0"/>
    <x v="5"/>
    <x v="15"/>
    <n v="690"/>
    <x v="2"/>
    <x v="1"/>
  </r>
  <r>
    <x v="0"/>
    <x v="5"/>
    <x v="1"/>
    <n v="102"/>
    <x v="2"/>
    <x v="1"/>
  </r>
  <r>
    <x v="0"/>
    <x v="5"/>
    <x v="5"/>
    <n v="418"/>
    <x v="2"/>
    <x v="1"/>
  </r>
  <r>
    <x v="0"/>
    <x v="5"/>
    <x v="10"/>
    <n v="998"/>
    <x v="2"/>
    <x v="1"/>
  </r>
  <r>
    <x v="0"/>
    <x v="5"/>
    <x v="11"/>
    <n v="412"/>
    <x v="2"/>
    <x v="1"/>
  </r>
  <r>
    <x v="0"/>
    <x v="5"/>
    <x v="2"/>
    <n v="489"/>
    <x v="2"/>
    <x v="1"/>
  </r>
  <r>
    <x v="0"/>
    <x v="6"/>
    <x v="10"/>
    <n v="0"/>
    <x v="2"/>
    <x v="1"/>
  </r>
  <r>
    <x v="0"/>
    <x v="6"/>
    <x v="8"/>
    <n v="0"/>
    <x v="2"/>
    <x v="1"/>
  </r>
  <r>
    <x v="0"/>
    <x v="6"/>
    <x v="2"/>
    <n v="0"/>
    <x v="2"/>
    <x v="1"/>
  </r>
  <r>
    <x v="0"/>
    <x v="6"/>
    <x v="7"/>
    <n v="0"/>
    <x v="2"/>
    <x v="1"/>
  </r>
  <r>
    <x v="0"/>
    <x v="6"/>
    <x v="3"/>
    <n v="0"/>
    <x v="2"/>
    <x v="1"/>
  </r>
  <r>
    <x v="0"/>
    <x v="6"/>
    <x v="1"/>
    <n v="0"/>
    <x v="2"/>
    <x v="1"/>
  </r>
  <r>
    <x v="0"/>
    <x v="6"/>
    <x v="15"/>
    <n v="0"/>
    <x v="2"/>
    <x v="1"/>
  </r>
  <r>
    <x v="0"/>
    <x v="6"/>
    <x v="5"/>
    <n v="0"/>
    <x v="2"/>
    <x v="1"/>
  </r>
  <r>
    <x v="0"/>
    <x v="6"/>
    <x v="13"/>
    <n v="0"/>
    <x v="2"/>
    <x v="1"/>
  </r>
  <r>
    <x v="0"/>
    <x v="6"/>
    <x v="6"/>
    <n v="0"/>
    <x v="2"/>
    <x v="1"/>
  </r>
  <r>
    <x v="0"/>
    <x v="6"/>
    <x v="9"/>
    <n v="0"/>
    <x v="2"/>
    <x v="1"/>
  </r>
  <r>
    <x v="0"/>
    <x v="6"/>
    <x v="16"/>
    <n v="12"/>
    <x v="2"/>
    <x v="1"/>
  </r>
  <r>
    <x v="0"/>
    <x v="6"/>
    <x v="4"/>
    <n v="0"/>
    <x v="2"/>
    <x v="1"/>
  </r>
  <r>
    <x v="0"/>
    <x v="6"/>
    <x v="12"/>
    <n v="0"/>
    <x v="2"/>
    <x v="1"/>
  </r>
  <r>
    <x v="0"/>
    <x v="6"/>
    <x v="11"/>
    <n v="21"/>
    <x v="2"/>
    <x v="1"/>
  </r>
  <r>
    <x v="0"/>
    <x v="6"/>
    <x v="0"/>
    <n v="0"/>
    <x v="2"/>
    <x v="1"/>
  </r>
  <r>
    <x v="0"/>
    <x v="6"/>
    <x v="14"/>
    <n v="0"/>
    <x v="2"/>
    <x v="1"/>
  </r>
  <r>
    <x v="0"/>
    <x v="7"/>
    <x v="11"/>
    <n v="531"/>
    <x v="2"/>
    <x v="1"/>
  </r>
  <r>
    <x v="0"/>
    <x v="7"/>
    <x v="0"/>
    <n v="158"/>
    <x v="2"/>
    <x v="1"/>
  </r>
  <r>
    <x v="0"/>
    <x v="7"/>
    <x v="1"/>
    <n v="213"/>
    <x v="2"/>
    <x v="1"/>
  </r>
  <r>
    <x v="0"/>
    <x v="7"/>
    <x v="8"/>
    <n v="1053"/>
    <x v="2"/>
    <x v="1"/>
  </r>
  <r>
    <x v="0"/>
    <x v="7"/>
    <x v="4"/>
    <n v="562"/>
    <x v="2"/>
    <x v="1"/>
  </r>
  <r>
    <x v="0"/>
    <x v="7"/>
    <x v="15"/>
    <n v="311"/>
    <x v="2"/>
    <x v="1"/>
  </r>
  <r>
    <x v="0"/>
    <x v="7"/>
    <x v="5"/>
    <n v="214"/>
    <x v="2"/>
    <x v="1"/>
  </r>
  <r>
    <x v="0"/>
    <x v="7"/>
    <x v="6"/>
    <n v="129"/>
    <x v="2"/>
    <x v="1"/>
  </r>
  <r>
    <x v="0"/>
    <x v="7"/>
    <x v="9"/>
    <n v="100"/>
    <x v="2"/>
    <x v="1"/>
  </r>
  <r>
    <x v="0"/>
    <x v="7"/>
    <x v="16"/>
    <n v="870"/>
    <x v="2"/>
    <x v="1"/>
  </r>
  <r>
    <x v="0"/>
    <x v="7"/>
    <x v="7"/>
    <n v="132"/>
    <x v="2"/>
    <x v="1"/>
  </r>
  <r>
    <x v="0"/>
    <x v="7"/>
    <x v="14"/>
    <n v="106"/>
    <x v="2"/>
    <x v="1"/>
  </r>
  <r>
    <x v="0"/>
    <x v="7"/>
    <x v="13"/>
    <n v="1046"/>
    <x v="2"/>
    <x v="1"/>
  </r>
  <r>
    <x v="0"/>
    <x v="7"/>
    <x v="3"/>
    <n v="18"/>
    <x v="2"/>
    <x v="1"/>
  </r>
  <r>
    <x v="0"/>
    <x v="7"/>
    <x v="10"/>
    <n v="185"/>
    <x v="2"/>
    <x v="1"/>
  </r>
  <r>
    <x v="0"/>
    <x v="7"/>
    <x v="2"/>
    <n v="306"/>
    <x v="2"/>
    <x v="1"/>
  </r>
  <r>
    <x v="0"/>
    <x v="7"/>
    <x v="12"/>
    <n v="219"/>
    <x v="2"/>
    <x v="1"/>
  </r>
  <r>
    <x v="0"/>
    <x v="18"/>
    <x v="5"/>
    <n v="2863"/>
    <x v="2"/>
    <x v="0"/>
  </r>
  <r>
    <x v="0"/>
    <x v="18"/>
    <x v="16"/>
    <n v="1637"/>
    <x v="2"/>
    <x v="0"/>
  </r>
  <r>
    <x v="0"/>
    <x v="18"/>
    <x v="7"/>
    <n v="98814"/>
    <x v="2"/>
    <x v="0"/>
  </r>
  <r>
    <x v="0"/>
    <x v="18"/>
    <x v="10"/>
    <n v="0"/>
    <x v="2"/>
    <x v="0"/>
  </r>
  <r>
    <x v="0"/>
    <x v="18"/>
    <x v="0"/>
    <n v="0"/>
    <x v="2"/>
    <x v="0"/>
  </r>
  <r>
    <x v="0"/>
    <x v="18"/>
    <x v="9"/>
    <n v="0"/>
    <x v="2"/>
    <x v="0"/>
  </r>
  <r>
    <x v="0"/>
    <x v="18"/>
    <x v="11"/>
    <n v="70541"/>
    <x v="2"/>
    <x v="0"/>
  </r>
  <r>
    <x v="0"/>
    <x v="18"/>
    <x v="2"/>
    <n v="0"/>
    <x v="2"/>
    <x v="0"/>
  </r>
  <r>
    <x v="0"/>
    <x v="18"/>
    <x v="15"/>
    <n v="0"/>
    <x v="2"/>
    <x v="0"/>
  </r>
  <r>
    <x v="0"/>
    <x v="18"/>
    <x v="8"/>
    <n v="1800"/>
    <x v="2"/>
    <x v="0"/>
  </r>
  <r>
    <x v="0"/>
    <x v="18"/>
    <x v="14"/>
    <n v="42517"/>
    <x v="2"/>
    <x v="0"/>
  </r>
  <r>
    <x v="0"/>
    <x v="18"/>
    <x v="4"/>
    <n v="1967"/>
    <x v="2"/>
    <x v="0"/>
  </r>
  <r>
    <x v="0"/>
    <x v="18"/>
    <x v="1"/>
    <n v="0"/>
    <x v="2"/>
    <x v="0"/>
  </r>
  <r>
    <x v="0"/>
    <x v="18"/>
    <x v="12"/>
    <n v="3104"/>
    <x v="2"/>
    <x v="0"/>
  </r>
  <r>
    <x v="0"/>
    <x v="18"/>
    <x v="6"/>
    <n v="0"/>
    <x v="2"/>
    <x v="0"/>
  </r>
  <r>
    <x v="0"/>
    <x v="18"/>
    <x v="3"/>
    <n v="907"/>
    <x v="2"/>
    <x v="0"/>
  </r>
  <r>
    <x v="0"/>
    <x v="18"/>
    <x v="13"/>
    <n v="4035"/>
    <x v="2"/>
    <x v="0"/>
  </r>
  <r>
    <x v="0"/>
    <x v="8"/>
    <x v="15"/>
    <n v="0"/>
    <x v="3"/>
    <x v="0"/>
  </r>
  <r>
    <x v="0"/>
    <x v="8"/>
    <x v="12"/>
    <n v="4756"/>
    <x v="3"/>
    <x v="0"/>
  </r>
  <r>
    <x v="0"/>
    <x v="8"/>
    <x v="9"/>
    <n v="0"/>
    <x v="3"/>
    <x v="0"/>
  </r>
  <r>
    <x v="0"/>
    <x v="8"/>
    <x v="0"/>
    <n v="0"/>
    <x v="3"/>
    <x v="0"/>
  </r>
  <r>
    <x v="0"/>
    <x v="8"/>
    <x v="3"/>
    <n v="4662"/>
    <x v="3"/>
    <x v="0"/>
  </r>
  <r>
    <x v="0"/>
    <x v="8"/>
    <x v="13"/>
    <n v="4313"/>
    <x v="3"/>
    <x v="0"/>
  </r>
  <r>
    <x v="0"/>
    <x v="8"/>
    <x v="11"/>
    <n v="6390"/>
    <x v="3"/>
    <x v="0"/>
  </r>
  <r>
    <x v="0"/>
    <x v="8"/>
    <x v="7"/>
    <n v="5787"/>
    <x v="3"/>
    <x v="0"/>
  </r>
  <r>
    <x v="0"/>
    <x v="8"/>
    <x v="2"/>
    <n v="0"/>
    <x v="3"/>
    <x v="0"/>
  </r>
  <r>
    <x v="0"/>
    <x v="8"/>
    <x v="16"/>
    <n v="4206"/>
    <x v="3"/>
    <x v="0"/>
  </r>
  <r>
    <x v="0"/>
    <x v="8"/>
    <x v="6"/>
    <n v="0"/>
    <x v="3"/>
    <x v="0"/>
  </r>
  <r>
    <x v="0"/>
    <x v="8"/>
    <x v="14"/>
    <n v="6098"/>
    <x v="3"/>
    <x v="0"/>
  </r>
  <r>
    <x v="0"/>
    <x v="8"/>
    <x v="1"/>
    <n v="0"/>
    <x v="3"/>
    <x v="0"/>
  </r>
  <r>
    <x v="0"/>
    <x v="8"/>
    <x v="4"/>
    <n v="4288"/>
    <x v="3"/>
    <x v="0"/>
  </r>
  <r>
    <x v="0"/>
    <x v="8"/>
    <x v="5"/>
    <n v="0"/>
    <x v="3"/>
    <x v="0"/>
  </r>
  <r>
    <x v="0"/>
    <x v="8"/>
    <x v="8"/>
    <n v="4382"/>
    <x v="3"/>
    <x v="0"/>
  </r>
  <r>
    <x v="0"/>
    <x v="8"/>
    <x v="10"/>
    <n v="0"/>
    <x v="3"/>
    <x v="0"/>
  </r>
  <r>
    <x v="0"/>
    <x v="9"/>
    <x v="16"/>
    <n v="761"/>
    <x v="3"/>
    <x v="0"/>
  </r>
  <r>
    <x v="0"/>
    <x v="9"/>
    <x v="14"/>
    <n v="1940"/>
    <x v="3"/>
    <x v="0"/>
  </r>
  <r>
    <x v="0"/>
    <x v="9"/>
    <x v="13"/>
    <n v="1214"/>
    <x v="3"/>
    <x v="0"/>
  </r>
  <r>
    <x v="0"/>
    <x v="9"/>
    <x v="10"/>
    <n v="500"/>
    <x v="3"/>
    <x v="0"/>
  </r>
  <r>
    <x v="0"/>
    <x v="9"/>
    <x v="12"/>
    <n v="1500"/>
    <x v="3"/>
    <x v="0"/>
  </r>
  <r>
    <x v="0"/>
    <x v="9"/>
    <x v="6"/>
    <n v="321"/>
    <x v="3"/>
    <x v="0"/>
  </r>
  <r>
    <x v="0"/>
    <x v="9"/>
    <x v="15"/>
    <n v="822"/>
    <x v="3"/>
    <x v="0"/>
  </r>
  <r>
    <x v="0"/>
    <x v="9"/>
    <x v="11"/>
    <n v="1531"/>
    <x v="3"/>
    <x v="0"/>
  </r>
  <r>
    <x v="0"/>
    <x v="9"/>
    <x v="9"/>
    <n v="640"/>
    <x v="3"/>
    <x v="0"/>
  </r>
  <r>
    <x v="0"/>
    <x v="9"/>
    <x v="0"/>
    <n v="649"/>
    <x v="3"/>
    <x v="0"/>
  </r>
  <r>
    <x v="0"/>
    <x v="9"/>
    <x v="4"/>
    <n v="539"/>
    <x v="3"/>
    <x v="0"/>
  </r>
  <r>
    <x v="0"/>
    <x v="9"/>
    <x v="8"/>
    <n v="968"/>
    <x v="3"/>
    <x v="0"/>
  </r>
  <r>
    <x v="0"/>
    <x v="9"/>
    <x v="3"/>
    <n v="1187"/>
    <x v="3"/>
    <x v="0"/>
  </r>
  <r>
    <x v="0"/>
    <x v="9"/>
    <x v="2"/>
    <n v="1095"/>
    <x v="3"/>
    <x v="0"/>
  </r>
  <r>
    <x v="0"/>
    <x v="9"/>
    <x v="5"/>
    <n v="946"/>
    <x v="3"/>
    <x v="0"/>
  </r>
  <r>
    <x v="0"/>
    <x v="9"/>
    <x v="1"/>
    <n v="684"/>
    <x v="3"/>
    <x v="0"/>
  </r>
  <r>
    <x v="0"/>
    <x v="9"/>
    <x v="7"/>
    <n v="1965"/>
    <x v="3"/>
    <x v="0"/>
  </r>
  <r>
    <x v="0"/>
    <x v="10"/>
    <x v="13"/>
    <n v="35201"/>
    <x v="4"/>
    <x v="0"/>
  </r>
  <r>
    <x v="0"/>
    <x v="10"/>
    <x v="12"/>
    <n v="34844"/>
    <x v="4"/>
    <x v="0"/>
  </r>
  <r>
    <x v="0"/>
    <x v="10"/>
    <x v="5"/>
    <n v="32285"/>
    <x v="4"/>
    <x v="0"/>
  </r>
  <r>
    <x v="0"/>
    <x v="10"/>
    <x v="9"/>
    <n v="37148"/>
    <x v="4"/>
    <x v="0"/>
  </r>
  <r>
    <x v="0"/>
    <x v="10"/>
    <x v="0"/>
    <n v="35320"/>
    <x v="4"/>
    <x v="0"/>
  </r>
  <r>
    <x v="0"/>
    <x v="10"/>
    <x v="6"/>
    <n v="35773"/>
    <x v="4"/>
    <x v="0"/>
  </r>
  <r>
    <x v="0"/>
    <x v="10"/>
    <x v="10"/>
    <n v="40149"/>
    <x v="4"/>
    <x v="0"/>
  </r>
  <r>
    <x v="0"/>
    <x v="10"/>
    <x v="4"/>
    <n v="30356"/>
    <x v="4"/>
    <x v="0"/>
  </r>
  <r>
    <x v="0"/>
    <x v="10"/>
    <x v="11"/>
    <n v="45243"/>
    <x v="4"/>
    <x v="0"/>
  </r>
  <r>
    <x v="0"/>
    <x v="10"/>
    <x v="1"/>
    <n v="37633"/>
    <x v="4"/>
    <x v="0"/>
  </r>
  <r>
    <x v="0"/>
    <x v="10"/>
    <x v="7"/>
    <n v="51580"/>
    <x v="4"/>
    <x v="0"/>
  </r>
  <r>
    <x v="0"/>
    <x v="10"/>
    <x v="8"/>
    <n v="33147"/>
    <x v="4"/>
    <x v="0"/>
  </r>
  <r>
    <x v="0"/>
    <x v="10"/>
    <x v="15"/>
    <n v="41860"/>
    <x v="4"/>
    <x v="0"/>
  </r>
  <r>
    <x v="0"/>
    <x v="10"/>
    <x v="3"/>
    <n v="27189"/>
    <x v="4"/>
    <x v="0"/>
  </r>
  <r>
    <x v="0"/>
    <x v="10"/>
    <x v="14"/>
    <n v="55045"/>
    <x v="4"/>
    <x v="0"/>
  </r>
  <r>
    <x v="0"/>
    <x v="10"/>
    <x v="16"/>
    <n v="31671"/>
    <x v="4"/>
    <x v="0"/>
  </r>
  <r>
    <x v="0"/>
    <x v="10"/>
    <x v="2"/>
    <n v="33280"/>
    <x v="4"/>
    <x v="0"/>
  </r>
  <r>
    <x v="0"/>
    <x v="13"/>
    <x v="4"/>
    <n v="0"/>
    <x v="4"/>
    <x v="0"/>
  </r>
  <r>
    <x v="0"/>
    <x v="13"/>
    <x v="12"/>
    <n v="469"/>
    <x v="4"/>
    <x v="0"/>
  </r>
  <r>
    <x v="0"/>
    <x v="13"/>
    <x v="1"/>
    <n v="622"/>
    <x v="4"/>
    <x v="0"/>
  </r>
  <r>
    <x v="0"/>
    <x v="13"/>
    <x v="15"/>
    <n v="0"/>
    <x v="4"/>
    <x v="0"/>
  </r>
  <r>
    <x v="0"/>
    <x v="13"/>
    <x v="11"/>
    <n v="0"/>
    <x v="4"/>
    <x v="0"/>
  </r>
  <r>
    <x v="0"/>
    <x v="13"/>
    <x v="9"/>
    <n v="0"/>
    <x v="4"/>
    <x v="0"/>
  </r>
  <r>
    <x v="0"/>
    <x v="13"/>
    <x v="8"/>
    <n v="0"/>
    <x v="4"/>
    <x v="0"/>
  </r>
  <r>
    <x v="0"/>
    <x v="13"/>
    <x v="16"/>
    <n v="0"/>
    <x v="4"/>
    <x v="0"/>
  </r>
  <r>
    <x v="0"/>
    <x v="13"/>
    <x v="0"/>
    <n v="0"/>
    <x v="4"/>
    <x v="0"/>
  </r>
  <r>
    <x v="0"/>
    <x v="13"/>
    <x v="10"/>
    <n v="0"/>
    <x v="4"/>
    <x v="0"/>
  </r>
  <r>
    <x v="0"/>
    <x v="13"/>
    <x v="2"/>
    <n v="0"/>
    <x v="4"/>
    <x v="0"/>
  </r>
  <r>
    <x v="0"/>
    <x v="13"/>
    <x v="14"/>
    <n v="271"/>
    <x v="4"/>
    <x v="0"/>
  </r>
  <r>
    <x v="0"/>
    <x v="13"/>
    <x v="7"/>
    <n v="0"/>
    <x v="4"/>
    <x v="0"/>
  </r>
  <r>
    <x v="0"/>
    <x v="13"/>
    <x v="13"/>
    <n v="0"/>
    <x v="4"/>
    <x v="0"/>
  </r>
  <r>
    <x v="0"/>
    <x v="13"/>
    <x v="3"/>
    <n v="0"/>
    <x v="4"/>
    <x v="0"/>
  </r>
  <r>
    <x v="0"/>
    <x v="13"/>
    <x v="5"/>
    <n v="0"/>
    <x v="4"/>
    <x v="0"/>
  </r>
  <r>
    <x v="0"/>
    <x v="13"/>
    <x v="6"/>
    <n v="2223"/>
    <x v="4"/>
    <x v="0"/>
  </r>
  <r>
    <x v="0"/>
    <x v="11"/>
    <x v="8"/>
    <n v="92640"/>
    <x v="4"/>
    <x v="0"/>
  </r>
  <r>
    <x v="0"/>
    <x v="11"/>
    <x v="0"/>
    <n v="44266"/>
    <x v="4"/>
    <x v="0"/>
  </r>
  <r>
    <x v="0"/>
    <x v="11"/>
    <x v="3"/>
    <n v="79909"/>
    <x v="4"/>
    <x v="0"/>
  </r>
  <r>
    <x v="0"/>
    <x v="11"/>
    <x v="15"/>
    <n v="52398"/>
    <x v="4"/>
    <x v="0"/>
  </r>
  <r>
    <x v="0"/>
    <x v="11"/>
    <x v="1"/>
    <n v="51501"/>
    <x v="4"/>
    <x v="0"/>
  </r>
  <r>
    <x v="0"/>
    <x v="11"/>
    <x v="10"/>
    <n v="40120"/>
    <x v="4"/>
    <x v="0"/>
  </r>
  <r>
    <x v="0"/>
    <x v="11"/>
    <x v="7"/>
    <n v="104296"/>
    <x v="4"/>
    <x v="0"/>
  </r>
  <r>
    <x v="0"/>
    <x v="11"/>
    <x v="5"/>
    <n v="70276"/>
    <x v="4"/>
    <x v="0"/>
  </r>
  <r>
    <x v="0"/>
    <x v="11"/>
    <x v="11"/>
    <n v="78331"/>
    <x v="4"/>
    <x v="0"/>
  </r>
  <r>
    <x v="0"/>
    <x v="11"/>
    <x v="9"/>
    <n v="36170"/>
    <x v="4"/>
    <x v="0"/>
  </r>
  <r>
    <x v="0"/>
    <x v="11"/>
    <x v="6"/>
    <n v="40263"/>
    <x v="4"/>
    <x v="0"/>
  </r>
  <r>
    <x v="0"/>
    <x v="11"/>
    <x v="14"/>
    <n v="89853"/>
    <x v="4"/>
    <x v="0"/>
  </r>
  <r>
    <x v="0"/>
    <x v="11"/>
    <x v="2"/>
    <n v="47958"/>
    <x v="4"/>
    <x v="0"/>
  </r>
  <r>
    <x v="0"/>
    <x v="11"/>
    <x v="4"/>
    <n v="68913"/>
    <x v="4"/>
    <x v="0"/>
  </r>
  <r>
    <x v="0"/>
    <x v="11"/>
    <x v="16"/>
    <n v="73362"/>
    <x v="4"/>
    <x v="0"/>
  </r>
  <r>
    <x v="0"/>
    <x v="11"/>
    <x v="13"/>
    <n v="95805"/>
    <x v="4"/>
    <x v="0"/>
  </r>
  <r>
    <x v="0"/>
    <x v="11"/>
    <x v="12"/>
    <n v="88120"/>
    <x v="4"/>
    <x v="0"/>
  </r>
  <r>
    <x v="0"/>
    <x v="12"/>
    <x v="5"/>
    <n v="39825"/>
    <x v="4"/>
    <x v="0"/>
  </r>
  <r>
    <x v="0"/>
    <x v="12"/>
    <x v="6"/>
    <n v="60400"/>
    <x v="4"/>
    <x v="0"/>
  </r>
  <r>
    <x v="0"/>
    <x v="12"/>
    <x v="14"/>
    <n v="760"/>
    <x v="4"/>
    <x v="0"/>
  </r>
  <r>
    <x v="0"/>
    <x v="12"/>
    <x v="2"/>
    <n v="65353"/>
    <x v="4"/>
    <x v="0"/>
  </r>
  <r>
    <x v="0"/>
    <x v="12"/>
    <x v="7"/>
    <n v="2282"/>
    <x v="4"/>
    <x v="0"/>
  </r>
  <r>
    <x v="0"/>
    <x v="12"/>
    <x v="4"/>
    <n v="21805"/>
    <x v="4"/>
    <x v="0"/>
  </r>
  <r>
    <x v="0"/>
    <x v="12"/>
    <x v="10"/>
    <n v="42330"/>
    <x v="4"/>
    <x v="0"/>
  </r>
  <r>
    <x v="0"/>
    <x v="12"/>
    <x v="12"/>
    <n v="13083"/>
    <x v="4"/>
    <x v="0"/>
  </r>
  <r>
    <x v="0"/>
    <x v="12"/>
    <x v="16"/>
    <n v="11729"/>
    <x v="4"/>
    <x v="0"/>
  </r>
  <r>
    <x v="0"/>
    <x v="12"/>
    <x v="1"/>
    <n v="51234"/>
    <x v="4"/>
    <x v="0"/>
  </r>
  <r>
    <x v="0"/>
    <x v="12"/>
    <x v="15"/>
    <n v="36241"/>
    <x v="4"/>
    <x v="0"/>
  </r>
  <r>
    <x v="0"/>
    <x v="12"/>
    <x v="3"/>
    <n v="6067"/>
    <x v="4"/>
    <x v="0"/>
  </r>
  <r>
    <x v="0"/>
    <x v="12"/>
    <x v="0"/>
    <n v="41545"/>
    <x v="4"/>
    <x v="0"/>
  </r>
  <r>
    <x v="0"/>
    <x v="12"/>
    <x v="8"/>
    <n v="14563"/>
    <x v="4"/>
    <x v="0"/>
  </r>
  <r>
    <x v="0"/>
    <x v="12"/>
    <x v="9"/>
    <n v="38364"/>
    <x v="4"/>
    <x v="0"/>
  </r>
  <r>
    <x v="0"/>
    <x v="12"/>
    <x v="11"/>
    <n v="19"/>
    <x v="4"/>
    <x v="0"/>
  </r>
  <r>
    <x v="0"/>
    <x v="12"/>
    <x v="13"/>
    <n v="6624"/>
    <x v="4"/>
    <x v="0"/>
  </r>
  <r>
    <x v="0"/>
    <x v="14"/>
    <x v="16"/>
    <n v="514"/>
    <x v="0"/>
    <x v="0"/>
  </r>
  <r>
    <x v="0"/>
    <x v="14"/>
    <x v="2"/>
    <n v="327"/>
    <x v="0"/>
    <x v="0"/>
  </r>
  <r>
    <x v="0"/>
    <x v="14"/>
    <x v="8"/>
    <n v="582"/>
    <x v="0"/>
    <x v="0"/>
  </r>
  <r>
    <x v="0"/>
    <x v="14"/>
    <x v="4"/>
    <n v="472"/>
    <x v="0"/>
    <x v="0"/>
  </r>
  <r>
    <x v="0"/>
    <x v="14"/>
    <x v="15"/>
    <n v="297"/>
    <x v="0"/>
    <x v="0"/>
  </r>
  <r>
    <x v="0"/>
    <x v="14"/>
    <x v="13"/>
    <n v="444"/>
    <x v="0"/>
    <x v="0"/>
  </r>
  <r>
    <x v="0"/>
    <x v="14"/>
    <x v="0"/>
    <n v="308"/>
    <x v="0"/>
    <x v="0"/>
  </r>
  <r>
    <x v="0"/>
    <x v="14"/>
    <x v="5"/>
    <n v="272"/>
    <x v="0"/>
    <x v="0"/>
  </r>
  <r>
    <x v="0"/>
    <x v="14"/>
    <x v="11"/>
    <n v="445"/>
    <x v="0"/>
    <x v="0"/>
  </r>
  <r>
    <x v="0"/>
    <x v="14"/>
    <x v="6"/>
    <n v="61"/>
    <x v="0"/>
    <x v="0"/>
  </r>
  <r>
    <x v="0"/>
    <x v="14"/>
    <x v="7"/>
    <n v="501"/>
    <x v="0"/>
    <x v="0"/>
  </r>
  <r>
    <x v="0"/>
    <x v="14"/>
    <x v="1"/>
    <n v="346"/>
    <x v="0"/>
    <x v="0"/>
  </r>
  <r>
    <x v="0"/>
    <x v="14"/>
    <x v="10"/>
    <n v="112"/>
    <x v="0"/>
    <x v="0"/>
  </r>
  <r>
    <x v="0"/>
    <x v="14"/>
    <x v="9"/>
    <n v="292"/>
    <x v="0"/>
    <x v="0"/>
  </r>
  <r>
    <x v="0"/>
    <x v="14"/>
    <x v="12"/>
    <n v="472"/>
    <x v="0"/>
    <x v="0"/>
  </r>
  <r>
    <x v="0"/>
    <x v="14"/>
    <x v="14"/>
    <n v="529"/>
    <x v="0"/>
    <x v="0"/>
  </r>
  <r>
    <x v="0"/>
    <x v="14"/>
    <x v="3"/>
    <n v="442"/>
    <x v="0"/>
    <x v="0"/>
  </r>
  <r>
    <x v="0"/>
    <x v="15"/>
    <x v="12"/>
    <n v="2099"/>
    <x v="5"/>
    <x v="1"/>
  </r>
  <r>
    <x v="0"/>
    <x v="15"/>
    <x v="2"/>
    <n v="677"/>
    <x v="5"/>
    <x v="1"/>
  </r>
  <r>
    <x v="0"/>
    <x v="15"/>
    <x v="7"/>
    <n v="2409"/>
    <x v="5"/>
    <x v="1"/>
  </r>
  <r>
    <x v="0"/>
    <x v="15"/>
    <x v="9"/>
    <n v="122"/>
    <x v="5"/>
    <x v="1"/>
  </r>
  <r>
    <x v="0"/>
    <x v="15"/>
    <x v="1"/>
    <n v="123"/>
    <x v="5"/>
    <x v="1"/>
  </r>
  <r>
    <x v="0"/>
    <x v="15"/>
    <x v="13"/>
    <n v="1794"/>
    <x v="5"/>
    <x v="1"/>
  </r>
  <r>
    <x v="0"/>
    <x v="15"/>
    <x v="15"/>
    <n v="841"/>
    <x v="5"/>
    <x v="1"/>
  </r>
  <r>
    <x v="0"/>
    <x v="15"/>
    <x v="6"/>
    <n v="0"/>
    <x v="5"/>
    <x v="1"/>
  </r>
  <r>
    <x v="0"/>
    <x v="15"/>
    <x v="16"/>
    <n v="1205"/>
    <x v="5"/>
    <x v="1"/>
  </r>
  <r>
    <x v="0"/>
    <x v="15"/>
    <x v="8"/>
    <n v="401"/>
    <x v="5"/>
    <x v="1"/>
  </r>
  <r>
    <x v="0"/>
    <x v="15"/>
    <x v="3"/>
    <n v="1564"/>
    <x v="5"/>
    <x v="1"/>
  </r>
  <r>
    <x v="0"/>
    <x v="15"/>
    <x v="11"/>
    <n v="2173"/>
    <x v="5"/>
    <x v="1"/>
  </r>
  <r>
    <x v="0"/>
    <x v="15"/>
    <x v="4"/>
    <n v="128"/>
    <x v="5"/>
    <x v="1"/>
  </r>
  <r>
    <x v="0"/>
    <x v="15"/>
    <x v="0"/>
    <n v="194"/>
    <x v="5"/>
    <x v="1"/>
  </r>
  <r>
    <x v="0"/>
    <x v="15"/>
    <x v="14"/>
    <n v="2"/>
    <x v="5"/>
    <x v="1"/>
  </r>
  <r>
    <x v="0"/>
    <x v="15"/>
    <x v="5"/>
    <n v="331"/>
    <x v="5"/>
    <x v="1"/>
  </r>
  <r>
    <x v="0"/>
    <x v="15"/>
    <x v="10"/>
    <n v="703"/>
    <x v="5"/>
    <x v="1"/>
  </r>
  <r>
    <x v="0"/>
    <x v="16"/>
    <x v="13"/>
    <n v="201"/>
    <x v="5"/>
    <x v="1"/>
  </r>
  <r>
    <x v="0"/>
    <x v="16"/>
    <x v="14"/>
    <n v="0"/>
    <x v="5"/>
    <x v="1"/>
  </r>
  <r>
    <x v="0"/>
    <x v="16"/>
    <x v="16"/>
    <n v="84"/>
    <x v="5"/>
    <x v="1"/>
  </r>
  <r>
    <x v="0"/>
    <x v="16"/>
    <x v="4"/>
    <n v="133"/>
    <x v="5"/>
    <x v="1"/>
  </r>
  <r>
    <x v="0"/>
    <x v="16"/>
    <x v="3"/>
    <n v="0"/>
    <x v="5"/>
    <x v="1"/>
  </r>
  <r>
    <x v="0"/>
    <x v="16"/>
    <x v="12"/>
    <n v="0"/>
    <x v="5"/>
    <x v="1"/>
  </r>
  <r>
    <x v="0"/>
    <x v="16"/>
    <x v="15"/>
    <n v="113"/>
    <x v="5"/>
    <x v="1"/>
  </r>
  <r>
    <x v="0"/>
    <x v="16"/>
    <x v="8"/>
    <n v="87"/>
    <x v="5"/>
    <x v="1"/>
  </r>
  <r>
    <x v="0"/>
    <x v="16"/>
    <x v="0"/>
    <n v="92"/>
    <x v="5"/>
    <x v="1"/>
  </r>
  <r>
    <x v="0"/>
    <x v="16"/>
    <x v="7"/>
    <n v="0"/>
    <x v="5"/>
    <x v="1"/>
  </r>
  <r>
    <x v="0"/>
    <x v="16"/>
    <x v="11"/>
    <n v="1102"/>
    <x v="5"/>
    <x v="1"/>
  </r>
  <r>
    <x v="0"/>
    <x v="16"/>
    <x v="5"/>
    <n v="75"/>
    <x v="5"/>
    <x v="1"/>
  </r>
  <r>
    <x v="0"/>
    <x v="16"/>
    <x v="10"/>
    <n v="388"/>
    <x v="5"/>
    <x v="1"/>
  </r>
  <r>
    <x v="0"/>
    <x v="16"/>
    <x v="1"/>
    <n v="415"/>
    <x v="5"/>
    <x v="1"/>
  </r>
  <r>
    <x v="0"/>
    <x v="16"/>
    <x v="2"/>
    <n v="80"/>
    <x v="5"/>
    <x v="1"/>
  </r>
  <r>
    <x v="0"/>
    <x v="16"/>
    <x v="9"/>
    <n v="45"/>
    <x v="5"/>
    <x v="1"/>
  </r>
  <r>
    <x v="0"/>
    <x v="16"/>
    <x v="6"/>
    <n v="351"/>
    <x v="5"/>
    <x v="1"/>
  </r>
  <r>
    <x v="0"/>
    <x v="17"/>
    <x v="16"/>
    <n v="218"/>
    <x v="1"/>
    <x v="0"/>
  </r>
  <r>
    <x v="0"/>
    <x v="17"/>
    <x v="8"/>
    <n v="238"/>
    <x v="1"/>
    <x v="0"/>
  </r>
  <r>
    <x v="0"/>
    <x v="17"/>
    <x v="1"/>
    <n v="13"/>
    <x v="1"/>
    <x v="0"/>
  </r>
  <r>
    <x v="0"/>
    <x v="17"/>
    <x v="5"/>
    <n v="61"/>
    <x v="1"/>
    <x v="0"/>
  </r>
  <r>
    <x v="0"/>
    <x v="17"/>
    <x v="14"/>
    <n v="700"/>
    <x v="1"/>
    <x v="0"/>
  </r>
  <r>
    <x v="0"/>
    <x v="17"/>
    <x v="3"/>
    <n v="1219"/>
    <x v="1"/>
    <x v="0"/>
  </r>
  <r>
    <x v="0"/>
    <x v="17"/>
    <x v="4"/>
    <n v="199"/>
    <x v="1"/>
    <x v="0"/>
  </r>
  <r>
    <x v="0"/>
    <x v="17"/>
    <x v="7"/>
    <n v="375"/>
    <x v="1"/>
    <x v="0"/>
  </r>
  <r>
    <x v="0"/>
    <x v="17"/>
    <x v="15"/>
    <n v="68"/>
    <x v="1"/>
    <x v="0"/>
  </r>
  <r>
    <x v="0"/>
    <x v="17"/>
    <x v="0"/>
    <n v="32"/>
    <x v="1"/>
    <x v="0"/>
  </r>
  <r>
    <x v="0"/>
    <x v="17"/>
    <x v="6"/>
    <n v="28"/>
    <x v="1"/>
    <x v="0"/>
  </r>
  <r>
    <x v="0"/>
    <x v="17"/>
    <x v="11"/>
    <n v="305"/>
    <x v="1"/>
    <x v="0"/>
  </r>
  <r>
    <x v="0"/>
    <x v="17"/>
    <x v="2"/>
    <n v="38"/>
    <x v="1"/>
    <x v="0"/>
  </r>
  <r>
    <x v="0"/>
    <x v="17"/>
    <x v="9"/>
    <n v="31"/>
    <x v="1"/>
    <x v="0"/>
  </r>
  <r>
    <x v="0"/>
    <x v="17"/>
    <x v="12"/>
    <n v="1385"/>
    <x v="1"/>
    <x v="0"/>
  </r>
  <r>
    <x v="0"/>
    <x v="17"/>
    <x v="10"/>
    <n v="28"/>
    <x v="1"/>
    <x v="0"/>
  </r>
  <r>
    <x v="0"/>
    <x v="17"/>
    <x v="13"/>
    <n v="535"/>
    <x v="1"/>
    <x v="0"/>
  </r>
  <r>
    <x v="0"/>
    <x v="19"/>
    <x v="14"/>
    <n v="18318"/>
    <x v="3"/>
    <x v="0"/>
  </r>
  <r>
    <x v="0"/>
    <x v="19"/>
    <x v="12"/>
    <n v="18317"/>
    <x v="3"/>
    <x v="0"/>
  </r>
  <r>
    <x v="0"/>
    <x v="19"/>
    <x v="4"/>
    <n v="14222"/>
    <x v="3"/>
    <x v="0"/>
  </r>
  <r>
    <x v="0"/>
    <x v="19"/>
    <x v="6"/>
    <n v="8573"/>
    <x v="3"/>
    <x v="0"/>
  </r>
  <r>
    <x v="0"/>
    <x v="19"/>
    <x v="2"/>
    <n v="10301"/>
    <x v="3"/>
    <x v="0"/>
  </r>
  <r>
    <x v="0"/>
    <x v="19"/>
    <x v="1"/>
    <n v="8573"/>
    <x v="3"/>
    <x v="0"/>
  </r>
  <r>
    <x v="0"/>
    <x v="19"/>
    <x v="16"/>
    <n v="14222"/>
    <x v="3"/>
    <x v="0"/>
  </r>
  <r>
    <x v="0"/>
    <x v="19"/>
    <x v="3"/>
    <n v="18317"/>
    <x v="3"/>
    <x v="0"/>
  </r>
  <r>
    <x v="0"/>
    <x v="19"/>
    <x v="7"/>
    <n v="18318"/>
    <x v="3"/>
    <x v="0"/>
  </r>
  <r>
    <x v="0"/>
    <x v="19"/>
    <x v="13"/>
    <n v="14223"/>
    <x v="3"/>
    <x v="0"/>
  </r>
  <r>
    <x v="0"/>
    <x v="19"/>
    <x v="5"/>
    <n v="10301"/>
    <x v="3"/>
    <x v="0"/>
  </r>
  <r>
    <x v="0"/>
    <x v="19"/>
    <x v="9"/>
    <n v="8574"/>
    <x v="3"/>
    <x v="0"/>
  </r>
  <r>
    <x v="0"/>
    <x v="19"/>
    <x v="0"/>
    <n v="10301"/>
    <x v="3"/>
    <x v="0"/>
  </r>
  <r>
    <x v="0"/>
    <x v="19"/>
    <x v="10"/>
    <n v="8574"/>
    <x v="3"/>
    <x v="0"/>
  </r>
  <r>
    <x v="0"/>
    <x v="19"/>
    <x v="8"/>
    <n v="14223"/>
    <x v="3"/>
    <x v="0"/>
  </r>
  <r>
    <x v="0"/>
    <x v="19"/>
    <x v="11"/>
    <m/>
    <x v="3"/>
    <x v="0"/>
  </r>
  <r>
    <x v="0"/>
    <x v="19"/>
    <x v="15"/>
    <n v="10301"/>
    <x v="3"/>
    <x v="0"/>
  </r>
  <r>
    <x v="3"/>
    <x v="20"/>
    <x v="15"/>
    <n v="63.04"/>
    <x v="4"/>
    <x v="2"/>
  </r>
  <r>
    <x v="3"/>
    <x v="20"/>
    <x v="14"/>
    <n v="55.81"/>
    <x v="4"/>
    <x v="2"/>
  </r>
  <r>
    <x v="3"/>
    <x v="20"/>
    <x v="3"/>
    <n v="60.13"/>
    <x v="4"/>
    <x v="2"/>
  </r>
  <r>
    <x v="3"/>
    <x v="20"/>
    <x v="10"/>
    <n v="62.85"/>
    <x v="4"/>
    <x v="2"/>
  </r>
  <r>
    <x v="3"/>
    <x v="20"/>
    <x v="1"/>
    <n v="63"/>
    <x v="4"/>
    <x v="2"/>
  </r>
  <r>
    <x v="3"/>
    <x v="20"/>
    <x v="12"/>
    <n v="59.68"/>
    <x v="4"/>
    <x v="2"/>
  </r>
  <r>
    <x v="3"/>
    <x v="20"/>
    <x v="8"/>
    <n v="60.81"/>
    <x v="4"/>
    <x v="2"/>
  </r>
  <r>
    <x v="3"/>
    <x v="20"/>
    <x v="7"/>
    <n v="57.02"/>
    <x v="4"/>
    <x v="2"/>
  </r>
  <r>
    <x v="3"/>
    <x v="20"/>
    <x v="4"/>
    <n v="61.85"/>
    <x v="4"/>
    <x v="2"/>
  </r>
  <r>
    <x v="3"/>
    <x v="20"/>
    <x v="16"/>
    <n v="61.12"/>
    <x v="4"/>
    <x v="2"/>
  </r>
  <r>
    <x v="3"/>
    <x v="20"/>
    <x v="0"/>
    <n v="62.68"/>
    <x v="4"/>
    <x v="2"/>
  </r>
  <r>
    <x v="3"/>
    <x v="20"/>
    <x v="2"/>
    <n v="63.49"/>
    <x v="4"/>
    <x v="2"/>
  </r>
  <r>
    <x v="3"/>
    <x v="20"/>
    <x v="11"/>
    <n v="55.3"/>
    <x v="4"/>
    <x v="2"/>
  </r>
  <r>
    <x v="3"/>
    <x v="20"/>
    <x v="13"/>
    <n v="59.73"/>
    <x v="4"/>
    <x v="2"/>
  </r>
  <r>
    <x v="3"/>
    <x v="20"/>
    <x v="9"/>
    <n v="62.48"/>
    <x v="4"/>
    <x v="2"/>
  </r>
  <r>
    <x v="3"/>
    <x v="20"/>
    <x v="6"/>
    <n v="64.5"/>
    <x v="4"/>
    <x v="2"/>
  </r>
  <r>
    <x v="3"/>
    <x v="20"/>
    <x v="5"/>
    <n v="61.33"/>
    <x v="4"/>
    <x v="2"/>
  </r>
  <r>
    <x v="3"/>
    <x v="3"/>
    <x v="13"/>
    <n v="44.34"/>
    <x v="6"/>
    <x v="3"/>
  </r>
  <r>
    <x v="3"/>
    <x v="3"/>
    <x v="14"/>
    <n v="37.299999999999997"/>
    <x v="6"/>
    <x v="3"/>
  </r>
  <r>
    <x v="3"/>
    <x v="3"/>
    <x v="3"/>
    <n v="39.51"/>
    <x v="6"/>
    <x v="3"/>
  </r>
  <r>
    <x v="3"/>
    <x v="3"/>
    <x v="5"/>
    <n v="47.45"/>
    <x v="6"/>
    <x v="3"/>
  </r>
  <r>
    <x v="3"/>
    <x v="3"/>
    <x v="2"/>
    <n v="47.06"/>
    <x v="6"/>
    <x v="3"/>
  </r>
  <r>
    <x v="3"/>
    <x v="3"/>
    <x v="4"/>
    <n v="45.21"/>
    <x v="6"/>
    <x v="3"/>
  </r>
  <r>
    <x v="3"/>
    <x v="3"/>
    <x v="8"/>
    <n v="45.34"/>
    <x v="6"/>
    <x v="3"/>
  </r>
  <r>
    <x v="3"/>
    <x v="3"/>
    <x v="9"/>
    <n v="48.72"/>
    <x v="6"/>
    <x v="3"/>
  </r>
  <r>
    <x v="3"/>
    <x v="3"/>
    <x v="0"/>
    <n v="46.35"/>
    <x v="6"/>
    <x v="3"/>
  </r>
  <r>
    <x v="3"/>
    <x v="3"/>
    <x v="7"/>
    <n v="38.96"/>
    <x v="6"/>
    <x v="3"/>
  </r>
  <r>
    <x v="3"/>
    <x v="3"/>
    <x v="1"/>
    <n v="51.13"/>
    <x v="6"/>
    <x v="3"/>
  </r>
  <r>
    <x v="3"/>
    <x v="3"/>
    <x v="10"/>
    <n v="51.31"/>
    <x v="6"/>
    <x v="3"/>
  </r>
  <r>
    <x v="3"/>
    <x v="3"/>
    <x v="11"/>
    <n v="36.65"/>
    <x v="6"/>
    <x v="3"/>
  </r>
  <r>
    <x v="3"/>
    <x v="3"/>
    <x v="12"/>
    <n v="38.92"/>
    <x v="6"/>
    <x v="3"/>
  </r>
  <r>
    <x v="3"/>
    <x v="3"/>
    <x v="15"/>
    <n v="47.58"/>
    <x v="6"/>
    <x v="3"/>
  </r>
  <r>
    <x v="3"/>
    <x v="3"/>
    <x v="6"/>
    <n v="56.38"/>
    <x v="6"/>
    <x v="3"/>
  </r>
  <r>
    <x v="3"/>
    <x v="3"/>
    <x v="16"/>
    <n v="46.03"/>
    <x v="6"/>
    <x v="3"/>
  </r>
  <r>
    <x v="3"/>
    <x v="18"/>
    <x v="16"/>
    <n v="36.380000000000003"/>
    <x v="7"/>
    <x v="4"/>
  </r>
  <r>
    <x v="3"/>
    <x v="18"/>
    <x v="3"/>
    <n v="53.91"/>
    <x v="7"/>
    <x v="4"/>
  </r>
  <r>
    <x v="3"/>
    <x v="18"/>
    <x v="5"/>
    <n v="33.64"/>
    <x v="7"/>
    <x v="4"/>
  </r>
  <r>
    <x v="3"/>
    <x v="18"/>
    <x v="2"/>
    <m/>
    <x v="7"/>
    <x v="4"/>
  </r>
  <r>
    <x v="3"/>
    <x v="18"/>
    <x v="12"/>
    <n v="44.74"/>
    <x v="7"/>
    <x v="4"/>
  </r>
  <r>
    <x v="3"/>
    <x v="18"/>
    <x v="6"/>
    <m/>
    <x v="7"/>
    <x v="4"/>
  </r>
  <r>
    <x v="3"/>
    <x v="18"/>
    <x v="4"/>
    <n v="48.76"/>
    <x v="7"/>
    <x v="4"/>
  </r>
  <r>
    <x v="3"/>
    <x v="18"/>
    <x v="0"/>
    <m/>
    <x v="7"/>
    <x v="4"/>
  </r>
  <r>
    <x v="3"/>
    <x v="18"/>
    <x v="8"/>
    <n v="37.42"/>
    <x v="7"/>
    <x v="4"/>
  </r>
  <r>
    <x v="3"/>
    <x v="18"/>
    <x v="10"/>
    <m/>
    <x v="7"/>
    <x v="4"/>
  </r>
  <r>
    <x v="3"/>
    <x v="18"/>
    <x v="15"/>
    <m/>
    <x v="7"/>
    <x v="4"/>
  </r>
  <r>
    <x v="3"/>
    <x v="18"/>
    <x v="14"/>
    <n v="28.12"/>
    <x v="7"/>
    <x v="4"/>
  </r>
  <r>
    <x v="3"/>
    <x v="18"/>
    <x v="11"/>
    <n v="27.31"/>
    <x v="7"/>
    <x v="4"/>
  </r>
  <r>
    <x v="3"/>
    <x v="18"/>
    <x v="13"/>
    <n v="34.96"/>
    <x v="7"/>
    <x v="4"/>
  </r>
  <r>
    <x v="3"/>
    <x v="18"/>
    <x v="7"/>
    <n v="29.88"/>
    <x v="7"/>
    <x v="4"/>
  </r>
  <r>
    <x v="3"/>
    <x v="18"/>
    <x v="9"/>
    <m/>
    <x v="7"/>
    <x v="4"/>
  </r>
  <r>
    <x v="3"/>
    <x v="18"/>
    <x v="1"/>
    <m/>
    <x v="7"/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37">
  <r>
    <x v="0"/>
    <x v="0"/>
    <x v="0"/>
    <n v="0"/>
    <x v="0"/>
    <x v="0"/>
  </r>
  <r>
    <x v="0"/>
    <x v="0"/>
    <x v="1"/>
    <n v="0"/>
    <x v="0"/>
    <x v="0"/>
  </r>
  <r>
    <x v="0"/>
    <x v="0"/>
    <x v="2"/>
    <n v="0"/>
    <x v="0"/>
    <x v="0"/>
  </r>
  <r>
    <x v="0"/>
    <x v="0"/>
    <x v="3"/>
    <n v="10"/>
    <x v="0"/>
    <x v="0"/>
  </r>
  <r>
    <x v="0"/>
    <x v="0"/>
    <x v="4"/>
    <n v="0"/>
    <x v="0"/>
    <x v="0"/>
  </r>
  <r>
    <x v="0"/>
    <x v="0"/>
    <x v="5"/>
    <n v="0"/>
    <x v="0"/>
    <x v="0"/>
  </r>
  <r>
    <x v="0"/>
    <x v="0"/>
    <x v="6"/>
    <n v="0"/>
    <x v="0"/>
    <x v="0"/>
  </r>
  <r>
    <x v="0"/>
    <x v="0"/>
    <x v="7"/>
    <n v="0"/>
    <x v="0"/>
    <x v="0"/>
  </r>
  <r>
    <x v="0"/>
    <x v="0"/>
    <x v="8"/>
    <n v="0"/>
    <x v="0"/>
    <x v="0"/>
  </r>
  <r>
    <x v="0"/>
    <x v="0"/>
    <x v="9"/>
    <n v="0"/>
    <x v="0"/>
    <x v="0"/>
  </r>
  <r>
    <x v="0"/>
    <x v="0"/>
    <x v="10"/>
    <n v="0"/>
    <x v="0"/>
    <x v="0"/>
  </r>
  <r>
    <x v="0"/>
    <x v="0"/>
    <x v="11"/>
    <n v="0"/>
    <x v="0"/>
    <x v="0"/>
  </r>
  <r>
    <x v="0"/>
    <x v="0"/>
    <x v="12"/>
    <n v="0"/>
    <x v="0"/>
    <x v="0"/>
  </r>
  <r>
    <x v="0"/>
    <x v="0"/>
    <x v="13"/>
    <n v="43"/>
    <x v="0"/>
    <x v="0"/>
  </r>
  <r>
    <x v="0"/>
    <x v="0"/>
    <x v="14"/>
    <n v="0"/>
    <x v="0"/>
    <x v="0"/>
  </r>
  <r>
    <x v="0"/>
    <x v="0"/>
    <x v="15"/>
    <n v="0"/>
    <x v="0"/>
    <x v="0"/>
  </r>
  <r>
    <x v="0"/>
    <x v="0"/>
    <x v="16"/>
    <n v="0"/>
    <x v="0"/>
    <x v="0"/>
  </r>
  <r>
    <x v="1"/>
    <x v="0"/>
    <x v="8"/>
    <n v="0"/>
    <x v="0"/>
    <x v="0"/>
  </r>
  <r>
    <x v="1"/>
    <x v="0"/>
    <x v="16"/>
    <n v="0"/>
    <x v="0"/>
    <x v="0"/>
  </r>
  <r>
    <x v="1"/>
    <x v="0"/>
    <x v="10"/>
    <n v="0"/>
    <x v="0"/>
    <x v="0"/>
  </r>
  <r>
    <x v="1"/>
    <x v="0"/>
    <x v="1"/>
    <n v="0"/>
    <x v="0"/>
    <x v="0"/>
  </r>
  <r>
    <x v="1"/>
    <x v="0"/>
    <x v="15"/>
    <n v="0"/>
    <x v="0"/>
    <x v="0"/>
  </r>
  <r>
    <x v="1"/>
    <x v="0"/>
    <x v="6"/>
    <n v="0"/>
    <x v="0"/>
    <x v="0"/>
  </r>
  <r>
    <x v="1"/>
    <x v="0"/>
    <x v="12"/>
    <n v="0"/>
    <x v="0"/>
    <x v="0"/>
  </r>
  <r>
    <x v="1"/>
    <x v="0"/>
    <x v="3"/>
    <n v="0"/>
    <x v="0"/>
    <x v="0"/>
  </r>
  <r>
    <x v="1"/>
    <x v="0"/>
    <x v="9"/>
    <n v="0"/>
    <x v="0"/>
    <x v="0"/>
  </r>
  <r>
    <x v="1"/>
    <x v="0"/>
    <x v="0"/>
    <n v="0"/>
    <x v="0"/>
    <x v="0"/>
  </r>
  <r>
    <x v="1"/>
    <x v="0"/>
    <x v="13"/>
    <n v="0"/>
    <x v="0"/>
    <x v="0"/>
  </r>
  <r>
    <x v="1"/>
    <x v="0"/>
    <x v="5"/>
    <n v="0"/>
    <x v="0"/>
    <x v="0"/>
  </r>
  <r>
    <x v="1"/>
    <x v="0"/>
    <x v="7"/>
    <n v="0"/>
    <x v="0"/>
    <x v="0"/>
  </r>
  <r>
    <x v="1"/>
    <x v="0"/>
    <x v="4"/>
    <n v="0"/>
    <x v="0"/>
    <x v="0"/>
  </r>
  <r>
    <x v="1"/>
    <x v="0"/>
    <x v="2"/>
    <n v="0"/>
    <x v="0"/>
    <x v="0"/>
  </r>
  <r>
    <x v="1"/>
    <x v="0"/>
    <x v="11"/>
    <n v="0"/>
    <x v="0"/>
    <x v="0"/>
  </r>
  <r>
    <x v="1"/>
    <x v="0"/>
    <x v="14"/>
    <n v="0"/>
    <x v="0"/>
    <x v="0"/>
  </r>
  <r>
    <x v="2"/>
    <x v="0"/>
    <x v="3"/>
    <n v="27631"/>
    <x v="0"/>
    <x v="0"/>
  </r>
  <r>
    <x v="2"/>
    <x v="0"/>
    <x v="5"/>
    <n v="0"/>
    <x v="0"/>
    <x v="0"/>
  </r>
  <r>
    <x v="2"/>
    <x v="0"/>
    <x v="2"/>
    <n v="0"/>
    <x v="0"/>
    <x v="0"/>
  </r>
  <r>
    <x v="2"/>
    <x v="0"/>
    <x v="0"/>
    <n v="0"/>
    <x v="0"/>
    <x v="0"/>
  </r>
  <r>
    <x v="2"/>
    <x v="0"/>
    <x v="12"/>
    <n v="0"/>
    <x v="0"/>
    <x v="0"/>
  </r>
  <r>
    <x v="2"/>
    <x v="0"/>
    <x v="1"/>
    <n v="0"/>
    <x v="0"/>
    <x v="0"/>
  </r>
  <r>
    <x v="2"/>
    <x v="0"/>
    <x v="16"/>
    <n v="0"/>
    <x v="0"/>
    <x v="0"/>
  </r>
  <r>
    <x v="2"/>
    <x v="0"/>
    <x v="15"/>
    <n v="0"/>
    <x v="0"/>
    <x v="0"/>
  </r>
  <r>
    <x v="2"/>
    <x v="0"/>
    <x v="6"/>
    <n v="0"/>
    <x v="0"/>
    <x v="0"/>
  </r>
  <r>
    <x v="2"/>
    <x v="0"/>
    <x v="9"/>
    <n v="0"/>
    <x v="0"/>
    <x v="0"/>
  </r>
  <r>
    <x v="2"/>
    <x v="0"/>
    <x v="4"/>
    <n v="0"/>
    <x v="0"/>
    <x v="0"/>
  </r>
  <r>
    <x v="2"/>
    <x v="0"/>
    <x v="11"/>
    <n v="0"/>
    <x v="0"/>
    <x v="0"/>
  </r>
  <r>
    <x v="2"/>
    <x v="0"/>
    <x v="7"/>
    <n v="0"/>
    <x v="0"/>
    <x v="0"/>
  </r>
  <r>
    <x v="2"/>
    <x v="0"/>
    <x v="10"/>
    <n v="0"/>
    <x v="0"/>
    <x v="0"/>
  </r>
  <r>
    <x v="2"/>
    <x v="0"/>
    <x v="14"/>
    <n v="0"/>
    <x v="0"/>
    <x v="0"/>
  </r>
  <r>
    <x v="2"/>
    <x v="0"/>
    <x v="8"/>
    <n v="0"/>
    <x v="0"/>
    <x v="0"/>
  </r>
  <r>
    <x v="2"/>
    <x v="0"/>
    <x v="13"/>
    <n v="76765"/>
    <x v="0"/>
    <x v="0"/>
  </r>
  <r>
    <x v="0"/>
    <x v="1"/>
    <x v="8"/>
    <n v="0"/>
    <x v="1"/>
    <x v="0"/>
  </r>
  <r>
    <x v="0"/>
    <x v="1"/>
    <x v="1"/>
    <n v="0"/>
    <x v="1"/>
    <x v="0"/>
  </r>
  <r>
    <x v="0"/>
    <x v="1"/>
    <x v="15"/>
    <n v="0"/>
    <x v="1"/>
    <x v="0"/>
  </r>
  <r>
    <x v="0"/>
    <x v="1"/>
    <x v="11"/>
    <n v="1182"/>
    <x v="1"/>
    <x v="0"/>
  </r>
  <r>
    <x v="0"/>
    <x v="1"/>
    <x v="7"/>
    <n v="1268"/>
    <x v="1"/>
    <x v="0"/>
  </r>
  <r>
    <x v="0"/>
    <x v="1"/>
    <x v="16"/>
    <n v="0"/>
    <x v="1"/>
    <x v="0"/>
  </r>
  <r>
    <x v="0"/>
    <x v="1"/>
    <x v="12"/>
    <n v="0"/>
    <x v="1"/>
    <x v="0"/>
  </r>
  <r>
    <x v="0"/>
    <x v="1"/>
    <x v="0"/>
    <n v="0"/>
    <x v="1"/>
    <x v="0"/>
  </r>
  <r>
    <x v="0"/>
    <x v="1"/>
    <x v="9"/>
    <n v="0"/>
    <x v="1"/>
    <x v="0"/>
  </r>
  <r>
    <x v="0"/>
    <x v="1"/>
    <x v="10"/>
    <n v="0"/>
    <x v="1"/>
    <x v="0"/>
  </r>
  <r>
    <x v="0"/>
    <x v="1"/>
    <x v="5"/>
    <n v="0"/>
    <x v="1"/>
    <x v="0"/>
  </r>
  <r>
    <x v="0"/>
    <x v="1"/>
    <x v="14"/>
    <n v="1235"/>
    <x v="1"/>
    <x v="0"/>
  </r>
  <r>
    <x v="0"/>
    <x v="1"/>
    <x v="2"/>
    <n v="0"/>
    <x v="1"/>
    <x v="0"/>
  </r>
  <r>
    <x v="0"/>
    <x v="1"/>
    <x v="6"/>
    <n v="0"/>
    <x v="1"/>
    <x v="0"/>
  </r>
  <r>
    <x v="0"/>
    <x v="1"/>
    <x v="4"/>
    <n v="0"/>
    <x v="1"/>
    <x v="0"/>
  </r>
  <r>
    <x v="0"/>
    <x v="1"/>
    <x v="13"/>
    <n v="0"/>
    <x v="1"/>
    <x v="0"/>
  </r>
  <r>
    <x v="0"/>
    <x v="1"/>
    <x v="3"/>
    <n v="0"/>
    <x v="1"/>
    <x v="0"/>
  </r>
  <r>
    <x v="1"/>
    <x v="1"/>
    <x v="11"/>
    <n v="0"/>
    <x v="1"/>
    <x v="0"/>
  </r>
  <r>
    <x v="1"/>
    <x v="1"/>
    <x v="15"/>
    <n v="0"/>
    <x v="1"/>
    <x v="0"/>
  </r>
  <r>
    <x v="1"/>
    <x v="1"/>
    <x v="5"/>
    <n v="0"/>
    <x v="1"/>
    <x v="0"/>
  </r>
  <r>
    <x v="1"/>
    <x v="1"/>
    <x v="1"/>
    <n v="0"/>
    <x v="1"/>
    <x v="0"/>
  </r>
  <r>
    <x v="1"/>
    <x v="1"/>
    <x v="8"/>
    <n v="0"/>
    <x v="1"/>
    <x v="0"/>
  </r>
  <r>
    <x v="1"/>
    <x v="1"/>
    <x v="9"/>
    <n v="0"/>
    <x v="1"/>
    <x v="0"/>
  </r>
  <r>
    <x v="1"/>
    <x v="1"/>
    <x v="2"/>
    <n v="0"/>
    <x v="1"/>
    <x v="0"/>
  </r>
  <r>
    <x v="1"/>
    <x v="1"/>
    <x v="14"/>
    <n v="0"/>
    <x v="1"/>
    <x v="0"/>
  </r>
  <r>
    <x v="1"/>
    <x v="1"/>
    <x v="3"/>
    <n v="0"/>
    <x v="1"/>
    <x v="0"/>
  </r>
  <r>
    <x v="1"/>
    <x v="1"/>
    <x v="7"/>
    <n v="0"/>
    <x v="1"/>
    <x v="0"/>
  </r>
  <r>
    <x v="1"/>
    <x v="1"/>
    <x v="13"/>
    <n v="0"/>
    <x v="1"/>
    <x v="0"/>
  </r>
  <r>
    <x v="1"/>
    <x v="1"/>
    <x v="4"/>
    <n v="0"/>
    <x v="1"/>
    <x v="0"/>
  </r>
  <r>
    <x v="1"/>
    <x v="1"/>
    <x v="12"/>
    <n v="0"/>
    <x v="1"/>
    <x v="0"/>
  </r>
  <r>
    <x v="1"/>
    <x v="1"/>
    <x v="6"/>
    <n v="0"/>
    <x v="1"/>
    <x v="0"/>
  </r>
  <r>
    <x v="1"/>
    <x v="1"/>
    <x v="0"/>
    <n v="0"/>
    <x v="1"/>
    <x v="0"/>
  </r>
  <r>
    <x v="1"/>
    <x v="1"/>
    <x v="10"/>
    <n v="0"/>
    <x v="1"/>
    <x v="0"/>
  </r>
  <r>
    <x v="1"/>
    <x v="1"/>
    <x v="16"/>
    <n v="0"/>
    <x v="1"/>
    <x v="0"/>
  </r>
  <r>
    <x v="2"/>
    <x v="1"/>
    <x v="9"/>
    <n v="0"/>
    <x v="1"/>
    <x v="0"/>
  </r>
  <r>
    <x v="2"/>
    <x v="1"/>
    <x v="11"/>
    <n v="217376"/>
    <x v="1"/>
    <x v="0"/>
  </r>
  <r>
    <x v="2"/>
    <x v="1"/>
    <x v="4"/>
    <n v="0"/>
    <x v="1"/>
    <x v="0"/>
  </r>
  <r>
    <x v="2"/>
    <x v="1"/>
    <x v="6"/>
    <n v="0"/>
    <x v="1"/>
    <x v="0"/>
  </r>
  <r>
    <x v="2"/>
    <x v="1"/>
    <x v="15"/>
    <n v="0"/>
    <x v="1"/>
    <x v="0"/>
  </r>
  <r>
    <x v="2"/>
    <x v="1"/>
    <x v="7"/>
    <n v="229264"/>
    <x v="1"/>
    <x v="0"/>
  </r>
  <r>
    <x v="2"/>
    <x v="1"/>
    <x v="10"/>
    <n v="0"/>
    <x v="1"/>
    <x v="0"/>
  </r>
  <r>
    <x v="2"/>
    <x v="1"/>
    <x v="8"/>
    <n v="0"/>
    <x v="1"/>
    <x v="0"/>
  </r>
  <r>
    <x v="2"/>
    <x v="1"/>
    <x v="14"/>
    <n v="223209"/>
    <x v="1"/>
    <x v="0"/>
  </r>
  <r>
    <x v="2"/>
    <x v="1"/>
    <x v="13"/>
    <n v="0"/>
    <x v="1"/>
    <x v="0"/>
  </r>
  <r>
    <x v="2"/>
    <x v="1"/>
    <x v="5"/>
    <n v="0"/>
    <x v="1"/>
    <x v="0"/>
  </r>
  <r>
    <x v="2"/>
    <x v="1"/>
    <x v="12"/>
    <n v="0"/>
    <x v="1"/>
    <x v="0"/>
  </r>
  <r>
    <x v="2"/>
    <x v="1"/>
    <x v="3"/>
    <n v="0"/>
    <x v="1"/>
    <x v="0"/>
  </r>
  <r>
    <x v="2"/>
    <x v="1"/>
    <x v="16"/>
    <n v="0"/>
    <x v="1"/>
    <x v="0"/>
  </r>
  <r>
    <x v="2"/>
    <x v="1"/>
    <x v="0"/>
    <n v="0"/>
    <x v="1"/>
    <x v="0"/>
  </r>
  <r>
    <x v="2"/>
    <x v="1"/>
    <x v="2"/>
    <n v="0"/>
    <x v="1"/>
    <x v="0"/>
  </r>
  <r>
    <x v="2"/>
    <x v="1"/>
    <x v="1"/>
    <n v="0"/>
    <x v="1"/>
    <x v="0"/>
  </r>
  <r>
    <x v="2"/>
    <x v="2"/>
    <x v="6"/>
    <n v="0"/>
    <x v="0"/>
    <x v="0"/>
  </r>
  <r>
    <x v="2"/>
    <x v="2"/>
    <x v="3"/>
    <n v="429380"/>
    <x v="0"/>
    <x v="0"/>
  </r>
  <r>
    <x v="2"/>
    <x v="2"/>
    <x v="8"/>
    <n v="368794"/>
    <x v="0"/>
    <x v="0"/>
  </r>
  <r>
    <x v="2"/>
    <x v="2"/>
    <x v="2"/>
    <n v="362447"/>
    <x v="0"/>
    <x v="0"/>
  </r>
  <r>
    <x v="2"/>
    <x v="2"/>
    <x v="5"/>
    <n v="402283"/>
    <x v="0"/>
    <x v="0"/>
  </r>
  <r>
    <x v="2"/>
    <x v="2"/>
    <x v="4"/>
    <n v="187421"/>
    <x v="0"/>
    <x v="0"/>
  </r>
  <r>
    <x v="2"/>
    <x v="2"/>
    <x v="16"/>
    <n v="322942"/>
    <x v="0"/>
    <x v="0"/>
  </r>
  <r>
    <x v="2"/>
    <x v="2"/>
    <x v="13"/>
    <n v="457503"/>
    <x v="0"/>
    <x v="0"/>
  </r>
  <r>
    <x v="2"/>
    <x v="2"/>
    <x v="14"/>
    <n v="530766"/>
    <x v="0"/>
    <x v="0"/>
  </r>
  <r>
    <x v="2"/>
    <x v="2"/>
    <x v="7"/>
    <n v="495990"/>
    <x v="0"/>
    <x v="0"/>
  </r>
  <r>
    <x v="2"/>
    <x v="2"/>
    <x v="0"/>
    <n v="319232"/>
    <x v="0"/>
    <x v="0"/>
  </r>
  <r>
    <x v="2"/>
    <x v="2"/>
    <x v="10"/>
    <n v="0"/>
    <x v="0"/>
    <x v="0"/>
  </r>
  <r>
    <x v="2"/>
    <x v="2"/>
    <x v="1"/>
    <n v="218045"/>
    <x v="0"/>
    <x v="0"/>
  </r>
  <r>
    <x v="2"/>
    <x v="2"/>
    <x v="11"/>
    <n v="586566"/>
    <x v="0"/>
    <x v="0"/>
  </r>
  <r>
    <x v="2"/>
    <x v="2"/>
    <x v="15"/>
    <n v="423939"/>
    <x v="0"/>
    <x v="0"/>
  </r>
  <r>
    <x v="2"/>
    <x v="2"/>
    <x v="9"/>
    <n v="336127"/>
    <x v="0"/>
    <x v="0"/>
  </r>
  <r>
    <x v="2"/>
    <x v="2"/>
    <x v="12"/>
    <n v="471796"/>
    <x v="0"/>
    <x v="0"/>
  </r>
  <r>
    <x v="2"/>
    <x v="3"/>
    <x v="6"/>
    <n v="11352077"/>
    <x v="2"/>
    <x v="0"/>
  </r>
  <r>
    <x v="2"/>
    <x v="3"/>
    <x v="1"/>
    <n v="13039026"/>
    <x v="2"/>
    <x v="0"/>
  </r>
  <r>
    <x v="2"/>
    <x v="3"/>
    <x v="13"/>
    <n v="13232817"/>
    <x v="2"/>
    <x v="0"/>
  </r>
  <r>
    <x v="2"/>
    <x v="3"/>
    <x v="7"/>
    <n v="16834451"/>
    <x v="2"/>
    <x v="0"/>
  </r>
  <r>
    <x v="2"/>
    <x v="3"/>
    <x v="14"/>
    <n v="14838494"/>
    <x v="2"/>
    <x v="0"/>
  </r>
  <r>
    <x v="2"/>
    <x v="3"/>
    <x v="4"/>
    <n v="10796089"/>
    <x v="2"/>
    <x v="0"/>
  </r>
  <r>
    <x v="2"/>
    <x v="3"/>
    <x v="10"/>
    <n v="11117694"/>
    <x v="2"/>
    <x v="0"/>
  </r>
  <r>
    <x v="2"/>
    <x v="3"/>
    <x v="9"/>
    <n v="11378429"/>
    <x v="2"/>
    <x v="0"/>
  </r>
  <r>
    <x v="2"/>
    <x v="3"/>
    <x v="3"/>
    <n v="11225046"/>
    <x v="2"/>
    <x v="0"/>
  </r>
  <r>
    <x v="2"/>
    <x v="3"/>
    <x v="0"/>
    <n v="9021643"/>
    <x v="2"/>
    <x v="0"/>
  </r>
  <r>
    <x v="2"/>
    <x v="3"/>
    <x v="15"/>
    <n v="13379247"/>
    <x v="2"/>
    <x v="0"/>
  </r>
  <r>
    <x v="2"/>
    <x v="3"/>
    <x v="5"/>
    <n v="14093558"/>
    <x v="2"/>
    <x v="0"/>
  </r>
  <r>
    <x v="2"/>
    <x v="3"/>
    <x v="16"/>
    <n v="13217757"/>
    <x v="2"/>
    <x v="0"/>
  </r>
  <r>
    <x v="2"/>
    <x v="3"/>
    <x v="8"/>
    <n v="14938034"/>
    <x v="2"/>
    <x v="0"/>
  </r>
  <r>
    <x v="2"/>
    <x v="3"/>
    <x v="12"/>
    <n v="16375170"/>
    <x v="2"/>
    <x v="0"/>
  </r>
  <r>
    <x v="2"/>
    <x v="3"/>
    <x v="2"/>
    <n v="14465304"/>
    <x v="2"/>
    <x v="0"/>
  </r>
  <r>
    <x v="2"/>
    <x v="3"/>
    <x v="11"/>
    <n v="15543670"/>
    <x v="2"/>
    <x v="0"/>
  </r>
  <r>
    <x v="2"/>
    <x v="4"/>
    <x v="0"/>
    <n v="99904"/>
    <x v="0"/>
    <x v="0"/>
  </r>
  <r>
    <x v="2"/>
    <x v="4"/>
    <x v="2"/>
    <n v="104296"/>
    <x v="0"/>
    <x v="0"/>
  </r>
  <r>
    <x v="2"/>
    <x v="4"/>
    <x v="5"/>
    <n v="33816"/>
    <x v="0"/>
    <x v="0"/>
  </r>
  <r>
    <x v="2"/>
    <x v="4"/>
    <x v="13"/>
    <n v="81027"/>
    <x v="0"/>
    <x v="0"/>
  </r>
  <r>
    <x v="2"/>
    <x v="4"/>
    <x v="11"/>
    <n v="61614"/>
    <x v="0"/>
    <x v="0"/>
  </r>
  <r>
    <x v="2"/>
    <x v="4"/>
    <x v="10"/>
    <n v="81346"/>
    <x v="0"/>
    <x v="0"/>
  </r>
  <r>
    <x v="2"/>
    <x v="4"/>
    <x v="15"/>
    <n v="115353"/>
    <x v="0"/>
    <x v="0"/>
  </r>
  <r>
    <x v="2"/>
    <x v="4"/>
    <x v="9"/>
    <n v="92354"/>
    <x v="0"/>
    <x v="0"/>
  </r>
  <r>
    <x v="2"/>
    <x v="4"/>
    <x v="7"/>
    <n v="60935"/>
    <x v="0"/>
    <x v="0"/>
  </r>
  <r>
    <x v="2"/>
    <x v="4"/>
    <x v="16"/>
    <n v="111748"/>
    <x v="0"/>
    <x v="0"/>
  </r>
  <r>
    <x v="2"/>
    <x v="4"/>
    <x v="1"/>
    <n v="98006"/>
    <x v="0"/>
    <x v="0"/>
  </r>
  <r>
    <x v="2"/>
    <x v="4"/>
    <x v="12"/>
    <n v="83726"/>
    <x v="0"/>
    <x v="0"/>
  </r>
  <r>
    <x v="2"/>
    <x v="4"/>
    <x v="6"/>
    <n v="88727"/>
    <x v="0"/>
    <x v="0"/>
  </r>
  <r>
    <x v="2"/>
    <x v="4"/>
    <x v="14"/>
    <n v="75549"/>
    <x v="0"/>
    <x v="0"/>
  </r>
  <r>
    <x v="2"/>
    <x v="4"/>
    <x v="4"/>
    <n v="84406"/>
    <x v="0"/>
    <x v="0"/>
  </r>
  <r>
    <x v="2"/>
    <x v="4"/>
    <x v="8"/>
    <n v="105494"/>
    <x v="0"/>
    <x v="0"/>
  </r>
  <r>
    <x v="2"/>
    <x v="4"/>
    <x v="3"/>
    <n v="74326"/>
    <x v="0"/>
    <x v="0"/>
  </r>
  <r>
    <x v="2"/>
    <x v="5"/>
    <x v="11"/>
    <n v="140391429"/>
    <x v="2"/>
    <x v="1"/>
  </r>
  <r>
    <x v="2"/>
    <x v="5"/>
    <x v="3"/>
    <n v="173032637"/>
    <x v="2"/>
    <x v="1"/>
  </r>
  <r>
    <x v="2"/>
    <x v="5"/>
    <x v="1"/>
    <n v="184857170"/>
    <x v="2"/>
    <x v="1"/>
  </r>
  <r>
    <x v="2"/>
    <x v="5"/>
    <x v="12"/>
    <n v="166966084"/>
    <x v="2"/>
    <x v="1"/>
  </r>
  <r>
    <x v="2"/>
    <x v="5"/>
    <x v="7"/>
    <n v="188285348"/>
    <x v="2"/>
    <x v="1"/>
  </r>
  <r>
    <x v="2"/>
    <x v="5"/>
    <x v="13"/>
    <n v="172090033"/>
    <x v="2"/>
    <x v="1"/>
  </r>
  <r>
    <x v="2"/>
    <x v="5"/>
    <x v="9"/>
    <n v="163444238"/>
    <x v="2"/>
    <x v="1"/>
  </r>
  <r>
    <x v="2"/>
    <x v="5"/>
    <x v="14"/>
    <n v="178472968"/>
    <x v="2"/>
    <x v="1"/>
  </r>
  <r>
    <x v="2"/>
    <x v="5"/>
    <x v="10"/>
    <n v="157527795"/>
    <x v="2"/>
    <x v="1"/>
  </r>
  <r>
    <x v="2"/>
    <x v="5"/>
    <x v="2"/>
    <n v="193041955"/>
    <x v="2"/>
    <x v="1"/>
  </r>
  <r>
    <x v="2"/>
    <x v="5"/>
    <x v="16"/>
    <n v="184672867"/>
    <x v="2"/>
    <x v="1"/>
  </r>
  <r>
    <x v="2"/>
    <x v="5"/>
    <x v="0"/>
    <n v="139034459"/>
    <x v="2"/>
    <x v="1"/>
  </r>
  <r>
    <x v="2"/>
    <x v="5"/>
    <x v="15"/>
    <n v="184704352"/>
    <x v="2"/>
    <x v="1"/>
  </r>
  <r>
    <x v="2"/>
    <x v="5"/>
    <x v="4"/>
    <n v="161965588"/>
    <x v="2"/>
    <x v="1"/>
  </r>
  <r>
    <x v="2"/>
    <x v="5"/>
    <x v="8"/>
    <n v="208439341"/>
    <x v="2"/>
    <x v="1"/>
  </r>
  <r>
    <x v="2"/>
    <x v="5"/>
    <x v="5"/>
    <n v="161603867"/>
    <x v="2"/>
    <x v="1"/>
  </r>
  <r>
    <x v="2"/>
    <x v="5"/>
    <x v="6"/>
    <n v="190754692"/>
    <x v="2"/>
    <x v="1"/>
  </r>
  <r>
    <x v="2"/>
    <x v="6"/>
    <x v="3"/>
    <n v="-1915"/>
    <x v="2"/>
    <x v="1"/>
  </r>
  <r>
    <x v="2"/>
    <x v="6"/>
    <x v="0"/>
    <n v="0"/>
    <x v="2"/>
    <x v="1"/>
  </r>
  <r>
    <x v="2"/>
    <x v="6"/>
    <x v="8"/>
    <n v="0"/>
    <x v="2"/>
    <x v="1"/>
  </r>
  <r>
    <x v="2"/>
    <x v="6"/>
    <x v="11"/>
    <n v="-29358"/>
    <x v="2"/>
    <x v="1"/>
  </r>
  <r>
    <x v="2"/>
    <x v="6"/>
    <x v="9"/>
    <n v="0"/>
    <x v="2"/>
    <x v="1"/>
  </r>
  <r>
    <x v="2"/>
    <x v="6"/>
    <x v="1"/>
    <n v="0"/>
    <x v="2"/>
    <x v="1"/>
  </r>
  <r>
    <x v="2"/>
    <x v="6"/>
    <x v="16"/>
    <n v="16659"/>
    <x v="2"/>
    <x v="1"/>
  </r>
  <r>
    <x v="2"/>
    <x v="6"/>
    <x v="5"/>
    <n v="0"/>
    <x v="2"/>
    <x v="1"/>
  </r>
  <r>
    <x v="2"/>
    <x v="6"/>
    <x v="15"/>
    <n v="0"/>
    <x v="2"/>
    <x v="1"/>
  </r>
  <r>
    <x v="2"/>
    <x v="6"/>
    <x v="12"/>
    <n v="-6563"/>
    <x v="2"/>
    <x v="1"/>
  </r>
  <r>
    <x v="2"/>
    <x v="6"/>
    <x v="14"/>
    <n v="-5258"/>
    <x v="2"/>
    <x v="1"/>
  </r>
  <r>
    <x v="2"/>
    <x v="6"/>
    <x v="10"/>
    <n v="0"/>
    <x v="2"/>
    <x v="1"/>
  </r>
  <r>
    <x v="2"/>
    <x v="6"/>
    <x v="4"/>
    <n v="0"/>
    <x v="2"/>
    <x v="1"/>
  </r>
  <r>
    <x v="2"/>
    <x v="6"/>
    <x v="7"/>
    <n v="-7587"/>
    <x v="2"/>
    <x v="1"/>
  </r>
  <r>
    <x v="2"/>
    <x v="6"/>
    <x v="13"/>
    <n v="0"/>
    <x v="2"/>
    <x v="1"/>
  </r>
  <r>
    <x v="2"/>
    <x v="6"/>
    <x v="6"/>
    <n v="0"/>
    <x v="2"/>
    <x v="1"/>
  </r>
  <r>
    <x v="2"/>
    <x v="6"/>
    <x v="2"/>
    <n v="0"/>
    <x v="2"/>
    <x v="1"/>
  </r>
  <r>
    <x v="2"/>
    <x v="7"/>
    <x v="11"/>
    <n v="-2767599"/>
    <x v="2"/>
    <x v="1"/>
  </r>
  <r>
    <x v="2"/>
    <x v="7"/>
    <x v="5"/>
    <n v="2358476"/>
    <x v="2"/>
    <x v="1"/>
  </r>
  <r>
    <x v="2"/>
    <x v="7"/>
    <x v="8"/>
    <n v="-3865648"/>
    <x v="2"/>
    <x v="1"/>
  </r>
  <r>
    <x v="2"/>
    <x v="7"/>
    <x v="9"/>
    <n v="2169583"/>
    <x v="2"/>
    <x v="1"/>
  </r>
  <r>
    <x v="2"/>
    <x v="7"/>
    <x v="10"/>
    <n v="921340"/>
    <x v="2"/>
    <x v="1"/>
  </r>
  <r>
    <x v="2"/>
    <x v="7"/>
    <x v="3"/>
    <n v="1815092"/>
    <x v="2"/>
    <x v="1"/>
  </r>
  <r>
    <x v="2"/>
    <x v="7"/>
    <x v="0"/>
    <n v="1604260"/>
    <x v="2"/>
    <x v="1"/>
  </r>
  <r>
    <x v="2"/>
    <x v="7"/>
    <x v="4"/>
    <n v="-76495"/>
    <x v="2"/>
    <x v="1"/>
  </r>
  <r>
    <x v="2"/>
    <x v="7"/>
    <x v="15"/>
    <n v="369644"/>
    <x v="2"/>
    <x v="1"/>
  </r>
  <r>
    <x v="2"/>
    <x v="7"/>
    <x v="6"/>
    <n v="10272272"/>
    <x v="2"/>
    <x v="1"/>
  </r>
  <r>
    <x v="2"/>
    <x v="7"/>
    <x v="16"/>
    <n v="-3232199"/>
    <x v="2"/>
    <x v="1"/>
  </r>
  <r>
    <x v="2"/>
    <x v="7"/>
    <x v="14"/>
    <n v="1063480"/>
    <x v="2"/>
    <x v="1"/>
  </r>
  <r>
    <x v="2"/>
    <x v="7"/>
    <x v="12"/>
    <n v="2970595"/>
    <x v="2"/>
    <x v="1"/>
  </r>
  <r>
    <x v="2"/>
    <x v="7"/>
    <x v="7"/>
    <n v="3828923"/>
    <x v="2"/>
    <x v="1"/>
  </r>
  <r>
    <x v="2"/>
    <x v="7"/>
    <x v="2"/>
    <n v="71965"/>
    <x v="2"/>
    <x v="1"/>
  </r>
  <r>
    <x v="2"/>
    <x v="7"/>
    <x v="1"/>
    <n v="-556919"/>
    <x v="2"/>
    <x v="1"/>
  </r>
  <r>
    <x v="2"/>
    <x v="7"/>
    <x v="13"/>
    <n v="-4155248"/>
    <x v="2"/>
    <x v="1"/>
  </r>
  <r>
    <x v="2"/>
    <x v="8"/>
    <x v="1"/>
    <n v="0"/>
    <x v="3"/>
    <x v="0"/>
  </r>
  <r>
    <x v="2"/>
    <x v="8"/>
    <x v="0"/>
    <n v="0"/>
    <x v="3"/>
    <x v="0"/>
  </r>
  <r>
    <x v="2"/>
    <x v="8"/>
    <x v="16"/>
    <n v="422832"/>
    <x v="3"/>
    <x v="0"/>
  </r>
  <r>
    <x v="2"/>
    <x v="8"/>
    <x v="4"/>
    <n v="431079"/>
    <x v="3"/>
    <x v="0"/>
  </r>
  <r>
    <x v="2"/>
    <x v="8"/>
    <x v="9"/>
    <n v="0"/>
    <x v="3"/>
    <x v="0"/>
  </r>
  <r>
    <x v="2"/>
    <x v="8"/>
    <x v="8"/>
    <n v="440204"/>
    <x v="3"/>
    <x v="0"/>
  </r>
  <r>
    <x v="2"/>
    <x v="8"/>
    <x v="11"/>
    <n v="690934"/>
    <x v="3"/>
    <x v="0"/>
  </r>
  <r>
    <x v="2"/>
    <x v="8"/>
    <x v="2"/>
    <n v="0"/>
    <x v="3"/>
    <x v="0"/>
  </r>
  <r>
    <x v="2"/>
    <x v="8"/>
    <x v="12"/>
    <n v="490452"/>
    <x v="3"/>
    <x v="0"/>
  </r>
  <r>
    <x v="2"/>
    <x v="8"/>
    <x v="13"/>
    <n v="433671"/>
    <x v="3"/>
    <x v="0"/>
  </r>
  <r>
    <x v="2"/>
    <x v="8"/>
    <x v="3"/>
    <n v="477625"/>
    <x v="3"/>
    <x v="0"/>
  </r>
  <r>
    <x v="2"/>
    <x v="8"/>
    <x v="7"/>
    <n v="605468"/>
    <x v="3"/>
    <x v="0"/>
  </r>
  <r>
    <x v="2"/>
    <x v="8"/>
    <x v="10"/>
    <n v="0"/>
    <x v="3"/>
    <x v="0"/>
  </r>
  <r>
    <x v="2"/>
    <x v="8"/>
    <x v="5"/>
    <n v="0"/>
    <x v="3"/>
    <x v="0"/>
  </r>
  <r>
    <x v="2"/>
    <x v="8"/>
    <x v="14"/>
    <n v="647036"/>
    <x v="3"/>
    <x v="0"/>
  </r>
  <r>
    <x v="2"/>
    <x v="8"/>
    <x v="6"/>
    <n v="0"/>
    <x v="3"/>
    <x v="0"/>
  </r>
  <r>
    <x v="2"/>
    <x v="8"/>
    <x v="15"/>
    <n v="0"/>
    <x v="3"/>
    <x v="0"/>
  </r>
  <r>
    <x v="2"/>
    <x v="9"/>
    <x v="1"/>
    <n v="15031"/>
    <x v="3"/>
    <x v="0"/>
  </r>
  <r>
    <x v="2"/>
    <x v="9"/>
    <x v="16"/>
    <n v="26424"/>
    <x v="3"/>
    <x v="0"/>
  </r>
  <r>
    <x v="2"/>
    <x v="9"/>
    <x v="15"/>
    <n v="18144"/>
    <x v="3"/>
    <x v="0"/>
  </r>
  <r>
    <x v="2"/>
    <x v="9"/>
    <x v="4"/>
    <n v="18643"/>
    <x v="3"/>
    <x v="0"/>
  </r>
  <r>
    <x v="2"/>
    <x v="9"/>
    <x v="2"/>
    <n v="24117"/>
    <x v="3"/>
    <x v="0"/>
  </r>
  <r>
    <x v="2"/>
    <x v="9"/>
    <x v="14"/>
    <n v="69198"/>
    <x v="3"/>
    <x v="0"/>
  </r>
  <r>
    <x v="2"/>
    <x v="9"/>
    <x v="13"/>
    <n v="43869"/>
    <x v="3"/>
    <x v="0"/>
  </r>
  <r>
    <x v="2"/>
    <x v="9"/>
    <x v="7"/>
    <n v="70193"/>
    <x v="3"/>
    <x v="0"/>
  </r>
  <r>
    <x v="2"/>
    <x v="9"/>
    <x v="10"/>
    <n v="10979"/>
    <x v="3"/>
    <x v="0"/>
  </r>
  <r>
    <x v="2"/>
    <x v="9"/>
    <x v="6"/>
    <n v="7061"/>
    <x v="3"/>
    <x v="0"/>
  </r>
  <r>
    <x v="2"/>
    <x v="9"/>
    <x v="12"/>
    <n v="54052"/>
    <x v="3"/>
    <x v="0"/>
  </r>
  <r>
    <x v="2"/>
    <x v="9"/>
    <x v="0"/>
    <n v="14322"/>
    <x v="3"/>
    <x v="0"/>
  </r>
  <r>
    <x v="2"/>
    <x v="9"/>
    <x v="5"/>
    <n v="22967"/>
    <x v="3"/>
    <x v="0"/>
  </r>
  <r>
    <x v="2"/>
    <x v="9"/>
    <x v="3"/>
    <n v="43384"/>
    <x v="3"/>
    <x v="0"/>
  </r>
  <r>
    <x v="2"/>
    <x v="9"/>
    <x v="11"/>
    <n v="54381"/>
    <x v="3"/>
    <x v="0"/>
  </r>
  <r>
    <x v="2"/>
    <x v="9"/>
    <x v="8"/>
    <n v="34852"/>
    <x v="3"/>
    <x v="0"/>
  </r>
  <r>
    <x v="2"/>
    <x v="9"/>
    <x v="9"/>
    <n v="14084"/>
    <x v="3"/>
    <x v="0"/>
  </r>
  <r>
    <x v="2"/>
    <x v="10"/>
    <x v="4"/>
    <n v="8411434"/>
    <x v="4"/>
    <x v="0"/>
  </r>
  <r>
    <x v="2"/>
    <x v="10"/>
    <x v="2"/>
    <n v="9212448"/>
    <x v="4"/>
    <x v="0"/>
  </r>
  <r>
    <x v="2"/>
    <x v="10"/>
    <x v="10"/>
    <n v="10636624"/>
    <x v="4"/>
    <x v="0"/>
  </r>
  <r>
    <x v="2"/>
    <x v="10"/>
    <x v="14"/>
    <n v="13891154"/>
    <x v="4"/>
    <x v="0"/>
  </r>
  <r>
    <x v="2"/>
    <x v="10"/>
    <x v="0"/>
    <n v="9776863"/>
    <x v="4"/>
    <x v="0"/>
  </r>
  <r>
    <x v="2"/>
    <x v="10"/>
    <x v="5"/>
    <n v="8937202"/>
    <x v="4"/>
    <x v="0"/>
  </r>
  <r>
    <x v="2"/>
    <x v="10"/>
    <x v="12"/>
    <n v="9379218"/>
    <x v="4"/>
    <x v="0"/>
  </r>
  <r>
    <x v="2"/>
    <x v="10"/>
    <x v="7"/>
    <n v="14044376"/>
    <x v="4"/>
    <x v="0"/>
  </r>
  <r>
    <x v="2"/>
    <x v="10"/>
    <x v="6"/>
    <n v="10084584"/>
    <x v="4"/>
    <x v="0"/>
  </r>
  <r>
    <x v="2"/>
    <x v="10"/>
    <x v="15"/>
    <n v="9310276"/>
    <x v="4"/>
    <x v="0"/>
  </r>
  <r>
    <x v="2"/>
    <x v="10"/>
    <x v="1"/>
    <n v="9704693"/>
    <x v="4"/>
    <x v="0"/>
  </r>
  <r>
    <x v="2"/>
    <x v="10"/>
    <x v="3"/>
    <n v="7797055"/>
    <x v="4"/>
    <x v="0"/>
  </r>
  <r>
    <x v="2"/>
    <x v="10"/>
    <x v="11"/>
    <n v="12830798"/>
    <x v="4"/>
    <x v="0"/>
  </r>
  <r>
    <x v="2"/>
    <x v="10"/>
    <x v="13"/>
    <n v="8795011"/>
    <x v="4"/>
    <x v="0"/>
  </r>
  <r>
    <x v="2"/>
    <x v="10"/>
    <x v="9"/>
    <n v="10227805"/>
    <x v="4"/>
    <x v="0"/>
  </r>
  <r>
    <x v="2"/>
    <x v="10"/>
    <x v="16"/>
    <n v="8861240"/>
    <x v="4"/>
    <x v="0"/>
  </r>
  <r>
    <x v="2"/>
    <x v="10"/>
    <x v="8"/>
    <n v="9273634"/>
    <x v="4"/>
    <x v="0"/>
  </r>
  <r>
    <x v="2"/>
    <x v="11"/>
    <x v="6"/>
    <n v="14139186"/>
    <x v="4"/>
    <x v="0"/>
  </r>
  <r>
    <x v="2"/>
    <x v="11"/>
    <x v="13"/>
    <n v="30617772"/>
    <x v="4"/>
    <x v="0"/>
  </r>
  <r>
    <x v="2"/>
    <x v="11"/>
    <x v="8"/>
    <n v="29679739"/>
    <x v="4"/>
    <x v="0"/>
  </r>
  <r>
    <x v="2"/>
    <x v="11"/>
    <x v="3"/>
    <n v="26435068"/>
    <x v="4"/>
    <x v="0"/>
  </r>
  <r>
    <x v="2"/>
    <x v="11"/>
    <x v="7"/>
    <n v="30484265"/>
    <x v="4"/>
    <x v="0"/>
  </r>
  <r>
    <x v="2"/>
    <x v="11"/>
    <x v="15"/>
    <n v="17354390"/>
    <x v="4"/>
    <x v="0"/>
  </r>
  <r>
    <x v="2"/>
    <x v="11"/>
    <x v="14"/>
    <n v="27523886"/>
    <x v="4"/>
    <x v="0"/>
  </r>
  <r>
    <x v="2"/>
    <x v="11"/>
    <x v="1"/>
    <n v="16763834"/>
    <x v="4"/>
    <x v="0"/>
  </r>
  <r>
    <x v="2"/>
    <x v="11"/>
    <x v="4"/>
    <n v="23044585"/>
    <x v="4"/>
    <x v="0"/>
  </r>
  <r>
    <x v="2"/>
    <x v="11"/>
    <x v="16"/>
    <n v="24546488"/>
    <x v="4"/>
    <x v="0"/>
  </r>
  <r>
    <x v="2"/>
    <x v="11"/>
    <x v="5"/>
    <n v="22286606"/>
    <x v="4"/>
    <x v="0"/>
  </r>
  <r>
    <x v="2"/>
    <x v="11"/>
    <x v="11"/>
    <n v="24343383"/>
    <x v="4"/>
    <x v="0"/>
  </r>
  <r>
    <x v="2"/>
    <x v="11"/>
    <x v="2"/>
    <n v="15301245"/>
    <x v="4"/>
    <x v="0"/>
  </r>
  <r>
    <x v="2"/>
    <x v="11"/>
    <x v="0"/>
    <n v="12743468"/>
    <x v="4"/>
    <x v="0"/>
  </r>
  <r>
    <x v="2"/>
    <x v="11"/>
    <x v="12"/>
    <n v="27263997"/>
    <x v="4"/>
    <x v="0"/>
  </r>
  <r>
    <x v="2"/>
    <x v="11"/>
    <x v="10"/>
    <n v="13543571"/>
    <x v="4"/>
    <x v="0"/>
  </r>
  <r>
    <x v="2"/>
    <x v="11"/>
    <x v="9"/>
    <n v="11612820"/>
    <x v="4"/>
    <x v="0"/>
  </r>
  <r>
    <x v="2"/>
    <x v="12"/>
    <x v="10"/>
    <n v="16846719"/>
    <x v="4"/>
    <x v="0"/>
  </r>
  <r>
    <x v="2"/>
    <x v="12"/>
    <x v="8"/>
    <n v="5968474"/>
    <x v="4"/>
    <x v="0"/>
  </r>
  <r>
    <x v="2"/>
    <x v="12"/>
    <x v="0"/>
    <n v="15727391"/>
    <x v="4"/>
    <x v="0"/>
  </r>
  <r>
    <x v="2"/>
    <x v="12"/>
    <x v="4"/>
    <n v="8661266"/>
    <x v="4"/>
    <x v="0"/>
  </r>
  <r>
    <x v="2"/>
    <x v="12"/>
    <x v="12"/>
    <n v="5458262"/>
    <x v="4"/>
    <x v="0"/>
  </r>
  <r>
    <x v="2"/>
    <x v="12"/>
    <x v="1"/>
    <n v="19851146"/>
    <x v="4"/>
    <x v="0"/>
  </r>
  <r>
    <x v="2"/>
    <x v="12"/>
    <x v="15"/>
    <n v="14239785"/>
    <x v="4"/>
    <x v="0"/>
  </r>
  <r>
    <x v="2"/>
    <x v="12"/>
    <x v="16"/>
    <n v="4791519"/>
    <x v="4"/>
    <x v="0"/>
  </r>
  <r>
    <x v="2"/>
    <x v="12"/>
    <x v="9"/>
    <n v="15078450"/>
    <x v="4"/>
    <x v="0"/>
  </r>
  <r>
    <x v="2"/>
    <x v="12"/>
    <x v="14"/>
    <n v="323008"/>
    <x v="4"/>
    <x v="0"/>
  </r>
  <r>
    <x v="2"/>
    <x v="12"/>
    <x v="5"/>
    <n v="9236517"/>
    <x v="4"/>
    <x v="0"/>
  </r>
  <r>
    <x v="2"/>
    <x v="12"/>
    <x v="7"/>
    <n v="962825"/>
    <x v="4"/>
    <x v="0"/>
  </r>
  <r>
    <x v="2"/>
    <x v="12"/>
    <x v="2"/>
    <n v="21952322"/>
    <x v="4"/>
    <x v="0"/>
  </r>
  <r>
    <x v="2"/>
    <x v="12"/>
    <x v="11"/>
    <n v="8231"/>
    <x v="4"/>
    <x v="0"/>
  </r>
  <r>
    <x v="2"/>
    <x v="12"/>
    <x v="3"/>
    <n v="2402287"/>
    <x v="4"/>
    <x v="0"/>
  </r>
  <r>
    <x v="2"/>
    <x v="12"/>
    <x v="6"/>
    <n v="24779263"/>
    <x v="4"/>
    <x v="0"/>
  </r>
  <r>
    <x v="2"/>
    <x v="12"/>
    <x v="13"/>
    <n v="2689426"/>
    <x v="4"/>
    <x v="0"/>
  </r>
  <r>
    <x v="2"/>
    <x v="13"/>
    <x v="16"/>
    <n v="0"/>
    <x v="4"/>
    <x v="0"/>
  </r>
  <r>
    <x v="2"/>
    <x v="13"/>
    <x v="1"/>
    <n v="341382"/>
    <x v="4"/>
    <x v="0"/>
  </r>
  <r>
    <x v="2"/>
    <x v="13"/>
    <x v="2"/>
    <n v="0"/>
    <x v="4"/>
    <x v="0"/>
  </r>
  <r>
    <x v="2"/>
    <x v="13"/>
    <x v="10"/>
    <n v="0"/>
    <x v="4"/>
    <x v="0"/>
  </r>
  <r>
    <x v="2"/>
    <x v="13"/>
    <x v="4"/>
    <n v="0"/>
    <x v="4"/>
    <x v="0"/>
  </r>
  <r>
    <x v="2"/>
    <x v="13"/>
    <x v="9"/>
    <n v="0"/>
    <x v="4"/>
    <x v="0"/>
  </r>
  <r>
    <x v="2"/>
    <x v="13"/>
    <x v="14"/>
    <n v="172797"/>
    <x v="4"/>
    <x v="0"/>
  </r>
  <r>
    <x v="2"/>
    <x v="13"/>
    <x v="7"/>
    <n v="0"/>
    <x v="4"/>
    <x v="0"/>
  </r>
  <r>
    <x v="2"/>
    <x v="13"/>
    <x v="0"/>
    <n v="0"/>
    <x v="4"/>
    <x v="0"/>
  </r>
  <r>
    <x v="2"/>
    <x v="13"/>
    <x v="15"/>
    <n v="0"/>
    <x v="4"/>
    <x v="0"/>
  </r>
  <r>
    <x v="2"/>
    <x v="13"/>
    <x v="3"/>
    <n v="0"/>
    <x v="4"/>
    <x v="0"/>
  </r>
  <r>
    <x v="2"/>
    <x v="13"/>
    <x v="6"/>
    <n v="1219304"/>
    <x v="4"/>
    <x v="0"/>
  </r>
  <r>
    <x v="2"/>
    <x v="13"/>
    <x v="13"/>
    <n v="0"/>
    <x v="4"/>
    <x v="0"/>
  </r>
  <r>
    <x v="2"/>
    <x v="13"/>
    <x v="8"/>
    <n v="0"/>
    <x v="4"/>
    <x v="0"/>
  </r>
  <r>
    <x v="2"/>
    <x v="13"/>
    <x v="5"/>
    <n v="0"/>
    <x v="4"/>
    <x v="0"/>
  </r>
  <r>
    <x v="2"/>
    <x v="13"/>
    <x v="11"/>
    <n v="0"/>
    <x v="4"/>
    <x v="0"/>
  </r>
  <r>
    <x v="2"/>
    <x v="13"/>
    <x v="12"/>
    <n v="298937"/>
    <x v="4"/>
    <x v="0"/>
  </r>
  <r>
    <x v="2"/>
    <x v="14"/>
    <x v="2"/>
    <n v="249111"/>
    <x v="0"/>
    <x v="0"/>
  </r>
  <r>
    <x v="2"/>
    <x v="14"/>
    <x v="6"/>
    <n v="47944"/>
    <x v="0"/>
    <x v="0"/>
  </r>
  <r>
    <x v="2"/>
    <x v="14"/>
    <x v="5"/>
    <n v="205210"/>
    <x v="0"/>
    <x v="0"/>
  </r>
  <r>
    <x v="2"/>
    <x v="14"/>
    <x v="14"/>
    <n v="375705"/>
    <x v="0"/>
    <x v="0"/>
  </r>
  <r>
    <x v="2"/>
    <x v="14"/>
    <x v="7"/>
    <n v="360620"/>
    <x v="0"/>
    <x v="0"/>
  </r>
  <r>
    <x v="2"/>
    <x v="14"/>
    <x v="11"/>
    <n v="339900"/>
    <x v="0"/>
    <x v="0"/>
  </r>
  <r>
    <x v="2"/>
    <x v="14"/>
    <x v="12"/>
    <n v="328445"/>
    <x v="0"/>
    <x v="0"/>
  </r>
  <r>
    <x v="2"/>
    <x v="14"/>
    <x v="9"/>
    <n v="212524"/>
    <x v="0"/>
    <x v="0"/>
  </r>
  <r>
    <x v="2"/>
    <x v="14"/>
    <x v="4"/>
    <n v="384241"/>
    <x v="0"/>
    <x v="0"/>
  </r>
  <r>
    <x v="2"/>
    <x v="14"/>
    <x v="10"/>
    <n v="83529"/>
    <x v="0"/>
    <x v="0"/>
  </r>
  <r>
    <x v="2"/>
    <x v="14"/>
    <x v="16"/>
    <n v="347101"/>
    <x v="0"/>
    <x v="0"/>
  </r>
  <r>
    <x v="2"/>
    <x v="14"/>
    <x v="1"/>
    <n v="253637"/>
    <x v="0"/>
    <x v="0"/>
  </r>
  <r>
    <x v="2"/>
    <x v="14"/>
    <x v="8"/>
    <n v="377295"/>
    <x v="0"/>
    <x v="0"/>
  </r>
  <r>
    <x v="2"/>
    <x v="14"/>
    <x v="13"/>
    <n v="274978"/>
    <x v="0"/>
    <x v="0"/>
  </r>
  <r>
    <x v="2"/>
    <x v="14"/>
    <x v="0"/>
    <n v="234492"/>
    <x v="0"/>
    <x v="0"/>
  </r>
  <r>
    <x v="2"/>
    <x v="14"/>
    <x v="15"/>
    <n v="224761"/>
    <x v="0"/>
    <x v="0"/>
  </r>
  <r>
    <x v="2"/>
    <x v="14"/>
    <x v="3"/>
    <n v="301548"/>
    <x v="0"/>
    <x v="0"/>
  </r>
  <r>
    <x v="2"/>
    <x v="15"/>
    <x v="16"/>
    <n v="396147902"/>
    <x v="5"/>
    <x v="1"/>
  </r>
  <r>
    <x v="2"/>
    <x v="15"/>
    <x v="8"/>
    <n v="389448668"/>
    <x v="5"/>
    <x v="1"/>
  </r>
  <r>
    <x v="2"/>
    <x v="15"/>
    <x v="13"/>
    <n v="366263564"/>
    <x v="5"/>
    <x v="1"/>
  </r>
  <r>
    <x v="2"/>
    <x v="15"/>
    <x v="0"/>
    <n v="263889421"/>
    <x v="5"/>
    <x v="1"/>
  </r>
  <r>
    <x v="2"/>
    <x v="15"/>
    <x v="6"/>
    <n v="375239852"/>
    <x v="5"/>
    <x v="1"/>
  </r>
  <r>
    <x v="2"/>
    <x v="15"/>
    <x v="5"/>
    <n v="357091065"/>
    <x v="5"/>
    <x v="1"/>
  </r>
  <r>
    <x v="2"/>
    <x v="15"/>
    <x v="3"/>
    <n v="354689704"/>
    <x v="5"/>
    <x v="1"/>
  </r>
  <r>
    <x v="2"/>
    <x v="15"/>
    <x v="11"/>
    <n v="338253997"/>
    <x v="5"/>
    <x v="1"/>
  </r>
  <r>
    <x v="2"/>
    <x v="15"/>
    <x v="9"/>
    <n v="320334675"/>
    <x v="5"/>
    <x v="1"/>
  </r>
  <r>
    <x v="2"/>
    <x v="15"/>
    <x v="14"/>
    <n v="386761381"/>
    <x v="5"/>
    <x v="1"/>
  </r>
  <r>
    <x v="2"/>
    <x v="15"/>
    <x v="12"/>
    <n v="375127081"/>
    <x v="5"/>
    <x v="1"/>
  </r>
  <r>
    <x v="2"/>
    <x v="15"/>
    <x v="15"/>
    <n v="350623417"/>
    <x v="5"/>
    <x v="1"/>
  </r>
  <r>
    <x v="2"/>
    <x v="15"/>
    <x v="4"/>
    <n v="321842960"/>
    <x v="5"/>
    <x v="1"/>
  </r>
  <r>
    <x v="2"/>
    <x v="15"/>
    <x v="10"/>
    <n v="326790235"/>
    <x v="5"/>
    <x v="1"/>
  </r>
  <r>
    <x v="2"/>
    <x v="15"/>
    <x v="7"/>
    <n v="380415507"/>
    <x v="5"/>
    <x v="1"/>
  </r>
  <r>
    <x v="2"/>
    <x v="15"/>
    <x v="1"/>
    <n v="377613067"/>
    <x v="5"/>
    <x v="1"/>
  </r>
  <r>
    <x v="2"/>
    <x v="15"/>
    <x v="2"/>
    <n v="398951677"/>
    <x v="5"/>
    <x v="1"/>
  </r>
  <r>
    <x v="2"/>
    <x v="16"/>
    <x v="0"/>
    <n v="14509698"/>
    <x v="5"/>
    <x v="1"/>
  </r>
  <r>
    <x v="2"/>
    <x v="16"/>
    <x v="9"/>
    <n v="16620980"/>
    <x v="5"/>
    <x v="1"/>
  </r>
  <r>
    <x v="2"/>
    <x v="16"/>
    <x v="7"/>
    <n v="17125773"/>
    <x v="5"/>
    <x v="1"/>
  </r>
  <r>
    <x v="2"/>
    <x v="16"/>
    <x v="11"/>
    <n v="-7482271"/>
    <x v="5"/>
    <x v="1"/>
  </r>
  <r>
    <x v="2"/>
    <x v="16"/>
    <x v="3"/>
    <n v="18822249"/>
    <x v="5"/>
    <x v="1"/>
  </r>
  <r>
    <x v="2"/>
    <x v="16"/>
    <x v="6"/>
    <n v="5664418"/>
    <x v="5"/>
    <x v="1"/>
  </r>
  <r>
    <x v="2"/>
    <x v="16"/>
    <x v="14"/>
    <n v="16280993"/>
    <x v="5"/>
    <x v="1"/>
  </r>
  <r>
    <x v="2"/>
    <x v="16"/>
    <x v="12"/>
    <n v="19942800"/>
    <x v="5"/>
    <x v="1"/>
  </r>
  <r>
    <x v="2"/>
    <x v="16"/>
    <x v="16"/>
    <n v="19980354"/>
    <x v="5"/>
    <x v="1"/>
  </r>
  <r>
    <x v="2"/>
    <x v="16"/>
    <x v="8"/>
    <n v="18477360"/>
    <x v="5"/>
    <x v="1"/>
  </r>
  <r>
    <x v="2"/>
    <x v="16"/>
    <x v="10"/>
    <n v="310003"/>
    <x v="5"/>
    <x v="1"/>
  </r>
  <r>
    <x v="2"/>
    <x v="16"/>
    <x v="1"/>
    <n v="918335"/>
    <x v="5"/>
    <x v="1"/>
  </r>
  <r>
    <x v="2"/>
    <x v="16"/>
    <x v="5"/>
    <n v="19055464"/>
    <x v="5"/>
    <x v="1"/>
  </r>
  <r>
    <x v="2"/>
    <x v="16"/>
    <x v="15"/>
    <n v="18438774"/>
    <x v="5"/>
    <x v="1"/>
  </r>
  <r>
    <x v="2"/>
    <x v="16"/>
    <x v="2"/>
    <n v="25851542"/>
    <x v="5"/>
    <x v="1"/>
  </r>
  <r>
    <x v="2"/>
    <x v="16"/>
    <x v="4"/>
    <n v="17542433"/>
    <x v="5"/>
    <x v="1"/>
  </r>
  <r>
    <x v="2"/>
    <x v="16"/>
    <x v="13"/>
    <n v="12979878"/>
    <x v="5"/>
    <x v="1"/>
  </r>
  <r>
    <x v="2"/>
    <x v="17"/>
    <x v="16"/>
    <n v="152677"/>
    <x v="1"/>
    <x v="0"/>
  </r>
  <r>
    <x v="2"/>
    <x v="17"/>
    <x v="2"/>
    <n v="24333"/>
    <x v="1"/>
    <x v="0"/>
  </r>
  <r>
    <x v="2"/>
    <x v="17"/>
    <x v="10"/>
    <n v="18876"/>
    <x v="1"/>
    <x v="0"/>
  </r>
  <r>
    <x v="2"/>
    <x v="17"/>
    <x v="8"/>
    <n v="162962"/>
    <x v="1"/>
    <x v="0"/>
  </r>
  <r>
    <x v="2"/>
    <x v="17"/>
    <x v="5"/>
    <n v="39627"/>
    <x v="1"/>
    <x v="0"/>
  </r>
  <r>
    <x v="2"/>
    <x v="17"/>
    <x v="14"/>
    <n v="485144"/>
    <x v="1"/>
    <x v="0"/>
  </r>
  <r>
    <x v="2"/>
    <x v="17"/>
    <x v="1"/>
    <n v="7995"/>
    <x v="1"/>
    <x v="0"/>
  </r>
  <r>
    <x v="2"/>
    <x v="17"/>
    <x v="4"/>
    <n v="138064"/>
    <x v="1"/>
    <x v="0"/>
  </r>
  <r>
    <x v="2"/>
    <x v="17"/>
    <x v="15"/>
    <n v="43505"/>
    <x v="1"/>
    <x v="0"/>
  </r>
  <r>
    <x v="2"/>
    <x v="17"/>
    <x v="13"/>
    <n v="286715"/>
    <x v="1"/>
    <x v="0"/>
  </r>
  <r>
    <x v="2"/>
    <x v="17"/>
    <x v="3"/>
    <n v="495110"/>
    <x v="1"/>
    <x v="0"/>
  </r>
  <r>
    <x v="2"/>
    <x v="17"/>
    <x v="12"/>
    <n v="365157"/>
    <x v="1"/>
    <x v="0"/>
  </r>
  <r>
    <x v="2"/>
    <x v="17"/>
    <x v="11"/>
    <n v="458192"/>
    <x v="1"/>
    <x v="0"/>
  </r>
  <r>
    <x v="2"/>
    <x v="17"/>
    <x v="9"/>
    <n v="19358"/>
    <x v="1"/>
    <x v="0"/>
  </r>
  <r>
    <x v="2"/>
    <x v="17"/>
    <x v="0"/>
    <n v="20826"/>
    <x v="1"/>
    <x v="0"/>
  </r>
  <r>
    <x v="2"/>
    <x v="17"/>
    <x v="7"/>
    <n v="257693"/>
    <x v="1"/>
    <x v="0"/>
  </r>
  <r>
    <x v="2"/>
    <x v="17"/>
    <x v="6"/>
    <n v="18821"/>
    <x v="1"/>
    <x v="0"/>
  </r>
  <r>
    <x v="2"/>
    <x v="18"/>
    <x v="14"/>
    <n v="4743246"/>
    <x v="2"/>
    <x v="0"/>
  </r>
  <r>
    <x v="2"/>
    <x v="18"/>
    <x v="16"/>
    <n v="202848"/>
    <x v="2"/>
    <x v="0"/>
  </r>
  <r>
    <x v="2"/>
    <x v="18"/>
    <x v="3"/>
    <n v="161527"/>
    <x v="2"/>
    <x v="0"/>
  </r>
  <r>
    <x v="2"/>
    <x v="18"/>
    <x v="10"/>
    <n v="0"/>
    <x v="2"/>
    <x v="0"/>
  </r>
  <r>
    <x v="2"/>
    <x v="18"/>
    <x v="5"/>
    <n v="337496"/>
    <x v="2"/>
    <x v="0"/>
  </r>
  <r>
    <x v="2"/>
    <x v="18"/>
    <x v="7"/>
    <n v="11311233"/>
    <x v="2"/>
    <x v="0"/>
  </r>
  <r>
    <x v="2"/>
    <x v="18"/>
    <x v="2"/>
    <n v="0"/>
    <x v="2"/>
    <x v="0"/>
  </r>
  <r>
    <x v="2"/>
    <x v="18"/>
    <x v="15"/>
    <n v="0"/>
    <x v="2"/>
    <x v="0"/>
  </r>
  <r>
    <x v="2"/>
    <x v="18"/>
    <x v="1"/>
    <n v="0"/>
    <x v="2"/>
    <x v="0"/>
  </r>
  <r>
    <x v="2"/>
    <x v="18"/>
    <x v="12"/>
    <n v="455869"/>
    <x v="2"/>
    <x v="0"/>
  </r>
  <r>
    <x v="2"/>
    <x v="18"/>
    <x v="4"/>
    <n v="301585"/>
    <x v="2"/>
    <x v="0"/>
  </r>
  <r>
    <x v="2"/>
    <x v="18"/>
    <x v="6"/>
    <n v="0"/>
    <x v="2"/>
    <x v="0"/>
  </r>
  <r>
    <x v="2"/>
    <x v="18"/>
    <x v="0"/>
    <n v="0"/>
    <x v="2"/>
    <x v="0"/>
  </r>
  <r>
    <x v="2"/>
    <x v="18"/>
    <x v="13"/>
    <n v="488983"/>
    <x v="2"/>
    <x v="0"/>
  </r>
  <r>
    <x v="2"/>
    <x v="18"/>
    <x v="9"/>
    <n v="0"/>
    <x v="2"/>
    <x v="0"/>
  </r>
  <r>
    <x v="2"/>
    <x v="18"/>
    <x v="11"/>
    <n v="7890131"/>
    <x v="2"/>
    <x v="0"/>
  </r>
  <r>
    <x v="2"/>
    <x v="18"/>
    <x v="8"/>
    <n v="226799"/>
    <x v="2"/>
    <x v="0"/>
  </r>
  <r>
    <x v="1"/>
    <x v="2"/>
    <x v="8"/>
    <n v="0"/>
    <x v="0"/>
    <x v="0"/>
  </r>
  <r>
    <x v="1"/>
    <x v="2"/>
    <x v="6"/>
    <n v="0"/>
    <x v="0"/>
    <x v="0"/>
  </r>
  <r>
    <x v="1"/>
    <x v="2"/>
    <x v="7"/>
    <n v="0"/>
    <x v="0"/>
    <x v="0"/>
  </r>
  <r>
    <x v="1"/>
    <x v="2"/>
    <x v="16"/>
    <n v="0"/>
    <x v="0"/>
    <x v="0"/>
  </r>
  <r>
    <x v="1"/>
    <x v="2"/>
    <x v="2"/>
    <n v="0"/>
    <x v="0"/>
    <x v="0"/>
  </r>
  <r>
    <x v="1"/>
    <x v="2"/>
    <x v="14"/>
    <n v="0"/>
    <x v="0"/>
    <x v="0"/>
  </r>
  <r>
    <x v="1"/>
    <x v="2"/>
    <x v="15"/>
    <n v="0"/>
    <x v="0"/>
    <x v="0"/>
  </r>
  <r>
    <x v="1"/>
    <x v="2"/>
    <x v="9"/>
    <n v="0"/>
    <x v="0"/>
    <x v="0"/>
  </r>
  <r>
    <x v="1"/>
    <x v="2"/>
    <x v="12"/>
    <n v="0"/>
    <x v="0"/>
    <x v="0"/>
  </r>
  <r>
    <x v="1"/>
    <x v="2"/>
    <x v="13"/>
    <n v="0"/>
    <x v="0"/>
    <x v="0"/>
  </r>
  <r>
    <x v="1"/>
    <x v="2"/>
    <x v="11"/>
    <n v="0"/>
    <x v="0"/>
    <x v="0"/>
  </r>
  <r>
    <x v="1"/>
    <x v="2"/>
    <x v="4"/>
    <n v="0"/>
    <x v="0"/>
    <x v="0"/>
  </r>
  <r>
    <x v="1"/>
    <x v="2"/>
    <x v="0"/>
    <n v="0"/>
    <x v="0"/>
    <x v="0"/>
  </r>
  <r>
    <x v="1"/>
    <x v="2"/>
    <x v="1"/>
    <n v="0"/>
    <x v="0"/>
    <x v="0"/>
  </r>
  <r>
    <x v="1"/>
    <x v="2"/>
    <x v="5"/>
    <n v="0"/>
    <x v="0"/>
    <x v="0"/>
  </r>
  <r>
    <x v="1"/>
    <x v="2"/>
    <x v="3"/>
    <n v="0"/>
    <x v="0"/>
    <x v="0"/>
  </r>
  <r>
    <x v="1"/>
    <x v="2"/>
    <x v="10"/>
    <n v="0"/>
    <x v="0"/>
    <x v="0"/>
  </r>
  <r>
    <x v="1"/>
    <x v="11"/>
    <x v="15"/>
    <n v="2800"/>
    <x v="4"/>
    <x v="0"/>
  </r>
  <r>
    <x v="1"/>
    <x v="11"/>
    <x v="6"/>
    <n v="0"/>
    <x v="4"/>
    <x v="0"/>
  </r>
  <r>
    <x v="1"/>
    <x v="11"/>
    <x v="2"/>
    <n v="3123"/>
    <x v="4"/>
    <x v="0"/>
  </r>
  <r>
    <x v="1"/>
    <x v="11"/>
    <x v="1"/>
    <n v="1447"/>
    <x v="4"/>
    <x v="0"/>
  </r>
  <r>
    <x v="1"/>
    <x v="11"/>
    <x v="9"/>
    <n v="2771"/>
    <x v="4"/>
    <x v="0"/>
  </r>
  <r>
    <x v="1"/>
    <x v="11"/>
    <x v="0"/>
    <n v="7370"/>
    <x v="4"/>
    <x v="0"/>
  </r>
  <r>
    <x v="1"/>
    <x v="11"/>
    <x v="10"/>
    <n v="1817"/>
    <x v="4"/>
    <x v="0"/>
  </r>
  <r>
    <x v="1"/>
    <x v="11"/>
    <x v="7"/>
    <n v="11085"/>
    <x v="4"/>
    <x v="0"/>
  </r>
  <r>
    <x v="1"/>
    <x v="11"/>
    <x v="12"/>
    <n v="8574"/>
    <x v="4"/>
    <x v="0"/>
  </r>
  <r>
    <x v="1"/>
    <x v="11"/>
    <x v="8"/>
    <n v="5393"/>
    <x v="4"/>
    <x v="0"/>
  </r>
  <r>
    <x v="1"/>
    <x v="11"/>
    <x v="11"/>
    <n v="1334"/>
    <x v="4"/>
    <x v="0"/>
  </r>
  <r>
    <x v="1"/>
    <x v="11"/>
    <x v="3"/>
    <n v="4010"/>
    <x v="4"/>
    <x v="0"/>
  </r>
  <r>
    <x v="1"/>
    <x v="11"/>
    <x v="16"/>
    <n v="2984"/>
    <x v="4"/>
    <x v="0"/>
  </r>
  <r>
    <x v="1"/>
    <x v="11"/>
    <x v="5"/>
    <n v="3653"/>
    <x v="4"/>
    <x v="0"/>
  </r>
  <r>
    <x v="1"/>
    <x v="11"/>
    <x v="4"/>
    <n v="3494"/>
    <x v="4"/>
    <x v="0"/>
  </r>
  <r>
    <x v="1"/>
    <x v="11"/>
    <x v="13"/>
    <n v="3490"/>
    <x v="4"/>
    <x v="0"/>
  </r>
  <r>
    <x v="1"/>
    <x v="11"/>
    <x v="14"/>
    <n v="1691"/>
    <x v="4"/>
    <x v="0"/>
  </r>
  <r>
    <x v="1"/>
    <x v="12"/>
    <x v="2"/>
    <n v="12273"/>
    <x v="4"/>
    <x v="0"/>
  </r>
  <r>
    <x v="1"/>
    <x v="12"/>
    <x v="15"/>
    <n v="2470"/>
    <x v="4"/>
    <x v="0"/>
  </r>
  <r>
    <x v="1"/>
    <x v="12"/>
    <x v="7"/>
    <n v="4"/>
    <x v="4"/>
    <x v="0"/>
  </r>
  <r>
    <x v="1"/>
    <x v="12"/>
    <x v="1"/>
    <n v="2618"/>
    <x v="4"/>
    <x v="0"/>
  </r>
  <r>
    <x v="1"/>
    <x v="12"/>
    <x v="10"/>
    <n v="480"/>
    <x v="4"/>
    <x v="0"/>
  </r>
  <r>
    <x v="1"/>
    <x v="12"/>
    <x v="14"/>
    <n v="0"/>
    <x v="4"/>
    <x v="0"/>
  </r>
  <r>
    <x v="1"/>
    <x v="12"/>
    <x v="6"/>
    <n v="0"/>
    <x v="4"/>
    <x v="0"/>
  </r>
  <r>
    <x v="1"/>
    <x v="12"/>
    <x v="11"/>
    <n v="0"/>
    <x v="4"/>
    <x v="0"/>
  </r>
  <r>
    <x v="1"/>
    <x v="12"/>
    <x v="16"/>
    <n v="0"/>
    <x v="4"/>
    <x v="0"/>
  </r>
  <r>
    <x v="1"/>
    <x v="12"/>
    <x v="12"/>
    <n v="9"/>
    <x v="4"/>
    <x v="0"/>
  </r>
  <r>
    <x v="1"/>
    <x v="12"/>
    <x v="8"/>
    <n v="10"/>
    <x v="4"/>
    <x v="0"/>
  </r>
  <r>
    <x v="1"/>
    <x v="12"/>
    <x v="5"/>
    <n v="17390"/>
    <x v="4"/>
    <x v="0"/>
  </r>
  <r>
    <x v="1"/>
    <x v="12"/>
    <x v="13"/>
    <n v="206"/>
    <x v="4"/>
    <x v="0"/>
  </r>
  <r>
    <x v="1"/>
    <x v="12"/>
    <x v="0"/>
    <n v="3234"/>
    <x v="4"/>
    <x v="0"/>
  </r>
  <r>
    <x v="1"/>
    <x v="12"/>
    <x v="3"/>
    <n v="282"/>
    <x v="4"/>
    <x v="0"/>
  </r>
  <r>
    <x v="1"/>
    <x v="12"/>
    <x v="9"/>
    <n v="905"/>
    <x v="4"/>
    <x v="0"/>
  </r>
  <r>
    <x v="1"/>
    <x v="12"/>
    <x v="4"/>
    <n v="203"/>
    <x v="4"/>
    <x v="0"/>
  </r>
  <r>
    <x v="1"/>
    <x v="13"/>
    <x v="9"/>
    <n v="0"/>
    <x v="4"/>
    <x v="0"/>
  </r>
  <r>
    <x v="1"/>
    <x v="13"/>
    <x v="0"/>
    <n v="0"/>
    <x v="4"/>
    <x v="0"/>
  </r>
  <r>
    <x v="1"/>
    <x v="13"/>
    <x v="16"/>
    <n v="0"/>
    <x v="4"/>
    <x v="0"/>
  </r>
  <r>
    <x v="1"/>
    <x v="13"/>
    <x v="5"/>
    <n v="0"/>
    <x v="4"/>
    <x v="0"/>
  </r>
  <r>
    <x v="1"/>
    <x v="13"/>
    <x v="4"/>
    <n v="0"/>
    <x v="4"/>
    <x v="0"/>
  </r>
  <r>
    <x v="1"/>
    <x v="13"/>
    <x v="6"/>
    <n v="0"/>
    <x v="4"/>
    <x v="0"/>
  </r>
  <r>
    <x v="1"/>
    <x v="13"/>
    <x v="14"/>
    <n v="0"/>
    <x v="4"/>
    <x v="0"/>
  </r>
  <r>
    <x v="1"/>
    <x v="13"/>
    <x v="7"/>
    <n v="0"/>
    <x v="4"/>
    <x v="0"/>
  </r>
  <r>
    <x v="1"/>
    <x v="13"/>
    <x v="15"/>
    <n v="0"/>
    <x v="4"/>
    <x v="0"/>
  </r>
  <r>
    <x v="1"/>
    <x v="13"/>
    <x v="3"/>
    <n v="0"/>
    <x v="4"/>
    <x v="0"/>
  </r>
  <r>
    <x v="1"/>
    <x v="13"/>
    <x v="1"/>
    <n v="0"/>
    <x v="4"/>
    <x v="0"/>
  </r>
  <r>
    <x v="1"/>
    <x v="13"/>
    <x v="10"/>
    <n v="0"/>
    <x v="4"/>
    <x v="0"/>
  </r>
  <r>
    <x v="1"/>
    <x v="13"/>
    <x v="2"/>
    <n v="0"/>
    <x v="4"/>
    <x v="0"/>
  </r>
  <r>
    <x v="1"/>
    <x v="13"/>
    <x v="13"/>
    <n v="0"/>
    <x v="4"/>
    <x v="0"/>
  </r>
  <r>
    <x v="1"/>
    <x v="13"/>
    <x v="11"/>
    <n v="0"/>
    <x v="4"/>
    <x v="0"/>
  </r>
  <r>
    <x v="1"/>
    <x v="13"/>
    <x v="8"/>
    <n v="0"/>
    <x v="4"/>
    <x v="0"/>
  </r>
  <r>
    <x v="1"/>
    <x v="13"/>
    <x v="12"/>
    <n v="0"/>
    <x v="4"/>
    <x v="0"/>
  </r>
  <r>
    <x v="1"/>
    <x v="14"/>
    <x v="7"/>
    <n v="0"/>
    <x v="0"/>
    <x v="0"/>
  </r>
  <r>
    <x v="1"/>
    <x v="14"/>
    <x v="2"/>
    <n v="0"/>
    <x v="0"/>
    <x v="0"/>
  </r>
  <r>
    <x v="1"/>
    <x v="14"/>
    <x v="0"/>
    <n v="0"/>
    <x v="0"/>
    <x v="0"/>
  </r>
  <r>
    <x v="1"/>
    <x v="14"/>
    <x v="4"/>
    <n v="0"/>
    <x v="0"/>
    <x v="0"/>
  </r>
  <r>
    <x v="1"/>
    <x v="14"/>
    <x v="6"/>
    <n v="0"/>
    <x v="0"/>
    <x v="0"/>
  </r>
  <r>
    <x v="1"/>
    <x v="14"/>
    <x v="15"/>
    <n v="0"/>
    <x v="0"/>
    <x v="0"/>
  </r>
  <r>
    <x v="1"/>
    <x v="14"/>
    <x v="16"/>
    <n v="0"/>
    <x v="0"/>
    <x v="0"/>
  </r>
  <r>
    <x v="1"/>
    <x v="14"/>
    <x v="12"/>
    <n v="0"/>
    <x v="0"/>
    <x v="0"/>
  </r>
  <r>
    <x v="1"/>
    <x v="14"/>
    <x v="13"/>
    <n v="0"/>
    <x v="0"/>
    <x v="0"/>
  </r>
  <r>
    <x v="1"/>
    <x v="14"/>
    <x v="1"/>
    <n v="0"/>
    <x v="0"/>
    <x v="0"/>
  </r>
  <r>
    <x v="1"/>
    <x v="14"/>
    <x v="3"/>
    <n v="0"/>
    <x v="0"/>
    <x v="0"/>
  </r>
  <r>
    <x v="1"/>
    <x v="14"/>
    <x v="8"/>
    <n v="0"/>
    <x v="0"/>
    <x v="0"/>
  </r>
  <r>
    <x v="1"/>
    <x v="14"/>
    <x v="9"/>
    <n v="0"/>
    <x v="0"/>
    <x v="0"/>
  </r>
  <r>
    <x v="1"/>
    <x v="14"/>
    <x v="5"/>
    <n v="0"/>
    <x v="0"/>
    <x v="0"/>
  </r>
  <r>
    <x v="1"/>
    <x v="14"/>
    <x v="10"/>
    <n v="0"/>
    <x v="0"/>
    <x v="0"/>
  </r>
  <r>
    <x v="1"/>
    <x v="14"/>
    <x v="14"/>
    <n v="0"/>
    <x v="0"/>
    <x v="0"/>
  </r>
  <r>
    <x v="1"/>
    <x v="14"/>
    <x v="11"/>
    <n v="0"/>
    <x v="0"/>
    <x v="0"/>
  </r>
  <r>
    <x v="1"/>
    <x v="15"/>
    <x v="12"/>
    <n v="165206"/>
    <x v="5"/>
    <x v="1"/>
  </r>
  <r>
    <x v="1"/>
    <x v="15"/>
    <x v="0"/>
    <n v="81068"/>
    <x v="5"/>
    <x v="1"/>
  </r>
  <r>
    <x v="1"/>
    <x v="15"/>
    <x v="16"/>
    <n v="152102"/>
    <x v="5"/>
    <x v="1"/>
  </r>
  <r>
    <x v="1"/>
    <x v="15"/>
    <x v="5"/>
    <n v="109770"/>
    <x v="5"/>
    <x v="1"/>
  </r>
  <r>
    <x v="1"/>
    <x v="15"/>
    <x v="1"/>
    <n v="105333"/>
    <x v="5"/>
    <x v="1"/>
  </r>
  <r>
    <x v="1"/>
    <x v="15"/>
    <x v="11"/>
    <n v="189849"/>
    <x v="5"/>
    <x v="1"/>
  </r>
  <r>
    <x v="1"/>
    <x v="15"/>
    <x v="7"/>
    <n v="167815"/>
    <x v="5"/>
    <x v="1"/>
  </r>
  <r>
    <x v="1"/>
    <x v="15"/>
    <x v="10"/>
    <n v="91755"/>
    <x v="5"/>
    <x v="1"/>
  </r>
  <r>
    <x v="1"/>
    <x v="15"/>
    <x v="2"/>
    <n v="122947"/>
    <x v="5"/>
    <x v="1"/>
  </r>
  <r>
    <x v="1"/>
    <x v="15"/>
    <x v="15"/>
    <n v="108298"/>
    <x v="5"/>
    <x v="1"/>
  </r>
  <r>
    <x v="1"/>
    <x v="15"/>
    <x v="3"/>
    <n v="155569"/>
    <x v="5"/>
    <x v="1"/>
  </r>
  <r>
    <x v="1"/>
    <x v="15"/>
    <x v="4"/>
    <n v="122722"/>
    <x v="5"/>
    <x v="1"/>
  </r>
  <r>
    <x v="1"/>
    <x v="15"/>
    <x v="6"/>
    <n v="104547"/>
    <x v="5"/>
    <x v="1"/>
  </r>
  <r>
    <x v="1"/>
    <x v="15"/>
    <x v="13"/>
    <n v="141307"/>
    <x v="5"/>
    <x v="1"/>
  </r>
  <r>
    <x v="1"/>
    <x v="15"/>
    <x v="14"/>
    <n v="168167"/>
    <x v="5"/>
    <x v="1"/>
  </r>
  <r>
    <x v="1"/>
    <x v="15"/>
    <x v="8"/>
    <n v="148748"/>
    <x v="5"/>
    <x v="1"/>
  </r>
  <r>
    <x v="1"/>
    <x v="15"/>
    <x v="9"/>
    <n v="89375"/>
    <x v="5"/>
    <x v="1"/>
  </r>
  <r>
    <x v="1"/>
    <x v="16"/>
    <x v="4"/>
    <n v="2207"/>
    <x v="5"/>
    <x v="1"/>
  </r>
  <r>
    <x v="1"/>
    <x v="16"/>
    <x v="15"/>
    <n v="991"/>
    <x v="5"/>
    <x v="1"/>
  </r>
  <r>
    <x v="1"/>
    <x v="16"/>
    <x v="3"/>
    <n v="3762"/>
    <x v="5"/>
    <x v="1"/>
  </r>
  <r>
    <x v="1"/>
    <x v="16"/>
    <x v="10"/>
    <n v="392"/>
    <x v="5"/>
    <x v="1"/>
  </r>
  <r>
    <x v="1"/>
    <x v="16"/>
    <x v="2"/>
    <n v="1312"/>
    <x v="5"/>
    <x v="1"/>
  </r>
  <r>
    <x v="1"/>
    <x v="16"/>
    <x v="0"/>
    <n v="783"/>
    <x v="5"/>
    <x v="1"/>
  </r>
  <r>
    <x v="1"/>
    <x v="16"/>
    <x v="7"/>
    <n v="3750"/>
    <x v="5"/>
    <x v="1"/>
  </r>
  <r>
    <x v="1"/>
    <x v="16"/>
    <x v="14"/>
    <n v="3741"/>
    <x v="5"/>
    <x v="1"/>
  </r>
  <r>
    <x v="1"/>
    <x v="16"/>
    <x v="12"/>
    <n v="4194"/>
    <x v="5"/>
    <x v="1"/>
  </r>
  <r>
    <x v="1"/>
    <x v="16"/>
    <x v="1"/>
    <n v="433"/>
    <x v="5"/>
    <x v="1"/>
  </r>
  <r>
    <x v="1"/>
    <x v="16"/>
    <x v="13"/>
    <n v="1707"/>
    <x v="5"/>
    <x v="1"/>
  </r>
  <r>
    <x v="1"/>
    <x v="16"/>
    <x v="16"/>
    <n v="2403"/>
    <x v="5"/>
    <x v="1"/>
  </r>
  <r>
    <x v="1"/>
    <x v="16"/>
    <x v="6"/>
    <n v="461"/>
    <x v="5"/>
    <x v="1"/>
  </r>
  <r>
    <x v="1"/>
    <x v="16"/>
    <x v="8"/>
    <n v="2234"/>
    <x v="5"/>
    <x v="1"/>
  </r>
  <r>
    <x v="1"/>
    <x v="16"/>
    <x v="5"/>
    <n v="982"/>
    <x v="5"/>
    <x v="1"/>
  </r>
  <r>
    <x v="1"/>
    <x v="16"/>
    <x v="9"/>
    <n v="372"/>
    <x v="5"/>
    <x v="1"/>
  </r>
  <r>
    <x v="1"/>
    <x v="16"/>
    <x v="11"/>
    <n v="4747"/>
    <x v="5"/>
    <x v="1"/>
  </r>
  <r>
    <x v="1"/>
    <x v="17"/>
    <x v="11"/>
    <n v="0"/>
    <x v="1"/>
    <x v="0"/>
  </r>
  <r>
    <x v="1"/>
    <x v="17"/>
    <x v="6"/>
    <n v="0"/>
    <x v="1"/>
    <x v="0"/>
  </r>
  <r>
    <x v="1"/>
    <x v="17"/>
    <x v="8"/>
    <n v="0"/>
    <x v="1"/>
    <x v="0"/>
  </r>
  <r>
    <x v="1"/>
    <x v="17"/>
    <x v="9"/>
    <n v="0"/>
    <x v="1"/>
    <x v="0"/>
  </r>
  <r>
    <x v="1"/>
    <x v="17"/>
    <x v="16"/>
    <n v="0"/>
    <x v="1"/>
    <x v="0"/>
  </r>
  <r>
    <x v="1"/>
    <x v="17"/>
    <x v="13"/>
    <n v="0"/>
    <x v="1"/>
    <x v="0"/>
  </r>
  <r>
    <x v="1"/>
    <x v="17"/>
    <x v="1"/>
    <n v="0"/>
    <x v="1"/>
    <x v="0"/>
  </r>
  <r>
    <x v="1"/>
    <x v="17"/>
    <x v="5"/>
    <n v="0"/>
    <x v="1"/>
    <x v="0"/>
  </r>
  <r>
    <x v="1"/>
    <x v="17"/>
    <x v="7"/>
    <n v="0"/>
    <x v="1"/>
    <x v="0"/>
  </r>
  <r>
    <x v="1"/>
    <x v="17"/>
    <x v="4"/>
    <n v="0"/>
    <x v="1"/>
    <x v="0"/>
  </r>
  <r>
    <x v="1"/>
    <x v="17"/>
    <x v="2"/>
    <n v="0"/>
    <x v="1"/>
    <x v="0"/>
  </r>
  <r>
    <x v="1"/>
    <x v="17"/>
    <x v="10"/>
    <n v="0"/>
    <x v="1"/>
    <x v="0"/>
  </r>
  <r>
    <x v="1"/>
    <x v="17"/>
    <x v="0"/>
    <n v="0"/>
    <x v="1"/>
    <x v="0"/>
  </r>
  <r>
    <x v="1"/>
    <x v="17"/>
    <x v="14"/>
    <n v="0"/>
    <x v="1"/>
    <x v="0"/>
  </r>
  <r>
    <x v="1"/>
    <x v="17"/>
    <x v="3"/>
    <n v="0"/>
    <x v="1"/>
    <x v="0"/>
  </r>
  <r>
    <x v="1"/>
    <x v="17"/>
    <x v="12"/>
    <n v="0"/>
    <x v="1"/>
    <x v="0"/>
  </r>
  <r>
    <x v="1"/>
    <x v="17"/>
    <x v="15"/>
    <n v="0"/>
    <x v="1"/>
    <x v="0"/>
  </r>
  <r>
    <x v="1"/>
    <x v="18"/>
    <x v="10"/>
    <n v="0"/>
    <x v="2"/>
    <x v="0"/>
  </r>
  <r>
    <x v="1"/>
    <x v="18"/>
    <x v="12"/>
    <n v="0"/>
    <x v="2"/>
    <x v="0"/>
  </r>
  <r>
    <x v="1"/>
    <x v="18"/>
    <x v="1"/>
    <n v="0"/>
    <x v="2"/>
    <x v="0"/>
  </r>
  <r>
    <x v="1"/>
    <x v="18"/>
    <x v="11"/>
    <n v="0"/>
    <x v="2"/>
    <x v="0"/>
  </r>
  <r>
    <x v="1"/>
    <x v="18"/>
    <x v="14"/>
    <n v="0"/>
    <x v="2"/>
    <x v="0"/>
  </r>
  <r>
    <x v="1"/>
    <x v="18"/>
    <x v="2"/>
    <n v="0"/>
    <x v="2"/>
    <x v="0"/>
  </r>
  <r>
    <x v="1"/>
    <x v="18"/>
    <x v="0"/>
    <n v="0"/>
    <x v="2"/>
    <x v="0"/>
  </r>
  <r>
    <x v="1"/>
    <x v="18"/>
    <x v="3"/>
    <n v="0"/>
    <x v="2"/>
    <x v="0"/>
  </r>
  <r>
    <x v="1"/>
    <x v="18"/>
    <x v="4"/>
    <n v="18"/>
    <x v="2"/>
    <x v="0"/>
  </r>
  <r>
    <x v="1"/>
    <x v="18"/>
    <x v="8"/>
    <n v="0"/>
    <x v="2"/>
    <x v="0"/>
  </r>
  <r>
    <x v="1"/>
    <x v="18"/>
    <x v="7"/>
    <n v="0"/>
    <x v="2"/>
    <x v="0"/>
  </r>
  <r>
    <x v="1"/>
    <x v="18"/>
    <x v="9"/>
    <n v="0"/>
    <x v="2"/>
    <x v="0"/>
  </r>
  <r>
    <x v="1"/>
    <x v="18"/>
    <x v="13"/>
    <n v="0"/>
    <x v="2"/>
    <x v="0"/>
  </r>
  <r>
    <x v="1"/>
    <x v="18"/>
    <x v="6"/>
    <n v="0"/>
    <x v="2"/>
    <x v="0"/>
  </r>
  <r>
    <x v="1"/>
    <x v="18"/>
    <x v="16"/>
    <n v="0"/>
    <x v="2"/>
    <x v="0"/>
  </r>
  <r>
    <x v="1"/>
    <x v="18"/>
    <x v="5"/>
    <n v="0"/>
    <x v="2"/>
    <x v="0"/>
  </r>
  <r>
    <x v="1"/>
    <x v="18"/>
    <x v="15"/>
    <n v="0"/>
    <x v="2"/>
    <x v="0"/>
  </r>
  <r>
    <x v="1"/>
    <x v="3"/>
    <x v="8"/>
    <n v="1096"/>
    <x v="2"/>
    <x v="0"/>
  </r>
  <r>
    <x v="1"/>
    <x v="3"/>
    <x v="2"/>
    <n v="2144"/>
    <x v="2"/>
    <x v="0"/>
  </r>
  <r>
    <x v="1"/>
    <x v="3"/>
    <x v="13"/>
    <n v="593"/>
    <x v="2"/>
    <x v="0"/>
  </r>
  <r>
    <x v="1"/>
    <x v="3"/>
    <x v="10"/>
    <n v="1256"/>
    <x v="2"/>
    <x v="0"/>
  </r>
  <r>
    <x v="1"/>
    <x v="3"/>
    <x v="0"/>
    <n v="514"/>
    <x v="2"/>
    <x v="0"/>
  </r>
  <r>
    <x v="1"/>
    <x v="3"/>
    <x v="9"/>
    <n v="483"/>
    <x v="2"/>
    <x v="0"/>
  </r>
  <r>
    <x v="1"/>
    <x v="3"/>
    <x v="4"/>
    <n v="659"/>
    <x v="2"/>
    <x v="0"/>
  </r>
  <r>
    <x v="1"/>
    <x v="3"/>
    <x v="14"/>
    <n v="942"/>
    <x v="2"/>
    <x v="0"/>
  </r>
  <r>
    <x v="1"/>
    <x v="3"/>
    <x v="16"/>
    <n v="1134"/>
    <x v="2"/>
    <x v="0"/>
  </r>
  <r>
    <x v="1"/>
    <x v="3"/>
    <x v="5"/>
    <n v="1286"/>
    <x v="2"/>
    <x v="0"/>
  </r>
  <r>
    <x v="1"/>
    <x v="3"/>
    <x v="3"/>
    <n v="1869"/>
    <x v="2"/>
    <x v="0"/>
  </r>
  <r>
    <x v="1"/>
    <x v="3"/>
    <x v="6"/>
    <n v="148"/>
    <x v="2"/>
    <x v="0"/>
  </r>
  <r>
    <x v="1"/>
    <x v="3"/>
    <x v="1"/>
    <n v="1287"/>
    <x v="2"/>
    <x v="0"/>
  </r>
  <r>
    <x v="1"/>
    <x v="3"/>
    <x v="12"/>
    <n v="1406"/>
    <x v="2"/>
    <x v="0"/>
  </r>
  <r>
    <x v="1"/>
    <x v="3"/>
    <x v="15"/>
    <n v="906"/>
    <x v="2"/>
    <x v="0"/>
  </r>
  <r>
    <x v="1"/>
    <x v="3"/>
    <x v="11"/>
    <n v="159"/>
    <x v="2"/>
    <x v="0"/>
  </r>
  <r>
    <x v="1"/>
    <x v="3"/>
    <x v="7"/>
    <n v="1513"/>
    <x v="2"/>
    <x v="0"/>
  </r>
  <r>
    <x v="1"/>
    <x v="4"/>
    <x v="10"/>
    <n v="0"/>
    <x v="0"/>
    <x v="0"/>
  </r>
  <r>
    <x v="1"/>
    <x v="4"/>
    <x v="7"/>
    <n v="0"/>
    <x v="0"/>
    <x v="0"/>
  </r>
  <r>
    <x v="1"/>
    <x v="4"/>
    <x v="12"/>
    <n v="0"/>
    <x v="0"/>
    <x v="0"/>
  </r>
  <r>
    <x v="1"/>
    <x v="4"/>
    <x v="6"/>
    <n v="0"/>
    <x v="0"/>
    <x v="0"/>
  </r>
  <r>
    <x v="1"/>
    <x v="4"/>
    <x v="3"/>
    <n v="0"/>
    <x v="0"/>
    <x v="0"/>
  </r>
  <r>
    <x v="1"/>
    <x v="4"/>
    <x v="13"/>
    <n v="0"/>
    <x v="0"/>
    <x v="0"/>
  </r>
  <r>
    <x v="1"/>
    <x v="4"/>
    <x v="9"/>
    <n v="0"/>
    <x v="0"/>
    <x v="0"/>
  </r>
  <r>
    <x v="1"/>
    <x v="4"/>
    <x v="5"/>
    <n v="0"/>
    <x v="0"/>
    <x v="0"/>
  </r>
  <r>
    <x v="1"/>
    <x v="4"/>
    <x v="0"/>
    <n v="0"/>
    <x v="0"/>
    <x v="0"/>
  </r>
  <r>
    <x v="1"/>
    <x v="4"/>
    <x v="16"/>
    <n v="0"/>
    <x v="0"/>
    <x v="0"/>
  </r>
  <r>
    <x v="1"/>
    <x v="4"/>
    <x v="15"/>
    <n v="0"/>
    <x v="0"/>
    <x v="0"/>
  </r>
  <r>
    <x v="1"/>
    <x v="4"/>
    <x v="14"/>
    <n v="0"/>
    <x v="0"/>
    <x v="0"/>
  </r>
  <r>
    <x v="1"/>
    <x v="4"/>
    <x v="2"/>
    <n v="0"/>
    <x v="0"/>
    <x v="0"/>
  </r>
  <r>
    <x v="1"/>
    <x v="4"/>
    <x v="4"/>
    <n v="0"/>
    <x v="0"/>
    <x v="0"/>
  </r>
  <r>
    <x v="1"/>
    <x v="4"/>
    <x v="11"/>
    <n v="0"/>
    <x v="0"/>
    <x v="0"/>
  </r>
  <r>
    <x v="1"/>
    <x v="4"/>
    <x v="8"/>
    <n v="0"/>
    <x v="0"/>
    <x v="0"/>
  </r>
  <r>
    <x v="1"/>
    <x v="4"/>
    <x v="1"/>
    <n v="0"/>
    <x v="0"/>
    <x v="0"/>
  </r>
  <r>
    <x v="1"/>
    <x v="5"/>
    <x v="16"/>
    <n v="76566"/>
    <x v="2"/>
    <x v="1"/>
  </r>
  <r>
    <x v="1"/>
    <x v="5"/>
    <x v="7"/>
    <n v="89434"/>
    <x v="2"/>
    <x v="1"/>
  </r>
  <r>
    <x v="1"/>
    <x v="5"/>
    <x v="1"/>
    <n v="54201"/>
    <x v="2"/>
    <x v="1"/>
  </r>
  <r>
    <x v="1"/>
    <x v="5"/>
    <x v="4"/>
    <n v="66838"/>
    <x v="2"/>
    <x v="1"/>
  </r>
  <r>
    <x v="1"/>
    <x v="5"/>
    <x v="12"/>
    <n v="79480"/>
    <x v="2"/>
    <x v="1"/>
  </r>
  <r>
    <x v="1"/>
    <x v="5"/>
    <x v="14"/>
    <n v="83725"/>
    <x v="2"/>
    <x v="1"/>
  </r>
  <r>
    <x v="1"/>
    <x v="5"/>
    <x v="5"/>
    <n v="52942"/>
    <x v="2"/>
    <x v="1"/>
  </r>
  <r>
    <x v="1"/>
    <x v="5"/>
    <x v="8"/>
    <n v="85836"/>
    <x v="2"/>
    <x v="1"/>
  </r>
  <r>
    <x v="1"/>
    <x v="5"/>
    <x v="15"/>
    <n v="60724"/>
    <x v="2"/>
    <x v="1"/>
  </r>
  <r>
    <x v="1"/>
    <x v="5"/>
    <x v="9"/>
    <n v="48325"/>
    <x v="2"/>
    <x v="1"/>
  </r>
  <r>
    <x v="1"/>
    <x v="5"/>
    <x v="0"/>
    <n v="45512"/>
    <x v="2"/>
    <x v="1"/>
  </r>
  <r>
    <x v="1"/>
    <x v="5"/>
    <x v="3"/>
    <n v="82983"/>
    <x v="2"/>
    <x v="1"/>
  </r>
  <r>
    <x v="1"/>
    <x v="5"/>
    <x v="6"/>
    <n v="56055"/>
    <x v="2"/>
    <x v="1"/>
  </r>
  <r>
    <x v="1"/>
    <x v="5"/>
    <x v="10"/>
    <n v="47099"/>
    <x v="2"/>
    <x v="1"/>
  </r>
  <r>
    <x v="1"/>
    <x v="5"/>
    <x v="13"/>
    <n v="71442"/>
    <x v="2"/>
    <x v="1"/>
  </r>
  <r>
    <x v="1"/>
    <x v="5"/>
    <x v="2"/>
    <n v="63232"/>
    <x v="2"/>
    <x v="1"/>
  </r>
  <r>
    <x v="1"/>
    <x v="5"/>
    <x v="11"/>
    <n v="84804"/>
    <x v="2"/>
    <x v="1"/>
  </r>
  <r>
    <x v="1"/>
    <x v="6"/>
    <x v="12"/>
    <n v="11"/>
    <x v="2"/>
    <x v="1"/>
  </r>
  <r>
    <x v="1"/>
    <x v="6"/>
    <x v="6"/>
    <n v="0"/>
    <x v="2"/>
    <x v="1"/>
  </r>
  <r>
    <x v="1"/>
    <x v="6"/>
    <x v="11"/>
    <n v="61"/>
    <x v="2"/>
    <x v="1"/>
  </r>
  <r>
    <x v="1"/>
    <x v="6"/>
    <x v="8"/>
    <n v="0"/>
    <x v="2"/>
    <x v="1"/>
  </r>
  <r>
    <x v="1"/>
    <x v="6"/>
    <x v="3"/>
    <n v="3"/>
    <x v="2"/>
    <x v="1"/>
  </r>
  <r>
    <x v="1"/>
    <x v="6"/>
    <x v="4"/>
    <n v="0"/>
    <x v="2"/>
    <x v="1"/>
  </r>
  <r>
    <x v="1"/>
    <x v="6"/>
    <x v="5"/>
    <n v="0"/>
    <x v="2"/>
    <x v="1"/>
  </r>
  <r>
    <x v="1"/>
    <x v="6"/>
    <x v="0"/>
    <n v="0"/>
    <x v="2"/>
    <x v="1"/>
  </r>
  <r>
    <x v="1"/>
    <x v="6"/>
    <x v="16"/>
    <n v="0"/>
    <x v="2"/>
    <x v="1"/>
  </r>
  <r>
    <x v="1"/>
    <x v="6"/>
    <x v="9"/>
    <n v="0"/>
    <x v="2"/>
    <x v="1"/>
  </r>
  <r>
    <x v="1"/>
    <x v="6"/>
    <x v="7"/>
    <n v="13"/>
    <x v="2"/>
    <x v="1"/>
  </r>
  <r>
    <x v="1"/>
    <x v="6"/>
    <x v="14"/>
    <n v="9"/>
    <x v="2"/>
    <x v="1"/>
  </r>
  <r>
    <x v="1"/>
    <x v="6"/>
    <x v="1"/>
    <n v="0"/>
    <x v="2"/>
    <x v="1"/>
  </r>
  <r>
    <x v="1"/>
    <x v="6"/>
    <x v="2"/>
    <n v="0"/>
    <x v="2"/>
    <x v="1"/>
  </r>
  <r>
    <x v="1"/>
    <x v="6"/>
    <x v="15"/>
    <n v="0"/>
    <x v="2"/>
    <x v="1"/>
  </r>
  <r>
    <x v="1"/>
    <x v="6"/>
    <x v="13"/>
    <n v="0"/>
    <x v="2"/>
    <x v="1"/>
  </r>
  <r>
    <x v="1"/>
    <x v="6"/>
    <x v="10"/>
    <n v="0"/>
    <x v="2"/>
    <x v="1"/>
  </r>
  <r>
    <x v="1"/>
    <x v="7"/>
    <x v="14"/>
    <n v="1064"/>
    <x v="2"/>
    <x v="1"/>
  </r>
  <r>
    <x v="1"/>
    <x v="7"/>
    <x v="11"/>
    <n v="1508"/>
    <x v="2"/>
    <x v="1"/>
  </r>
  <r>
    <x v="1"/>
    <x v="7"/>
    <x v="4"/>
    <n v="549"/>
    <x v="2"/>
    <x v="1"/>
  </r>
  <r>
    <x v="1"/>
    <x v="7"/>
    <x v="10"/>
    <n v="213"/>
    <x v="2"/>
    <x v="1"/>
  </r>
  <r>
    <x v="1"/>
    <x v="7"/>
    <x v="2"/>
    <n v="309"/>
    <x v="2"/>
    <x v="1"/>
  </r>
  <r>
    <x v="1"/>
    <x v="7"/>
    <x v="1"/>
    <n v="194"/>
    <x v="2"/>
    <x v="1"/>
  </r>
  <r>
    <x v="1"/>
    <x v="7"/>
    <x v="5"/>
    <n v="367"/>
    <x v="2"/>
    <x v="1"/>
  </r>
  <r>
    <x v="1"/>
    <x v="7"/>
    <x v="7"/>
    <n v="1623"/>
    <x v="2"/>
    <x v="1"/>
  </r>
  <r>
    <x v="1"/>
    <x v="7"/>
    <x v="8"/>
    <n v="534"/>
    <x v="2"/>
    <x v="1"/>
  </r>
  <r>
    <x v="1"/>
    <x v="7"/>
    <x v="15"/>
    <n v="335"/>
    <x v="2"/>
    <x v="1"/>
  </r>
  <r>
    <x v="1"/>
    <x v="7"/>
    <x v="3"/>
    <n v="1056"/>
    <x v="2"/>
    <x v="1"/>
  </r>
  <r>
    <x v="1"/>
    <x v="7"/>
    <x v="9"/>
    <n v="169"/>
    <x v="2"/>
    <x v="1"/>
  </r>
  <r>
    <x v="1"/>
    <x v="7"/>
    <x v="6"/>
    <n v="455"/>
    <x v="2"/>
    <x v="1"/>
  </r>
  <r>
    <x v="1"/>
    <x v="7"/>
    <x v="13"/>
    <n v="488"/>
    <x v="2"/>
    <x v="1"/>
  </r>
  <r>
    <x v="1"/>
    <x v="7"/>
    <x v="12"/>
    <n v="1593"/>
    <x v="2"/>
    <x v="1"/>
  </r>
  <r>
    <x v="1"/>
    <x v="7"/>
    <x v="0"/>
    <n v="262"/>
    <x v="2"/>
    <x v="1"/>
  </r>
  <r>
    <x v="1"/>
    <x v="7"/>
    <x v="16"/>
    <n v="437"/>
    <x v="2"/>
    <x v="1"/>
  </r>
  <r>
    <x v="1"/>
    <x v="8"/>
    <x v="3"/>
    <n v="0"/>
    <x v="3"/>
    <x v="0"/>
  </r>
  <r>
    <x v="1"/>
    <x v="8"/>
    <x v="13"/>
    <n v="0"/>
    <x v="3"/>
    <x v="0"/>
  </r>
  <r>
    <x v="1"/>
    <x v="8"/>
    <x v="1"/>
    <n v="0"/>
    <x v="3"/>
    <x v="0"/>
  </r>
  <r>
    <x v="1"/>
    <x v="8"/>
    <x v="9"/>
    <n v="0"/>
    <x v="3"/>
    <x v="0"/>
  </r>
  <r>
    <x v="1"/>
    <x v="8"/>
    <x v="14"/>
    <n v="0"/>
    <x v="3"/>
    <x v="0"/>
  </r>
  <r>
    <x v="1"/>
    <x v="8"/>
    <x v="0"/>
    <n v="0"/>
    <x v="3"/>
    <x v="0"/>
  </r>
  <r>
    <x v="1"/>
    <x v="8"/>
    <x v="11"/>
    <n v="0"/>
    <x v="3"/>
    <x v="0"/>
  </r>
  <r>
    <x v="1"/>
    <x v="8"/>
    <x v="8"/>
    <n v="0"/>
    <x v="3"/>
    <x v="0"/>
  </r>
  <r>
    <x v="1"/>
    <x v="8"/>
    <x v="6"/>
    <n v="0"/>
    <x v="3"/>
    <x v="0"/>
  </r>
  <r>
    <x v="1"/>
    <x v="8"/>
    <x v="10"/>
    <n v="0"/>
    <x v="3"/>
    <x v="0"/>
  </r>
  <r>
    <x v="1"/>
    <x v="8"/>
    <x v="7"/>
    <n v="0"/>
    <x v="3"/>
    <x v="0"/>
  </r>
  <r>
    <x v="1"/>
    <x v="8"/>
    <x v="15"/>
    <n v="0"/>
    <x v="3"/>
    <x v="0"/>
  </r>
  <r>
    <x v="1"/>
    <x v="8"/>
    <x v="16"/>
    <n v="0"/>
    <x v="3"/>
    <x v="0"/>
  </r>
  <r>
    <x v="1"/>
    <x v="8"/>
    <x v="5"/>
    <n v="0"/>
    <x v="3"/>
    <x v="0"/>
  </r>
  <r>
    <x v="1"/>
    <x v="8"/>
    <x v="12"/>
    <n v="0"/>
    <x v="3"/>
    <x v="0"/>
  </r>
  <r>
    <x v="1"/>
    <x v="8"/>
    <x v="2"/>
    <n v="0"/>
    <x v="3"/>
    <x v="0"/>
  </r>
  <r>
    <x v="1"/>
    <x v="8"/>
    <x v="4"/>
    <n v="0"/>
    <x v="3"/>
    <x v="0"/>
  </r>
  <r>
    <x v="1"/>
    <x v="9"/>
    <x v="13"/>
    <n v="0"/>
    <x v="3"/>
    <x v="0"/>
  </r>
  <r>
    <x v="1"/>
    <x v="9"/>
    <x v="10"/>
    <n v="0"/>
    <x v="3"/>
    <x v="0"/>
  </r>
  <r>
    <x v="1"/>
    <x v="9"/>
    <x v="5"/>
    <n v="0"/>
    <x v="3"/>
    <x v="0"/>
  </r>
  <r>
    <x v="1"/>
    <x v="9"/>
    <x v="11"/>
    <n v="0"/>
    <x v="3"/>
    <x v="0"/>
  </r>
  <r>
    <x v="1"/>
    <x v="9"/>
    <x v="12"/>
    <n v="0"/>
    <x v="3"/>
    <x v="0"/>
  </r>
  <r>
    <x v="1"/>
    <x v="9"/>
    <x v="16"/>
    <n v="0"/>
    <x v="3"/>
    <x v="0"/>
  </r>
  <r>
    <x v="1"/>
    <x v="9"/>
    <x v="3"/>
    <n v="0"/>
    <x v="3"/>
    <x v="0"/>
  </r>
  <r>
    <x v="1"/>
    <x v="9"/>
    <x v="15"/>
    <n v="0"/>
    <x v="3"/>
    <x v="0"/>
  </r>
  <r>
    <x v="1"/>
    <x v="9"/>
    <x v="7"/>
    <n v="0"/>
    <x v="3"/>
    <x v="0"/>
  </r>
  <r>
    <x v="1"/>
    <x v="9"/>
    <x v="2"/>
    <n v="0"/>
    <x v="3"/>
    <x v="0"/>
  </r>
  <r>
    <x v="1"/>
    <x v="9"/>
    <x v="0"/>
    <n v="0"/>
    <x v="3"/>
    <x v="0"/>
  </r>
  <r>
    <x v="1"/>
    <x v="9"/>
    <x v="6"/>
    <n v="0"/>
    <x v="3"/>
    <x v="0"/>
  </r>
  <r>
    <x v="1"/>
    <x v="9"/>
    <x v="4"/>
    <n v="0"/>
    <x v="3"/>
    <x v="0"/>
  </r>
  <r>
    <x v="1"/>
    <x v="9"/>
    <x v="8"/>
    <n v="0"/>
    <x v="3"/>
    <x v="0"/>
  </r>
  <r>
    <x v="1"/>
    <x v="9"/>
    <x v="9"/>
    <n v="0"/>
    <x v="3"/>
    <x v="0"/>
  </r>
  <r>
    <x v="1"/>
    <x v="9"/>
    <x v="14"/>
    <n v="0"/>
    <x v="3"/>
    <x v="0"/>
  </r>
  <r>
    <x v="1"/>
    <x v="9"/>
    <x v="1"/>
    <n v="0"/>
    <x v="3"/>
    <x v="0"/>
  </r>
  <r>
    <x v="1"/>
    <x v="10"/>
    <x v="13"/>
    <n v="3765"/>
    <x v="4"/>
    <x v="0"/>
  </r>
  <r>
    <x v="1"/>
    <x v="10"/>
    <x v="3"/>
    <n v="0"/>
    <x v="4"/>
    <x v="0"/>
  </r>
  <r>
    <x v="1"/>
    <x v="10"/>
    <x v="11"/>
    <n v="106"/>
    <x v="4"/>
    <x v="0"/>
  </r>
  <r>
    <x v="1"/>
    <x v="10"/>
    <x v="9"/>
    <n v="0"/>
    <x v="4"/>
    <x v="0"/>
  </r>
  <r>
    <x v="1"/>
    <x v="10"/>
    <x v="5"/>
    <n v="0"/>
    <x v="4"/>
    <x v="0"/>
  </r>
  <r>
    <x v="1"/>
    <x v="10"/>
    <x v="2"/>
    <n v="0"/>
    <x v="4"/>
    <x v="0"/>
  </r>
  <r>
    <x v="1"/>
    <x v="10"/>
    <x v="16"/>
    <n v="0"/>
    <x v="4"/>
    <x v="0"/>
  </r>
  <r>
    <x v="1"/>
    <x v="10"/>
    <x v="6"/>
    <n v="0"/>
    <x v="4"/>
    <x v="0"/>
  </r>
  <r>
    <x v="1"/>
    <x v="10"/>
    <x v="14"/>
    <n v="4915"/>
    <x v="4"/>
    <x v="0"/>
  </r>
  <r>
    <x v="1"/>
    <x v="10"/>
    <x v="7"/>
    <n v="354"/>
    <x v="4"/>
    <x v="0"/>
  </r>
  <r>
    <x v="1"/>
    <x v="10"/>
    <x v="15"/>
    <n v="8226"/>
    <x v="4"/>
    <x v="0"/>
  </r>
  <r>
    <x v="1"/>
    <x v="10"/>
    <x v="0"/>
    <n v="0"/>
    <x v="4"/>
    <x v="0"/>
  </r>
  <r>
    <x v="1"/>
    <x v="10"/>
    <x v="4"/>
    <n v="292"/>
    <x v="4"/>
    <x v="0"/>
  </r>
  <r>
    <x v="1"/>
    <x v="10"/>
    <x v="8"/>
    <n v="0"/>
    <x v="4"/>
    <x v="0"/>
  </r>
  <r>
    <x v="1"/>
    <x v="10"/>
    <x v="12"/>
    <n v="388"/>
    <x v="4"/>
    <x v="0"/>
  </r>
  <r>
    <x v="1"/>
    <x v="10"/>
    <x v="10"/>
    <n v="1516"/>
    <x v="4"/>
    <x v="0"/>
  </r>
  <r>
    <x v="1"/>
    <x v="10"/>
    <x v="1"/>
    <n v="2383"/>
    <x v="4"/>
    <x v="0"/>
  </r>
  <r>
    <x v="0"/>
    <x v="2"/>
    <x v="0"/>
    <n v="1673"/>
    <x v="0"/>
    <x v="0"/>
  </r>
  <r>
    <x v="0"/>
    <x v="2"/>
    <x v="7"/>
    <n v="1863"/>
    <x v="0"/>
    <x v="0"/>
  </r>
  <r>
    <x v="0"/>
    <x v="2"/>
    <x v="4"/>
    <n v="876"/>
    <x v="0"/>
    <x v="0"/>
  </r>
  <r>
    <x v="0"/>
    <x v="2"/>
    <x v="12"/>
    <n v="1786"/>
    <x v="0"/>
    <x v="0"/>
  </r>
  <r>
    <x v="0"/>
    <x v="2"/>
    <x v="13"/>
    <n v="1801"/>
    <x v="0"/>
    <x v="0"/>
  </r>
  <r>
    <x v="0"/>
    <x v="2"/>
    <x v="5"/>
    <n v="2478"/>
    <x v="0"/>
    <x v="0"/>
  </r>
  <r>
    <x v="0"/>
    <x v="2"/>
    <x v="9"/>
    <n v="2486"/>
    <x v="0"/>
    <x v="0"/>
  </r>
  <r>
    <x v="0"/>
    <x v="2"/>
    <x v="1"/>
    <n v="1655"/>
    <x v="0"/>
    <x v="0"/>
  </r>
  <r>
    <x v="0"/>
    <x v="2"/>
    <x v="6"/>
    <n v="0"/>
    <x v="0"/>
    <x v="0"/>
  </r>
  <r>
    <x v="0"/>
    <x v="2"/>
    <x v="2"/>
    <n v="2237"/>
    <x v="0"/>
    <x v="0"/>
  </r>
  <r>
    <x v="0"/>
    <x v="2"/>
    <x v="15"/>
    <n v="2277"/>
    <x v="0"/>
    <x v="0"/>
  </r>
  <r>
    <x v="0"/>
    <x v="2"/>
    <x v="14"/>
    <n v="2366"/>
    <x v="0"/>
    <x v="0"/>
  </r>
  <r>
    <x v="0"/>
    <x v="2"/>
    <x v="3"/>
    <n v="1629"/>
    <x v="0"/>
    <x v="0"/>
  </r>
  <r>
    <x v="0"/>
    <x v="2"/>
    <x v="16"/>
    <n v="1337"/>
    <x v="0"/>
    <x v="0"/>
  </r>
  <r>
    <x v="0"/>
    <x v="2"/>
    <x v="8"/>
    <n v="1512"/>
    <x v="0"/>
    <x v="0"/>
  </r>
  <r>
    <x v="0"/>
    <x v="2"/>
    <x v="11"/>
    <n v="2235"/>
    <x v="0"/>
    <x v="0"/>
  </r>
  <r>
    <x v="0"/>
    <x v="2"/>
    <x v="10"/>
    <n v="0"/>
    <x v="0"/>
    <x v="0"/>
  </r>
  <r>
    <x v="0"/>
    <x v="4"/>
    <x v="4"/>
    <n v="327"/>
    <x v="0"/>
    <x v="0"/>
  </r>
  <r>
    <x v="0"/>
    <x v="4"/>
    <x v="5"/>
    <n v="129"/>
    <x v="0"/>
    <x v="0"/>
  </r>
  <r>
    <x v="0"/>
    <x v="4"/>
    <x v="1"/>
    <n v="379"/>
    <x v="0"/>
    <x v="0"/>
  </r>
  <r>
    <x v="0"/>
    <x v="4"/>
    <x v="11"/>
    <n v="219"/>
    <x v="0"/>
    <x v="0"/>
  </r>
  <r>
    <x v="0"/>
    <x v="4"/>
    <x v="16"/>
    <n v="433"/>
    <x v="0"/>
    <x v="0"/>
  </r>
  <r>
    <x v="0"/>
    <x v="4"/>
    <x v="15"/>
    <n v="442"/>
    <x v="0"/>
    <x v="0"/>
  </r>
  <r>
    <x v="0"/>
    <x v="4"/>
    <x v="12"/>
    <n v="311"/>
    <x v="0"/>
    <x v="0"/>
  </r>
  <r>
    <x v="0"/>
    <x v="4"/>
    <x v="7"/>
    <n v="226"/>
    <x v="0"/>
    <x v="0"/>
  </r>
  <r>
    <x v="0"/>
    <x v="4"/>
    <x v="2"/>
    <n v="397"/>
    <x v="0"/>
    <x v="0"/>
  </r>
  <r>
    <x v="0"/>
    <x v="4"/>
    <x v="13"/>
    <n v="314"/>
    <x v="0"/>
    <x v="0"/>
  </r>
  <r>
    <x v="0"/>
    <x v="4"/>
    <x v="14"/>
    <n v="280"/>
    <x v="0"/>
    <x v="0"/>
  </r>
  <r>
    <x v="0"/>
    <x v="4"/>
    <x v="10"/>
    <n v="315"/>
    <x v="0"/>
    <x v="0"/>
  </r>
  <r>
    <x v="0"/>
    <x v="4"/>
    <x v="3"/>
    <n v="276"/>
    <x v="0"/>
    <x v="0"/>
  </r>
  <r>
    <x v="0"/>
    <x v="4"/>
    <x v="0"/>
    <n v="383"/>
    <x v="0"/>
    <x v="0"/>
  </r>
  <r>
    <x v="0"/>
    <x v="4"/>
    <x v="8"/>
    <n v="409"/>
    <x v="0"/>
    <x v="0"/>
  </r>
  <r>
    <x v="0"/>
    <x v="4"/>
    <x v="9"/>
    <n v="357"/>
    <x v="0"/>
    <x v="0"/>
  </r>
  <r>
    <x v="0"/>
    <x v="4"/>
    <x v="6"/>
    <n v="474"/>
    <x v="0"/>
    <x v="0"/>
  </r>
  <r>
    <x v="0"/>
    <x v="3"/>
    <x v="13"/>
    <n v="91164"/>
    <x v="2"/>
    <x v="0"/>
  </r>
  <r>
    <x v="0"/>
    <x v="3"/>
    <x v="9"/>
    <n v="69408"/>
    <x v="2"/>
    <x v="0"/>
  </r>
  <r>
    <x v="0"/>
    <x v="3"/>
    <x v="8"/>
    <n v="101470"/>
    <x v="2"/>
    <x v="0"/>
  </r>
  <r>
    <x v="0"/>
    <x v="3"/>
    <x v="2"/>
    <n v="92206"/>
    <x v="2"/>
    <x v="0"/>
  </r>
  <r>
    <x v="0"/>
    <x v="3"/>
    <x v="16"/>
    <n v="88796"/>
    <x v="2"/>
    <x v="0"/>
  </r>
  <r>
    <x v="0"/>
    <x v="3"/>
    <x v="3"/>
    <n v="83632"/>
    <x v="2"/>
    <x v="0"/>
  </r>
  <r>
    <x v="0"/>
    <x v="3"/>
    <x v="15"/>
    <n v="83371"/>
    <x v="2"/>
    <x v="0"/>
  </r>
  <r>
    <x v="0"/>
    <x v="3"/>
    <x v="5"/>
    <n v="88382"/>
    <x v="2"/>
    <x v="0"/>
  </r>
  <r>
    <x v="0"/>
    <x v="3"/>
    <x v="14"/>
    <n v="113151"/>
    <x v="2"/>
    <x v="0"/>
  </r>
  <r>
    <x v="0"/>
    <x v="3"/>
    <x v="12"/>
    <n v="121910"/>
    <x v="2"/>
    <x v="0"/>
  </r>
  <r>
    <x v="0"/>
    <x v="3"/>
    <x v="1"/>
    <n v="76518"/>
    <x v="2"/>
    <x v="0"/>
  </r>
  <r>
    <x v="0"/>
    <x v="3"/>
    <x v="10"/>
    <n v="65163"/>
    <x v="2"/>
    <x v="0"/>
  </r>
  <r>
    <x v="0"/>
    <x v="3"/>
    <x v="6"/>
    <n v="58522"/>
    <x v="2"/>
    <x v="0"/>
  </r>
  <r>
    <x v="0"/>
    <x v="3"/>
    <x v="7"/>
    <n v="125294"/>
    <x v="2"/>
    <x v="0"/>
  </r>
  <r>
    <x v="0"/>
    <x v="3"/>
    <x v="11"/>
    <n v="117045"/>
    <x v="2"/>
    <x v="0"/>
  </r>
  <r>
    <x v="0"/>
    <x v="3"/>
    <x v="4"/>
    <n v="73371"/>
    <x v="2"/>
    <x v="0"/>
  </r>
  <r>
    <x v="0"/>
    <x v="3"/>
    <x v="0"/>
    <n v="57451"/>
    <x v="2"/>
    <x v="0"/>
  </r>
  <r>
    <x v="0"/>
    <x v="5"/>
    <x v="14"/>
    <n v="201"/>
    <x v="2"/>
    <x v="1"/>
  </r>
  <r>
    <x v="0"/>
    <x v="5"/>
    <x v="3"/>
    <n v="2324"/>
    <x v="2"/>
    <x v="1"/>
  </r>
  <r>
    <x v="0"/>
    <x v="5"/>
    <x v="8"/>
    <n v="626"/>
    <x v="2"/>
    <x v="1"/>
  </r>
  <r>
    <x v="0"/>
    <x v="5"/>
    <x v="6"/>
    <n v="230"/>
    <x v="2"/>
    <x v="1"/>
  </r>
  <r>
    <x v="0"/>
    <x v="5"/>
    <x v="13"/>
    <n v="1089"/>
    <x v="2"/>
    <x v="1"/>
  </r>
  <r>
    <x v="0"/>
    <x v="5"/>
    <x v="0"/>
    <n v="322"/>
    <x v="2"/>
    <x v="1"/>
  </r>
  <r>
    <x v="0"/>
    <x v="5"/>
    <x v="4"/>
    <n v="625"/>
    <x v="2"/>
    <x v="1"/>
  </r>
  <r>
    <x v="0"/>
    <x v="5"/>
    <x v="7"/>
    <n v="1316"/>
    <x v="2"/>
    <x v="1"/>
  </r>
  <r>
    <x v="0"/>
    <x v="5"/>
    <x v="12"/>
    <n v="1374"/>
    <x v="2"/>
    <x v="1"/>
  </r>
  <r>
    <x v="0"/>
    <x v="5"/>
    <x v="9"/>
    <n v="495"/>
    <x v="2"/>
    <x v="1"/>
  </r>
  <r>
    <x v="0"/>
    <x v="5"/>
    <x v="16"/>
    <n v="1068"/>
    <x v="2"/>
    <x v="1"/>
  </r>
  <r>
    <x v="0"/>
    <x v="5"/>
    <x v="15"/>
    <n v="690"/>
    <x v="2"/>
    <x v="1"/>
  </r>
  <r>
    <x v="0"/>
    <x v="5"/>
    <x v="1"/>
    <n v="102"/>
    <x v="2"/>
    <x v="1"/>
  </r>
  <r>
    <x v="0"/>
    <x v="5"/>
    <x v="5"/>
    <n v="418"/>
    <x v="2"/>
    <x v="1"/>
  </r>
  <r>
    <x v="0"/>
    <x v="5"/>
    <x v="10"/>
    <n v="998"/>
    <x v="2"/>
    <x v="1"/>
  </r>
  <r>
    <x v="0"/>
    <x v="5"/>
    <x v="11"/>
    <n v="412"/>
    <x v="2"/>
    <x v="1"/>
  </r>
  <r>
    <x v="0"/>
    <x v="5"/>
    <x v="2"/>
    <n v="489"/>
    <x v="2"/>
    <x v="1"/>
  </r>
  <r>
    <x v="0"/>
    <x v="6"/>
    <x v="10"/>
    <n v="0"/>
    <x v="2"/>
    <x v="1"/>
  </r>
  <r>
    <x v="0"/>
    <x v="6"/>
    <x v="8"/>
    <n v="0"/>
    <x v="2"/>
    <x v="1"/>
  </r>
  <r>
    <x v="0"/>
    <x v="6"/>
    <x v="2"/>
    <n v="0"/>
    <x v="2"/>
    <x v="1"/>
  </r>
  <r>
    <x v="0"/>
    <x v="6"/>
    <x v="7"/>
    <n v="0"/>
    <x v="2"/>
    <x v="1"/>
  </r>
  <r>
    <x v="0"/>
    <x v="6"/>
    <x v="3"/>
    <n v="0"/>
    <x v="2"/>
    <x v="1"/>
  </r>
  <r>
    <x v="0"/>
    <x v="6"/>
    <x v="1"/>
    <n v="0"/>
    <x v="2"/>
    <x v="1"/>
  </r>
  <r>
    <x v="0"/>
    <x v="6"/>
    <x v="15"/>
    <n v="0"/>
    <x v="2"/>
    <x v="1"/>
  </r>
  <r>
    <x v="0"/>
    <x v="6"/>
    <x v="5"/>
    <n v="0"/>
    <x v="2"/>
    <x v="1"/>
  </r>
  <r>
    <x v="0"/>
    <x v="6"/>
    <x v="13"/>
    <n v="0"/>
    <x v="2"/>
    <x v="1"/>
  </r>
  <r>
    <x v="0"/>
    <x v="6"/>
    <x v="6"/>
    <n v="0"/>
    <x v="2"/>
    <x v="1"/>
  </r>
  <r>
    <x v="0"/>
    <x v="6"/>
    <x v="9"/>
    <n v="0"/>
    <x v="2"/>
    <x v="1"/>
  </r>
  <r>
    <x v="0"/>
    <x v="6"/>
    <x v="16"/>
    <n v="12"/>
    <x v="2"/>
    <x v="1"/>
  </r>
  <r>
    <x v="0"/>
    <x v="6"/>
    <x v="4"/>
    <n v="0"/>
    <x v="2"/>
    <x v="1"/>
  </r>
  <r>
    <x v="0"/>
    <x v="6"/>
    <x v="12"/>
    <n v="0"/>
    <x v="2"/>
    <x v="1"/>
  </r>
  <r>
    <x v="0"/>
    <x v="6"/>
    <x v="11"/>
    <n v="21"/>
    <x v="2"/>
    <x v="1"/>
  </r>
  <r>
    <x v="0"/>
    <x v="6"/>
    <x v="0"/>
    <n v="0"/>
    <x v="2"/>
    <x v="1"/>
  </r>
  <r>
    <x v="0"/>
    <x v="6"/>
    <x v="14"/>
    <n v="0"/>
    <x v="2"/>
    <x v="1"/>
  </r>
  <r>
    <x v="0"/>
    <x v="7"/>
    <x v="11"/>
    <n v="531"/>
    <x v="2"/>
    <x v="1"/>
  </r>
  <r>
    <x v="0"/>
    <x v="7"/>
    <x v="0"/>
    <n v="158"/>
    <x v="2"/>
    <x v="1"/>
  </r>
  <r>
    <x v="0"/>
    <x v="7"/>
    <x v="1"/>
    <n v="213"/>
    <x v="2"/>
    <x v="1"/>
  </r>
  <r>
    <x v="0"/>
    <x v="7"/>
    <x v="8"/>
    <n v="1053"/>
    <x v="2"/>
    <x v="1"/>
  </r>
  <r>
    <x v="0"/>
    <x v="7"/>
    <x v="4"/>
    <n v="562"/>
    <x v="2"/>
    <x v="1"/>
  </r>
  <r>
    <x v="0"/>
    <x v="7"/>
    <x v="15"/>
    <n v="311"/>
    <x v="2"/>
    <x v="1"/>
  </r>
  <r>
    <x v="0"/>
    <x v="7"/>
    <x v="5"/>
    <n v="214"/>
    <x v="2"/>
    <x v="1"/>
  </r>
  <r>
    <x v="0"/>
    <x v="7"/>
    <x v="6"/>
    <n v="129"/>
    <x v="2"/>
    <x v="1"/>
  </r>
  <r>
    <x v="0"/>
    <x v="7"/>
    <x v="9"/>
    <n v="100"/>
    <x v="2"/>
    <x v="1"/>
  </r>
  <r>
    <x v="0"/>
    <x v="7"/>
    <x v="16"/>
    <n v="870"/>
    <x v="2"/>
    <x v="1"/>
  </r>
  <r>
    <x v="0"/>
    <x v="7"/>
    <x v="7"/>
    <n v="132"/>
    <x v="2"/>
    <x v="1"/>
  </r>
  <r>
    <x v="0"/>
    <x v="7"/>
    <x v="14"/>
    <n v="106"/>
    <x v="2"/>
    <x v="1"/>
  </r>
  <r>
    <x v="0"/>
    <x v="7"/>
    <x v="13"/>
    <n v="1046"/>
    <x v="2"/>
    <x v="1"/>
  </r>
  <r>
    <x v="0"/>
    <x v="7"/>
    <x v="3"/>
    <n v="18"/>
    <x v="2"/>
    <x v="1"/>
  </r>
  <r>
    <x v="0"/>
    <x v="7"/>
    <x v="10"/>
    <n v="185"/>
    <x v="2"/>
    <x v="1"/>
  </r>
  <r>
    <x v="0"/>
    <x v="7"/>
    <x v="2"/>
    <n v="306"/>
    <x v="2"/>
    <x v="1"/>
  </r>
  <r>
    <x v="0"/>
    <x v="7"/>
    <x v="12"/>
    <n v="219"/>
    <x v="2"/>
    <x v="1"/>
  </r>
  <r>
    <x v="0"/>
    <x v="18"/>
    <x v="5"/>
    <n v="2863"/>
    <x v="2"/>
    <x v="0"/>
  </r>
  <r>
    <x v="0"/>
    <x v="18"/>
    <x v="16"/>
    <n v="1637"/>
    <x v="2"/>
    <x v="0"/>
  </r>
  <r>
    <x v="0"/>
    <x v="18"/>
    <x v="7"/>
    <n v="98814"/>
    <x v="2"/>
    <x v="0"/>
  </r>
  <r>
    <x v="0"/>
    <x v="18"/>
    <x v="10"/>
    <n v="0"/>
    <x v="2"/>
    <x v="0"/>
  </r>
  <r>
    <x v="0"/>
    <x v="18"/>
    <x v="0"/>
    <n v="0"/>
    <x v="2"/>
    <x v="0"/>
  </r>
  <r>
    <x v="0"/>
    <x v="18"/>
    <x v="9"/>
    <n v="0"/>
    <x v="2"/>
    <x v="0"/>
  </r>
  <r>
    <x v="0"/>
    <x v="18"/>
    <x v="11"/>
    <n v="70541"/>
    <x v="2"/>
    <x v="0"/>
  </r>
  <r>
    <x v="0"/>
    <x v="18"/>
    <x v="2"/>
    <n v="0"/>
    <x v="2"/>
    <x v="0"/>
  </r>
  <r>
    <x v="0"/>
    <x v="18"/>
    <x v="15"/>
    <n v="0"/>
    <x v="2"/>
    <x v="0"/>
  </r>
  <r>
    <x v="0"/>
    <x v="18"/>
    <x v="8"/>
    <n v="1800"/>
    <x v="2"/>
    <x v="0"/>
  </r>
  <r>
    <x v="0"/>
    <x v="18"/>
    <x v="14"/>
    <n v="42517"/>
    <x v="2"/>
    <x v="0"/>
  </r>
  <r>
    <x v="0"/>
    <x v="18"/>
    <x v="4"/>
    <n v="1967"/>
    <x v="2"/>
    <x v="0"/>
  </r>
  <r>
    <x v="0"/>
    <x v="18"/>
    <x v="1"/>
    <n v="0"/>
    <x v="2"/>
    <x v="0"/>
  </r>
  <r>
    <x v="0"/>
    <x v="18"/>
    <x v="12"/>
    <n v="3104"/>
    <x v="2"/>
    <x v="0"/>
  </r>
  <r>
    <x v="0"/>
    <x v="18"/>
    <x v="6"/>
    <n v="0"/>
    <x v="2"/>
    <x v="0"/>
  </r>
  <r>
    <x v="0"/>
    <x v="18"/>
    <x v="3"/>
    <n v="907"/>
    <x v="2"/>
    <x v="0"/>
  </r>
  <r>
    <x v="0"/>
    <x v="18"/>
    <x v="13"/>
    <n v="4035"/>
    <x v="2"/>
    <x v="0"/>
  </r>
  <r>
    <x v="0"/>
    <x v="8"/>
    <x v="15"/>
    <n v="0"/>
    <x v="3"/>
    <x v="0"/>
  </r>
  <r>
    <x v="0"/>
    <x v="8"/>
    <x v="12"/>
    <n v="4756"/>
    <x v="3"/>
    <x v="0"/>
  </r>
  <r>
    <x v="0"/>
    <x v="8"/>
    <x v="9"/>
    <n v="0"/>
    <x v="3"/>
    <x v="0"/>
  </r>
  <r>
    <x v="0"/>
    <x v="8"/>
    <x v="0"/>
    <n v="0"/>
    <x v="3"/>
    <x v="0"/>
  </r>
  <r>
    <x v="0"/>
    <x v="8"/>
    <x v="3"/>
    <n v="4662"/>
    <x v="3"/>
    <x v="0"/>
  </r>
  <r>
    <x v="0"/>
    <x v="8"/>
    <x v="13"/>
    <n v="4313"/>
    <x v="3"/>
    <x v="0"/>
  </r>
  <r>
    <x v="0"/>
    <x v="8"/>
    <x v="11"/>
    <n v="6390"/>
    <x v="3"/>
    <x v="0"/>
  </r>
  <r>
    <x v="0"/>
    <x v="8"/>
    <x v="7"/>
    <n v="5787"/>
    <x v="3"/>
    <x v="0"/>
  </r>
  <r>
    <x v="0"/>
    <x v="8"/>
    <x v="2"/>
    <n v="0"/>
    <x v="3"/>
    <x v="0"/>
  </r>
  <r>
    <x v="0"/>
    <x v="8"/>
    <x v="16"/>
    <n v="4206"/>
    <x v="3"/>
    <x v="0"/>
  </r>
  <r>
    <x v="0"/>
    <x v="8"/>
    <x v="6"/>
    <n v="0"/>
    <x v="3"/>
    <x v="0"/>
  </r>
  <r>
    <x v="0"/>
    <x v="8"/>
    <x v="14"/>
    <n v="6098"/>
    <x v="3"/>
    <x v="0"/>
  </r>
  <r>
    <x v="0"/>
    <x v="8"/>
    <x v="1"/>
    <n v="0"/>
    <x v="3"/>
    <x v="0"/>
  </r>
  <r>
    <x v="0"/>
    <x v="8"/>
    <x v="4"/>
    <n v="4288"/>
    <x v="3"/>
    <x v="0"/>
  </r>
  <r>
    <x v="0"/>
    <x v="8"/>
    <x v="5"/>
    <n v="0"/>
    <x v="3"/>
    <x v="0"/>
  </r>
  <r>
    <x v="0"/>
    <x v="8"/>
    <x v="8"/>
    <n v="4382"/>
    <x v="3"/>
    <x v="0"/>
  </r>
  <r>
    <x v="0"/>
    <x v="8"/>
    <x v="10"/>
    <n v="0"/>
    <x v="3"/>
    <x v="0"/>
  </r>
  <r>
    <x v="0"/>
    <x v="9"/>
    <x v="16"/>
    <n v="761"/>
    <x v="3"/>
    <x v="0"/>
  </r>
  <r>
    <x v="0"/>
    <x v="9"/>
    <x v="14"/>
    <n v="1940"/>
    <x v="3"/>
    <x v="0"/>
  </r>
  <r>
    <x v="0"/>
    <x v="9"/>
    <x v="13"/>
    <n v="1214"/>
    <x v="3"/>
    <x v="0"/>
  </r>
  <r>
    <x v="0"/>
    <x v="9"/>
    <x v="10"/>
    <n v="500"/>
    <x v="3"/>
    <x v="0"/>
  </r>
  <r>
    <x v="0"/>
    <x v="9"/>
    <x v="12"/>
    <n v="1500"/>
    <x v="3"/>
    <x v="0"/>
  </r>
  <r>
    <x v="0"/>
    <x v="9"/>
    <x v="6"/>
    <n v="321"/>
    <x v="3"/>
    <x v="0"/>
  </r>
  <r>
    <x v="0"/>
    <x v="9"/>
    <x v="15"/>
    <n v="822"/>
    <x v="3"/>
    <x v="0"/>
  </r>
  <r>
    <x v="0"/>
    <x v="9"/>
    <x v="11"/>
    <n v="1531"/>
    <x v="3"/>
    <x v="0"/>
  </r>
  <r>
    <x v="0"/>
    <x v="9"/>
    <x v="9"/>
    <n v="640"/>
    <x v="3"/>
    <x v="0"/>
  </r>
  <r>
    <x v="0"/>
    <x v="9"/>
    <x v="0"/>
    <n v="649"/>
    <x v="3"/>
    <x v="0"/>
  </r>
  <r>
    <x v="0"/>
    <x v="9"/>
    <x v="4"/>
    <n v="539"/>
    <x v="3"/>
    <x v="0"/>
  </r>
  <r>
    <x v="0"/>
    <x v="9"/>
    <x v="8"/>
    <n v="968"/>
    <x v="3"/>
    <x v="0"/>
  </r>
  <r>
    <x v="0"/>
    <x v="9"/>
    <x v="3"/>
    <n v="1187"/>
    <x v="3"/>
    <x v="0"/>
  </r>
  <r>
    <x v="0"/>
    <x v="9"/>
    <x v="2"/>
    <n v="1095"/>
    <x v="3"/>
    <x v="0"/>
  </r>
  <r>
    <x v="0"/>
    <x v="9"/>
    <x v="5"/>
    <n v="946"/>
    <x v="3"/>
    <x v="0"/>
  </r>
  <r>
    <x v="0"/>
    <x v="9"/>
    <x v="1"/>
    <n v="684"/>
    <x v="3"/>
    <x v="0"/>
  </r>
  <r>
    <x v="0"/>
    <x v="9"/>
    <x v="7"/>
    <n v="1965"/>
    <x v="3"/>
    <x v="0"/>
  </r>
  <r>
    <x v="0"/>
    <x v="10"/>
    <x v="13"/>
    <n v="35201"/>
    <x v="4"/>
    <x v="0"/>
  </r>
  <r>
    <x v="0"/>
    <x v="10"/>
    <x v="12"/>
    <n v="34844"/>
    <x v="4"/>
    <x v="0"/>
  </r>
  <r>
    <x v="0"/>
    <x v="10"/>
    <x v="5"/>
    <n v="32285"/>
    <x v="4"/>
    <x v="0"/>
  </r>
  <r>
    <x v="0"/>
    <x v="10"/>
    <x v="9"/>
    <n v="37148"/>
    <x v="4"/>
    <x v="0"/>
  </r>
  <r>
    <x v="0"/>
    <x v="10"/>
    <x v="0"/>
    <n v="35320"/>
    <x v="4"/>
    <x v="0"/>
  </r>
  <r>
    <x v="0"/>
    <x v="10"/>
    <x v="6"/>
    <n v="35773"/>
    <x v="4"/>
    <x v="0"/>
  </r>
  <r>
    <x v="0"/>
    <x v="10"/>
    <x v="10"/>
    <n v="40149"/>
    <x v="4"/>
    <x v="0"/>
  </r>
  <r>
    <x v="0"/>
    <x v="10"/>
    <x v="4"/>
    <n v="30356"/>
    <x v="4"/>
    <x v="0"/>
  </r>
  <r>
    <x v="0"/>
    <x v="10"/>
    <x v="11"/>
    <n v="45243"/>
    <x v="4"/>
    <x v="0"/>
  </r>
  <r>
    <x v="0"/>
    <x v="10"/>
    <x v="1"/>
    <n v="37633"/>
    <x v="4"/>
    <x v="0"/>
  </r>
  <r>
    <x v="0"/>
    <x v="10"/>
    <x v="7"/>
    <n v="51580"/>
    <x v="4"/>
    <x v="0"/>
  </r>
  <r>
    <x v="0"/>
    <x v="10"/>
    <x v="8"/>
    <n v="33147"/>
    <x v="4"/>
    <x v="0"/>
  </r>
  <r>
    <x v="0"/>
    <x v="10"/>
    <x v="15"/>
    <n v="41860"/>
    <x v="4"/>
    <x v="0"/>
  </r>
  <r>
    <x v="0"/>
    <x v="10"/>
    <x v="3"/>
    <n v="27189"/>
    <x v="4"/>
    <x v="0"/>
  </r>
  <r>
    <x v="0"/>
    <x v="10"/>
    <x v="14"/>
    <n v="55045"/>
    <x v="4"/>
    <x v="0"/>
  </r>
  <r>
    <x v="0"/>
    <x v="10"/>
    <x v="16"/>
    <n v="31671"/>
    <x v="4"/>
    <x v="0"/>
  </r>
  <r>
    <x v="0"/>
    <x v="10"/>
    <x v="2"/>
    <n v="33280"/>
    <x v="4"/>
    <x v="0"/>
  </r>
  <r>
    <x v="0"/>
    <x v="13"/>
    <x v="4"/>
    <n v="0"/>
    <x v="4"/>
    <x v="0"/>
  </r>
  <r>
    <x v="0"/>
    <x v="13"/>
    <x v="12"/>
    <n v="469"/>
    <x v="4"/>
    <x v="0"/>
  </r>
  <r>
    <x v="0"/>
    <x v="13"/>
    <x v="1"/>
    <n v="622"/>
    <x v="4"/>
    <x v="0"/>
  </r>
  <r>
    <x v="0"/>
    <x v="13"/>
    <x v="15"/>
    <n v="0"/>
    <x v="4"/>
    <x v="0"/>
  </r>
  <r>
    <x v="0"/>
    <x v="13"/>
    <x v="11"/>
    <n v="0"/>
    <x v="4"/>
    <x v="0"/>
  </r>
  <r>
    <x v="0"/>
    <x v="13"/>
    <x v="9"/>
    <n v="0"/>
    <x v="4"/>
    <x v="0"/>
  </r>
  <r>
    <x v="0"/>
    <x v="13"/>
    <x v="8"/>
    <n v="0"/>
    <x v="4"/>
    <x v="0"/>
  </r>
  <r>
    <x v="0"/>
    <x v="13"/>
    <x v="16"/>
    <n v="0"/>
    <x v="4"/>
    <x v="0"/>
  </r>
  <r>
    <x v="0"/>
    <x v="13"/>
    <x v="0"/>
    <n v="0"/>
    <x v="4"/>
    <x v="0"/>
  </r>
  <r>
    <x v="0"/>
    <x v="13"/>
    <x v="10"/>
    <n v="0"/>
    <x v="4"/>
    <x v="0"/>
  </r>
  <r>
    <x v="0"/>
    <x v="13"/>
    <x v="2"/>
    <n v="0"/>
    <x v="4"/>
    <x v="0"/>
  </r>
  <r>
    <x v="0"/>
    <x v="13"/>
    <x v="14"/>
    <n v="271"/>
    <x v="4"/>
    <x v="0"/>
  </r>
  <r>
    <x v="0"/>
    <x v="13"/>
    <x v="7"/>
    <n v="0"/>
    <x v="4"/>
    <x v="0"/>
  </r>
  <r>
    <x v="0"/>
    <x v="13"/>
    <x v="13"/>
    <n v="0"/>
    <x v="4"/>
    <x v="0"/>
  </r>
  <r>
    <x v="0"/>
    <x v="13"/>
    <x v="3"/>
    <n v="0"/>
    <x v="4"/>
    <x v="0"/>
  </r>
  <r>
    <x v="0"/>
    <x v="13"/>
    <x v="5"/>
    <n v="0"/>
    <x v="4"/>
    <x v="0"/>
  </r>
  <r>
    <x v="0"/>
    <x v="13"/>
    <x v="6"/>
    <n v="2223"/>
    <x v="4"/>
    <x v="0"/>
  </r>
  <r>
    <x v="0"/>
    <x v="11"/>
    <x v="8"/>
    <n v="92640"/>
    <x v="4"/>
    <x v="0"/>
  </r>
  <r>
    <x v="0"/>
    <x v="11"/>
    <x v="0"/>
    <n v="44266"/>
    <x v="4"/>
    <x v="0"/>
  </r>
  <r>
    <x v="0"/>
    <x v="11"/>
    <x v="3"/>
    <n v="79909"/>
    <x v="4"/>
    <x v="0"/>
  </r>
  <r>
    <x v="0"/>
    <x v="11"/>
    <x v="15"/>
    <n v="52398"/>
    <x v="4"/>
    <x v="0"/>
  </r>
  <r>
    <x v="0"/>
    <x v="11"/>
    <x v="1"/>
    <n v="51501"/>
    <x v="4"/>
    <x v="0"/>
  </r>
  <r>
    <x v="0"/>
    <x v="11"/>
    <x v="10"/>
    <n v="40120"/>
    <x v="4"/>
    <x v="0"/>
  </r>
  <r>
    <x v="0"/>
    <x v="11"/>
    <x v="7"/>
    <n v="104296"/>
    <x v="4"/>
    <x v="0"/>
  </r>
  <r>
    <x v="0"/>
    <x v="11"/>
    <x v="5"/>
    <n v="70276"/>
    <x v="4"/>
    <x v="0"/>
  </r>
  <r>
    <x v="0"/>
    <x v="11"/>
    <x v="11"/>
    <n v="78331"/>
    <x v="4"/>
    <x v="0"/>
  </r>
  <r>
    <x v="0"/>
    <x v="11"/>
    <x v="9"/>
    <n v="36170"/>
    <x v="4"/>
    <x v="0"/>
  </r>
  <r>
    <x v="0"/>
    <x v="11"/>
    <x v="6"/>
    <n v="40263"/>
    <x v="4"/>
    <x v="0"/>
  </r>
  <r>
    <x v="0"/>
    <x v="11"/>
    <x v="14"/>
    <n v="89853"/>
    <x v="4"/>
    <x v="0"/>
  </r>
  <r>
    <x v="0"/>
    <x v="11"/>
    <x v="2"/>
    <n v="47958"/>
    <x v="4"/>
    <x v="0"/>
  </r>
  <r>
    <x v="0"/>
    <x v="11"/>
    <x v="4"/>
    <n v="68913"/>
    <x v="4"/>
    <x v="0"/>
  </r>
  <r>
    <x v="0"/>
    <x v="11"/>
    <x v="16"/>
    <n v="73362"/>
    <x v="4"/>
    <x v="0"/>
  </r>
  <r>
    <x v="0"/>
    <x v="11"/>
    <x v="13"/>
    <n v="95805"/>
    <x v="4"/>
    <x v="0"/>
  </r>
  <r>
    <x v="0"/>
    <x v="11"/>
    <x v="12"/>
    <n v="88120"/>
    <x v="4"/>
    <x v="0"/>
  </r>
  <r>
    <x v="0"/>
    <x v="12"/>
    <x v="5"/>
    <n v="39825"/>
    <x v="4"/>
    <x v="0"/>
  </r>
  <r>
    <x v="0"/>
    <x v="12"/>
    <x v="6"/>
    <n v="60400"/>
    <x v="4"/>
    <x v="0"/>
  </r>
  <r>
    <x v="0"/>
    <x v="12"/>
    <x v="14"/>
    <n v="760"/>
    <x v="4"/>
    <x v="0"/>
  </r>
  <r>
    <x v="0"/>
    <x v="12"/>
    <x v="2"/>
    <n v="65353"/>
    <x v="4"/>
    <x v="0"/>
  </r>
  <r>
    <x v="0"/>
    <x v="12"/>
    <x v="7"/>
    <n v="2282"/>
    <x v="4"/>
    <x v="0"/>
  </r>
  <r>
    <x v="0"/>
    <x v="12"/>
    <x v="4"/>
    <n v="21805"/>
    <x v="4"/>
    <x v="0"/>
  </r>
  <r>
    <x v="0"/>
    <x v="12"/>
    <x v="10"/>
    <n v="42330"/>
    <x v="4"/>
    <x v="0"/>
  </r>
  <r>
    <x v="0"/>
    <x v="12"/>
    <x v="12"/>
    <n v="13083"/>
    <x v="4"/>
    <x v="0"/>
  </r>
  <r>
    <x v="0"/>
    <x v="12"/>
    <x v="16"/>
    <n v="11729"/>
    <x v="4"/>
    <x v="0"/>
  </r>
  <r>
    <x v="0"/>
    <x v="12"/>
    <x v="1"/>
    <n v="51234"/>
    <x v="4"/>
    <x v="0"/>
  </r>
  <r>
    <x v="0"/>
    <x v="12"/>
    <x v="15"/>
    <n v="36241"/>
    <x v="4"/>
    <x v="0"/>
  </r>
  <r>
    <x v="0"/>
    <x v="12"/>
    <x v="3"/>
    <n v="6067"/>
    <x v="4"/>
    <x v="0"/>
  </r>
  <r>
    <x v="0"/>
    <x v="12"/>
    <x v="0"/>
    <n v="41545"/>
    <x v="4"/>
    <x v="0"/>
  </r>
  <r>
    <x v="0"/>
    <x v="12"/>
    <x v="8"/>
    <n v="14563"/>
    <x v="4"/>
    <x v="0"/>
  </r>
  <r>
    <x v="0"/>
    <x v="12"/>
    <x v="9"/>
    <n v="38364"/>
    <x v="4"/>
    <x v="0"/>
  </r>
  <r>
    <x v="0"/>
    <x v="12"/>
    <x v="11"/>
    <n v="19"/>
    <x v="4"/>
    <x v="0"/>
  </r>
  <r>
    <x v="0"/>
    <x v="12"/>
    <x v="13"/>
    <n v="6624"/>
    <x v="4"/>
    <x v="0"/>
  </r>
  <r>
    <x v="0"/>
    <x v="14"/>
    <x v="16"/>
    <n v="514"/>
    <x v="0"/>
    <x v="0"/>
  </r>
  <r>
    <x v="0"/>
    <x v="14"/>
    <x v="2"/>
    <n v="327"/>
    <x v="0"/>
    <x v="0"/>
  </r>
  <r>
    <x v="0"/>
    <x v="14"/>
    <x v="8"/>
    <n v="582"/>
    <x v="0"/>
    <x v="0"/>
  </r>
  <r>
    <x v="0"/>
    <x v="14"/>
    <x v="4"/>
    <n v="472"/>
    <x v="0"/>
    <x v="0"/>
  </r>
  <r>
    <x v="0"/>
    <x v="14"/>
    <x v="15"/>
    <n v="297"/>
    <x v="0"/>
    <x v="0"/>
  </r>
  <r>
    <x v="0"/>
    <x v="14"/>
    <x v="13"/>
    <n v="444"/>
    <x v="0"/>
    <x v="0"/>
  </r>
  <r>
    <x v="0"/>
    <x v="14"/>
    <x v="0"/>
    <n v="308"/>
    <x v="0"/>
    <x v="0"/>
  </r>
  <r>
    <x v="0"/>
    <x v="14"/>
    <x v="5"/>
    <n v="272"/>
    <x v="0"/>
    <x v="0"/>
  </r>
  <r>
    <x v="0"/>
    <x v="14"/>
    <x v="11"/>
    <n v="445"/>
    <x v="0"/>
    <x v="0"/>
  </r>
  <r>
    <x v="0"/>
    <x v="14"/>
    <x v="6"/>
    <n v="61"/>
    <x v="0"/>
    <x v="0"/>
  </r>
  <r>
    <x v="0"/>
    <x v="14"/>
    <x v="7"/>
    <n v="501"/>
    <x v="0"/>
    <x v="0"/>
  </r>
  <r>
    <x v="0"/>
    <x v="14"/>
    <x v="1"/>
    <n v="346"/>
    <x v="0"/>
    <x v="0"/>
  </r>
  <r>
    <x v="0"/>
    <x v="14"/>
    <x v="10"/>
    <n v="112"/>
    <x v="0"/>
    <x v="0"/>
  </r>
  <r>
    <x v="0"/>
    <x v="14"/>
    <x v="9"/>
    <n v="292"/>
    <x v="0"/>
    <x v="0"/>
  </r>
  <r>
    <x v="0"/>
    <x v="14"/>
    <x v="12"/>
    <n v="472"/>
    <x v="0"/>
    <x v="0"/>
  </r>
  <r>
    <x v="0"/>
    <x v="14"/>
    <x v="14"/>
    <n v="529"/>
    <x v="0"/>
    <x v="0"/>
  </r>
  <r>
    <x v="0"/>
    <x v="14"/>
    <x v="3"/>
    <n v="442"/>
    <x v="0"/>
    <x v="0"/>
  </r>
  <r>
    <x v="0"/>
    <x v="15"/>
    <x v="12"/>
    <n v="2099"/>
    <x v="5"/>
    <x v="1"/>
  </r>
  <r>
    <x v="0"/>
    <x v="15"/>
    <x v="2"/>
    <n v="677"/>
    <x v="5"/>
    <x v="1"/>
  </r>
  <r>
    <x v="0"/>
    <x v="15"/>
    <x v="7"/>
    <n v="2409"/>
    <x v="5"/>
    <x v="1"/>
  </r>
  <r>
    <x v="0"/>
    <x v="15"/>
    <x v="9"/>
    <n v="122"/>
    <x v="5"/>
    <x v="1"/>
  </r>
  <r>
    <x v="0"/>
    <x v="15"/>
    <x v="1"/>
    <n v="123"/>
    <x v="5"/>
    <x v="1"/>
  </r>
  <r>
    <x v="0"/>
    <x v="15"/>
    <x v="13"/>
    <n v="1794"/>
    <x v="5"/>
    <x v="1"/>
  </r>
  <r>
    <x v="0"/>
    <x v="15"/>
    <x v="15"/>
    <n v="841"/>
    <x v="5"/>
    <x v="1"/>
  </r>
  <r>
    <x v="0"/>
    <x v="15"/>
    <x v="6"/>
    <n v="0"/>
    <x v="5"/>
    <x v="1"/>
  </r>
  <r>
    <x v="0"/>
    <x v="15"/>
    <x v="16"/>
    <n v="1205"/>
    <x v="5"/>
    <x v="1"/>
  </r>
  <r>
    <x v="0"/>
    <x v="15"/>
    <x v="8"/>
    <n v="401"/>
    <x v="5"/>
    <x v="1"/>
  </r>
  <r>
    <x v="0"/>
    <x v="15"/>
    <x v="3"/>
    <n v="1564"/>
    <x v="5"/>
    <x v="1"/>
  </r>
  <r>
    <x v="0"/>
    <x v="15"/>
    <x v="11"/>
    <n v="2173"/>
    <x v="5"/>
    <x v="1"/>
  </r>
  <r>
    <x v="0"/>
    <x v="15"/>
    <x v="4"/>
    <n v="128"/>
    <x v="5"/>
    <x v="1"/>
  </r>
  <r>
    <x v="0"/>
    <x v="15"/>
    <x v="0"/>
    <n v="194"/>
    <x v="5"/>
    <x v="1"/>
  </r>
  <r>
    <x v="0"/>
    <x v="15"/>
    <x v="14"/>
    <n v="2"/>
    <x v="5"/>
    <x v="1"/>
  </r>
  <r>
    <x v="0"/>
    <x v="15"/>
    <x v="5"/>
    <n v="331"/>
    <x v="5"/>
    <x v="1"/>
  </r>
  <r>
    <x v="0"/>
    <x v="15"/>
    <x v="10"/>
    <n v="703"/>
    <x v="5"/>
    <x v="1"/>
  </r>
  <r>
    <x v="0"/>
    <x v="16"/>
    <x v="13"/>
    <n v="201"/>
    <x v="5"/>
    <x v="1"/>
  </r>
  <r>
    <x v="0"/>
    <x v="16"/>
    <x v="14"/>
    <n v="0"/>
    <x v="5"/>
    <x v="1"/>
  </r>
  <r>
    <x v="0"/>
    <x v="16"/>
    <x v="16"/>
    <n v="84"/>
    <x v="5"/>
    <x v="1"/>
  </r>
  <r>
    <x v="0"/>
    <x v="16"/>
    <x v="4"/>
    <n v="133"/>
    <x v="5"/>
    <x v="1"/>
  </r>
  <r>
    <x v="0"/>
    <x v="16"/>
    <x v="3"/>
    <n v="0"/>
    <x v="5"/>
    <x v="1"/>
  </r>
  <r>
    <x v="0"/>
    <x v="16"/>
    <x v="12"/>
    <n v="0"/>
    <x v="5"/>
    <x v="1"/>
  </r>
  <r>
    <x v="0"/>
    <x v="16"/>
    <x v="15"/>
    <n v="113"/>
    <x v="5"/>
    <x v="1"/>
  </r>
  <r>
    <x v="0"/>
    <x v="16"/>
    <x v="8"/>
    <n v="87"/>
    <x v="5"/>
    <x v="1"/>
  </r>
  <r>
    <x v="0"/>
    <x v="16"/>
    <x v="0"/>
    <n v="92"/>
    <x v="5"/>
    <x v="1"/>
  </r>
  <r>
    <x v="0"/>
    <x v="16"/>
    <x v="7"/>
    <n v="0"/>
    <x v="5"/>
    <x v="1"/>
  </r>
  <r>
    <x v="0"/>
    <x v="16"/>
    <x v="11"/>
    <n v="1102"/>
    <x v="5"/>
    <x v="1"/>
  </r>
  <r>
    <x v="0"/>
    <x v="16"/>
    <x v="5"/>
    <n v="75"/>
    <x v="5"/>
    <x v="1"/>
  </r>
  <r>
    <x v="0"/>
    <x v="16"/>
    <x v="10"/>
    <n v="388"/>
    <x v="5"/>
    <x v="1"/>
  </r>
  <r>
    <x v="0"/>
    <x v="16"/>
    <x v="1"/>
    <n v="415"/>
    <x v="5"/>
    <x v="1"/>
  </r>
  <r>
    <x v="0"/>
    <x v="16"/>
    <x v="2"/>
    <n v="80"/>
    <x v="5"/>
    <x v="1"/>
  </r>
  <r>
    <x v="0"/>
    <x v="16"/>
    <x v="9"/>
    <n v="45"/>
    <x v="5"/>
    <x v="1"/>
  </r>
  <r>
    <x v="0"/>
    <x v="16"/>
    <x v="6"/>
    <n v="351"/>
    <x v="5"/>
    <x v="1"/>
  </r>
  <r>
    <x v="0"/>
    <x v="17"/>
    <x v="16"/>
    <n v="218"/>
    <x v="1"/>
    <x v="0"/>
  </r>
  <r>
    <x v="0"/>
    <x v="17"/>
    <x v="8"/>
    <n v="238"/>
    <x v="1"/>
    <x v="0"/>
  </r>
  <r>
    <x v="0"/>
    <x v="17"/>
    <x v="1"/>
    <n v="13"/>
    <x v="1"/>
    <x v="0"/>
  </r>
  <r>
    <x v="0"/>
    <x v="17"/>
    <x v="5"/>
    <n v="61"/>
    <x v="1"/>
    <x v="0"/>
  </r>
  <r>
    <x v="0"/>
    <x v="17"/>
    <x v="14"/>
    <n v="700"/>
    <x v="1"/>
    <x v="0"/>
  </r>
  <r>
    <x v="0"/>
    <x v="17"/>
    <x v="3"/>
    <n v="1219"/>
    <x v="1"/>
    <x v="0"/>
  </r>
  <r>
    <x v="0"/>
    <x v="17"/>
    <x v="4"/>
    <n v="199"/>
    <x v="1"/>
    <x v="0"/>
  </r>
  <r>
    <x v="0"/>
    <x v="17"/>
    <x v="7"/>
    <n v="375"/>
    <x v="1"/>
    <x v="0"/>
  </r>
  <r>
    <x v="0"/>
    <x v="17"/>
    <x v="15"/>
    <n v="68"/>
    <x v="1"/>
    <x v="0"/>
  </r>
  <r>
    <x v="0"/>
    <x v="17"/>
    <x v="0"/>
    <n v="32"/>
    <x v="1"/>
    <x v="0"/>
  </r>
  <r>
    <x v="0"/>
    <x v="17"/>
    <x v="6"/>
    <n v="28"/>
    <x v="1"/>
    <x v="0"/>
  </r>
  <r>
    <x v="0"/>
    <x v="17"/>
    <x v="11"/>
    <n v="305"/>
    <x v="1"/>
    <x v="0"/>
  </r>
  <r>
    <x v="0"/>
    <x v="17"/>
    <x v="2"/>
    <n v="38"/>
    <x v="1"/>
    <x v="0"/>
  </r>
  <r>
    <x v="0"/>
    <x v="17"/>
    <x v="9"/>
    <n v="31"/>
    <x v="1"/>
    <x v="0"/>
  </r>
  <r>
    <x v="0"/>
    <x v="17"/>
    <x v="12"/>
    <n v="1385"/>
    <x v="1"/>
    <x v="0"/>
  </r>
  <r>
    <x v="0"/>
    <x v="17"/>
    <x v="10"/>
    <n v="28"/>
    <x v="1"/>
    <x v="0"/>
  </r>
  <r>
    <x v="0"/>
    <x v="17"/>
    <x v="13"/>
    <n v="535"/>
    <x v="1"/>
    <x v="0"/>
  </r>
  <r>
    <x v="0"/>
    <x v="19"/>
    <x v="14"/>
    <n v="18318"/>
    <x v="3"/>
    <x v="0"/>
  </r>
  <r>
    <x v="0"/>
    <x v="19"/>
    <x v="12"/>
    <n v="18317"/>
    <x v="3"/>
    <x v="0"/>
  </r>
  <r>
    <x v="0"/>
    <x v="19"/>
    <x v="4"/>
    <n v="14222"/>
    <x v="3"/>
    <x v="0"/>
  </r>
  <r>
    <x v="0"/>
    <x v="19"/>
    <x v="6"/>
    <n v="8573"/>
    <x v="3"/>
    <x v="0"/>
  </r>
  <r>
    <x v="0"/>
    <x v="19"/>
    <x v="2"/>
    <n v="10301"/>
    <x v="3"/>
    <x v="0"/>
  </r>
  <r>
    <x v="0"/>
    <x v="19"/>
    <x v="1"/>
    <n v="8573"/>
    <x v="3"/>
    <x v="0"/>
  </r>
  <r>
    <x v="0"/>
    <x v="19"/>
    <x v="16"/>
    <n v="14222"/>
    <x v="3"/>
    <x v="0"/>
  </r>
  <r>
    <x v="0"/>
    <x v="19"/>
    <x v="3"/>
    <n v="18317"/>
    <x v="3"/>
    <x v="0"/>
  </r>
  <r>
    <x v="0"/>
    <x v="19"/>
    <x v="7"/>
    <n v="18318"/>
    <x v="3"/>
    <x v="0"/>
  </r>
  <r>
    <x v="0"/>
    <x v="19"/>
    <x v="13"/>
    <n v="14223"/>
    <x v="3"/>
    <x v="0"/>
  </r>
  <r>
    <x v="0"/>
    <x v="19"/>
    <x v="5"/>
    <n v="10301"/>
    <x v="3"/>
    <x v="0"/>
  </r>
  <r>
    <x v="0"/>
    <x v="19"/>
    <x v="9"/>
    <n v="8574"/>
    <x v="3"/>
    <x v="0"/>
  </r>
  <r>
    <x v="0"/>
    <x v="19"/>
    <x v="0"/>
    <n v="10301"/>
    <x v="3"/>
    <x v="0"/>
  </r>
  <r>
    <x v="0"/>
    <x v="19"/>
    <x v="10"/>
    <n v="8574"/>
    <x v="3"/>
    <x v="0"/>
  </r>
  <r>
    <x v="0"/>
    <x v="19"/>
    <x v="8"/>
    <n v="14223"/>
    <x v="3"/>
    <x v="0"/>
  </r>
  <r>
    <x v="0"/>
    <x v="19"/>
    <x v="11"/>
    <m/>
    <x v="3"/>
    <x v="0"/>
  </r>
  <r>
    <x v="0"/>
    <x v="19"/>
    <x v="15"/>
    <n v="10301"/>
    <x v="3"/>
    <x v="0"/>
  </r>
  <r>
    <x v="3"/>
    <x v="20"/>
    <x v="15"/>
    <n v="63.04"/>
    <x v="4"/>
    <x v="2"/>
  </r>
  <r>
    <x v="3"/>
    <x v="20"/>
    <x v="14"/>
    <n v="55.81"/>
    <x v="4"/>
    <x v="2"/>
  </r>
  <r>
    <x v="3"/>
    <x v="20"/>
    <x v="3"/>
    <n v="60.13"/>
    <x v="4"/>
    <x v="2"/>
  </r>
  <r>
    <x v="3"/>
    <x v="20"/>
    <x v="10"/>
    <n v="62.85"/>
    <x v="4"/>
    <x v="2"/>
  </r>
  <r>
    <x v="3"/>
    <x v="20"/>
    <x v="1"/>
    <n v="63"/>
    <x v="4"/>
    <x v="2"/>
  </r>
  <r>
    <x v="3"/>
    <x v="20"/>
    <x v="12"/>
    <n v="59.68"/>
    <x v="4"/>
    <x v="2"/>
  </r>
  <r>
    <x v="3"/>
    <x v="20"/>
    <x v="8"/>
    <n v="60.81"/>
    <x v="4"/>
    <x v="2"/>
  </r>
  <r>
    <x v="3"/>
    <x v="20"/>
    <x v="7"/>
    <n v="57.02"/>
    <x v="4"/>
    <x v="2"/>
  </r>
  <r>
    <x v="3"/>
    <x v="20"/>
    <x v="4"/>
    <n v="61.85"/>
    <x v="4"/>
    <x v="2"/>
  </r>
  <r>
    <x v="3"/>
    <x v="20"/>
    <x v="16"/>
    <n v="61.12"/>
    <x v="4"/>
    <x v="2"/>
  </r>
  <r>
    <x v="3"/>
    <x v="20"/>
    <x v="0"/>
    <n v="62.68"/>
    <x v="4"/>
    <x v="2"/>
  </r>
  <r>
    <x v="3"/>
    <x v="20"/>
    <x v="2"/>
    <n v="63.49"/>
    <x v="4"/>
    <x v="2"/>
  </r>
  <r>
    <x v="3"/>
    <x v="20"/>
    <x v="11"/>
    <n v="55.3"/>
    <x v="4"/>
    <x v="2"/>
  </r>
  <r>
    <x v="3"/>
    <x v="20"/>
    <x v="13"/>
    <n v="59.73"/>
    <x v="4"/>
    <x v="2"/>
  </r>
  <r>
    <x v="3"/>
    <x v="20"/>
    <x v="9"/>
    <n v="62.48"/>
    <x v="4"/>
    <x v="2"/>
  </r>
  <r>
    <x v="3"/>
    <x v="20"/>
    <x v="6"/>
    <n v="64.5"/>
    <x v="4"/>
    <x v="2"/>
  </r>
  <r>
    <x v="3"/>
    <x v="20"/>
    <x v="5"/>
    <n v="61.33"/>
    <x v="4"/>
    <x v="2"/>
  </r>
  <r>
    <x v="3"/>
    <x v="3"/>
    <x v="13"/>
    <n v="44.34"/>
    <x v="6"/>
    <x v="3"/>
  </r>
  <r>
    <x v="3"/>
    <x v="3"/>
    <x v="14"/>
    <n v="37.299999999999997"/>
    <x v="6"/>
    <x v="3"/>
  </r>
  <r>
    <x v="3"/>
    <x v="3"/>
    <x v="3"/>
    <n v="39.51"/>
    <x v="6"/>
    <x v="3"/>
  </r>
  <r>
    <x v="3"/>
    <x v="3"/>
    <x v="5"/>
    <n v="47.45"/>
    <x v="6"/>
    <x v="3"/>
  </r>
  <r>
    <x v="3"/>
    <x v="3"/>
    <x v="2"/>
    <n v="47.06"/>
    <x v="6"/>
    <x v="3"/>
  </r>
  <r>
    <x v="3"/>
    <x v="3"/>
    <x v="4"/>
    <n v="45.21"/>
    <x v="6"/>
    <x v="3"/>
  </r>
  <r>
    <x v="3"/>
    <x v="3"/>
    <x v="8"/>
    <n v="45.34"/>
    <x v="6"/>
    <x v="3"/>
  </r>
  <r>
    <x v="3"/>
    <x v="3"/>
    <x v="9"/>
    <n v="48.72"/>
    <x v="6"/>
    <x v="3"/>
  </r>
  <r>
    <x v="3"/>
    <x v="3"/>
    <x v="0"/>
    <n v="46.35"/>
    <x v="6"/>
    <x v="3"/>
  </r>
  <r>
    <x v="3"/>
    <x v="3"/>
    <x v="7"/>
    <n v="38.96"/>
    <x v="6"/>
    <x v="3"/>
  </r>
  <r>
    <x v="3"/>
    <x v="3"/>
    <x v="1"/>
    <n v="51.13"/>
    <x v="6"/>
    <x v="3"/>
  </r>
  <r>
    <x v="3"/>
    <x v="3"/>
    <x v="10"/>
    <n v="51.31"/>
    <x v="6"/>
    <x v="3"/>
  </r>
  <r>
    <x v="3"/>
    <x v="3"/>
    <x v="11"/>
    <n v="36.65"/>
    <x v="6"/>
    <x v="3"/>
  </r>
  <r>
    <x v="3"/>
    <x v="3"/>
    <x v="12"/>
    <n v="38.92"/>
    <x v="6"/>
    <x v="3"/>
  </r>
  <r>
    <x v="3"/>
    <x v="3"/>
    <x v="15"/>
    <n v="47.58"/>
    <x v="6"/>
    <x v="3"/>
  </r>
  <r>
    <x v="3"/>
    <x v="3"/>
    <x v="6"/>
    <n v="56.38"/>
    <x v="6"/>
    <x v="3"/>
  </r>
  <r>
    <x v="3"/>
    <x v="3"/>
    <x v="16"/>
    <n v="46.03"/>
    <x v="6"/>
    <x v="3"/>
  </r>
  <r>
    <x v="3"/>
    <x v="18"/>
    <x v="16"/>
    <n v="36.380000000000003"/>
    <x v="7"/>
    <x v="4"/>
  </r>
  <r>
    <x v="3"/>
    <x v="18"/>
    <x v="3"/>
    <n v="53.91"/>
    <x v="7"/>
    <x v="4"/>
  </r>
  <r>
    <x v="3"/>
    <x v="18"/>
    <x v="5"/>
    <n v="33.64"/>
    <x v="7"/>
    <x v="4"/>
  </r>
  <r>
    <x v="3"/>
    <x v="18"/>
    <x v="2"/>
    <m/>
    <x v="7"/>
    <x v="4"/>
  </r>
  <r>
    <x v="3"/>
    <x v="18"/>
    <x v="12"/>
    <n v="44.74"/>
    <x v="7"/>
    <x v="4"/>
  </r>
  <r>
    <x v="3"/>
    <x v="18"/>
    <x v="6"/>
    <m/>
    <x v="7"/>
    <x v="4"/>
  </r>
  <r>
    <x v="3"/>
    <x v="18"/>
    <x v="4"/>
    <n v="48.76"/>
    <x v="7"/>
    <x v="4"/>
  </r>
  <r>
    <x v="3"/>
    <x v="18"/>
    <x v="0"/>
    <m/>
    <x v="7"/>
    <x v="4"/>
  </r>
  <r>
    <x v="3"/>
    <x v="18"/>
    <x v="8"/>
    <n v="37.42"/>
    <x v="7"/>
    <x v="4"/>
  </r>
  <r>
    <x v="3"/>
    <x v="18"/>
    <x v="10"/>
    <m/>
    <x v="7"/>
    <x v="4"/>
  </r>
  <r>
    <x v="3"/>
    <x v="18"/>
    <x v="15"/>
    <m/>
    <x v="7"/>
    <x v="4"/>
  </r>
  <r>
    <x v="3"/>
    <x v="18"/>
    <x v="14"/>
    <n v="28.12"/>
    <x v="7"/>
    <x v="4"/>
  </r>
  <r>
    <x v="3"/>
    <x v="18"/>
    <x v="11"/>
    <n v="27.31"/>
    <x v="7"/>
    <x v="4"/>
  </r>
  <r>
    <x v="3"/>
    <x v="18"/>
    <x v="13"/>
    <n v="34.96"/>
    <x v="7"/>
    <x v="4"/>
  </r>
  <r>
    <x v="3"/>
    <x v="18"/>
    <x v="7"/>
    <n v="29.88"/>
    <x v="7"/>
    <x v="4"/>
  </r>
  <r>
    <x v="3"/>
    <x v="18"/>
    <x v="9"/>
    <m/>
    <x v="7"/>
    <x v="4"/>
  </r>
  <r>
    <x v="3"/>
    <x v="18"/>
    <x v="1"/>
    <m/>
    <x v="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5" indent="0" compact="0" compactData="0" gridDropZones="1" multipleFieldFilters="0" fieldListSortAscending="1">
  <location ref="A2:T67" firstHeaderRow="1" firstDataRow="2" firstDataCol="3"/>
  <pivotFields count="6">
    <pivotField axis="axisRow" compact="0" outline="0" showAll="0" defaultSubtotal="0">
      <items count="6">
        <item x="2"/>
        <item m="1" x="4"/>
        <item x="0"/>
        <item x="1"/>
        <item h="1" x="3"/>
        <item h="1" m="1" x="5"/>
      </items>
    </pivotField>
    <pivotField axis="axisRow" compact="0" outline="0" showAll="0">
      <items count="23">
        <item x="2"/>
        <item x="4"/>
        <item x="3"/>
        <item x="5"/>
        <item x="6"/>
        <item x="7"/>
        <item x="18"/>
        <item x="8"/>
        <item x="9"/>
        <item x="19"/>
        <item x="20"/>
        <item x="10"/>
        <item x="13"/>
        <item x="11"/>
        <item x="12"/>
        <item x="14"/>
        <item x="15"/>
        <item x="16"/>
        <item x="0"/>
        <item x="17"/>
        <item m="1" x="21"/>
        <item x="1"/>
        <item t="default"/>
      </items>
    </pivotField>
    <pivotField axis="axisCol" compact="0" outline="0" showAll="0" sortType="ascending">
      <items count="18">
        <item x="6"/>
        <item x="10"/>
        <item x="1"/>
        <item x="9"/>
        <item x="0"/>
        <item x="15"/>
        <item x="2"/>
        <item x="5"/>
        <item x="4"/>
        <item x="16"/>
        <item x="8"/>
        <item x="13"/>
        <item x="3"/>
        <item x="12"/>
        <item x="7"/>
        <item x="14"/>
        <item x="11"/>
        <item t="default"/>
      </items>
    </pivotField>
    <pivotField dataField="1" compact="0" outline="0" showAll="0"/>
    <pivotField compact="0" outline="0" showAll="0"/>
    <pivotField axis="axisRow" compact="0" outline="0" showAll="0">
      <items count="6">
        <item x="1"/>
        <item x="0"/>
        <item x="3"/>
        <item x="4"/>
        <item x="2"/>
        <item t="default"/>
      </items>
    </pivotField>
  </pivotFields>
  <rowFields count="3">
    <field x="0"/>
    <field x="5"/>
    <field x="1"/>
  </rowFields>
  <rowItems count="64">
    <i>
      <x/>
      <x/>
      <x v="3"/>
    </i>
    <i r="2">
      <x v="4"/>
    </i>
    <i r="2">
      <x v="5"/>
    </i>
    <i r="2">
      <x v="16"/>
    </i>
    <i r="2">
      <x v="17"/>
    </i>
    <i t="default" r="1">
      <x/>
    </i>
    <i r="1">
      <x v="1"/>
      <x/>
    </i>
    <i r="2">
      <x v="1"/>
    </i>
    <i r="2">
      <x v="2"/>
    </i>
    <i r="2">
      <x v="6"/>
    </i>
    <i r="2">
      <x v="7"/>
    </i>
    <i r="2">
      <x v="8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t="default" r="1">
      <x v="1"/>
    </i>
    <i>
      <x v="2"/>
      <x/>
      <x v="3"/>
    </i>
    <i r="2">
      <x v="4"/>
    </i>
    <i r="2">
      <x v="5"/>
    </i>
    <i r="2">
      <x v="16"/>
    </i>
    <i r="2">
      <x v="17"/>
    </i>
    <i t="default" r="1">
      <x/>
    </i>
    <i r="1">
      <x v="1"/>
      <x/>
    </i>
    <i r="2">
      <x v="1"/>
    </i>
    <i r="2">
      <x v="2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t="default" r="1">
      <x v="1"/>
    </i>
    <i>
      <x v="3"/>
      <x/>
      <x v="3"/>
    </i>
    <i r="2">
      <x v="4"/>
    </i>
    <i r="2">
      <x v="5"/>
    </i>
    <i r="2">
      <x v="16"/>
    </i>
    <i r="2">
      <x v="17"/>
    </i>
    <i t="default" r="1">
      <x/>
    </i>
    <i r="1">
      <x v="1"/>
      <x/>
    </i>
    <i r="2">
      <x v="1"/>
    </i>
    <i r="2">
      <x v="2"/>
    </i>
    <i r="2">
      <x v="6"/>
    </i>
    <i r="2">
      <x v="7"/>
    </i>
    <i r="2">
      <x v="8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t="default" r="1">
      <x v="1"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dataFields count="1">
    <dataField name="Sum of quantity" fld="3" baseField="1" baseItem="2" numFmtId="3"/>
  </dataFields>
  <formats count="14">
    <format dxfId="97">
      <pivotArea outline="0" collapsedLevelsAreSubtotals="1" fieldPosition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dataOnly="0" labelOnly="1" outline="0" fieldPosition="0">
        <references count="2">
          <reference field="0" count="1" selected="0">
            <x v="0"/>
          </reference>
          <reference field="5" count="2">
            <x v="0"/>
            <x v="1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0"/>
          </reference>
          <reference field="5" count="2" defaultSubtotal="1">
            <x v="0"/>
            <x v="1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2"/>
          </reference>
          <reference field="5" count="2">
            <x v="0"/>
            <x v="1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2"/>
          </reference>
          <reference field="5" count="2" defaultSubtotal="1">
            <x v="0"/>
            <x v="1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3"/>
          </reference>
          <reference field="5" count="2">
            <x v="0"/>
            <x v="1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3"/>
          </reference>
          <reference field="5" count="2" defaultSubtotal="1">
            <x v="0"/>
            <x v="1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0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0"/>
          </reference>
          <reference field="1" count="14">
            <x v="0"/>
            <x v="1"/>
            <x v="2"/>
            <x v="6"/>
            <x v="7"/>
            <x v="8"/>
            <x v="11"/>
            <x v="12"/>
            <x v="13"/>
            <x v="14"/>
            <x v="15"/>
            <x v="18"/>
            <x v="19"/>
            <x v="21"/>
          </reference>
          <reference field="5" count="1" selected="0">
            <x v="1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2"/>
          </reference>
          <reference field="1" count="15">
            <x v="0"/>
            <x v="1"/>
            <x v="2"/>
            <x v="6"/>
            <x v="7"/>
            <x v="8"/>
            <x v="9"/>
            <x v="11"/>
            <x v="12"/>
            <x v="13"/>
            <x v="14"/>
            <x v="15"/>
            <x v="18"/>
            <x v="19"/>
            <x v="21"/>
          </reference>
          <reference field="5" count="1" selected="0">
            <x v="1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3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3"/>
          </reference>
          <reference field="1" count="14">
            <x v="0"/>
            <x v="1"/>
            <x v="2"/>
            <x v="6"/>
            <x v="7"/>
            <x v="8"/>
            <x v="11"/>
            <x v="12"/>
            <x v="13"/>
            <x v="14"/>
            <x v="15"/>
            <x v="18"/>
            <x v="19"/>
            <x v="21"/>
          </reference>
          <reference field="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5" indent="0" compact="0" compactData="0" gridDropZones="1" multipleFieldFilters="0" fieldListSortAscending="1">
  <location ref="A4:T8" firstHeaderRow="1" firstDataRow="2" firstDataCol="3"/>
  <pivotFields count="6">
    <pivotField axis="axisRow" compact="0" outline="0" showAll="0" defaultSubtotal="0">
      <items count="6">
        <item h="1" x="2"/>
        <item h="1" m="1" x="4"/>
        <item h="1" x="0"/>
        <item h="1" x="1"/>
        <item x="3"/>
        <item h="1" m="1" x="5"/>
      </items>
    </pivotField>
    <pivotField axis="axisRow" compact="0" outline="0" showAll="0">
      <items count="23">
        <item x="2"/>
        <item x="4"/>
        <item x="3"/>
        <item x="5"/>
        <item x="6"/>
        <item x="7"/>
        <item x="18"/>
        <item x="8"/>
        <item x="9"/>
        <item x="19"/>
        <item x="20"/>
        <item x="10"/>
        <item x="13"/>
        <item x="11"/>
        <item x="12"/>
        <item x="14"/>
        <item x="15"/>
        <item x="16"/>
        <item x="0"/>
        <item x="17"/>
        <item m="1" x="21"/>
        <item x="1"/>
        <item t="default"/>
      </items>
    </pivotField>
    <pivotField axis="axisCol" compact="0" outline="0" showAll="0" sortType="ascending">
      <items count="18">
        <item x="6"/>
        <item x="10"/>
        <item x="1"/>
        <item x="9"/>
        <item x="0"/>
        <item x="15"/>
        <item x="2"/>
        <item x="5"/>
        <item x="4"/>
        <item x="16"/>
        <item x="8"/>
        <item x="13"/>
        <item x="3"/>
        <item x="12"/>
        <item x="7"/>
        <item x="14"/>
        <item x="11"/>
        <item t="default"/>
      </items>
    </pivotField>
    <pivotField dataField="1" compact="0" outline="0" showAll="0"/>
    <pivotField compact="0" outline="0" showAll="0"/>
    <pivotField axis="axisRow" compact="0" outline="0" showAll="0" defaultSubtotal="0">
      <items count="5">
        <item x="1"/>
        <item x="0"/>
        <item x="2"/>
        <item x="3"/>
        <item x="4"/>
      </items>
    </pivotField>
  </pivotFields>
  <rowFields count="3">
    <field x="0"/>
    <field x="5"/>
    <field x="1"/>
  </rowFields>
  <rowItems count="3">
    <i>
      <x v="4"/>
      <x v="2"/>
      <x v="10"/>
    </i>
    <i r="1">
      <x v="3"/>
      <x v="2"/>
    </i>
    <i r="1">
      <x v="4"/>
      <x v="6"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dataFields count="1">
    <dataField name="Sum of quantity" fld="3" baseField="1" baseItem="2" numFmtId="3"/>
  </dataFields>
  <formats count="39">
    <format dxfId="83">
      <pivotArea outline="0" fieldPosition="0">
        <references count="2">
          <reference field="0" count="1" selected="0">
            <x v="4"/>
          </reference>
          <reference field="5" count="3" selected="0" defaultSubtotal="1">
            <x v="2"/>
            <x v="3"/>
            <x v="4"/>
          </reference>
        </references>
      </pivotArea>
    </format>
    <format dxfId="82">
      <pivotArea outline="0" fieldPosition="0">
        <references count="3">
          <reference field="0" count="1" selected="0">
            <x v="0"/>
          </reference>
          <reference field="1" count="16" selected="0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</reference>
          <reference field="5" count="2" selected="0">
            <x v="0"/>
            <x v="1"/>
          </reference>
        </references>
      </pivotArea>
    </format>
    <format dxfId="81">
      <pivotArea dataOnly="0" labelOnly="1" outline="0" fieldPosition="0">
        <references count="1">
          <reference field="0" count="1">
            <x v="0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0"/>
          </reference>
          <reference field="5" count="2">
            <x v="0"/>
            <x v="1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0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0"/>
          </reference>
          <reference field="1" count="11">
            <x v="0"/>
            <x v="1"/>
            <x v="2"/>
            <x v="6"/>
            <x v="7"/>
            <x v="8"/>
            <x v="11"/>
            <x v="12"/>
            <x v="13"/>
            <x v="14"/>
            <x v="15"/>
          </reference>
          <reference field="5" count="1" selected="0">
            <x v="1"/>
          </reference>
        </references>
      </pivotArea>
    </format>
    <format dxfId="77">
      <pivotArea outline="0" fieldPosition="0">
        <references count="3">
          <reference field="0" count="1" selected="0">
            <x v="2"/>
          </reference>
          <reference field="1" count="18" selected="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9"/>
          </reference>
          <reference field="5" count="2" selected="0">
            <x v="0"/>
            <x v="1"/>
          </reference>
        </references>
      </pivotArea>
    </format>
    <format dxfId="76">
      <pivotArea dataOnly="0" labelOnly="1" outline="0" fieldPosition="0">
        <references count="1">
          <reference field="0" count="1">
            <x v="2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2"/>
          </reference>
          <reference field="5" count="2">
            <x v="0"/>
            <x v="1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6">
            <x v="3"/>
            <x v="4"/>
            <x v="5"/>
            <x v="6"/>
            <x v="16"/>
            <x v="17"/>
          </reference>
          <reference field="5" count="1" selected="0">
            <x v="0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2">
            <x v="0"/>
            <x v="1"/>
            <x v="2"/>
            <x v="7"/>
            <x v="8"/>
            <x v="9"/>
            <x v="11"/>
            <x v="12"/>
            <x v="13"/>
            <x v="14"/>
            <x v="15"/>
            <x v="19"/>
          </reference>
          <reference field="5" count="1" selected="0">
            <x v="1"/>
          </reference>
        </references>
      </pivotArea>
    </format>
    <format dxfId="72">
      <pivotArea outline="0" fieldPosition="0">
        <references count="3">
          <reference field="0" count="1" selected="0">
            <x v="3"/>
          </reference>
          <reference field="1" count="17" selected="0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9"/>
          </reference>
          <reference field="5" count="2" selected="0">
            <x v="0"/>
            <x v="1"/>
          </reference>
        </references>
      </pivotArea>
    </format>
    <format dxfId="71">
      <pivotArea dataOnly="0" labelOnly="1" outline="0" fieldPosition="0">
        <references count="1">
          <reference field="0" count="1">
            <x v="3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3"/>
          </reference>
          <reference field="5" count="2">
            <x v="0"/>
            <x v="1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3"/>
          </reference>
          <reference field="1" count="6">
            <x v="3"/>
            <x v="4"/>
            <x v="5"/>
            <x v="6"/>
            <x v="16"/>
            <x v="17"/>
          </reference>
          <reference field="5" count="1" selected="0">
            <x v="0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3"/>
          </reference>
          <reference field="1" count="11">
            <x v="0"/>
            <x v="1"/>
            <x v="2"/>
            <x v="7"/>
            <x v="8"/>
            <x v="11"/>
            <x v="12"/>
            <x v="13"/>
            <x v="14"/>
            <x v="15"/>
            <x v="19"/>
          </reference>
          <reference field="5" count="1" selected="0">
            <x v="1"/>
          </reference>
        </references>
      </pivotArea>
    </format>
    <format dxfId="67">
      <pivotArea outline="0" fieldPosition="0">
        <references count="1">
          <reference field="0" count="1" selected="0">
            <x v="4"/>
          </reference>
        </references>
      </pivotArea>
    </format>
    <format dxfId="66">
      <pivotArea dataOnly="0" labelOnly="1" outline="0" fieldPosition="0">
        <references count="1">
          <reference field="0" count="1">
            <x v="4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4"/>
          </reference>
          <reference field="5" count="3">
            <x v="2"/>
            <x v="3"/>
            <x v="4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4"/>
          </reference>
          <reference field="1" count="1">
            <x v="2"/>
          </reference>
          <reference field="5" count="1" selected="0">
            <x v="3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4"/>
          </reference>
          <reference field="1" count="1">
            <x v="6"/>
          </reference>
          <reference field="5" count="1" selected="0">
            <x v="4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4"/>
          </reference>
          <reference field="1" count="1">
            <x v="10"/>
          </reference>
          <reference field="5" count="1" selected="0">
            <x v="2"/>
          </reference>
        </references>
      </pivotArea>
    </format>
    <format dxfId="61">
      <pivotArea outline="0" fieldPosition="0">
        <references count="3">
          <reference field="0" count="1" selected="0">
            <x v="3"/>
          </reference>
          <reference field="1" count="1" selected="0">
            <x v="18"/>
          </reference>
          <reference field="5" count="1" selected="0">
            <x v="1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3"/>
          </reference>
          <reference field="1" count="1">
            <x v="18"/>
          </reference>
          <reference field="5" count="1" selected="0">
            <x v="1"/>
          </reference>
        </references>
      </pivotArea>
    </format>
    <format dxfId="59">
      <pivotArea outline="0" fieldPosition="0">
        <references count="3">
          <reference field="0" count="1" selected="0">
            <x v="2"/>
          </reference>
          <reference field="1" count="1" selected="0">
            <x v="18"/>
          </reference>
          <reference field="5" count="1" selected="0">
            <x v="1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2"/>
          </reference>
          <reference field="1" count="1">
            <x v="18"/>
          </reference>
          <reference field="5" count="1" selected="0">
            <x v="1"/>
          </reference>
        </references>
      </pivotArea>
    </format>
    <format dxfId="57">
      <pivotArea outline="0" fieldPosition="0">
        <references count="3">
          <reference field="0" count="2" selected="0">
            <x v="1"/>
            <x v="5"/>
          </reference>
          <reference field="1" count="5" selected="0">
            <x v="2"/>
            <x v="3"/>
            <x v="5"/>
            <x v="16"/>
            <x v="17"/>
          </reference>
          <reference field="5" count="2" selected="0">
            <x v="0"/>
            <x v="1"/>
          </reference>
        </references>
      </pivotArea>
    </format>
    <format dxfId="56">
      <pivotArea dataOnly="0" labelOnly="1" outline="0" fieldPosition="0">
        <references count="1">
          <reference field="0" count="2">
            <x v="1"/>
            <x v="5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"/>
          </reference>
          <reference field="5" count="2">
            <x v="0"/>
            <x v="1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5"/>
          </reference>
          <reference field="5" count="2">
            <x v="0"/>
            <x v="1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"/>
          </reference>
          <reference field="1" count="2">
            <x v="3"/>
            <x v="5"/>
          </reference>
          <reference field="5" count="1" selected="0">
            <x v="0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1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5"/>
          </reference>
          <reference field="1" count="4">
            <x v="3"/>
            <x v="5"/>
            <x v="16"/>
            <x v="17"/>
          </reference>
          <reference field="5" count="1" selected="0">
            <x v="0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5"/>
          </reference>
          <reference field="1" count="1">
            <x v="2"/>
          </reference>
          <reference field="5" count="1" selected="0">
            <x v="1"/>
          </reference>
        </references>
      </pivotArea>
    </format>
    <format dxfId="49">
      <pivotArea outline="0" fieldPosition="0">
        <references count="1">
          <reference field="0" count="1" selected="0">
            <x v="4"/>
          </reference>
        </references>
      </pivotArea>
    </format>
    <format dxfId="48">
      <pivotArea outline="0" fieldPosition="0">
        <references count="3">
          <reference field="0" count="1" selected="0">
            <x v="0"/>
          </reference>
          <reference field="1" count="2" selected="0">
            <x v="18"/>
            <x v="19"/>
          </reference>
          <reference field="5" count="1" selected="0">
            <x v="1"/>
          </reference>
        </references>
      </pivotArea>
    </format>
    <format dxfId="47">
      <pivotArea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5" count="1" selected="0">
            <x v="1"/>
          </reference>
        </references>
      </pivotArea>
    </format>
    <format dxfId="46">
      <pivotArea outline="0" fieldPosition="0">
        <references count="3">
          <reference field="0" count="1" selected="0">
            <x v="0"/>
          </reference>
          <reference field="1" count="2" selected="0">
            <x v="18"/>
            <x v="19"/>
          </reference>
          <reference field="5" count="1" selected="0">
            <x v="1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0"/>
          </reference>
          <reference field="1" count="2">
            <x v="18"/>
            <x v="19"/>
          </reference>
          <reference field="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96:G102" firstHeaderRow="1" firstDataRow="2" firstDataCol="5" rowPageCount="2" colPageCount="1"/>
  <pivotFields count="10"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compact="0" outline="0" showAll="0">
      <items count="85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axis="axisRow" compact="0" outline="0" showAll="0" defaultSubtotal="0">
      <items count="37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/>
    <pivotField axis="axisRow" compact="0" outline="0" showAll="0" defaultSubtotal="0">
      <items count="115">
        <item x="16"/>
        <item x="17"/>
        <item x="51"/>
        <item x="7"/>
        <item x="63"/>
        <item x="19"/>
        <item x="21"/>
        <item x="22"/>
        <item x="48"/>
        <item x="47"/>
        <item x="56"/>
        <item x="68"/>
        <item x="8"/>
        <item x="13"/>
        <item x="57"/>
        <item x="15"/>
        <item x="10"/>
        <item x="41"/>
        <item x="42"/>
        <item x="58"/>
        <item x="44"/>
        <item x="23"/>
        <item x="1"/>
        <item x="31"/>
        <item x="32"/>
        <item x="71"/>
        <item x="34"/>
        <item x="2"/>
        <item x="30"/>
        <item x="0"/>
        <item x="52"/>
        <item x="64"/>
        <item x="3"/>
        <item x="43"/>
        <item x="12"/>
        <item x="45"/>
        <item x="70"/>
        <item x="53"/>
        <item x="60"/>
        <item x="25"/>
        <item x="54"/>
        <item x="46"/>
        <item x="55"/>
        <item x="59"/>
        <item x="18"/>
        <item x="66"/>
        <item x="4"/>
        <item x="5"/>
        <item x="6"/>
        <item x="27"/>
        <item x="35"/>
        <item x="50"/>
        <item x="38"/>
        <item x="37"/>
        <item x="39"/>
        <item x="24"/>
        <item x="36"/>
        <item x="9"/>
        <item x="40"/>
        <item x="14"/>
        <item x="20"/>
        <item x="65"/>
        <item x="69"/>
        <item x="62"/>
        <item x="61"/>
        <item x="11"/>
        <item x="49"/>
        <item x="33"/>
        <item x="29"/>
        <item x="28"/>
        <item x="67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  <pivotField axis="axisPage" compact="0" outline="0" showAll="0" defaultSubtotal="0">
      <items count="5">
        <item x="1"/>
        <item x="2"/>
        <item x="0"/>
        <item x="3"/>
        <item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00">
        <item x="61"/>
        <item x="60"/>
        <item x="10"/>
        <item x="71"/>
        <item x="58"/>
        <item x="80"/>
        <item x="90"/>
        <item x="20"/>
        <item x="1"/>
        <item x="8"/>
        <item x="79"/>
        <item x="96"/>
        <item x="78"/>
        <item x="18"/>
        <item x="23"/>
        <item x="92"/>
        <item x="72"/>
        <item x="65"/>
        <item x="45"/>
        <item x="88"/>
        <item x="91"/>
        <item x="70"/>
        <item x="95"/>
        <item x="62"/>
        <item x="9"/>
        <item x="68"/>
        <item x="69"/>
        <item x="67"/>
        <item x="81"/>
        <item x="19"/>
        <item x="7"/>
        <item x="21"/>
        <item x="87"/>
        <item x="22"/>
        <item x="46"/>
        <item x="63"/>
        <item x="73"/>
        <item x="97"/>
        <item x="48"/>
        <item x="4"/>
        <item m="1" x="98"/>
        <item x="83"/>
        <item x="24"/>
        <item x="5"/>
        <item x="82"/>
        <item x="75"/>
        <item x="49"/>
        <item x="89"/>
        <item x="57"/>
        <item m="1" x="99"/>
        <item x="6"/>
        <item x="26"/>
        <item x="11"/>
        <item x="86"/>
        <item x="16"/>
        <item x="94"/>
        <item x="29"/>
        <item x="33"/>
        <item x="55"/>
        <item x="53"/>
        <item x="74"/>
        <item x="36"/>
        <item x="44"/>
        <item x="2"/>
        <item x="84"/>
        <item x="59"/>
        <item x="76"/>
        <item x="54"/>
        <item x="77"/>
        <item x="64"/>
        <item x="41"/>
        <item x="28"/>
        <item x="85"/>
        <item x="93"/>
        <item x="14"/>
        <item x="34"/>
        <item x="3"/>
        <item x="15"/>
        <item x="0"/>
        <item x="52"/>
        <item x="25"/>
        <item x="42"/>
        <item x="66"/>
        <item x="51"/>
        <item x="17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</items>
    </pivotField>
  </pivotFields>
  <rowFields count="5">
    <field x="9"/>
    <field x="3"/>
    <field x="1"/>
    <field x="5"/>
    <field x="2"/>
  </rowFields>
  <rowItems count="5">
    <i>
      <x v="5"/>
      <x v="21"/>
      <x v="67"/>
      <x v="82"/>
      <x v="76"/>
    </i>
    <i>
      <x v="12"/>
      <x v="27"/>
      <x v="15"/>
      <x v="80"/>
      <x v="57"/>
    </i>
    <i>
      <x v="15"/>
      <x v="10"/>
      <x v="59"/>
      <x v="61"/>
      <x v="23"/>
    </i>
    <i>
      <x v="60"/>
      <x v="22"/>
      <x v="9"/>
      <x v="65"/>
      <x v="56"/>
    </i>
    <i t="grand">
      <x/>
    </i>
  </rowItems>
  <colFields count="1">
    <field x="-2"/>
  </colFields>
  <colItems count="2">
    <i>
      <x/>
    </i>
    <i i="1">
      <x v="1"/>
    </i>
  </colItems>
  <pageFields count="2">
    <pageField fld="0" item="1" hier="-1"/>
    <pageField fld="6" item="1" hier="-1"/>
  </pageFields>
  <dataFields count="2">
    <dataField name="Sum of Total Cap" fld="7" baseField="4" baseItem="2" numFmtId="3"/>
    <dataField name="Sum of EIA Cap" fld="8" baseField="4" baseItem="39" numFmtId="3"/>
  </dataFields>
  <formats count="1">
    <format dxfId="39">
      <pivotArea outline="0" fieldPosition="0">
        <references count="6">
          <reference field="4294967294" count="1" selected="0">
            <x v="0"/>
          </reference>
          <reference field="1" count="2" selected="0">
            <x v="15"/>
            <x v="67"/>
          </reference>
          <reference field="2" count="2" selected="0">
            <x v="57"/>
            <x v="76"/>
          </reference>
          <reference field="3" count="2" selected="0">
            <x v="21"/>
            <x v="27"/>
          </reference>
          <reference field="5" count="2" selected="0">
            <x v="80"/>
            <x v="82"/>
          </reference>
          <reference field="9" count="2" selected="0">
            <x v="5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109:G113" firstHeaderRow="1" firstDataRow="2" firstDataCol="5" rowPageCount="2" colPageCount="1"/>
  <pivotFields count="10"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compact="0" outline="0" showAll="0">
      <items count="85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axis="axisRow" compact="0" outline="0" showAll="0" defaultSubtotal="0">
      <items count="37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/>
    <pivotField axis="axisRow" compact="0" outline="0" showAll="0" defaultSubtotal="0">
      <items count="115">
        <item x="16"/>
        <item x="17"/>
        <item x="51"/>
        <item x="7"/>
        <item x="63"/>
        <item x="19"/>
        <item x="21"/>
        <item x="22"/>
        <item x="48"/>
        <item x="47"/>
        <item x="56"/>
        <item x="68"/>
        <item x="8"/>
        <item x="13"/>
        <item x="57"/>
        <item x="15"/>
        <item x="10"/>
        <item x="41"/>
        <item x="42"/>
        <item x="58"/>
        <item x="44"/>
        <item x="23"/>
        <item x="1"/>
        <item x="31"/>
        <item x="32"/>
        <item x="71"/>
        <item x="34"/>
        <item x="2"/>
        <item x="30"/>
        <item x="0"/>
        <item x="52"/>
        <item x="64"/>
        <item x="3"/>
        <item x="43"/>
        <item x="12"/>
        <item x="45"/>
        <item x="70"/>
        <item x="53"/>
        <item x="60"/>
        <item x="25"/>
        <item x="54"/>
        <item x="46"/>
        <item x="55"/>
        <item x="59"/>
        <item x="18"/>
        <item x="66"/>
        <item x="4"/>
        <item x="5"/>
        <item x="6"/>
        <item x="27"/>
        <item x="35"/>
        <item x="50"/>
        <item x="38"/>
        <item x="37"/>
        <item x="39"/>
        <item x="24"/>
        <item x="36"/>
        <item x="9"/>
        <item x="40"/>
        <item x="14"/>
        <item x="20"/>
        <item x="65"/>
        <item x="69"/>
        <item x="62"/>
        <item x="61"/>
        <item x="11"/>
        <item x="49"/>
        <item x="33"/>
        <item x="29"/>
        <item x="28"/>
        <item x="67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  <pivotField axis="axisPage" compact="0" outline="0" showAll="0" defaultSubtotal="0">
      <items count="5">
        <item x="1"/>
        <item x="2"/>
        <item x="0"/>
        <item x="3"/>
        <item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00">
        <item x="61"/>
        <item x="60"/>
        <item x="10"/>
        <item x="71"/>
        <item x="58"/>
        <item x="80"/>
        <item x="90"/>
        <item x="20"/>
        <item x="1"/>
        <item x="8"/>
        <item x="79"/>
        <item x="96"/>
        <item x="78"/>
        <item x="18"/>
        <item x="23"/>
        <item x="92"/>
        <item x="72"/>
        <item x="65"/>
        <item x="45"/>
        <item x="88"/>
        <item x="91"/>
        <item x="70"/>
        <item x="95"/>
        <item x="62"/>
        <item x="9"/>
        <item x="68"/>
        <item x="69"/>
        <item x="67"/>
        <item x="81"/>
        <item x="19"/>
        <item x="7"/>
        <item x="21"/>
        <item x="87"/>
        <item x="22"/>
        <item x="46"/>
        <item x="63"/>
        <item x="73"/>
        <item x="97"/>
        <item x="48"/>
        <item x="4"/>
        <item m="1" x="98"/>
        <item x="83"/>
        <item x="24"/>
        <item x="5"/>
        <item x="82"/>
        <item x="75"/>
        <item x="49"/>
        <item x="89"/>
        <item x="57"/>
        <item m="1" x="99"/>
        <item x="6"/>
        <item x="26"/>
        <item x="11"/>
        <item x="86"/>
        <item x="16"/>
        <item x="94"/>
        <item x="29"/>
        <item x="33"/>
        <item x="55"/>
        <item x="53"/>
        <item x="74"/>
        <item x="36"/>
        <item x="44"/>
        <item x="2"/>
        <item x="84"/>
        <item x="59"/>
        <item x="76"/>
        <item x="54"/>
        <item x="77"/>
        <item x="64"/>
        <item x="41"/>
        <item x="28"/>
        <item x="85"/>
        <item x="93"/>
        <item x="14"/>
        <item x="34"/>
        <item x="3"/>
        <item x="15"/>
        <item x="0"/>
        <item x="52"/>
        <item x="25"/>
        <item x="42"/>
        <item x="66"/>
        <item x="51"/>
        <item x="17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</items>
    </pivotField>
  </pivotFields>
  <rowFields count="5">
    <field x="9"/>
    <field x="3"/>
    <field x="1"/>
    <field x="5"/>
    <field x="2"/>
  </rowFields>
  <rowItems count="3">
    <i>
      <x v="27"/>
      <x v="15"/>
      <x v="60"/>
      <x v="109"/>
      <x v="68"/>
    </i>
    <i>
      <x v="37"/>
      <x v="36"/>
      <x v="71"/>
      <x v="113"/>
      <x v="83"/>
    </i>
    <i t="grand">
      <x/>
    </i>
  </rowItems>
  <colFields count="1">
    <field x="-2"/>
  </colFields>
  <colItems count="2">
    <i>
      <x/>
    </i>
    <i i="1">
      <x v="1"/>
    </i>
  </colItems>
  <pageFields count="2">
    <pageField fld="0" item="1" hier="-1"/>
    <pageField fld="6" item="3" hier="-1"/>
  </pageFields>
  <dataFields count="2">
    <dataField name="Sum of Total Cap" fld="7" baseField="4" baseItem="2" numFmtId="3"/>
    <dataField name="Sum of EIA Cap" fld="8" baseField="4" baseItem="39" numFmtId="3"/>
  </dataFields>
  <formats count="1">
    <format dxfId="40">
      <pivotArea outline="0" fieldPosition="0">
        <references count="6">
          <reference field="4294967294" count="1" selected="0">
            <x v="0"/>
          </reference>
          <reference field="1" count="2" selected="0">
            <x v="15"/>
            <x v="67"/>
          </reference>
          <reference field="2" count="2" selected="0">
            <x v="57"/>
            <x v="76"/>
          </reference>
          <reference field="3" count="2" selected="0">
            <x v="21"/>
            <x v="27"/>
          </reference>
          <reference field="5" count="2" selected="0">
            <x v="80"/>
            <x v="82"/>
          </reference>
          <reference field="9" count="2" selected="0">
            <x v="5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61:G88" firstHeaderRow="1" firstDataRow="2" firstDataCol="5" rowPageCount="2" colPageCount="1"/>
  <pivotFields count="10"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compact="0" outline="0" showAll="0">
      <items count="85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axis="axisRow" compact="0" outline="0" showAll="0" defaultSubtotal="0">
      <items count="37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/>
    <pivotField axis="axisRow" compact="0" outline="0" showAll="0" defaultSubtotal="0">
      <items count="115">
        <item x="16"/>
        <item x="17"/>
        <item x="51"/>
        <item x="7"/>
        <item x="63"/>
        <item x="19"/>
        <item x="21"/>
        <item x="22"/>
        <item x="48"/>
        <item x="47"/>
        <item x="56"/>
        <item x="68"/>
        <item x="8"/>
        <item x="13"/>
        <item x="57"/>
        <item x="15"/>
        <item x="10"/>
        <item x="41"/>
        <item x="42"/>
        <item x="58"/>
        <item x="44"/>
        <item x="23"/>
        <item x="1"/>
        <item x="31"/>
        <item x="32"/>
        <item x="71"/>
        <item x="34"/>
        <item x="2"/>
        <item x="30"/>
        <item x="0"/>
        <item x="52"/>
        <item x="64"/>
        <item x="3"/>
        <item x="43"/>
        <item x="12"/>
        <item x="45"/>
        <item x="70"/>
        <item x="53"/>
        <item x="60"/>
        <item x="25"/>
        <item x="54"/>
        <item x="46"/>
        <item x="55"/>
        <item x="59"/>
        <item x="18"/>
        <item x="66"/>
        <item x="4"/>
        <item x="5"/>
        <item x="6"/>
        <item x="27"/>
        <item x="35"/>
        <item x="50"/>
        <item x="38"/>
        <item x="37"/>
        <item x="39"/>
        <item x="24"/>
        <item x="36"/>
        <item x="9"/>
        <item x="40"/>
        <item x="14"/>
        <item x="20"/>
        <item x="65"/>
        <item x="69"/>
        <item x="62"/>
        <item x="61"/>
        <item x="11"/>
        <item x="49"/>
        <item x="33"/>
        <item x="29"/>
        <item x="28"/>
        <item x="67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  <pivotField axis="axisPage" compact="0" outline="0" showAll="0" defaultSubtotal="0">
      <items count="5">
        <item x="1"/>
        <item x="2"/>
        <item x="0"/>
        <item x="3"/>
        <item x="4"/>
      </items>
    </pivotField>
    <pivotField dataField="1" compact="0" outline="0" showAll="0"/>
    <pivotField dataField="1" compact="0" outline="0" showAll="0"/>
    <pivotField axis="axisRow" compact="0" outline="0" showAll="0" defaultSubtotal="0">
      <items count="100">
        <item x="61"/>
        <item x="60"/>
        <item x="10"/>
        <item x="71"/>
        <item x="58"/>
        <item x="20"/>
        <item x="1"/>
        <item x="8"/>
        <item x="18"/>
        <item x="23"/>
        <item x="65"/>
        <item x="45"/>
        <item x="70"/>
        <item x="62"/>
        <item x="9"/>
        <item x="68"/>
        <item x="69"/>
        <item x="67"/>
        <item x="19"/>
        <item x="7"/>
        <item x="21"/>
        <item x="22"/>
        <item x="46"/>
        <item x="63"/>
        <item x="48"/>
        <item m="1" x="98"/>
        <item x="24"/>
        <item x="5"/>
        <item x="49"/>
        <item x="57"/>
        <item m="1" x="99"/>
        <item x="26"/>
        <item x="11"/>
        <item x="16"/>
        <item x="29"/>
        <item x="33"/>
        <item x="55"/>
        <item x="53"/>
        <item x="36"/>
        <item x="44"/>
        <item x="2"/>
        <item x="59"/>
        <item x="54"/>
        <item x="64"/>
        <item x="41"/>
        <item x="28"/>
        <item x="14"/>
        <item x="34"/>
        <item x="3"/>
        <item x="15"/>
        <item x="0"/>
        <item x="52"/>
        <item x="25"/>
        <item x="42"/>
        <item x="66"/>
        <item x="51"/>
        <item x="17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  <item x="4"/>
        <item x="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</pivotFields>
  <rowFields count="5">
    <field x="9"/>
    <field x="3"/>
    <field x="1"/>
    <field x="5"/>
    <field x="2"/>
  </rowFields>
  <rowItems count="26">
    <i>
      <x/>
      <x v="17"/>
      <x v="55"/>
      <x v="105"/>
      <x v="51"/>
    </i>
    <i>
      <x v="1"/>
      <x v="34"/>
      <x v="54"/>
      <x v="38"/>
      <x v="81"/>
    </i>
    <i>
      <x v="2"/>
      <x v="26"/>
      <x v="8"/>
      <x v="16"/>
      <x v="18"/>
    </i>
    <i>
      <x v="3"/>
      <x v="20"/>
      <x v="64"/>
      <x v="114"/>
      <x v="19"/>
    </i>
    <i>
      <x v="4"/>
      <x v="32"/>
      <x v="52"/>
      <x v="104"/>
      <x v="55"/>
    </i>
    <i>
      <x v="6"/>
      <x v="21"/>
      <x v="1"/>
      <x v="72"/>
      <x v="52"/>
    </i>
    <i>
      <x v="7"/>
      <x v="25"/>
      <x v="6"/>
      <x v="12"/>
      <x v="27"/>
    </i>
    <i>
      <x v="9"/>
      <x/>
      <x v="19"/>
      <x v="21"/>
      <x v="4"/>
    </i>
    <i>
      <x v="15"/>
      <x v="14"/>
      <x v="61"/>
      <x v="110"/>
      <x v="5"/>
    </i>
    <i>
      <x v="18"/>
      <x v="12"/>
      <x v="16"/>
      <x v="81"/>
      <x v="17"/>
    </i>
    <i>
      <x v="20"/>
      <x v="5"/>
      <x v="18"/>
      <x v="83"/>
      <x v="53"/>
    </i>
    <i>
      <x v="21"/>
      <x v="12"/>
      <x v="18"/>
      <x v="83"/>
      <x v="60"/>
    </i>
    <i>
      <x v="22"/>
      <x v="12"/>
      <x v="41"/>
      <x v="96"/>
      <x v="42"/>
    </i>
    <i>
      <x v="23"/>
      <x v="35"/>
      <x v="57"/>
      <x v="4"/>
      <x v="37"/>
    </i>
    <i>
      <x v="24"/>
      <x v="17"/>
      <x v="42"/>
      <x v="97"/>
      <x v="66"/>
    </i>
    <i>
      <x v="41"/>
      <x v="33"/>
      <x v="53"/>
      <x v="43"/>
      <x v="21"/>
    </i>
    <i>
      <x v="74"/>
      <x v="5"/>
      <x v="65"/>
      <x v="74"/>
      <x v="72"/>
    </i>
    <i>
      <x v="81"/>
      <x v="11"/>
      <x v="17"/>
      <x v="60"/>
      <x v="2"/>
    </i>
    <i>
      <x v="90"/>
      <x v="16"/>
      <x v="40"/>
      <x v="35"/>
      <x v="26"/>
    </i>
    <i>
      <x v="91"/>
      <x v="12"/>
      <x v="69"/>
      <x v="102"/>
      <x v="79"/>
    </i>
    <i>
      <x v="92"/>
      <x v="31"/>
      <x v="52"/>
      <x v="104"/>
      <x v="80"/>
    </i>
    <i>
      <x v="93"/>
      <x v="5"/>
      <x v="56"/>
      <x v="106"/>
      <x v="41"/>
    </i>
    <i>
      <x v="97"/>
      <x v="21"/>
      <x v="62"/>
      <x v="111"/>
      <x v="30"/>
    </i>
    <i>
      <x v="98"/>
      <x v="12"/>
      <x v="63"/>
      <x v="112"/>
      <x v="58"/>
    </i>
    <i r="4">
      <x v="60"/>
    </i>
    <i t="grand">
      <x/>
    </i>
  </rowItems>
  <colFields count="1">
    <field x="-2"/>
  </colFields>
  <colItems count="2">
    <i>
      <x/>
    </i>
    <i i="1">
      <x v="1"/>
    </i>
  </colItems>
  <pageFields count="2">
    <pageField fld="0" item="1" hier="-1"/>
    <pageField fld="6" item="0" hier="-1"/>
  </pageFields>
  <dataFields count="2">
    <dataField name="Sum of Total Cap" fld="7" baseField="4" baseItem="2" numFmtId="3"/>
    <dataField name="Sum of EIA Cap" fld="8" baseField="4" baseItem="39" numFmtId="3"/>
  </dataFields>
  <formats count="1">
    <format dxfId="41">
      <pivotArea outline="0" fieldPosition="0">
        <references count="6">
          <reference field="4294967294" count="1" selected="0">
            <x v="0"/>
          </reference>
          <reference field="1" count="5" selected="0">
            <x v="8"/>
            <x v="52"/>
            <x v="54"/>
            <x v="55"/>
            <x v="64"/>
          </reference>
          <reference field="2" count="5" selected="0">
            <x v="18"/>
            <x v="19"/>
            <x v="51"/>
            <x v="55"/>
            <x v="81"/>
          </reference>
          <reference field="3" count="5" selected="0">
            <x v="17"/>
            <x v="20"/>
            <x v="26"/>
            <x v="32"/>
            <x v="34"/>
          </reference>
          <reference field="5" count="5" selected="0">
            <x v="16"/>
            <x v="38"/>
            <x v="104"/>
            <x v="105"/>
            <x v="114"/>
          </reference>
          <reference field="9" count="5" selected="0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4:G54" firstHeaderRow="1" firstDataRow="2" firstDataCol="5" rowPageCount="2" colPageCount="1"/>
  <pivotFields count="10"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compact="0" outline="0" showAll="0">
      <items count="85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axis="axisRow" compact="0" outline="0" showAll="0" defaultSubtotal="0">
      <items count="37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/>
    <pivotField axis="axisRow" compact="0" outline="0" showAll="0" defaultSubtotal="0">
      <items count="115">
        <item x="16"/>
        <item x="17"/>
        <item x="51"/>
        <item x="7"/>
        <item x="63"/>
        <item x="19"/>
        <item x="21"/>
        <item x="22"/>
        <item x="48"/>
        <item x="47"/>
        <item x="56"/>
        <item x="68"/>
        <item x="8"/>
        <item x="13"/>
        <item x="57"/>
        <item x="15"/>
        <item x="10"/>
        <item x="41"/>
        <item x="42"/>
        <item x="58"/>
        <item x="44"/>
        <item x="23"/>
        <item x="1"/>
        <item x="31"/>
        <item x="32"/>
        <item x="71"/>
        <item x="34"/>
        <item x="2"/>
        <item x="30"/>
        <item x="0"/>
        <item x="52"/>
        <item x="64"/>
        <item x="3"/>
        <item x="43"/>
        <item x="12"/>
        <item x="45"/>
        <item x="70"/>
        <item x="53"/>
        <item x="60"/>
        <item x="25"/>
        <item x="54"/>
        <item x="46"/>
        <item x="55"/>
        <item x="59"/>
        <item x="18"/>
        <item x="66"/>
        <item x="4"/>
        <item x="5"/>
        <item x="6"/>
        <item x="27"/>
        <item x="35"/>
        <item x="50"/>
        <item x="38"/>
        <item x="37"/>
        <item x="39"/>
        <item x="24"/>
        <item x="36"/>
        <item x="9"/>
        <item x="40"/>
        <item x="14"/>
        <item x="20"/>
        <item x="65"/>
        <item x="69"/>
        <item x="62"/>
        <item x="61"/>
        <item x="11"/>
        <item x="49"/>
        <item x="33"/>
        <item x="29"/>
        <item x="28"/>
        <item x="67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  <pivotField axis="axisPage" compact="0" outline="0" showAll="0" defaultSubtotal="0">
      <items count="5">
        <item x="1"/>
        <item x="2"/>
        <item x="0"/>
        <item x="3"/>
        <item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00">
        <item x="61"/>
        <item x="60"/>
        <item x="10"/>
        <item x="71"/>
        <item x="58"/>
        <item x="80"/>
        <item x="90"/>
        <item x="20"/>
        <item x="1"/>
        <item x="8"/>
        <item x="79"/>
        <item x="96"/>
        <item x="78"/>
        <item x="18"/>
        <item x="23"/>
        <item x="92"/>
        <item x="72"/>
        <item x="65"/>
        <item x="45"/>
        <item x="88"/>
        <item x="91"/>
        <item x="70"/>
        <item x="95"/>
        <item x="62"/>
        <item x="9"/>
        <item x="68"/>
        <item x="69"/>
        <item x="67"/>
        <item x="81"/>
        <item x="19"/>
        <item x="7"/>
        <item x="21"/>
        <item x="87"/>
        <item x="22"/>
        <item x="46"/>
        <item x="63"/>
        <item x="73"/>
        <item x="97"/>
        <item x="48"/>
        <item x="4"/>
        <item m="1" x="98"/>
        <item x="83"/>
        <item x="24"/>
        <item x="5"/>
        <item x="82"/>
        <item x="75"/>
        <item x="49"/>
        <item x="89"/>
        <item x="57"/>
        <item m="1" x="99"/>
        <item x="6"/>
        <item x="26"/>
        <item x="11"/>
        <item x="86"/>
        <item x="16"/>
        <item x="94"/>
        <item x="29"/>
        <item x="33"/>
        <item x="55"/>
        <item x="53"/>
        <item x="74"/>
        <item x="36"/>
        <item x="44"/>
        <item x="2"/>
        <item x="84"/>
        <item x="59"/>
        <item x="76"/>
        <item x="54"/>
        <item x="77"/>
        <item x="64"/>
        <item x="41"/>
        <item x="28"/>
        <item x="85"/>
        <item x="93"/>
        <item x="14"/>
        <item x="34"/>
        <item x="3"/>
        <item x="15"/>
        <item x="0"/>
        <item x="52"/>
        <item x="25"/>
        <item x="42"/>
        <item x="66"/>
        <item x="51"/>
        <item x="17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</items>
    </pivotField>
  </pivotFields>
  <rowFields count="5">
    <field x="9"/>
    <field x="3"/>
    <field x="1"/>
    <field x="5"/>
    <field x="2"/>
  </rowFields>
  <rowItems count="49">
    <i>
      <x v="24"/>
      <x v="24"/>
      <x v="7"/>
      <x v="77"/>
      <x v="74"/>
    </i>
    <i>
      <x v="28"/>
      <x v="18"/>
      <x v="20"/>
      <x v="55"/>
      <x v="12"/>
    </i>
    <i>
      <x v="30"/>
      <x v="24"/>
      <x v="5"/>
      <x v="76"/>
      <x v="73"/>
    </i>
    <i>
      <x v="32"/>
      <x v="18"/>
      <x v="37"/>
      <x v="94"/>
      <x v="69"/>
    </i>
    <i>
      <x v="36"/>
      <x v="17"/>
      <x v="4"/>
      <x v="75"/>
      <x v="8"/>
    </i>
    <i>
      <x v="41"/>
      <x v="30"/>
      <x v="34"/>
      <x v="91"/>
      <x v="77"/>
    </i>
    <i>
      <x v="43"/>
      <x v="6"/>
      <x v="4"/>
      <x v="75"/>
      <x v="10"/>
    </i>
    <i>
      <x v="44"/>
      <x v="18"/>
      <x v="31"/>
      <x v="56"/>
      <x v="44"/>
    </i>
    <i>
      <x v="45"/>
      <x v="5"/>
      <x v="66"/>
      <x v="78"/>
      <x v="75"/>
    </i>
    <i>
      <x v="46"/>
      <x v="23"/>
      <x v="43"/>
      <x v="98"/>
      <x v="33"/>
    </i>
    <i>
      <x v="48"/>
      <x v="23"/>
      <x v="51"/>
      <x v="103"/>
      <x v="9"/>
    </i>
    <i>
      <x v="50"/>
      <x v="2"/>
      <x v="4"/>
      <x v="75"/>
      <x v="62"/>
    </i>
    <i>
      <x v="51"/>
      <x v="28"/>
      <x v="22"/>
      <x v="84"/>
      <x v="71"/>
    </i>
    <i>
      <x v="53"/>
      <x v="14"/>
      <x v="68"/>
      <x v="93"/>
      <x v="78"/>
    </i>
    <i>
      <x v="54"/>
      <x v="18"/>
      <x v="14"/>
      <x/>
      <x/>
    </i>
    <i>
      <x v="56"/>
      <x v="23"/>
      <x v="25"/>
      <x v="86"/>
      <x v="64"/>
    </i>
    <i>
      <x v="57"/>
      <x v="28"/>
      <x v="28"/>
      <x v="67"/>
      <x v="61"/>
    </i>
    <i>
      <x v="58"/>
      <x v="14"/>
      <x v="49"/>
      <x v="101"/>
      <x v="63"/>
    </i>
    <i>
      <x v="59"/>
      <x v="23"/>
      <x v="47"/>
      <x v="100"/>
      <x v="47"/>
    </i>
    <i>
      <x v="62"/>
      <x v="14"/>
      <x v="39"/>
      <x v="95"/>
      <x v="1"/>
    </i>
    <i>
      <x v="63"/>
      <x v="23"/>
      <x v="2"/>
      <x v="27"/>
      <x v="11"/>
    </i>
    <i>
      <x v="64"/>
      <x v="18"/>
      <x v="35"/>
      <x v="58"/>
      <x v="50"/>
    </i>
    <i>
      <x v="66"/>
      <x v="18"/>
      <x v="12"/>
      <x v="79"/>
      <x v="49"/>
    </i>
    <i>
      <x v="67"/>
      <x v="14"/>
      <x v="48"/>
      <x v="40"/>
      <x v="39"/>
    </i>
    <i>
      <x v="68"/>
      <x v="11"/>
      <x v="13"/>
      <x v="15"/>
      <x v="3"/>
    </i>
    <i>
      <x v="69"/>
      <x v="13"/>
      <x v="58"/>
      <x v="107"/>
      <x v="28"/>
    </i>
    <i>
      <x v="71"/>
      <x v="8"/>
      <x v="24"/>
      <x v="69"/>
      <x v="45"/>
    </i>
    <i>
      <x v="72"/>
      <x v="11"/>
      <x v="36"/>
      <x v="92"/>
      <x v="6"/>
    </i>
    <i>
      <x v="73"/>
      <x v="18"/>
      <x v="70"/>
      <x v="108"/>
      <x v="82"/>
    </i>
    <i>
      <x v="75"/>
      <x v="11"/>
      <x v="29"/>
      <x v="26"/>
      <x v="24"/>
    </i>
    <i>
      <x v="76"/>
      <x v="11"/>
      <x v="3"/>
      <x v="73"/>
      <x v="34"/>
    </i>
    <i>
      <x v="78"/>
      <x v="23"/>
      <x/>
      <x v="29"/>
      <x v="46"/>
    </i>
    <i>
      <x v="79"/>
      <x v="29"/>
      <x v="46"/>
      <x v="30"/>
      <x v="54"/>
    </i>
    <i>
      <x v="80"/>
      <x v="5"/>
      <x v="21"/>
      <x v="39"/>
      <x v="40"/>
    </i>
    <i>
      <x v="83"/>
      <x v="5"/>
      <x v="45"/>
      <x v="2"/>
      <x v="59"/>
    </i>
    <i>
      <x v="84"/>
      <x v="18"/>
      <x v="14"/>
      <x/>
      <x v="32"/>
    </i>
    <i>
      <x v="85"/>
      <x v="11"/>
      <x v="10"/>
      <x v="34"/>
      <x v="29"/>
    </i>
    <i>
      <x v="86"/>
      <x v="8"/>
      <x v="11"/>
      <x v="13"/>
      <x v="22"/>
    </i>
    <i>
      <x v="87"/>
      <x v="29"/>
      <x v="33"/>
      <x v="90"/>
      <x v="20"/>
    </i>
    <i>
      <x v="88"/>
      <x v="29"/>
      <x v="44"/>
      <x v="99"/>
      <x v="15"/>
    </i>
    <i>
      <x v="89"/>
      <x v="29"/>
      <x v="30"/>
      <x v="88"/>
      <x v="14"/>
    </i>
    <i>
      <x v="90"/>
      <x v="18"/>
      <x v="27"/>
      <x v="87"/>
      <x v="67"/>
    </i>
    <i>
      <x v="93"/>
      <x v="18"/>
      <x v="32"/>
      <x v="89"/>
      <x v="31"/>
    </i>
    <i>
      <x v="94"/>
      <x v="18"/>
      <x v="23"/>
      <x v="85"/>
      <x v="7"/>
    </i>
    <i>
      <x v="95"/>
      <x v="18"/>
      <x v="27"/>
      <x v="87"/>
      <x v="43"/>
    </i>
    <i>
      <x v="96"/>
      <x v="11"/>
      <x v="38"/>
      <x v="33"/>
      <x v="70"/>
    </i>
    <i>
      <x v="98"/>
      <x v="14"/>
      <x v="42"/>
      <x v="97"/>
      <x v="13"/>
    </i>
    <i>
      <x v="99"/>
      <x v="8"/>
      <x v="50"/>
      <x v="10"/>
      <x v="36"/>
    </i>
    <i t="grand">
      <x/>
    </i>
  </rowItems>
  <colFields count="1">
    <field x="-2"/>
  </colFields>
  <colItems count="2">
    <i>
      <x/>
    </i>
    <i i="1">
      <x v="1"/>
    </i>
  </colItems>
  <pageFields count="2">
    <pageField fld="6" item="2" hier="-1"/>
    <pageField fld="0" item="1" hier="-1"/>
  </pageFields>
  <dataFields count="2">
    <dataField name="Sum of Total Cap" fld="7" baseField="4" baseItem="2" numFmtId="3"/>
    <dataField name="Sum of EIA Cap" fld="8" baseField="4" baseItem="39" numFmtId="3"/>
  </dataFields>
  <formats count="3">
    <format dxfId="44">
      <pivotArea outline="0" fieldPosition="0">
        <references count="6">
          <reference field="4294967294" count="1" selected="0">
            <x v="0"/>
          </reference>
          <reference field="1" count="4" selected="0">
            <x v="4"/>
            <x v="5"/>
            <x v="7"/>
            <x v="43"/>
          </reference>
          <reference field="2" count="4" selected="0">
            <x v="10"/>
            <x v="33"/>
            <x v="73"/>
            <x v="74"/>
          </reference>
          <reference field="3" count="3" selected="0">
            <x v="6"/>
            <x v="23"/>
            <x v="24"/>
          </reference>
          <reference field="5" count="4" selected="0">
            <x v="75"/>
            <x v="76"/>
            <x v="77"/>
            <x v="98"/>
          </reference>
          <reference field="9" count="4" selected="0">
            <x v="24"/>
            <x v="30"/>
            <x v="43"/>
            <x v="46"/>
          </reference>
        </references>
      </pivotArea>
    </format>
    <format dxfId="43">
      <pivotArea outline="0" fieldPosition="0">
        <references count="6">
          <reference field="4294967294" count="1" selected="0">
            <x v="0"/>
          </reference>
          <reference field="1" count="10" selected="0">
            <x v="4"/>
            <x v="5"/>
            <x v="7"/>
            <x v="20"/>
            <x v="31"/>
            <x v="34"/>
            <x v="37"/>
            <x v="43"/>
            <x v="51"/>
            <x v="66"/>
          </reference>
          <reference field="2" count="11" selected="0">
            <x v="8"/>
            <x v="9"/>
            <x v="10"/>
            <x v="12"/>
            <x v="33"/>
            <x v="44"/>
            <x v="69"/>
            <x v="73"/>
            <x v="74"/>
            <x v="75"/>
            <x v="77"/>
          </reference>
          <reference field="3" count="7" selected="0">
            <x v="5"/>
            <x v="6"/>
            <x v="17"/>
            <x v="18"/>
            <x v="23"/>
            <x v="24"/>
            <x v="30"/>
          </reference>
          <reference field="5" count="10" selected="0">
            <x v="55"/>
            <x v="56"/>
            <x v="75"/>
            <x v="76"/>
            <x v="77"/>
            <x v="78"/>
            <x v="91"/>
            <x v="94"/>
            <x v="98"/>
            <x v="103"/>
          </reference>
          <reference field="9" count="11" selected="0">
            <x v="24"/>
            <x v="28"/>
            <x v="30"/>
            <x v="32"/>
            <x v="36"/>
            <x v="41"/>
            <x v="43"/>
            <x v="44"/>
            <x v="45"/>
            <x v="46"/>
            <x v="48"/>
          </reference>
        </references>
      </pivotArea>
    </format>
    <format dxfId="42">
      <pivotArea outline="0" fieldPosition="0">
        <references count="6">
          <reference field="4294967294" count="1" selected="0">
            <x v="0"/>
          </reference>
          <reference field="1" count="10" selected="0">
            <x v="4"/>
            <x v="5"/>
            <x v="7"/>
            <x v="20"/>
            <x v="31"/>
            <x v="34"/>
            <x v="37"/>
            <x v="43"/>
            <x v="51"/>
            <x v="66"/>
          </reference>
          <reference field="2" count="11" selected="0">
            <x v="8"/>
            <x v="9"/>
            <x v="10"/>
            <x v="12"/>
            <x v="33"/>
            <x v="44"/>
            <x v="69"/>
            <x v="73"/>
            <x v="74"/>
            <x v="75"/>
            <x v="77"/>
          </reference>
          <reference field="3" count="7" selected="0">
            <x v="5"/>
            <x v="6"/>
            <x v="17"/>
            <x v="18"/>
            <x v="23"/>
            <x v="24"/>
            <x v="30"/>
          </reference>
          <reference field="5" count="10" selected="0">
            <x v="55"/>
            <x v="56"/>
            <x v="75"/>
            <x v="76"/>
            <x v="77"/>
            <x v="78"/>
            <x v="91"/>
            <x v="94"/>
            <x v="98"/>
            <x v="103"/>
          </reference>
          <reference field="9" count="11" selected="0">
            <x v="24"/>
            <x v="28"/>
            <x v="30"/>
            <x v="32"/>
            <x v="36"/>
            <x v="41"/>
            <x v="43"/>
            <x v="44"/>
            <x v="45"/>
            <x v="46"/>
            <x v="4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5" indent="0" compact="0" compactData="0" gridDropZones="1" multipleFieldFilters="0" fieldListSortAscending="1">
  <location ref="A3:H43" firstHeaderRow="1" firstDataRow="3" firstDataCol="2"/>
  <pivotFields count="5">
    <pivotField axis="axisCol" compact="0" outline="0" showAll="0" sortType="descending" defaultSubtotal="0">
      <items count="4">
        <item x="3"/>
        <item x="2"/>
        <item x="1"/>
        <item x="0"/>
      </items>
    </pivotField>
    <pivotField axis="axisCol" compact="0" outline="0" showAll="0" sortType="descending">
      <items count="5">
        <item x="3"/>
        <item x="2"/>
        <item x="1"/>
        <item x="0"/>
        <item t="default"/>
      </items>
    </pivotField>
    <pivotField axis="axisRow" compact="0" outline="0" showAll="0">
      <items count="22">
        <item x="11"/>
        <item x="12"/>
        <item x="8"/>
        <item x="3"/>
        <item x="0"/>
        <item x="1"/>
        <item x="4"/>
        <item m="1" x="20"/>
        <item x="7"/>
        <item x="9"/>
        <item x="10"/>
        <item x="16"/>
        <item x="13"/>
        <item x="14"/>
        <item x="15"/>
        <item x="17"/>
        <item x="18"/>
        <item x="19"/>
        <item x="2"/>
        <item x="5"/>
        <item x="6"/>
        <item t="default"/>
      </items>
    </pivotField>
    <pivotField axis="axisRow" compact="0" outline="0" showAll="0" defaultSubtotal="0">
      <items count="6">
        <item x="1"/>
        <item x="2"/>
        <item x="0"/>
        <item x="3"/>
        <item x="4"/>
        <item x="5"/>
      </items>
    </pivotField>
    <pivotField dataField="1" compact="0" outline="0" showAll="0"/>
  </pivotFields>
  <rowFields count="2">
    <field x="3"/>
    <field x="2"/>
  </rowFields>
  <rowItems count="38">
    <i>
      <x/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  <x/>
    </i>
    <i r="1">
      <x v="3"/>
    </i>
    <i r="1">
      <x v="13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8"/>
    </i>
    <i>
      <x v="3"/>
      <x v="14"/>
    </i>
    <i r="1">
      <x v="19"/>
    </i>
    <i r="1">
      <x v="20"/>
    </i>
    <i>
      <x v="4"/>
      <x/>
    </i>
    <i r="1">
      <x v="3"/>
    </i>
    <i r="1">
      <x v="11"/>
    </i>
    <i r="1">
      <x v="15"/>
    </i>
    <i r="1">
      <x v="16"/>
    </i>
    <i>
      <x v="5"/>
      <x v="2"/>
    </i>
    <i r="1">
      <x v="4"/>
    </i>
    <i r="1">
      <x v="5"/>
    </i>
    <i r="1">
      <x v="17"/>
    </i>
  </rowItems>
  <colFields count="2">
    <field x="0"/>
    <field x="1"/>
  </colFields>
  <colItems count="6">
    <i>
      <x/>
      <x/>
    </i>
    <i r="1">
      <x v="1"/>
    </i>
    <i>
      <x v="1"/>
      <x v="1"/>
    </i>
    <i r="1">
      <x v="2"/>
    </i>
    <i>
      <x v="2"/>
      <x v="2"/>
    </i>
    <i>
      <x v="3"/>
      <x v="3"/>
    </i>
  </colItems>
  <dataFields count="1">
    <dataField name="Sum of value" fld="4" baseField="2" baseItem="3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secure.sos.state.or.us/oard/viewSingleRule.action?ruleVrsnRsn=269347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outlooks/aeo/data/browse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outlooks/aeo/data/browser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56"/>
  <sheetViews>
    <sheetView zoomScale="85" zoomScaleNormal="85" workbookViewId="0">
      <pane xSplit="3" ySplit="3" topLeftCell="O69" activePane="bottomRight" state="frozen"/>
      <selection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RowHeight="15" x14ac:dyDescent="0.25"/>
  <cols>
    <col min="1" max="1" width="12" bestFit="1" customWidth="1"/>
    <col min="2" max="2" width="22.7109375" bestFit="1" customWidth="1"/>
    <col min="3" max="3" width="26.140625" bestFit="1" customWidth="1"/>
    <col min="4" max="19" width="13.42578125" customWidth="1"/>
    <col min="20" max="20" width="13" customWidth="1"/>
    <col min="21" max="28" width="15.140625" customWidth="1"/>
    <col min="29" max="43" width="15.85546875" customWidth="1"/>
  </cols>
  <sheetData>
    <row r="1" spans="1:43" ht="21" x14ac:dyDescent="0.35">
      <c r="A1" s="97" t="s">
        <v>718</v>
      </c>
      <c r="T1" s="154" t="s">
        <v>857</v>
      </c>
      <c r="U1" s="102"/>
      <c r="V1" s="102"/>
      <c r="W1" s="102"/>
      <c r="X1" s="102"/>
      <c r="Y1" s="102"/>
      <c r="Z1" s="102"/>
      <c r="AA1" s="102"/>
    </row>
    <row r="2" spans="1:43" x14ac:dyDescent="0.25">
      <c r="A2" s="20" t="s">
        <v>277</v>
      </c>
      <c r="D2" s="20" t="s">
        <v>252</v>
      </c>
    </row>
    <row r="3" spans="1:43" x14ac:dyDescent="0.25">
      <c r="A3" s="20" t="s">
        <v>253</v>
      </c>
      <c r="B3" s="20" t="s">
        <v>272</v>
      </c>
      <c r="C3" s="20" t="s">
        <v>257</v>
      </c>
      <c r="D3" s="21">
        <v>42370</v>
      </c>
      <c r="E3" s="21">
        <v>42461</v>
      </c>
      <c r="F3" s="21">
        <v>42552</v>
      </c>
      <c r="G3" s="21">
        <v>42644</v>
      </c>
      <c r="H3" s="21">
        <v>42736</v>
      </c>
      <c r="I3" s="21">
        <v>42826</v>
      </c>
      <c r="J3" s="21">
        <v>42917</v>
      </c>
      <c r="K3" s="21">
        <v>43009</v>
      </c>
      <c r="L3" s="21">
        <v>43101</v>
      </c>
      <c r="M3" s="21">
        <v>43191</v>
      </c>
      <c r="N3" s="21">
        <v>43282</v>
      </c>
      <c r="O3" s="21">
        <v>43374</v>
      </c>
      <c r="P3" s="21">
        <v>43466</v>
      </c>
      <c r="Q3" s="21">
        <v>43556</v>
      </c>
      <c r="R3" s="21">
        <v>43647</v>
      </c>
      <c r="S3" s="21">
        <v>43739</v>
      </c>
      <c r="T3" s="21">
        <v>43831</v>
      </c>
      <c r="U3" s="21">
        <v>43922</v>
      </c>
      <c r="V3" s="21">
        <v>44013</v>
      </c>
      <c r="W3" s="21">
        <v>44105</v>
      </c>
      <c r="X3" s="21">
        <v>44197</v>
      </c>
      <c r="Y3" s="21">
        <v>44287</v>
      </c>
      <c r="Z3" s="21">
        <v>44378</v>
      </c>
      <c r="AA3" s="21">
        <v>44470</v>
      </c>
      <c r="AB3" s="21">
        <v>44562</v>
      </c>
      <c r="AC3" s="21">
        <v>44652</v>
      </c>
      <c r="AD3" s="21">
        <v>44743</v>
      </c>
      <c r="AE3" s="21">
        <v>44835</v>
      </c>
      <c r="AF3" s="21">
        <v>44927</v>
      </c>
      <c r="AG3" s="21">
        <v>45017</v>
      </c>
      <c r="AH3" s="21">
        <v>45108</v>
      </c>
      <c r="AI3" s="21">
        <v>45200</v>
      </c>
      <c r="AJ3" s="21">
        <v>45292</v>
      </c>
      <c r="AK3" s="21">
        <v>45383</v>
      </c>
      <c r="AL3" s="21">
        <v>45474</v>
      </c>
      <c r="AM3" s="21">
        <v>45566</v>
      </c>
      <c r="AN3" s="21">
        <v>45658</v>
      </c>
      <c r="AO3" s="21">
        <v>45748</v>
      </c>
      <c r="AP3" s="21">
        <v>45839</v>
      </c>
      <c r="AQ3" s="21">
        <v>45931</v>
      </c>
    </row>
    <row r="4" spans="1:43" x14ac:dyDescent="0.25">
      <c r="A4" s="147" t="s">
        <v>256</v>
      </c>
      <c r="B4" s="147" t="s">
        <v>275</v>
      </c>
      <c r="C4" s="147" t="s">
        <v>3</v>
      </c>
      <c r="D4" s="148">
        <v>190754692</v>
      </c>
      <c r="E4" s="148">
        <v>157527795</v>
      </c>
      <c r="F4" s="148">
        <v>184857170</v>
      </c>
      <c r="G4" s="148">
        <v>163444238</v>
      </c>
      <c r="H4" s="148">
        <v>139034459</v>
      </c>
      <c r="I4" s="148">
        <v>184704352</v>
      </c>
      <c r="J4" s="148">
        <v>193041955</v>
      </c>
      <c r="K4" s="148">
        <v>161603867</v>
      </c>
      <c r="L4" s="148">
        <v>161965588</v>
      </c>
      <c r="M4" s="148">
        <v>184672867</v>
      </c>
      <c r="N4" s="148">
        <v>208439341</v>
      </c>
      <c r="O4" s="148">
        <v>172090033</v>
      </c>
      <c r="P4" s="148">
        <v>173032637</v>
      </c>
      <c r="Q4" s="148">
        <v>166966084</v>
      </c>
      <c r="R4" s="148">
        <v>188285348</v>
      </c>
      <c r="S4" s="148">
        <v>178472968</v>
      </c>
      <c r="T4" s="148">
        <v>140391429</v>
      </c>
    </row>
    <row r="5" spans="1:43" x14ac:dyDescent="0.25">
      <c r="A5" s="147"/>
      <c r="B5" s="147"/>
      <c r="C5" s="147" t="s">
        <v>261</v>
      </c>
      <c r="D5" s="148">
        <v>0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8">
        <v>0</v>
      </c>
      <c r="L5" s="148">
        <v>0</v>
      </c>
      <c r="M5" s="148">
        <v>16659</v>
      </c>
      <c r="N5" s="148">
        <v>0</v>
      </c>
      <c r="O5" s="148">
        <v>0</v>
      </c>
      <c r="P5" s="148">
        <v>-1915</v>
      </c>
      <c r="Q5" s="148">
        <v>-6563</v>
      </c>
      <c r="R5" s="148">
        <v>-7587</v>
      </c>
      <c r="S5" s="148">
        <v>-5258</v>
      </c>
      <c r="T5" s="148">
        <v>-29358</v>
      </c>
    </row>
    <row r="6" spans="1:43" x14ac:dyDescent="0.25">
      <c r="A6" s="147"/>
      <c r="B6" s="147"/>
      <c r="C6" s="147" t="s">
        <v>262</v>
      </c>
      <c r="D6" s="148">
        <v>10272272</v>
      </c>
      <c r="E6" s="148">
        <v>921340</v>
      </c>
      <c r="F6" s="148">
        <v>-556919</v>
      </c>
      <c r="G6" s="148">
        <v>2169583</v>
      </c>
      <c r="H6" s="148">
        <v>1604260</v>
      </c>
      <c r="I6" s="148">
        <v>369644</v>
      </c>
      <c r="J6" s="148">
        <v>71965</v>
      </c>
      <c r="K6" s="148">
        <v>2358476</v>
      </c>
      <c r="L6" s="148">
        <v>-76495</v>
      </c>
      <c r="M6" s="148">
        <v>-3232199</v>
      </c>
      <c r="N6" s="148">
        <v>-3865648</v>
      </c>
      <c r="O6" s="148">
        <v>-4155248</v>
      </c>
      <c r="P6" s="148">
        <v>1815092</v>
      </c>
      <c r="Q6" s="148">
        <v>2970595</v>
      </c>
      <c r="R6" s="148">
        <v>3828923</v>
      </c>
      <c r="S6" s="148">
        <v>1063480</v>
      </c>
      <c r="T6" s="148">
        <v>-2767599</v>
      </c>
    </row>
    <row r="7" spans="1:43" x14ac:dyDescent="0.25">
      <c r="A7" s="147"/>
      <c r="B7" s="147"/>
      <c r="C7" s="147" t="s">
        <v>4</v>
      </c>
      <c r="D7" s="148">
        <v>375239852</v>
      </c>
      <c r="E7" s="148">
        <v>326790235</v>
      </c>
      <c r="F7" s="148">
        <v>377613067</v>
      </c>
      <c r="G7" s="148">
        <v>320334675</v>
      </c>
      <c r="H7" s="148">
        <v>263889421</v>
      </c>
      <c r="I7" s="148">
        <v>350623417</v>
      </c>
      <c r="J7" s="148">
        <v>398951677</v>
      </c>
      <c r="K7" s="148">
        <v>357091065</v>
      </c>
      <c r="L7" s="148">
        <v>321842960</v>
      </c>
      <c r="M7" s="148">
        <v>396147902</v>
      </c>
      <c r="N7" s="148">
        <v>389448668</v>
      </c>
      <c r="O7" s="148">
        <v>366263564</v>
      </c>
      <c r="P7" s="148">
        <v>354689704</v>
      </c>
      <c r="Q7" s="148">
        <v>375127081</v>
      </c>
      <c r="R7" s="148">
        <v>380415507</v>
      </c>
      <c r="S7" s="148">
        <v>386761381</v>
      </c>
      <c r="T7" s="148">
        <v>338253997</v>
      </c>
    </row>
    <row r="8" spans="1:43" x14ac:dyDescent="0.25">
      <c r="A8" s="147"/>
      <c r="B8" s="147"/>
      <c r="C8" s="147" t="s">
        <v>270</v>
      </c>
      <c r="D8" s="148">
        <v>5664418</v>
      </c>
      <c r="E8" s="148">
        <v>310003</v>
      </c>
      <c r="F8" s="148">
        <v>918335</v>
      </c>
      <c r="G8" s="148">
        <v>16620980</v>
      </c>
      <c r="H8" s="148">
        <v>14509698</v>
      </c>
      <c r="I8" s="148">
        <v>18438774</v>
      </c>
      <c r="J8" s="148">
        <v>25851542</v>
      </c>
      <c r="K8" s="148">
        <v>19055464</v>
      </c>
      <c r="L8" s="148">
        <v>17542433</v>
      </c>
      <c r="M8" s="148">
        <v>19980354</v>
      </c>
      <c r="N8" s="148">
        <v>18477360</v>
      </c>
      <c r="O8" s="148">
        <v>12979878</v>
      </c>
      <c r="P8" s="148">
        <v>18822249</v>
      </c>
      <c r="Q8" s="148">
        <v>19942800</v>
      </c>
      <c r="R8" s="148">
        <v>17125773</v>
      </c>
      <c r="S8" s="148">
        <v>16280993</v>
      </c>
      <c r="T8" s="148">
        <v>-7482271</v>
      </c>
    </row>
    <row r="9" spans="1:43" x14ac:dyDescent="0.25">
      <c r="A9" s="147"/>
      <c r="B9" s="147" t="s">
        <v>276</v>
      </c>
      <c r="C9" s="147"/>
      <c r="D9" s="148">
        <v>581931234</v>
      </c>
      <c r="E9" s="148">
        <v>485549373</v>
      </c>
      <c r="F9" s="148">
        <v>562831653</v>
      </c>
      <c r="G9" s="148">
        <v>502569476</v>
      </c>
      <c r="H9" s="148">
        <v>419037838</v>
      </c>
      <c r="I9" s="148">
        <v>554136187</v>
      </c>
      <c r="J9" s="148">
        <v>617917139</v>
      </c>
      <c r="K9" s="148">
        <v>540108872</v>
      </c>
      <c r="L9" s="148">
        <v>501274486</v>
      </c>
      <c r="M9" s="148">
        <v>597585583</v>
      </c>
      <c r="N9" s="148">
        <v>612499721</v>
      </c>
      <c r="O9" s="148">
        <v>547178227</v>
      </c>
      <c r="P9" s="148">
        <v>548357767</v>
      </c>
      <c r="Q9" s="148">
        <v>564999997</v>
      </c>
      <c r="R9" s="148">
        <v>589647964</v>
      </c>
      <c r="S9" s="148">
        <v>582573564</v>
      </c>
      <c r="T9" s="148">
        <v>468366198</v>
      </c>
    </row>
    <row r="10" spans="1:43" x14ac:dyDescent="0.25">
      <c r="A10" s="147"/>
      <c r="B10" s="147" t="s">
        <v>273</v>
      </c>
      <c r="C10" s="147" t="s">
        <v>259</v>
      </c>
      <c r="D10" s="148">
        <v>0</v>
      </c>
      <c r="E10" s="148">
        <v>0</v>
      </c>
      <c r="F10" s="148">
        <v>218045</v>
      </c>
      <c r="G10" s="148">
        <v>336127</v>
      </c>
      <c r="H10" s="148">
        <v>319232</v>
      </c>
      <c r="I10" s="148">
        <v>423939</v>
      </c>
      <c r="J10" s="148">
        <v>362447</v>
      </c>
      <c r="K10" s="148">
        <v>402283</v>
      </c>
      <c r="L10" s="148">
        <v>187421</v>
      </c>
      <c r="M10" s="148">
        <v>322942</v>
      </c>
      <c r="N10" s="148">
        <v>368794</v>
      </c>
      <c r="O10" s="148">
        <v>457503</v>
      </c>
      <c r="P10" s="148">
        <v>429380</v>
      </c>
      <c r="Q10" s="148">
        <v>471796</v>
      </c>
      <c r="R10" s="148">
        <v>495990</v>
      </c>
      <c r="S10" s="148">
        <v>530766</v>
      </c>
      <c r="T10" s="148">
        <v>586566</v>
      </c>
    </row>
    <row r="11" spans="1:43" x14ac:dyDescent="0.25">
      <c r="A11" s="147"/>
      <c r="B11" s="147"/>
      <c r="C11" s="147" t="s">
        <v>260</v>
      </c>
      <c r="D11" s="148">
        <v>88727</v>
      </c>
      <c r="E11" s="148">
        <v>81346</v>
      </c>
      <c r="F11" s="148">
        <v>98006</v>
      </c>
      <c r="G11" s="148">
        <v>92354</v>
      </c>
      <c r="H11" s="148">
        <v>99904</v>
      </c>
      <c r="I11" s="148">
        <v>115353</v>
      </c>
      <c r="J11" s="148">
        <v>104296</v>
      </c>
      <c r="K11" s="148">
        <v>33816</v>
      </c>
      <c r="L11" s="148">
        <v>84406</v>
      </c>
      <c r="M11" s="148">
        <v>111748</v>
      </c>
      <c r="N11" s="148">
        <v>105494</v>
      </c>
      <c r="O11" s="148">
        <v>81027</v>
      </c>
      <c r="P11" s="148">
        <v>74326</v>
      </c>
      <c r="Q11" s="148">
        <v>83726</v>
      </c>
      <c r="R11" s="148">
        <v>60935</v>
      </c>
      <c r="S11" s="148">
        <v>75549</v>
      </c>
      <c r="T11" s="148">
        <v>61614</v>
      </c>
    </row>
    <row r="12" spans="1:43" x14ac:dyDescent="0.25">
      <c r="A12" s="147"/>
      <c r="B12" s="147"/>
      <c r="C12" s="147" t="s">
        <v>7</v>
      </c>
      <c r="D12" s="148">
        <v>11352077</v>
      </c>
      <c r="E12" s="148">
        <v>11117694</v>
      </c>
      <c r="F12" s="148">
        <v>13039026</v>
      </c>
      <c r="G12" s="148">
        <v>11378429</v>
      </c>
      <c r="H12" s="148">
        <v>9021643</v>
      </c>
      <c r="I12" s="148">
        <v>13379247</v>
      </c>
      <c r="J12" s="148">
        <v>14465304</v>
      </c>
      <c r="K12" s="148">
        <v>14093558</v>
      </c>
      <c r="L12" s="148">
        <v>10796089</v>
      </c>
      <c r="M12" s="148">
        <v>13217757</v>
      </c>
      <c r="N12" s="148">
        <v>14938034</v>
      </c>
      <c r="O12" s="148">
        <v>13232817</v>
      </c>
      <c r="P12" s="148">
        <v>11225046</v>
      </c>
      <c r="Q12" s="148">
        <v>16375170</v>
      </c>
      <c r="R12" s="148">
        <v>16834451</v>
      </c>
      <c r="S12" s="148">
        <v>14838494</v>
      </c>
      <c r="T12" s="148">
        <v>15543670</v>
      </c>
    </row>
    <row r="13" spans="1:43" x14ac:dyDescent="0.25">
      <c r="A13" s="147"/>
      <c r="B13" s="147"/>
      <c r="C13" s="147" t="s">
        <v>258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337496</v>
      </c>
      <c r="L13" s="148">
        <v>301585</v>
      </c>
      <c r="M13" s="148">
        <v>202848</v>
      </c>
      <c r="N13" s="148">
        <v>226799</v>
      </c>
      <c r="O13" s="148">
        <v>488983</v>
      </c>
      <c r="P13" s="148">
        <v>161527</v>
      </c>
      <c r="Q13" s="148">
        <v>455869</v>
      </c>
      <c r="R13" s="148">
        <v>11311233</v>
      </c>
      <c r="S13" s="148">
        <v>4743246</v>
      </c>
      <c r="T13" s="148">
        <v>7890131</v>
      </c>
    </row>
    <row r="14" spans="1:43" x14ac:dyDescent="0.25">
      <c r="A14" s="147"/>
      <c r="B14" s="147"/>
      <c r="C14" s="147" t="s">
        <v>263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431079</v>
      </c>
      <c r="M14" s="148">
        <v>422832</v>
      </c>
      <c r="N14" s="148">
        <v>440204</v>
      </c>
      <c r="O14" s="148">
        <v>433671</v>
      </c>
      <c r="P14" s="148">
        <v>477625</v>
      </c>
      <c r="Q14" s="148">
        <v>490452</v>
      </c>
      <c r="R14" s="148">
        <v>605468</v>
      </c>
      <c r="S14" s="148">
        <v>647036</v>
      </c>
      <c r="T14" s="148">
        <v>690934</v>
      </c>
    </row>
    <row r="15" spans="1:43" x14ac:dyDescent="0.25">
      <c r="A15" s="147"/>
      <c r="B15" s="147"/>
      <c r="C15" s="147" t="s">
        <v>264</v>
      </c>
      <c r="D15" s="148">
        <v>7061</v>
      </c>
      <c r="E15" s="148">
        <v>10979</v>
      </c>
      <c r="F15" s="148">
        <v>15031</v>
      </c>
      <c r="G15" s="148">
        <v>14084</v>
      </c>
      <c r="H15" s="148">
        <v>14322</v>
      </c>
      <c r="I15" s="148">
        <v>18144</v>
      </c>
      <c r="J15" s="148">
        <v>24117</v>
      </c>
      <c r="K15" s="148">
        <v>22967</v>
      </c>
      <c r="L15" s="148">
        <v>18643</v>
      </c>
      <c r="M15" s="148">
        <v>26424</v>
      </c>
      <c r="N15" s="148">
        <v>34852</v>
      </c>
      <c r="O15" s="148">
        <v>43869</v>
      </c>
      <c r="P15" s="148">
        <v>43384</v>
      </c>
      <c r="Q15" s="148">
        <v>54052</v>
      </c>
      <c r="R15" s="148">
        <v>70193</v>
      </c>
      <c r="S15" s="148">
        <v>69198</v>
      </c>
      <c r="T15" s="148">
        <v>54381</v>
      </c>
    </row>
    <row r="16" spans="1:43" x14ac:dyDescent="0.25">
      <c r="A16" s="147"/>
      <c r="B16" s="147"/>
      <c r="C16" s="147" t="s">
        <v>265</v>
      </c>
      <c r="D16" s="148">
        <v>10084584</v>
      </c>
      <c r="E16" s="148">
        <v>10636624</v>
      </c>
      <c r="F16" s="148">
        <v>9704693</v>
      </c>
      <c r="G16" s="148">
        <v>10227805</v>
      </c>
      <c r="H16" s="148">
        <v>9776863</v>
      </c>
      <c r="I16" s="148">
        <v>9310276</v>
      </c>
      <c r="J16" s="148">
        <v>9212448</v>
      </c>
      <c r="K16" s="148">
        <v>8937202</v>
      </c>
      <c r="L16" s="148">
        <v>8411434</v>
      </c>
      <c r="M16" s="148">
        <v>8861240</v>
      </c>
      <c r="N16" s="148">
        <v>9273634</v>
      </c>
      <c r="O16" s="148">
        <v>8795011</v>
      </c>
      <c r="P16" s="148">
        <v>7797055</v>
      </c>
      <c r="Q16" s="148">
        <v>9379218</v>
      </c>
      <c r="R16" s="148">
        <v>14044376</v>
      </c>
      <c r="S16" s="148">
        <v>13891154</v>
      </c>
      <c r="T16" s="148">
        <v>12830798</v>
      </c>
    </row>
    <row r="17" spans="1:20" x14ac:dyDescent="0.25">
      <c r="A17" s="147"/>
      <c r="B17" s="147"/>
      <c r="C17" s="147" t="s">
        <v>266</v>
      </c>
      <c r="D17" s="148">
        <v>1219304</v>
      </c>
      <c r="E17" s="148">
        <v>0</v>
      </c>
      <c r="F17" s="148">
        <v>341382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298937</v>
      </c>
      <c r="R17" s="148">
        <v>0</v>
      </c>
      <c r="S17" s="148">
        <v>172797</v>
      </c>
      <c r="T17" s="148">
        <v>0</v>
      </c>
    </row>
    <row r="18" spans="1:20" x14ac:dyDescent="0.25">
      <c r="A18" s="147"/>
      <c r="B18" s="147"/>
      <c r="C18" s="147" t="s">
        <v>267</v>
      </c>
      <c r="D18" s="148">
        <v>14139186</v>
      </c>
      <c r="E18" s="148">
        <v>13543571</v>
      </c>
      <c r="F18" s="148">
        <v>16763834</v>
      </c>
      <c r="G18" s="148">
        <v>11612820</v>
      </c>
      <c r="H18" s="148">
        <v>12743468</v>
      </c>
      <c r="I18" s="148">
        <v>17354390</v>
      </c>
      <c r="J18" s="148">
        <v>15301245</v>
      </c>
      <c r="K18" s="148">
        <v>22286606</v>
      </c>
      <c r="L18" s="148">
        <v>23044585</v>
      </c>
      <c r="M18" s="148">
        <v>24546488</v>
      </c>
      <c r="N18" s="148">
        <v>29679739</v>
      </c>
      <c r="O18" s="148">
        <v>30617772</v>
      </c>
      <c r="P18" s="148">
        <v>26435068</v>
      </c>
      <c r="Q18" s="148">
        <v>27263997</v>
      </c>
      <c r="R18" s="148">
        <v>30484265</v>
      </c>
      <c r="S18" s="148">
        <v>27523886</v>
      </c>
      <c r="T18" s="148">
        <v>24343383</v>
      </c>
    </row>
    <row r="19" spans="1:20" x14ac:dyDescent="0.25">
      <c r="A19" s="147"/>
      <c r="B19" s="147"/>
      <c r="C19" s="147" t="s">
        <v>268</v>
      </c>
      <c r="D19" s="148">
        <v>24779263</v>
      </c>
      <c r="E19" s="148">
        <v>16846719</v>
      </c>
      <c r="F19" s="148">
        <v>19851146</v>
      </c>
      <c r="G19" s="148">
        <v>15078450</v>
      </c>
      <c r="H19" s="148">
        <v>15727391</v>
      </c>
      <c r="I19" s="148">
        <v>14239785</v>
      </c>
      <c r="J19" s="148">
        <v>21952322</v>
      </c>
      <c r="K19" s="148">
        <v>9236517</v>
      </c>
      <c r="L19" s="148">
        <v>8661266</v>
      </c>
      <c r="M19" s="148">
        <v>4791519</v>
      </c>
      <c r="N19" s="148">
        <v>5968474</v>
      </c>
      <c r="O19" s="148">
        <v>2689426</v>
      </c>
      <c r="P19" s="148">
        <v>2402287</v>
      </c>
      <c r="Q19" s="148">
        <v>5458262</v>
      </c>
      <c r="R19" s="148">
        <v>962825</v>
      </c>
      <c r="S19" s="148">
        <v>323008</v>
      </c>
      <c r="T19" s="148">
        <v>8231</v>
      </c>
    </row>
    <row r="20" spans="1:20" x14ac:dyDescent="0.25">
      <c r="A20" s="147"/>
      <c r="B20" s="147"/>
      <c r="C20" s="147" t="s">
        <v>269</v>
      </c>
      <c r="D20" s="148">
        <v>47944</v>
      </c>
      <c r="E20" s="148">
        <v>83529</v>
      </c>
      <c r="F20" s="148">
        <v>253637</v>
      </c>
      <c r="G20" s="148">
        <v>212524</v>
      </c>
      <c r="H20" s="148">
        <v>234492</v>
      </c>
      <c r="I20" s="148">
        <v>224761</v>
      </c>
      <c r="J20" s="148">
        <v>249111</v>
      </c>
      <c r="K20" s="148">
        <v>205210</v>
      </c>
      <c r="L20" s="148">
        <v>384241</v>
      </c>
      <c r="M20" s="148">
        <v>347101</v>
      </c>
      <c r="N20" s="148">
        <v>377295</v>
      </c>
      <c r="O20" s="148">
        <v>274978</v>
      </c>
      <c r="P20" s="148">
        <v>301548</v>
      </c>
      <c r="Q20" s="148">
        <v>328445</v>
      </c>
      <c r="R20" s="148">
        <v>360620</v>
      </c>
      <c r="S20" s="148">
        <v>375705</v>
      </c>
      <c r="T20" s="148">
        <v>339900</v>
      </c>
    </row>
    <row r="21" spans="1:20" x14ac:dyDescent="0.25">
      <c r="A21" s="147"/>
      <c r="B21" s="147"/>
      <c r="C21" s="147" t="s">
        <v>278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76765</v>
      </c>
      <c r="P21" s="148">
        <v>27631</v>
      </c>
      <c r="Q21" s="148">
        <v>0</v>
      </c>
      <c r="R21" s="148">
        <v>0</v>
      </c>
      <c r="S21" s="148">
        <v>0</v>
      </c>
      <c r="T21" s="148">
        <v>0</v>
      </c>
    </row>
    <row r="22" spans="1:20" x14ac:dyDescent="0.25">
      <c r="A22" s="147"/>
      <c r="B22" s="147"/>
      <c r="C22" s="147" t="s">
        <v>271</v>
      </c>
      <c r="D22" s="148">
        <v>18821</v>
      </c>
      <c r="E22" s="148">
        <v>18876</v>
      </c>
      <c r="F22" s="148">
        <v>7995</v>
      </c>
      <c r="G22" s="148">
        <v>19358</v>
      </c>
      <c r="H22" s="148">
        <v>20826</v>
      </c>
      <c r="I22" s="148">
        <v>43505</v>
      </c>
      <c r="J22" s="148">
        <v>24333</v>
      </c>
      <c r="K22" s="148">
        <v>39627</v>
      </c>
      <c r="L22" s="148">
        <v>138064</v>
      </c>
      <c r="M22" s="148">
        <v>152677</v>
      </c>
      <c r="N22" s="148">
        <v>162962</v>
      </c>
      <c r="O22" s="148">
        <v>286715</v>
      </c>
      <c r="P22" s="148">
        <v>495110</v>
      </c>
      <c r="Q22" s="148">
        <v>365157</v>
      </c>
      <c r="R22" s="148">
        <v>257693</v>
      </c>
      <c r="S22" s="148">
        <v>485144</v>
      </c>
      <c r="T22" s="148">
        <v>458192</v>
      </c>
    </row>
    <row r="23" spans="1:20" x14ac:dyDescent="0.25">
      <c r="A23" s="147"/>
      <c r="B23" s="147"/>
      <c r="C23" s="147" t="s">
        <v>727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229264</v>
      </c>
      <c r="S23" s="148">
        <v>223209</v>
      </c>
      <c r="T23" s="148">
        <v>217376</v>
      </c>
    </row>
    <row r="24" spans="1:20" x14ac:dyDescent="0.25">
      <c r="A24" s="147"/>
      <c r="B24" s="147" t="s">
        <v>274</v>
      </c>
      <c r="C24" s="147"/>
      <c r="D24" s="148">
        <v>61736967</v>
      </c>
      <c r="E24" s="148">
        <v>52339338</v>
      </c>
      <c r="F24" s="148">
        <v>60292795</v>
      </c>
      <c r="G24" s="148">
        <v>48971951</v>
      </c>
      <c r="H24" s="148">
        <v>47958141</v>
      </c>
      <c r="I24" s="148">
        <v>55109400</v>
      </c>
      <c r="J24" s="148">
        <v>61695623</v>
      </c>
      <c r="K24" s="148">
        <v>55595282</v>
      </c>
      <c r="L24" s="148">
        <v>52458813</v>
      </c>
      <c r="M24" s="148">
        <v>53003576</v>
      </c>
      <c r="N24" s="148">
        <v>61576281</v>
      </c>
      <c r="O24" s="148">
        <v>57478537</v>
      </c>
      <c r="P24" s="148">
        <v>49869987</v>
      </c>
      <c r="Q24" s="148">
        <v>61025081</v>
      </c>
      <c r="R24" s="148">
        <v>75717313</v>
      </c>
      <c r="S24" s="148">
        <v>63899192</v>
      </c>
      <c r="T24" s="148">
        <v>63025176</v>
      </c>
    </row>
    <row r="25" spans="1:20" x14ac:dyDescent="0.25">
      <c r="A25" s="147" t="s">
        <v>254</v>
      </c>
      <c r="B25" s="147" t="s">
        <v>275</v>
      </c>
      <c r="C25" s="147" t="s">
        <v>3</v>
      </c>
      <c r="D25" s="148">
        <v>230</v>
      </c>
      <c r="E25" s="148">
        <v>998</v>
      </c>
      <c r="F25" s="148">
        <v>102</v>
      </c>
      <c r="G25" s="148">
        <v>495</v>
      </c>
      <c r="H25" s="148">
        <v>322</v>
      </c>
      <c r="I25" s="148">
        <v>690</v>
      </c>
      <c r="J25" s="148">
        <v>489</v>
      </c>
      <c r="K25" s="148">
        <v>418</v>
      </c>
      <c r="L25" s="148">
        <v>625</v>
      </c>
      <c r="M25" s="148">
        <v>1068</v>
      </c>
      <c r="N25" s="148">
        <v>626</v>
      </c>
      <c r="O25" s="148">
        <v>1089</v>
      </c>
      <c r="P25" s="148">
        <v>2324</v>
      </c>
      <c r="Q25" s="148">
        <v>1374</v>
      </c>
      <c r="R25" s="148">
        <v>1316</v>
      </c>
      <c r="S25" s="148">
        <v>201</v>
      </c>
      <c r="T25" s="148">
        <v>412</v>
      </c>
    </row>
    <row r="26" spans="1:20" x14ac:dyDescent="0.25">
      <c r="A26" s="147"/>
      <c r="B26" s="147"/>
      <c r="C26" s="147" t="s">
        <v>261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12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21</v>
      </c>
    </row>
    <row r="27" spans="1:20" x14ac:dyDescent="0.25">
      <c r="A27" s="147"/>
      <c r="B27" s="147"/>
      <c r="C27" s="147" t="s">
        <v>262</v>
      </c>
      <c r="D27" s="148">
        <v>129</v>
      </c>
      <c r="E27" s="148">
        <v>185</v>
      </c>
      <c r="F27" s="148">
        <v>213</v>
      </c>
      <c r="G27" s="148">
        <v>100</v>
      </c>
      <c r="H27" s="148">
        <v>158</v>
      </c>
      <c r="I27" s="148">
        <v>311</v>
      </c>
      <c r="J27" s="148">
        <v>306</v>
      </c>
      <c r="K27" s="148">
        <v>214</v>
      </c>
      <c r="L27" s="148">
        <v>562</v>
      </c>
      <c r="M27" s="148">
        <v>870</v>
      </c>
      <c r="N27" s="148">
        <v>1053</v>
      </c>
      <c r="O27" s="148">
        <v>1046</v>
      </c>
      <c r="P27" s="148">
        <v>18</v>
      </c>
      <c r="Q27" s="148">
        <v>219</v>
      </c>
      <c r="R27" s="148">
        <v>132</v>
      </c>
      <c r="S27" s="148">
        <v>106</v>
      </c>
      <c r="T27" s="148">
        <v>531</v>
      </c>
    </row>
    <row r="28" spans="1:20" x14ac:dyDescent="0.25">
      <c r="A28" s="147"/>
      <c r="B28" s="147"/>
      <c r="C28" s="147" t="s">
        <v>4</v>
      </c>
      <c r="D28" s="148">
        <v>0</v>
      </c>
      <c r="E28" s="148">
        <v>703</v>
      </c>
      <c r="F28" s="148">
        <v>123</v>
      </c>
      <c r="G28" s="148">
        <v>122</v>
      </c>
      <c r="H28" s="148">
        <v>194</v>
      </c>
      <c r="I28" s="148">
        <v>841</v>
      </c>
      <c r="J28" s="148">
        <v>677</v>
      </c>
      <c r="K28" s="148">
        <v>331</v>
      </c>
      <c r="L28" s="148">
        <v>128</v>
      </c>
      <c r="M28" s="148">
        <v>1205</v>
      </c>
      <c r="N28" s="148">
        <v>401</v>
      </c>
      <c r="O28" s="148">
        <v>1794</v>
      </c>
      <c r="P28" s="148">
        <v>1564</v>
      </c>
      <c r="Q28" s="148">
        <v>2099</v>
      </c>
      <c r="R28" s="148">
        <v>2409</v>
      </c>
      <c r="S28" s="148">
        <v>2</v>
      </c>
      <c r="T28" s="148">
        <v>2173</v>
      </c>
    </row>
    <row r="29" spans="1:20" x14ac:dyDescent="0.25">
      <c r="A29" s="147"/>
      <c r="B29" s="147"/>
      <c r="C29" s="147" t="s">
        <v>270</v>
      </c>
      <c r="D29" s="148">
        <v>351</v>
      </c>
      <c r="E29" s="148">
        <v>388</v>
      </c>
      <c r="F29" s="148">
        <v>415</v>
      </c>
      <c r="G29" s="148">
        <v>45</v>
      </c>
      <c r="H29" s="148">
        <v>92</v>
      </c>
      <c r="I29" s="148">
        <v>113</v>
      </c>
      <c r="J29" s="148">
        <v>80</v>
      </c>
      <c r="K29" s="148">
        <v>75</v>
      </c>
      <c r="L29" s="148">
        <v>133</v>
      </c>
      <c r="M29" s="148">
        <v>84</v>
      </c>
      <c r="N29" s="148">
        <v>87</v>
      </c>
      <c r="O29" s="148">
        <v>201</v>
      </c>
      <c r="P29" s="148">
        <v>0</v>
      </c>
      <c r="Q29" s="148">
        <v>0</v>
      </c>
      <c r="R29" s="148">
        <v>0</v>
      </c>
      <c r="S29" s="148">
        <v>0</v>
      </c>
      <c r="T29" s="148">
        <v>1102</v>
      </c>
    </row>
    <row r="30" spans="1:20" x14ac:dyDescent="0.25">
      <c r="A30" s="147"/>
      <c r="B30" s="147" t="s">
        <v>276</v>
      </c>
      <c r="C30" s="147"/>
      <c r="D30" s="148">
        <v>710</v>
      </c>
      <c r="E30" s="148">
        <v>2274</v>
      </c>
      <c r="F30" s="148">
        <v>853</v>
      </c>
      <c r="G30" s="148">
        <v>762</v>
      </c>
      <c r="H30" s="148">
        <v>766</v>
      </c>
      <c r="I30" s="148">
        <v>1955</v>
      </c>
      <c r="J30" s="148">
        <v>1552</v>
      </c>
      <c r="K30" s="148">
        <v>1038</v>
      </c>
      <c r="L30" s="148">
        <v>1448</v>
      </c>
      <c r="M30" s="148">
        <v>3239</v>
      </c>
      <c r="N30" s="148">
        <v>2167</v>
      </c>
      <c r="O30" s="148">
        <v>4130</v>
      </c>
      <c r="P30" s="148">
        <v>3906</v>
      </c>
      <c r="Q30" s="148">
        <v>3692</v>
      </c>
      <c r="R30" s="148">
        <v>3857</v>
      </c>
      <c r="S30" s="148">
        <v>309</v>
      </c>
      <c r="T30" s="148">
        <v>4239</v>
      </c>
    </row>
    <row r="31" spans="1:20" x14ac:dyDescent="0.25">
      <c r="A31" s="147"/>
      <c r="B31" s="147" t="s">
        <v>273</v>
      </c>
      <c r="C31" s="147" t="s">
        <v>259</v>
      </c>
      <c r="D31" s="148">
        <v>0</v>
      </c>
      <c r="E31" s="148">
        <v>0</v>
      </c>
      <c r="F31" s="148">
        <v>1655</v>
      </c>
      <c r="G31" s="148">
        <v>2486</v>
      </c>
      <c r="H31" s="148">
        <v>1673</v>
      </c>
      <c r="I31" s="148">
        <v>2277</v>
      </c>
      <c r="J31" s="148">
        <v>2237</v>
      </c>
      <c r="K31" s="148">
        <v>2478</v>
      </c>
      <c r="L31" s="148">
        <v>876</v>
      </c>
      <c r="M31" s="148">
        <v>1337</v>
      </c>
      <c r="N31" s="148">
        <v>1512</v>
      </c>
      <c r="O31" s="148">
        <v>1801</v>
      </c>
      <c r="P31" s="148">
        <v>1629</v>
      </c>
      <c r="Q31" s="148">
        <v>1786</v>
      </c>
      <c r="R31" s="148">
        <v>1863</v>
      </c>
      <c r="S31" s="148">
        <v>2366</v>
      </c>
      <c r="T31" s="148">
        <v>2235</v>
      </c>
    </row>
    <row r="32" spans="1:20" x14ac:dyDescent="0.25">
      <c r="A32" s="147"/>
      <c r="B32" s="147"/>
      <c r="C32" s="147" t="s">
        <v>260</v>
      </c>
      <c r="D32" s="148">
        <v>474</v>
      </c>
      <c r="E32" s="148">
        <v>315</v>
      </c>
      <c r="F32" s="148">
        <v>379</v>
      </c>
      <c r="G32" s="148">
        <v>357</v>
      </c>
      <c r="H32" s="148">
        <v>383</v>
      </c>
      <c r="I32" s="148">
        <v>442</v>
      </c>
      <c r="J32" s="148">
        <v>397</v>
      </c>
      <c r="K32" s="148">
        <v>129</v>
      </c>
      <c r="L32" s="148">
        <v>327</v>
      </c>
      <c r="M32" s="148">
        <v>433</v>
      </c>
      <c r="N32" s="148">
        <v>409</v>
      </c>
      <c r="O32" s="148">
        <v>314</v>
      </c>
      <c r="P32" s="148">
        <v>276</v>
      </c>
      <c r="Q32" s="148">
        <v>311</v>
      </c>
      <c r="R32" s="148">
        <v>226</v>
      </c>
      <c r="S32" s="148">
        <v>280</v>
      </c>
      <c r="T32" s="148">
        <v>219</v>
      </c>
    </row>
    <row r="33" spans="1:20" x14ac:dyDescent="0.25">
      <c r="A33" s="147"/>
      <c r="B33" s="147"/>
      <c r="C33" s="147" t="s">
        <v>7</v>
      </c>
      <c r="D33" s="148">
        <v>58522</v>
      </c>
      <c r="E33" s="148">
        <v>65163</v>
      </c>
      <c r="F33" s="148">
        <v>76518</v>
      </c>
      <c r="G33" s="148">
        <v>69408</v>
      </c>
      <c r="H33" s="148">
        <v>57451</v>
      </c>
      <c r="I33" s="148">
        <v>83371</v>
      </c>
      <c r="J33" s="148">
        <v>92206</v>
      </c>
      <c r="K33" s="148">
        <v>88382</v>
      </c>
      <c r="L33" s="148">
        <v>73371</v>
      </c>
      <c r="M33" s="148">
        <v>88796</v>
      </c>
      <c r="N33" s="148">
        <v>101470</v>
      </c>
      <c r="O33" s="148">
        <v>91164</v>
      </c>
      <c r="P33" s="148">
        <v>83632</v>
      </c>
      <c r="Q33" s="148">
        <v>121910</v>
      </c>
      <c r="R33" s="148">
        <v>125294</v>
      </c>
      <c r="S33" s="148">
        <v>113151</v>
      </c>
      <c r="T33" s="148">
        <v>117045</v>
      </c>
    </row>
    <row r="34" spans="1:20" x14ac:dyDescent="0.25">
      <c r="A34" s="147"/>
      <c r="B34" s="147"/>
      <c r="C34" s="147" t="s">
        <v>258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2863</v>
      </c>
      <c r="L34" s="148">
        <v>1967</v>
      </c>
      <c r="M34" s="148">
        <v>1637</v>
      </c>
      <c r="N34" s="148">
        <v>1800</v>
      </c>
      <c r="O34" s="148">
        <v>4035</v>
      </c>
      <c r="P34" s="148">
        <v>907</v>
      </c>
      <c r="Q34" s="148">
        <v>3104</v>
      </c>
      <c r="R34" s="148">
        <v>98814</v>
      </c>
      <c r="S34" s="148">
        <v>42517</v>
      </c>
      <c r="T34" s="148">
        <v>70541</v>
      </c>
    </row>
    <row r="35" spans="1:20" x14ac:dyDescent="0.25">
      <c r="A35" s="147"/>
      <c r="B35" s="147"/>
      <c r="C35" s="147" t="s">
        <v>263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4288</v>
      </c>
      <c r="M35" s="148">
        <v>4206</v>
      </c>
      <c r="N35" s="148">
        <v>4382</v>
      </c>
      <c r="O35" s="148">
        <v>4313</v>
      </c>
      <c r="P35" s="148">
        <v>4662</v>
      </c>
      <c r="Q35" s="148">
        <v>4756</v>
      </c>
      <c r="R35" s="148">
        <v>5787</v>
      </c>
      <c r="S35" s="148">
        <v>6098</v>
      </c>
      <c r="T35" s="148">
        <v>6390</v>
      </c>
    </row>
    <row r="36" spans="1:20" x14ac:dyDescent="0.25">
      <c r="A36" s="147"/>
      <c r="B36" s="147"/>
      <c r="C36" s="147" t="s">
        <v>264</v>
      </c>
      <c r="D36" s="148">
        <v>321</v>
      </c>
      <c r="E36" s="148">
        <v>500</v>
      </c>
      <c r="F36" s="148">
        <v>684</v>
      </c>
      <c r="G36" s="148">
        <v>640</v>
      </c>
      <c r="H36" s="148">
        <v>649</v>
      </c>
      <c r="I36" s="148">
        <v>822</v>
      </c>
      <c r="J36" s="148">
        <v>1095</v>
      </c>
      <c r="K36" s="148">
        <v>946</v>
      </c>
      <c r="L36" s="148">
        <v>539</v>
      </c>
      <c r="M36" s="148">
        <v>761</v>
      </c>
      <c r="N36" s="148">
        <v>968</v>
      </c>
      <c r="O36" s="148">
        <v>1214</v>
      </c>
      <c r="P36" s="148">
        <v>1187</v>
      </c>
      <c r="Q36" s="148">
        <v>1500</v>
      </c>
      <c r="R36" s="148">
        <v>1965</v>
      </c>
      <c r="S36" s="148">
        <v>1940</v>
      </c>
      <c r="T36" s="148">
        <v>1531</v>
      </c>
    </row>
    <row r="37" spans="1:20" x14ac:dyDescent="0.25">
      <c r="A37" s="147"/>
      <c r="B37" s="147"/>
      <c r="C37" s="147" t="s">
        <v>570</v>
      </c>
      <c r="D37" s="148">
        <v>8573</v>
      </c>
      <c r="E37" s="148">
        <v>8574</v>
      </c>
      <c r="F37" s="148">
        <v>8573</v>
      </c>
      <c r="G37" s="148">
        <v>8574</v>
      </c>
      <c r="H37" s="148">
        <v>10301</v>
      </c>
      <c r="I37" s="148">
        <v>10301</v>
      </c>
      <c r="J37" s="148">
        <v>10301</v>
      </c>
      <c r="K37" s="148">
        <v>10301</v>
      </c>
      <c r="L37" s="148">
        <v>14222</v>
      </c>
      <c r="M37" s="148">
        <v>14222</v>
      </c>
      <c r="N37" s="148">
        <v>14223</v>
      </c>
      <c r="O37" s="148">
        <v>14223</v>
      </c>
      <c r="P37" s="148">
        <v>18317</v>
      </c>
      <c r="Q37" s="148">
        <v>18317</v>
      </c>
      <c r="R37" s="148">
        <v>18318</v>
      </c>
      <c r="S37" s="148">
        <v>18318</v>
      </c>
      <c r="T37" s="148"/>
    </row>
    <row r="38" spans="1:20" x14ac:dyDescent="0.25">
      <c r="A38" s="147"/>
      <c r="B38" s="147"/>
      <c r="C38" s="147" t="s">
        <v>265</v>
      </c>
      <c r="D38" s="148">
        <v>35773</v>
      </c>
      <c r="E38" s="148">
        <v>40149</v>
      </c>
      <c r="F38" s="148">
        <v>37633</v>
      </c>
      <c r="G38" s="148">
        <v>37148</v>
      </c>
      <c r="H38" s="148">
        <v>35320</v>
      </c>
      <c r="I38" s="148">
        <v>41860</v>
      </c>
      <c r="J38" s="148">
        <v>33280</v>
      </c>
      <c r="K38" s="148">
        <v>32285</v>
      </c>
      <c r="L38" s="148">
        <v>30356</v>
      </c>
      <c r="M38" s="148">
        <v>31671</v>
      </c>
      <c r="N38" s="148">
        <v>33147</v>
      </c>
      <c r="O38" s="148">
        <v>35201</v>
      </c>
      <c r="P38" s="148">
        <v>27189</v>
      </c>
      <c r="Q38" s="148">
        <v>34844</v>
      </c>
      <c r="R38" s="148">
        <v>51580</v>
      </c>
      <c r="S38" s="148">
        <v>55045</v>
      </c>
      <c r="T38" s="148">
        <v>45243</v>
      </c>
    </row>
    <row r="39" spans="1:20" x14ac:dyDescent="0.25">
      <c r="A39" s="147"/>
      <c r="B39" s="147"/>
      <c r="C39" s="147" t="s">
        <v>266</v>
      </c>
      <c r="D39" s="148">
        <v>2223</v>
      </c>
      <c r="E39" s="148">
        <v>0</v>
      </c>
      <c r="F39" s="148">
        <v>622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469</v>
      </c>
      <c r="R39" s="148">
        <v>0</v>
      </c>
      <c r="S39" s="148">
        <v>271</v>
      </c>
      <c r="T39" s="148">
        <v>0</v>
      </c>
    </row>
    <row r="40" spans="1:20" x14ac:dyDescent="0.25">
      <c r="A40" s="147"/>
      <c r="B40" s="147"/>
      <c r="C40" s="147" t="s">
        <v>267</v>
      </c>
      <c r="D40" s="148">
        <v>40263</v>
      </c>
      <c r="E40" s="148">
        <v>40120</v>
      </c>
      <c r="F40" s="148">
        <v>51501</v>
      </c>
      <c r="G40" s="148">
        <v>36170</v>
      </c>
      <c r="H40" s="148">
        <v>44266</v>
      </c>
      <c r="I40" s="148">
        <v>52398</v>
      </c>
      <c r="J40" s="148">
        <v>47958</v>
      </c>
      <c r="K40" s="148">
        <v>70276</v>
      </c>
      <c r="L40" s="148">
        <v>68913</v>
      </c>
      <c r="M40" s="148">
        <v>73362</v>
      </c>
      <c r="N40" s="148">
        <v>92640</v>
      </c>
      <c r="O40" s="148">
        <v>95805</v>
      </c>
      <c r="P40" s="148">
        <v>79909</v>
      </c>
      <c r="Q40" s="148">
        <v>88120</v>
      </c>
      <c r="R40" s="148">
        <v>104296</v>
      </c>
      <c r="S40" s="148">
        <v>89853</v>
      </c>
      <c r="T40" s="148">
        <v>78331</v>
      </c>
    </row>
    <row r="41" spans="1:20" x14ac:dyDescent="0.25">
      <c r="A41" s="147"/>
      <c r="B41" s="147"/>
      <c r="C41" s="147" t="s">
        <v>268</v>
      </c>
      <c r="D41" s="148">
        <v>60400</v>
      </c>
      <c r="E41" s="148">
        <v>42330</v>
      </c>
      <c r="F41" s="148">
        <v>51234</v>
      </c>
      <c r="G41" s="148">
        <v>38364</v>
      </c>
      <c r="H41" s="148">
        <v>41545</v>
      </c>
      <c r="I41" s="148">
        <v>36241</v>
      </c>
      <c r="J41" s="148">
        <v>65353</v>
      </c>
      <c r="K41" s="148">
        <v>39825</v>
      </c>
      <c r="L41" s="148">
        <v>21805</v>
      </c>
      <c r="M41" s="148">
        <v>11729</v>
      </c>
      <c r="N41" s="148">
        <v>14563</v>
      </c>
      <c r="O41" s="148">
        <v>6624</v>
      </c>
      <c r="P41" s="148">
        <v>6067</v>
      </c>
      <c r="Q41" s="148">
        <v>13083</v>
      </c>
      <c r="R41" s="148">
        <v>2282</v>
      </c>
      <c r="S41" s="148">
        <v>760</v>
      </c>
      <c r="T41" s="148">
        <v>19</v>
      </c>
    </row>
    <row r="42" spans="1:20" x14ac:dyDescent="0.25">
      <c r="A42" s="147"/>
      <c r="B42" s="147"/>
      <c r="C42" s="147" t="s">
        <v>269</v>
      </c>
      <c r="D42" s="148">
        <v>61</v>
      </c>
      <c r="E42" s="148">
        <v>112</v>
      </c>
      <c r="F42" s="148">
        <v>346</v>
      </c>
      <c r="G42" s="148">
        <v>292</v>
      </c>
      <c r="H42" s="148">
        <v>308</v>
      </c>
      <c r="I42" s="148">
        <v>297</v>
      </c>
      <c r="J42" s="148">
        <v>327</v>
      </c>
      <c r="K42" s="148">
        <v>272</v>
      </c>
      <c r="L42" s="148">
        <v>472</v>
      </c>
      <c r="M42" s="148">
        <v>514</v>
      </c>
      <c r="N42" s="148">
        <v>582</v>
      </c>
      <c r="O42" s="148">
        <v>444</v>
      </c>
      <c r="P42" s="148">
        <v>442</v>
      </c>
      <c r="Q42" s="148">
        <v>472</v>
      </c>
      <c r="R42" s="148">
        <v>501</v>
      </c>
      <c r="S42" s="148">
        <v>529</v>
      </c>
      <c r="T42" s="148">
        <v>445</v>
      </c>
    </row>
    <row r="43" spans="1:20" x14ac:dyDescent="0.25">
      <c r="A43" s="147"/>
      <c r="B43" s="147"/>
      <c r="C43" s="147" t="s">
        <v>278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43</v>
      </c>
      <c r="P43" s="148">
        <v>10</v>
      </c>
      <c r="Q43" s="148">
        <v>0</v>
      </c>
      <c r="R43" s="148">
        <v>0</v>
      </c>
      <c r="S43" s="148">
        <v>0</v>
      </c>
      <c r="T43" s="148">
        <v>0</v>
      </c>
    </row>
    <row r="44" spans="1:20" x14ac:dyDescent="0.25">
      <c r="A44" s="147"/>
      <c r="B44" s="147"/>
      <c r="C44" s="147" t="s">
        <v>271</v>
      </c>
      <c r="D44" s="148">
        <v>28</v>
      </c>
      <c r="E44" s="148">
        <v>28</v>
      </c>
      <c r="F44" s="148">
        <v>13</v>
      </c>
      <c r="G44" s="148">
        <v>31</v>
      </c>
      <c r="H44" s="148">
        <v>32</v>
      </c>
      <c r="I44" s="148">
        <v>68</v>
      </c>
      <c r="J44" s="148">
        <v>38</v>
      </c>
      <c r="K44" s="148">
        <v>61</v>
      </c>
      <c r="L44" s="148">
        <v>199</v>
      </c>
      <c r="M44" s="148">
        <v>218</v>
      </c>
      <c r="N44" s="148">
        <v>238</v>
      </c>
      <c r="O44" s="148">
        <v>535</v>
      </c>
      <c r="P44" s="148">
        <v>1219</v>
      </c>
      <c r="Q44" s="148">
        <v>1385</v>
      </c>
      <c r="R44" s="148">
        <v>375</v>
      </c>
      <c r="S44" s="148">
        <v>700</v>
      </c>
      <c r="T44" s="148">
        <v>305</v>
      </c>
    </row>
    <row r="45" spans="1:20" x14ac:dyDescent="0.25">
      <c r="A45" s="147"/>
      <c r="B45" s="147"/>
      <c r="C45" s="147" t="s">
        <v>727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1268</v>
      </c>
      <c r="S45" s="148">
        <v>1235</v>
      </c>
      <c r="T45" s="148">
        <v>1182</v>
      </c>
    </row>
    <row r="46" spans="1:20" x14ac:dyDescent="0.25">
      <c r="A46" s="147"/>
      <c r="B46" s="147" t="s">
        <v>274</v>
      </c>
      <c r="C46" s="147"/>
      <c r="D46" s="148">
        <v>206638</v>
      </c>
      <c r="E46" s="148">
        <v>197291</v>
      </c>
      <c r="F46" s="148">
        <v>229158</v>
      </c>
      <c r="G46" s="148">
        <v>193470</v>
      </c>
      <c r="H46" s="148">
        <v>191928</v>
      </c>
      <c r="I46" s="148">
        <v>228077</v>
      </c>
      <c r="J46" s="148">
        <v>253192</v>
      </c>
      <c r="K46" s="148">
        <v>247818</v>
      </c>
      <c r="L46" s="148">
        <v>217335</v>
      </c>
      <c r="M46" s="148">
        <v>228886</v>
      </c>
      <c r="N46" s="148">
        <v>265934</v>
      </c>
      <c r="O46" s="148">
        <v>255716</v>
      </c>
      <c r="P46" s="148">
        <v>225446</v>
      </c>
      <c r="Q46" s="148">
        <v>290057</v>
      </c>
      <c r="R46" s="148">
        <v>412569</v>
      </c>
      <c r="S46" s="148">
        <v>333063</v>
      </c>
      <c r="T46" s="148">
        <v>323486</v>
      </c>
    </row>
    <row r="47" spans="1:20" x14ac:dyDescent="0.25">
      <c r="A47" s="147" t="s">
        <v>255</v>
      </c>
      <c r="B47" s="147" t="s">
        <v>275</v>
      </c>
      <c r="C47" s="147" t="s">
        <v>3</v>
      </c>
      <c r="D47" s="148">
        <v>56055</v>
      </c>
      <c r="E47" s="148">
        <v>47099</v>
      </c>
      <c r="F47" s="148">
        <v>54201</v>
      </c>
      <c r="G47" s="148">
        <v>48325</v>
      </c>
      <c r="H47" s="148">
        <v>45512</v>
      </c>
      <c r="I47" s="148">
        <v>60724</v>
      </c>
      <c r="J47" s="148">
        <v>63232</v>
      </c>
      <c r="K47" s="148">
        <v>52942</v>
      </c>
      <c r="L47" s="148">
        <v>66838</v>
      </c>
      <c r="M47" s="148">
        <v>76566</v>
      </c>
      <c r="N47" s="148">
        <v>85836</v>
      </c>
      <c r="O47" s="148">
        <v>71442</v>
      </c>
      <c r="P47" s="148">
        <v>82983</v>
      </c>
      <c r="Q47" s="148">
        <v>79480</v>
      </c>
      <c r="R47" s="148">
        <v>89434</v>
      </c>
      <c r="S47" s="148">
        <v>83725</v>
      </c>
      <c r="T47" s="148">
        <v>84804</v>
      </c>
    </row>
    <row r="48" spans="1:20" x14ac:dyDescent="0.25">
      <c r="A48" s="147"/>
      <c r="B48" s="147"/>
      <c r="C48" s="147" t="s">
        <v>261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3</v>
      </c>
      <c r="Q48" s="148">
        <v>11</v>
      </c>
      <c r="R48" s="148">
        <v>13</v>
      </c>
      <c r="S48" s="148">
        <v>9</v>
      </c>
      <c r="T48" s="148">
        <v>61</v>
      </c>
    </row>
    <row r="49" spans="1:20" x14ac:dyDescent="0.25">
      <c r="A49" s="147"/>
      <c r="B49" s="147"/>
      <c r="C49" s="147" t="s">
        <v>262</v>
      </c>
      <c r="D49" s="148">
        <v>455</v>
      </c>
      <c r="E49" s="148">
        <v>213</v>
      </c>
      <c r="F49" s="148">
        <v>194</v>
      </c>
      <c r="G49" s="148">
        <v>169</v>
      </c>
      <c r="H49" s="148">
        <v>262</v>
      </c>
      <c r="I49" s="148">
        <v>335</v>
      </c>
      <c r="J49" s="148">
        <v>309</v>
      </c>
      <c r="K49" s="148">
        <v>367</v>
      </c>
      <c r="L49" s="148">
        <v>549</v>
      </c>
      <c r="M49" s="148">
        <v>437</v>
      </c>
      <c r="N49" s="148">
        <v>534</v>
      </c>
      <c r="O49" s="148">
        <v>488</v>
      </c>
      <c r="P49" s="148">
        <v>1056</v>
      </c>
      <c r="Q49" s="148">
        <v>1593</v>
      </c>
      <c r="R49" s="148">
        <v>1623</v>
      </c>
      <c r="S49" s="148">
        <v>1064</v>
      </c>
      <c r="T49" s="148">
        <v>1508</v>
      </c>
    </row>
    <row r="50" spans="1:20" x14ac:dyDescent="0.25">
      <c r="A50" s="147"/>
      <c r="B50" s="147"/>
      <c r="C50" s="147" t="s">
        <v>4</v>
      </c>
      <c r="D50" s="148">
        <v>104547</v>
      </c>
      <c r="E50" s="148">
        <v>91755</v>
      </c>
      <c r="F50" s="148">
        <v>105333</v>
      </c>
      <c r="G50" s="148">
        <v>89375</v>
      </c>
      <c r="H50" s="148">
        <v>81068</v>
      </c>
      <c r="I50" s="148">
        <v>108298</v>
      </c>
      <c r="J50" s="148">
        <v>122947</v>
      </c>
      <c r="K50" s="148">
        <v>109770</v>
      </c>
      <c r="L50" s="148">
        <v>122722</v>
      </c>
      <c r="M50" s="148">
        <v>152102</v>
      </c>
      <c r="N50" s="148">
        <v>148748</v>
      </c>
      <c r="O50" s="148">
        <v>141307</v>
      </c>
      <c r="P50" s="148">
        <v>155569</v>
      </c>
      <c r="Q50" s="148">
        <v>165206</v>
      </c>
      <c r="R50" s="148">
        <v>167815</v>
      </c>
      <c r="S50" s="148">
        <v>168167</v>
      </c>
      <c r="T50" s="148">
        <v>189849</v>
      </c>
    </row>
    <row r="51" spans="1:20" x14ac:dyDescent="0.25">
      <c r="A51" s="147"/>
      <c r="B51" s="147"/>
      <c r="C51" s="147" t="s">
        <v>270</v>
      </c>
      <c r="D51" s="148">
        <v>461</v>
      </c>
      <c r="E51" s="148">
        <v>392</v>
      </c>
      <c r="F51" s="148">
        <v>433</v>
      </c>
      <c r="G51" s="148">
        <v>372</v>
      </c>
      <c r="H51" s="148">
        <v>783</v>
      </c>
      <c r="I51" s="148">
        <v>991</v>
      </c>
      <c r="J51" s="148">
        <v>1312</v>
      </c>
      <c r="K51" s="148">
        <v>982</v>
      </c>
      <c r="L51" s="148">
        <v>2207</v>
      </c>
      <c r="M51" s="148">
        <v>2403</v>
      </c>
      <c r="N51" s="148">
        <v>2234</v>
      </c>
      <c r="O51" s="148">
        <v>1707</v>
      </c>
      <c r="P51" s="148">
        <v>3762</v>
      </c>
      <c r="Q51" s="148">
        <v>4194</v>
      </c>
      <c r="R51" s="148">
        <v>3750</v>
      </c>
      <c r="S51" s="148">
        <v>3741</v>
      </c>
      <c r="T51" s="148">
        <v>4747</v>
      </c>
    </row>
    <row r="52" spans="1:20" x14ac:dyDescent="0.25">
      <c r="A52" s="147"/>
      <c r="B52" s="147" t="s">
        <v>276</v>
      </c>
      <c r="C52" s="147"/>
      <c r="D52" s="148">
        <v>161518</v>
      </c>
      <c r="E52" s="148">
        <v>139459</v>
      </c>
      <c r="F52" s="148">
        <v>160161</v>
      </c>
      <c r="G52" s="148">
        <v>138241</v>
      </c>
      <c r="H52" s="148">
        <v>127625</v>
      </c>
      <c r="I52" s="148">
        <v>170348</v>
      </c>
      <c r="J52" s="148">
        <v>187800</v>
      </c>
      <c r="K52" s="148">
        <v>164061</v>
      </c>
      <c r="L52" s="148">
        <v>192316</v>
      </c>
      <c r="M52" s="148">
        <v>231508</v>
      </c>
      <c r="N52" s="148">
        <v>237352</v>
      </c>
      <c r="O52" s="148">
        <v>214944</v>
      </c>
      <c r="P52" s="148">
        <v>243373</v>
      </c>
      <c r="Q52" s="148">
        <v>250484</v>
      </c>
      <c r="R52" s="148">
        <v>262635</v>
      </c>
      <c r="S52" s="148">
        <v>256706</v>
      </c>
      <c r="T52" s="148">
        <v>280969</v>
      </c>
    </row>
    <row r="53" spans="1:20" x14ac:dyDescent="0.25">
      <c r="A53" s="147"/>
      <c r="B53" s="147" t="s">
        <v>273</v>
      </c>
      <c r="C53" s="147" t="s">
        <v>259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</row>
    <row r="54" spans="1:20" x14ac:dyDescent="0.25">
      <c r="A54" s="147"/>
      <c r="B54" s="147"/>
      <c r="C54" s="147" t="s">
        <v>260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</row>
    <row r="55" spans="1:20" x14ac:dyDescent="0.25">
      <c r="A55" s="147"/>
      <c r="B55" s="147"/>
      <c r="C55" s="147" t="s">
        <v>7</v>
      </c>
      <c r="D55" s="148">
        <v>148</v>
      </c>
      <c r="E55" s="148">
        <v>1256</v>
      </c>
      <c r="F55" s="148">
        <v>1287</v>
      </c>
      <c r="G55" s="148">
        <v>483</v>
      </c>
      <c r="H55" s="148">
        <v>514</v>
      </c>
      <c r="I55" s="148">
        <v>906</v>
      </c>
      <c r="J55" s="148">
        <v>2144</v>
      </c>
      <c r="K55" s="148">
        <v>1286</v>
      </c>
      <c r="L55" s="148">
        <v>659</v>
      </c>
      <c r="M55" s="148">
        <v>1134</v>
      </c>
      <c r="N55" s="148">
        <v>1096</v>
      </c>
      <c r="O55" s="148">
        <v>593</v>
      </c>
      <c r="P55" s="148">
        <v>1869</v>
      </c>
      <c r="Q55" s="148">
        <v>1406</v>
      </c>
      <c r="R55" s="148">
        <v>1513</v>
      </c>
      <c r="S55" s="148">
        <v>942</v>
      </c>
      <c r="T55" s="148">
        <v>159</v>
      </c>
    </row>
    <row r="56" spans="1:20" x14ac:dyDescent="0.25">
      <c r="A56" s="147"/>
      <c r="B56" s="147"/>
      <c r="C56" s="147" t="s">
        <v>258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18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</v>
      </c>
      <c r="S56" s="148">
        <v>0</v>
      </c>
      <c r="T56" s="148">
        <v>0</v>
      </c>
    </row>
    <row r="57" spans="1:20" x14ac:dyDescent="0.25">
      <c r="A57" s="147"/>
      <c r="B57" s="147"/>
      <c r="C57" s="147" t="s">
        <v>263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</row>
    <row r="58" spans="1:20" x14ac:dyDescent="0.25">
      <c r="A58" s="147"/>
      <c r="B58" s="147"/>
      <c r="C58" s="147" t="s">
        <v>264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T58" s="148">
        <v>0</v>
      </c>
    </row>
    <row r="59" spans="1:20" x14ac:dyDescent="0.25">
      <c r="A59" s="147"/>
      <c r="B59" s="147"/>
      <c r="C59" s="147" t="s">
        <v>265</v>
      </c>
      <c r="D59" s="148">
        <v>0</v>
      </c>
      <c r="E59" s="148">
        <v>1516</v>
      </c>
      <c r="F59" s="148">
        <v>2383</v>
      </c>
      <c r="G59" s="148">
        <v>0</v>
      </c>
      <c r="H59" s="148">
        <v>0</v>
      </c>
      <c r="I59" s="148">
        <v>8226</v>
      </c>
      <c r="J59" s="148">
        <v>0</v>
      </c>
      <c r="K59" s="148">
        <v>0</v>
      </c>
      <c r="L59" s="148">
        <v>292</v>
      </c>
      <c r="M59" s="148">
        <v>0</v>
      </c>
      <c r="N59" s="148">
        <v>0</v>
      </c>
      <c r="O59" s="148">
        <v>3765</v>
      </c>
      <c r="P59" s="148">
        <v>0</v>
      </c>
      <c r="Q59" s="148">
        <v>388</v>
      </c>
      <c r="R59" s="148">
        <v>354</v>
      </c>
      <c r="S59" s="148">
        <v>4915</v>
      </c>
      <c r="T59" s="148">
        <v>106</v>
      </c>
    </row>
    <row r="60" spans="1:20" x14ac:dyDescent="0.25">
      <c r="A60" s="147"/>
      <c r="B60" s="147"/>
      <c r="C60" s="147" t="s">
        <v>266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48">
        <v>0</v>
      </c>
    </row>
    <row r="61" spans="1:20" x14ac:dyDescent="0.25">
      <c r="A61" s="147"/>
      <c r="B61" s="147"/>
      <c r="C61" s="147" t="s">
        <v>267</v>
      </c>
      <c r="D61" s="148">
        <v>0</v>
      </c>
      <c r="E61" s="148">
        <v>1817</v>
      </c>
      <c r="F61" s="148">
        <v>1447</v>
      </c>
      <c r="G61" s="148">
        <v>2771</v>
      </c>
      <c r="H61" s="148">
        <v>7370</v>
      </c>
      <c r="I61" s="148">
        <v>2800</v>
      </c>
      <c r="J61" s="148">
        <v>3123</v>
      </c>
      <c r="K61" s="148">
        <v>3653</v>
      </c>
      <c r="L61" s="148">
        <v>3494</v>
      </c>
      <c r="M61" s="148">
        <v>2984</v>
      </c>
      <c r="N61" s="148">
        <v>5393</v>
      </c>
      <c r="O61" s="148">
        <v>3490</v>
      </c>
      <c r="P61" s="148">
        <v>4010</v>
      </c>
      <c r="Q61" s="148">
        <v>8574</v>
      </c>
      <c r="R61" s="148">
        <v>11085</v>
      </c>
      <c r="S61" s="148">
        <v>1691</v>
      </c>
      <c r="T61" s="148">
        <v>1334</v>
      </c>
    </row>
    <row r="62" spans="1:20" x14ac:dyDescent="0.25">
      <c r="A62" s="147"/>
      <c r="B62" s="147"/>
      <c r="C62" s="147" t="s">
        <v>268</v>
      </c>
      <c r="D62" s="148">
        <v>0</v>
      </c>
      <c r="E62" s="148">
        <v>480</v>
      </c>
      <c r="F62" s="148">
        <v>2618</v>
      </c>
      <c r="G62" s="148">
        <v>905</v>
      </c>
      <c r="H62" s="148">
        <v>3234</v>
      </c>
      <c r="I62" s="148">
        <v>2470</v>
      </c>
      <c r="J62" s="148">
        <v>12273</v>
      </c>
      <c r="K62" s="148">
        <v>17390</v>
      </c>
      <c r="L62" s="148">
        <v>203</v>
      </c>
      <c r="M62" s="148">
        <v>0</v>
      </c>
      <c r="N62" s="148">
        <v>10</v>
      </c>
      <c r="O62" s="148">
        <v>206</v>
      </c>
      <c r="P62" s="148">
        <v>282</v>
      </c>
      <c r="Q62" s="148">
        <v>9</v>
      </c>
      <c r="R62" s="148">
        <v>4</v>
      </c>
      <c r="S62" s="148">
        <v>0</v>
      </c>
      <c r="T62" s="148">
        <v>0</v>
      </c>
    </row>
    <row r="63" spans="1:20" x14ac:dyDescent="0.25">
      <c r="A63" s="147"/>
      <c r="B63" s="147"/>
      <c r="C63" s="147" t="s">
        <v>269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T63" s="148">
        <v>0</v>
      </c>
    </row>
    <row r="64" spans="1:20" x14ac:dyDescent="0.25">
      <c r="A64" s="147"/>
      <c r="B64" s="147"/>
      <c r="C64" s="147" t="s">
        <v>278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</row>
    <row r="65" spans="1:43" x14ac:dyDescent="0.25">
      <c r="A65" s="147"/>
      <c r="B65" s="147"/>
      <c r="C65" s="147" t="s">
        <v>271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</v>
      </c>
      <c r="T65" s="148">
        <v>0</v>
      </c>
    </row>
    <row r="66" spans="1:43" x14ac:dyDescent="0.25">
      <c r="A66" s="147"/>
      <c r="B66" s="147"/>
      <c r="C66" s="147" t="s">
        <v>727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</row>
    <row r="67" spans="1:43" x14ac:dyDescent="0.25">
      <c r="A67" s="147"/>
      <c r="B67" s="147" t="s">
        <v>274</v>
      </c>
      <c r="C67" s="147"/>
      <c r="D67" s="148">
        <v>148</v>
      </c>
      <c r="E67" s="148">
        <v>5069</v>
      </c>
      <c r="F67" s="148">
        <v>7735</v>
      </c>
      <c r="G67" s="148">
        <v>4159</v>
      </c>
      <c r="H67" s="148">
        <v>11118</v>
      </c>
      <c r="I67" s="148">
        <v>14402</v>
      </c>
      <c r="J67" s="148">
        <v>17540</v>
      </c>
      <c r="K67" s="148">
        <v>22329</v>
      </c>
      <c r="L67" s="148">
        <v>4666</v>
      </c>
      <c r="M67" s="148">
        <v>4118</v>
      </c>
      <c r="N67" s="148">
        <v>6499</v>
      </c>
      <c r="O67" s="148">
        <v>8054</v>
      </c>
      <c r="P67" s="148">
        <v>6161</v>
      </c>
      <c r="Q67" s="148">
        <v>10377</v>
      </c>
      <c r="R67" s="148">
        <v>12956</v>
      </c>
      <c r="S67" s="148">
        <v>7548</v>
      </c>
      <c r="T67" s="148">
        <v>1599</v>
      </c>
    </row>
    <row r="68" spans="1:43" x14ac:dyDescent="0.25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43" ht="21" x14ac:dyDescent="0.35">
      <c r="A69" s="97" t="s">
        <v>855</v>
      </c>
      <c r="B69" s="39"/>
      <c r="C69" s="3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9"/>
      <c r="Q69" s="9"/>
      <c r="R69" s="9"/>
      <c r="S69" s="9"/>
    </row>
    <row r="70" spans="1:43" x14ac:dyDescent="0.25">
      <c r="B70" s="39" t="s">
        <v>668</v>
      </c>
      <c r="C70" s="39"/>
      <c r="D70" s="69">
        <f t="shared" ref="D70:AQ70" si="0">D3</f>
        <v>42370</v>
      </c>
      <c r="E70" s="69">
        <f t="shared" si="0"/>
        <v>42461</v>
      </c>
      <c r="F70" s="69">
        <f t="shared" si="0"/>
        <v>42552</v>
      </c>
      <c r="G70" s="69">
        <f t="shared" si="0"/>
        <v>42644</v>
      </c>
      <c r="H70" s="69">
        <f t="shared" si="0"/>
        <v>42736</v>
      </c>
      <c r="I70" s="69">
        <f t="shared" si="0"/>
        <v>42826</v>
      </c>
      <c r="J70" s="69">
        <f t="shared" si="0"/>
        <v>42917</v>
      </c>
      <c r="K70" s="69">
        <f t="shared" si="0"/>
        <v>43009</v>
      </c>
      <c r="L70" s="69">
        <f t="shared" si="0"/>
        <v>43101</v>
      </c>
      <c r="M70" s="69">
        <f t="shared" si="0"/>
        <v>43191</v>
      </c>
      <c r="N70" s="69">
        <f t="shared" si="0"/>
        <v>43282</v>
      </c>
      <c r="O70" s="69">
        <f t="shared" si="0"/>
        <v>43374</v>
      </c>
      <c r="P70" s="69">
        <f t="shared" si="0"/>
        <v>43466</v>
      </c>
      <c r="Q70" s="69">
        <f t="shared" si="0"/>
        <v>43556</v>
      </c>
      <c r="R70" s="69">
        <f t="shared" si="0"/>
        <v>43647</v>
      </c>
      <c r="S70" s="69">
        <f t="shared" si="0"/>
        <v>43739</v>
      </c>
      <c r="T70" s="69">
        <f t="shared" si="0"/>
        <v>43831</v>
      </c>
      <c r="U70" s="69">
        <f t="shared" si="0"/>
        <v>43922</v>
      </c>
      <c r="V70" s="69">
        <f t="shared" si="0"/>
        <v>44013</v>
      </c>
      <c r="W70" s="69">
        <f t="shared" si="0"/>
        <v>44105</v>
      </c>
      <c r="X70" s="69">
        <f t="shared" si="0"/>
        <v>44197</v>
      </c>
      <c r="Y70" s="69">
        <f t="shared" si="0"/>
        <v>44287</v>
      </c>
      <c r="Z70" s="69">
        <f t="shared" si="0"/>
        <v>44378</v>
      </c>
      <c r="AA70" s="69">
        <f t="shared" si="0"/>
        <v>44470</v>
      </c>
      <c r="AB70" s="69">
        <f t="shared" si="0"/>
        <v>44562</v>
      </c>
      <c r="AC70" s="69">
        <f t="shared" si="0"/>
        <v>44652</v>
      </c>
      <c r="AD70" s="69">
        <f t="shared" si="0"/>
        <v>44743</v>
      </c>
      <c r="AE70" s="69">
        <f t="shared" si="0"/>
        <v>44835</v>
      </c>
      <c r="AF70" s="69">
        <f t="shared" si="0"/>
        <v>44927</v>
      </c>
      <c r="AG70" s="69">
        <f t="shared" si="0"/>
        <v>45017</v>
      </c>
      <c r="AH70" s="69">
        <f t="shared" si="0"/>
        <v>45108</v>
      </c>
      <c r="AI70" s="69">
        <f t="shared" si="0"/>
        <v>45200</v>
      </c>
      <c r="AJ70" s="69">
        <f t="shared" si="0"/>
        <v>45292</v>
      </c>
      <c r="AK70" s="69">
        <f t="shared" si="0"/>
        <v>45383</v>
      </c>
      <c r="AL70" s="69">
        <f t="shared" si="0"/>
        <v>45474</v>
      </c>
      <c r="AM70" s="69">
        <f t="shared" si="0"/>
        <v>45566</v>
      </c>
      <c r="AN70" s="69">
        <f t="shared" si="0"/>
        <v>45658</v>
      </c>
      <c r="AO70" s="69">
        <f t="shared" si="0"/>
        <v>45748</v>
      </c>
      <c r="AP70" s="69">
        <f t="shared" si="0"/>
        <v>45839</v>
      </c>
      <c r="AQ70" s="69">
        <f t="shared" si="0"/>
        <v>45931</v>
      </c>
    </row>
    <row r="71" spans="1:43" s="70" customFormat="1" x14ac:dyDescent="0.25">
      <c r="C71" s="70" t="s">
        <v>555</v>
      </c>
      <c r="D71" s="71">
        <f t="shared" ref="D71:S71" si="1">SUM(D7,0.9*D8)</f>
        <v>380337828.19999999</v>
      </c>
      <c r="E71" s="71">
        <f t="shared" si="1"/>
        <v>327069237.69999999</v>
      </c>
      <c r="F71" s="71">
        <f t="shared" si="1"/>
        <v>378439568.5</v>
      </c>
      <c r="G71" s="71">
        <f t="shared" si="1"/>
        <v>335293557</v>
      </c>
      <c r="H71" s="71">
        <f t="shared" si="1"/>
        <v>276948149.19999999</v>
      </c>
      <c r="I71" s="71">
        <f t="shared" si="1"/>
        <v>367218313.60000002</v>
      </c>
      <c r="J71" s="71">
        <f t="shared" si="1"/>
        <v>422218064.80000001</v>
      </c>
      <c r="K71" s="71">
        <f t="shared" si="1"/>
        <v>374240982.60000002</v>
      </c>
      <c r="L71" s="71">
        <f t="shared" si="1"/>
        <v>337631149.69999999</v>
      </c>
      <c r="M71" s="71">
        <f t="shared" si="1"/>
        <v>414130220.60000002</v>
      </c>
      <c r="N71" s="71">
        <f t="shared" si="1"/>
        <v>406078292</v>
      </c>
      <c r="O71" s="71">
        <f t="shared" si="1"/>
        <v>377945454.19999999</v>
      </c>
      <c r="P71" s="71">
        <f t="shared" si="1"/>
        <v>371629728.10000002</v>
      </c>
      <c r="Q71" s="71">
        <f t="shared" si="1"/>
        <v>393075601</v>
      </c>
      <c r="R71" s="71">
        <f t="shared" si="1"/>
        <v>395828702.69999999</v>
      </c>
      <c r="S71" s="71">
        <f t="shared" si="1"/>
        <v>401414274.69999999</v>
      </c>
      <c r="T71" s="71">
        <f t="shared" ref="T71:AA71" si="2">T74-T72</f>
        <v>329637092.82127804</v>
      </c>
      <c r="U71" s="71">
        <f t="shared" si="2"/>
        <v>351597500.91327</v>
      </c>
      <c r="V71" s="71">
        <f t="shared" si="2"/>
        <v>356068076.15667599</v>
      </c>
      <c r="W71" s="71">
        <f t="shared" si="2"/>
        <v>357611571.82961398</v>
      </c>
      <c r="X71" s="71">
        <f t="shared" si="2"/>
        <v>363589713.38186961</v>
      </c>
      <c r="Y71" s="71">
        <f t="shared" si="2"/>
        <v>387812043.50733685</v>
      </c>
      <c r="Z71" s="71">
        <f t="shared" si="2"/>
        <v>392743088.00081366</v>
      </c>
      <c r="AA71" s="71">
        <f t="shared" si="2"/>
        <v>394445563.72806424</v>
      </c>
    </row>
    <row r="72" spans="1:43" s="70" customFormat="1" x14ac:dyDescent="0.25">
      <c r="C72" s="70" t="s">
        <v>5</v>
      </c>
      <c r="D72" s="71">
        <f t="shared" ref="D72:S72" si="3">SUM(0.1*D8,D16:D19)</f>
        <v>50788778.799999997</v>
      </c>
      <c r="E72" s="71">
        <f t="shared" si="3"/>
        <v>41057914.299999997</v>
      </c>
      <c r="F72" s="71">
        <f t="shared" si="3"/>
        <v>46752888.5</v>
      </c>
      <c r="G72" s="71">
        <f t="shared" si="3"/>
        <v>38581173</v>
      </c>
      <c r="H72" s="71">
        <f>SUM(0.1*H8,H16:H19)</f>
        <v>39698691.799999997</v>
      </c>
      <c r="I72" s="71">
        <f t="shared" si="3"/>
        <v>42748328.399999999</v>
      </c>
      <c r="J72" s="71">
        <f t="shared" si="3"/>
        <v>49051169.200000003</v>
      </c>
      <c r="K72" s="71">
        <f t="shared" si="3"/>
        <v>42365871.399999999</v>
      </c>
      <c r="L72" s="71">
        <f t="shared" si="3"/>
        <v>41871528.299999997</v>
      </c>
      <c r="M72" s="71">
        <f t="shared" si="3"/>
        <v>40197282.399999999</v>
      </c>
      <c r="N72" s="71">
        <f t="shared" si="3"/>
        <v>46769583</v>
      </c>
      <c r="O72" s="71">
        <f t="shared" si="3"/>
        <v>43400196.799999997</v>
      </c>
      <c r="P72" s="71">
        <f t="shared" si="3"/>
        <v>38516634.899999999</v>
      </c>
      <c r="Q72" s="71">
        <f t="shared" si="3"/>
        <v>44394694</v>
      </c>
      <c r="R72" s="71">
        <f t="shared" si="3"/>
        <v>47204043.299999997</v>
      </c>
      <c r="S72" s="71">
        <f t="shared" si="3"/>
        <v>43538944.299999997</v>
      </c>
      <c r="T72" s="71">
        <f t="shared" ref="T72:AA72" si="4">T74*T73</f>
        <v>37033755.700722001</v>
      </c>
      <c r="U72" s="71">
        <f t="shared" si="4"/>
        <v>39500942.816730008</v>
      </c>
      <c r="V72" s="71">
        <f t="shared" si="4"/>
        <v>40003198.767324008</v>
      </c>
      <c r="W72" s="71">
        <f t="shared" si="4"/>
        <v>40176605.956386007</v>
      </c>
      <c r="X72" s="71">
        <f t="shared" si="4"/>
        <v>40848232.537896372</v>
      </c>
      <c r="Y72" s="71">
        <f t="shared" si="4"/>
        <v>43569539.926853195</v>
      </c>
      <c r="Z72" s="71">
        <f t="shared" si="4"/>
        <v>44123528.240358375</v>
      </c>
      <c r="AA72" s="71">
        <f t="shared" si="4"/>
        <v>44314796.369893767</v>
      </c>
    </row>
    <row r="73" spans="1:43" s="70" customFormat="1" x14ac:dyDescent="0.25">
      <c r="C73" s="72" t="s">
        <v>661</v>
      </c>
      <c r="D73" s="73">
        <f>D72/D74</f>
        <v>0.11780478860586768</v>
      </c>
      <c r="E73" s="73">
        <f t="shared" ref="E73:R73" si="5">E72/E74</f>
        <v>0.11153188260343262</v>
      </c>
      <c r="F73" s="73">
        <f t="shared" si="5"/>
        <v>0.10995700354110469</v>
      </c>
      <c r="G73" s="73">
        <f t="shared" si="5"/>
        <v>0.10319278064072424</v>
      </c>
      <c r="H73" s="73">
        <f t="shared" si="5"/>
        <v>0.12537213911444012</v>
      </c>
      <c r="I73" s="73">
        <f t="shared" si="5"/>
        <v>0.10427269933830371</v>
      </c>
      <c r="J73" s="73">
        <f t="shared" si="5"/>
        <v>0.1040831135605173</v>
      </c>
      <c r="K73" s="73">
        <f t="shared" si="5"/>
        <v>0.10169268938623846</v>
      </c>
      <c r="L73" s="73">
        <f t="shared" si="5"/>
        <v>0.11033262932600438</v>
      </c>
      <c r="M73" s="73">
        <f t="shared" si="5"/>
        <v>8.8476445151505601E-2</v>
      </c>
      <c r="N73" s="73">
        <f t="shared" si="5"/>
        <v>0.10327879533496762</v>
      </c>
      <c r="O73" s="73">
        <f t="shared" si="5"/>
        <v>0.10300378489013999</v>
      </c>
      <c r="P73" s="73">
        <f t="shared" si="5"/>
        <v>9.3909487867383568E-2</v>
      </c>
      <c r="Q73" s="73">
        <f t="shared" si="5"/>
        <v>0.10148047652012579</v>
      </c>
      <c r="R73" s="73">
        <f t="shared" si="5"/>
        <v>0.10654752662458949</v>
      </c>
      <c r="S73" s="73">
        <f>S72/S74</f>
        <v>9.7850610897591908E-2</v>
      </c>
      <c r="T73" s="73">
        <f>+BR_eth_T1</f>
        <v>0.10100000000000001</v>
      </c>
      <c r="U73" s="73">
        <f>+BR_eth_T1</f>
        <v>0.10100000000000001</v>
      </c>
      <c r="V73" s="73">
        <f>+BR_eth_T1</f>
        <v>0.10100000000000001</v>
      </c>
      <c r="W73" s="73">
        <f>+BR_eth_T1</f>
        <v>0.10100000000000001</v>
      </c>
      <c r="X73" s="73">
        <f>+BR_eth_T0</f>
        <v>0.10100000000000001</v>
      </c>
      <c r="Y73" s="73">
        <f>+BR_eth_T0</f>
        <v>0.10100000000000001</v>
      </c>
      <c r="Z73" s="73">
        <f>+BR_eth_T0</f>
        <v>0.10100000000000001</v>
      </c>
      <c r="AA73" s="73">
        <f>+BR_eth_T0</f>
        <v>0.10100000000000001</v>
      </c>
      <c r="AC73"/>
    </row>
    <row r="74" spans="1:43" s="70" customFormat="1" ht="15.75" thickBot="1" x14ac:dyDescent="0.3">
      <c r="C74" s="74" t="s">
        <v>33</v>
      </c>
      <c r="D74" s="75">
        <f>SUM(D71:D72)</f>
        <v>431126607</v>
      </c>
      <c r="E74" s="75">
        <f t="shared" ref="E74:R74" si="6">SUM(E71:E72)</f>
        <v>368127152</v>
      </c>
      <c r="F74" s="75">
        <f t="shared" si="6"/>
        <v>425192457</v>
      </c>
      <c r="G74" s="75">
        <f t="shared" si="6"/>
        <v>373874730</v>
      </c>
      <c r="H74" s="75">
        <f t="shared" si="6"/>
        <v>316646841</v>
      </c>
      <c r="I74" s="75">
        <f t="shared" si="6"/>
        <v>409966642</v>
      </c>
      <c r="J74" s="75">
        <f t="shared" si="6"/>
        <v>471269234</v>
      </c>
      <c r="K74" s="75">
        <f t="shared" si="6"/>
        <v>416606854</v>
      </c>
      <c r="L74" s="75">
        <f t="shared" si="6"/>
        <v>379502678</v>
      </c>
      <c r="M74" s="75">
        <f t="shared" si="6"/>
        <v>454327503</v>
      </c>
      <c r="N74" s="75">
        <f t="shared" si="6"/>
        <v>452847875</v>
      </c>
      <c r="O74" s="75">
        <f t="shared" si="6"/>
        <v>421345651</v>
      </c>
      <c r="P74" s="75">
        <f t="shared" si="6"/>
        <v>410146363</v>
      </c>
      <c r="Q74" s="75">
        <f t="shared" si="6"/>
        <v>437470295</v>
      </c>
      <c r="R74" s="75">
        <f t="shared" si="6"/>
        <v>443032746</v>
      </c>
      <c r="S74" s="75">
        <f>SUM(S71:S72)</f>
        <v>444953219</v>
      </c>
      <c r="T74" s="149">
        <f>P74*(1+GR_gas_T1)</f>
        <v>366670848.52200001</v>
      </c>
      <c r="U74" s="149">
        <f>Q74*(1+GR_gas_T1)</f>
        <v>391098443.73000002</v>
      </c>
      <c r="V74" s="149">
        <f>R74*(1+GR_gas_T1)</f>
        <v>396071274.92400002</v>
      </c>
      <c r="W74" s="149">
        <f>S74*(1+GR_gas_T1)</f>
        <v>397788177.78600001</v>
      </c>
      <c r="X74" s="149">
        <f>T74*(1+GR_gas_T0)</f>
        <v>404437945.91976601</v>
      </c>
      <c r="Y74" s="149">
        <f>U74*(1+GR_gas_T0)</f>
        <v>431381583.43419003</v>
      </c>
      <c r="Z74" s="149">
        <f>V74*(1+GR_gas_T0)</f>
        <v>436866616.24117202</v>
      </c>
      <c r="AA74" s="149">
        <f>W74*(1+GR_gas_T0)</f>
        <v>438760360.09795803</v>
      </c>
      <c r="AC74"/>
    </row>
    <row r="75" spans="1:43" s="70" customFormat="1" x14ac:dyDescent="0.25">
      <c r="C75" s="151" t="s">
        <v>689</v>
      </c>
      <c r="D75" s="152"/>
      <c r="E75" s="152"/>
      <c r="F75" s="152"/>
      <c r="G75" s="152"/>
      <c r="H75" s="153">
        <f t="shared" ref="H75:S75" si="7">H74/D74-1</f>
        <v>-0.26553630451298038</v>
      </c>
      <c r="I75" s="153">
        <f t="shared" si="7"/>
        <v>0.11365499603245777</v>
      </c>
      <c r="J75" s="153">
        <f t="shared" si="7"/>
        <v>0.10836687302757109</v>
      </c>
      <c r="K75" s="153">
        <f t="shared" si="7"/>
        <v>0.11429529885584944</v>
      </c>
      <c r="L75" s="153">
        <f t="shared" si="7"/>
        <v>0.19850454468926793</v>
      </c>
      <c r="M75" s="153">
        <f t="shared" si="7"/>
        <v>0.10820602569903714</v>
      </c>
      <c r="N75" s="153">
        <f t="shared" si="7"/>
        <v>-3.9088821571577448E-2</v>
      </c>
      <c r="O75" s="153">
        <f t="shared" si="7"/>
        <v>1.1374745649287865E-2</v>
      </c>
      <c r="P75" s="153">
        <f t="shared" si="7"/>
        <v>8.0746953253383991E-2</v>
      </c>
      <c r="Q75" s="153">
        <f t="shared" si="7"/>
        <v>-3.7103648554597801E-2</v>
      </c>
      <c r="R75" s="153">
        <f t="shared" si="7"/>
        <v>-2.1674230004943729E-2</v>
      </c>
      <c r="S75" s="153">
        <f t="shared" si="7"/>
        <v>5.6028982247641634E-2</v>
      </c>
      <c r="T75" s="155">
        <f>'[1]Quarterly Work'!J19</f>
        <v>-3.8598155568676074E-2</v>
      </c>
      <c r="U75" s="155">
        <f>'[1]Quarterly Work'!J20</f>
        <v>-0.25991269066460265</v>
      </c>
      <c r="V75" s="155">
        <f>'[1]Quarterly Work'!J21</f>
        <v>-5.2811926254784924E-2</v>
      </c>
      <c r="W75" s="155">
        <f>'[1]Quarterly Work'!J22</f>
        <v>-2.8343065745025542E-2</v>
      </c>
      <c r="X75" s="155">
        <f>'[1]Quarterly Work'!J23</f>
        <v>3.1722578108112742E-2</v>
      </c>
      <c r="Y75" s="155">
        <f>'[1]Quarterly Work'!J24</f>
        <v>0.33358010991986853</v>
      </c>
      <c r="Z75" s="155">
        <f>'[1]Quarterly Work'!J25</f>
        <v>5.3259556717861756E-2</v>
      </c>
      <c r="AA75" s="155">
        <f>'[1]Quarterly Work'!J26</f>
        <v>1.4439035001483358E-2</v>
      </c>
      <c r="AC75"/>
    </row>
    <row r="76" spans="1:43" s="70" customFormat="1" x14ac:dyDescent="0.25">
      <c r="C76" s="134"/>
      <c r="D76" s="24"/>
      <c r="E76" s="24"/>
      <c r="F76" s="24"/>
      <c r="G76" s="24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/>
      <c r="U76"/>
      <c r="V76"/>
      <c r="W76"/>
      <c r="X76"/>
      <c r="Y76"/>
      <c r="Z76"/>
      <c r="AA76"/>
      <c r="AC76"/>
    </row>
    <row r="77" spans="1:43" s="70" customFormat="1" x14ac:dyDescent="0.25">
      <c r="C77" s="70" t="s">
        <v>557</v>
      </c>
      <c r="D77" s="71">
        <f t="shared" ref="D77:S77" si="8">SUM(D4,0.8*D5,0.95*D6)</f>
        <v>200513350.40000001</v>
      </c>
      <c r="E77" s="71">
        <f t="shared" si="8"/>
        <v>158403068</v>
      </c>
      <c r="F77" s="71">
        <f t="shared" si="8"/>
        <v>184328096.94999999</v>
      </c>
      <c r="G77" s="71">
        <f t="shared" si="8"/>
        <v>165505341.84999999</v>
      </c>
      <c r="H77" s="71">
        <f t="shared" si="8"/>
        <v>140558506</v>
      </c>
      <c r="I77" s="71">
        <f t="shared" si="8"/>
        <v>185055513.80000001</v>
      </c>
      <c r="J77" s="71">
        <f t="shared" si="8"/>
        <v>193110321.75</v>
      </c>
      <c r="K77" s="71">
        <f t="shared" si="8"/>
        <v>163844419.19999999</v>
      </c>
      <c r="L77" s="71">
        <f t="shared" si="8"/>
        <v>161892917.75</v>
      </c>
      <c r="M77" s="71">
        <f t="shared" si="8"/>
        <v>181615605.14999998</v>
      </c>
      <c r="N77" s="71">
        <f t="shared" si="8"/>
        <v>204766975.40000001</v>
      </c>
      <c r="O77" s="71">
        <f t="shared" si="8"/>
        <v>168142547.40000001</v>
      </c>
      <c r="P77" s="71">
        <f t="shared" si="8"/>
        <v>174755442.40000001</v>
      </c>
      <c r="Q77" s="71">
        <f t="shared" si="8"/>
        <v>169782898.84999999</v>
      </c>
      <c r="R77" s="71">
        <f t="shared" si="8"/>
        <v>191916755.25</v>
      </c>
      <c r="S77" s="71">
        <f t="shared" si="8"/>
        <v>179479067.59999999</v>
      </c>
      <c r="T77" s="71">
        <f t="shared" ref="T77:AA77" si="9">T82-SUM(T78,T80)</f>
        <v>179347880.91122657</v>
      </c>
      <c r="U77" s="71">
        <f t="shared" si="9"/>
        <v>162251572.60844529</v>
      </c>
      <c r="V77" s="71">
        <f t="shared" si="9"/>
        <v>178469832.31357169</v>
      </c>
      <c r="W77" s="71">
        <f t="shared" si="9"/>
        <v>173266343.84954089</v>
      </c>
      <c r="X77" s="71">
        <f t="shared" si="9"/>
        <v>166151128.99911487</v>
      </c>
      <c r="Y77" s="71">
        <f t="shared" si="9"/>
        <v>158264250.64638391</v>
      </c>
      <c r="Z77" s="71">
        <f t="shared" si="9"/>
        <v>180192481.38944283</v>
      </c>
      <c r="AA77" s="71">
        <f t="shared" si="9"/>
        <v>173562715.56627688</v>
      </c>
      <c r="AC77"/>
    </row>
    <row r="78" spans="1:43" s="70" customFormat="1" x14ac:dyDescent="0.25">
      <c r="C78" s="70" t="s">
        <v>7</v>
      </c>
      <c r="D78" s="71">
        <f t="shared" ref="D78:S78" si="10">SUM(D12,D5*0.2*(D12/SUM(D12:D13)),D6*0.05*(D12/SUM(D12:D13)))</f>
        <v>11865690.6</v>
      </c>
      <c r="E78" s="71">
        <f t="shared" si="10"/>
        <v>11163761</v>
      </c>
      <c r="F78" s="71">
        <f t="shared" si="10"/>
        <v>13011180.050000001</v>
      </c>
      <c r="G78" s="71">
        <f t="shared" si="10"/>
        <v>11486908.15</v>
      </c>
      <c r="H78" s="71">
        <f t="shared" si="10"/>
        <v>9101856</v>
      </c>
      <c r="I78" s="71">
        <f t="shared" si="10"/>
        <v>13397729.199999999</v>
      </c>
      <c r="J78" s="71">
        <f t="shared" si="10"/>
        <v>14468902.25</v>
      </c>
      <c r="K78" s="71">
        <f t="shared" si="10"/>
        <v>14208723.94109345</v>
      </c>
      <c r="L78" s="71">
        <f t="shared" si="10"/>
        <v>10792368.189548841</v>
      </c>
      <c r="M78" s="71">
        <f t="shared" si="10"/>
        <v>13061871.171819411</v>
      </c>
      <c r="N78" s="71">
        <f t="shared" si="10"/>
        <v>14747642.252012957</v>
      </c>
      <c r="O78" s="71">
        <f t="shared" si="10"/>
        <v>13032458.31391794</v>
      </c>
      <c r="P78" s="71">
        <f t="shared" si="10"/>
        <v>11314135.611693842</v>
      </c>
      <c r="Q78" s="71">
        <f t="shared" si="10"/>
        <v>16518399.770792255</v>
      </c>
      <c r="R78" s="71">
        <f t="shared" si="10"/>
        <v>16948050.876818281</v>
      </c>
      <c r="S78" s="71">
        <f t="shared" si="10"/>
        <v>14877990.894538768</v>
      </c>
      <c r="T78" s="71">
        <f t="shared" ref="T78:AA78" si="11">T82*T79</f>
        <v>17687979.080694359</v>
      </c>
      <c r="U78" s="71">
        <f t="shared" si="11"/>
        <v>16001875.280190703</v>
      </c>
      <c r="V78" s="71">
        <f t="shared" si="11"/>
        <v>17601382.544687115</v>
      </c>
      <c r="W78" s="71">
        <f t="shared" si="11"/>
        <v>17088194.462225363</v>
      </c>
      <c r="X78" s="71">
        <f t="shared" si="11"/>
        <v>19194354.25260533</v>
      </c>
      <c r="Y78" s="71">
        <f t="shared" si="11"/>
        <v>18283234.731712222</v>
      </c>
      <c r="Z78" s="71">
        <f t="shared" si="11"/>
        <v>20816459.943906754</v>
      </c>
      <c r="AA78" s="71">
        <f t="shared" si="11"/>
        <v>20050566.419208881</v>
      </c>
      <c r="AC78"/>
    </row>
    <row r="79" spans="1:43" s="70" customFormat="1" x14ac:dyDescent="0.25">
      <c r="C79" s="72" t="s">
        <v>661</v>
      </c>
      <c r="D79" s="73">
        <f>D78/D82</f>
        <v>5.5870346452878084E-2</v>
      </c>
      <c r="E79" s="73">
        <f t="shared" ref="E79:R79" si="12">E78/E82</f>
        <v>6.5836939133891575E-2</v>
      </c>
      <c r="F79" s="73">
        <f t="shared" si="12"/>
        <v>6.5933048138207176E-2</v>
      </c>
      <c r="G79" s="73">
        <f t="shared" si="12"/>
        <v>6.4900627852349471E-2</v>
      </c>
      <c r="H79" s="73">
        <f t="shared" si="12"/>
        <v>6.0816744516493951E-2</v>
      </c>
      <c r="I79" s="73">
        <f t="shared" si="12"/>
        <v>6.7510759700711964E-2</v>
      </c>
      <c r="J79" s="73">
        <f t="shared" si="12"/>
        <v>6.9703036610253441E-2</v>
      </c>
      <c r="K79" s="73">
        <f t="shared" si="12"/>
        <v>7.9648261539038076E-2</v>
      </c>
      <c r="L79" s="73">
        <f t="shared" si="12"/>
        <v>6.2388403325375985E-2</v>
      </c>
      <c r="M79" s="73">
        <f t="shared" si="12"/>
        <v>6.7025912260909107E-2</v>
      </c>
      <c r="N79" s="73">
        <f t="shared" si="12"/>
        <v>6.7114504317795212E-2</v>
      </c>
      <c r="O79" s="73">
        <f t="shared" si="12"/>
        <v>7.1742284013089533E-2</v>
      </c>
      <c r="P79" s="73">
        <f t="shared" si="12"/>
        <v>6.0752782015803954E-2</v>
      </c>
      <c r="Q79" s="73">
        <f>Q78/Q82</f>
        <v>8.8446656751465555E-2</v>
      </c>
      <c r="R79" s="73">
        <f t="shared" si="12"/>
        <v>7.6948325372003634E-2</v>
      </c>
      <c r="S79" s="73">
        <f>S78/S82</f>
        <v>7.472136990068283E-2</v>
      </c>
      <c r="T79" s="73">
        <f>+BR_bio_T1</f>
        <v>8.5999999999999993E-2</v>
      </c>
      <c r="U79" s="73">
        <f>+BR_bio_T1</f>
        <v>8.5999999999999993E-2</v>
      </c>
      <c r="V79" s="73">
        <f>+BR_bio_T1</f>
        <v>8.5999999999999993E-2</v>
      </c>
      <c r="W79" s="73">
        <f>+BR_bio_T1</f>
        <v>8.5999999999999993E-2</v>
      </c>
      <c r="X79" s="73">
        <f>+BR_bio_T0</f>
        <v>9.6000000000000002E-2</v>
      </c>
      <c r="Y79" s="73">
        <f>+BR_bio_T0</f>
        <v>9.6000000000000002E-2</v>
      </c>
      <c r="Z79" s="73">
        <f>+BR_bio_T0</f>
        <v>9.6000000000000002E-2</v>
      </c>
      <c r="AA79" s="73">
        <f>+BR_bio_T0</f>
        <v>9.6000000000000002E-2</v>
      </c>
      <c r="AC79"/>
    </row>
    <row r="80" spans="1:43" s="70" customFormat="1" x14ac:dyDescent="0.25">
      <c r="C80" s="70" t="s">
        <v>6</v>
      </c>
      <c r="D80" s="71">
        <f t="shared" ref="D80:S80" si="13">SUM(D13,D5*0.2*(D13/SUM(D12:D13)),D6*0.05*(D13/SUM(D12:D13)))</f>
        <v>0</v>
      </c>
      <c r="E80" s="71">
        <f t="shared" si="13"/>
        <v>0</v>
      </c>
      <c r="F80" s="71">
        <f t="shared" si="13"/>
        <v>0</v>
      </c>
      <c r="G80" s="71">
        <f t="shared" si="13"/>
        <v>0</v>
      </c>
      <c r="H80" s="71">
        <f t="shared" si="13"/>
        <v>0</v>
      </c>
      <c r="I80" s="71">
        <f t="shared" si="13"/>
        <v>0</v>
      </c>
      <c r="J80" s="71">
        <f t="shared" si="13"/>
        <v>0</v>
      </c>
      <c r="K80" s="71">
        <f t="shared" si="13"/>
        <v>340253.85890654975</v>
      </c>
      <c r="L80" s="71">
        <f t="shared" si="13"/>
        <v>301481.0604511585</v>
      </c>
      <c r="M80" s="71">
        <f t="shared" si="13"/>
        <v>200455.67818058873</v>
      </c>
      <c r="N80" s="71">
        <f t="shared" si="13"/>
        <v>223908.34798704344</v>
      </c>
      <c r="O80" s="71">
        <f t="shared" si="13"/>
        <v>481579.2860820592</v>
      </c>
      <c r="P80" s="71">
        <f t="shared" si="13"/>
        <v>162808.98830615674</v>
      </c>
      <c r="Q80" s="71">
        <f t="shared" si="13"/>
        <v>459856.37920774531</v>
      </c>
      <c r="R80" s="71">
        <f t="shared" si="13"/>
        <v>11387561.873181719</v>
      </c>
      <c r="S80" s="71">
        <f t="shared" si="13"/>
        <v>4755871.5054612309</v>
      </c>
      <c r="T80" s="71">
        <f>T81*T82</f>
        <v>8638315.3649902698</v>
      </c>
      <c r="U80" s="71">
        <f t="shared" ref="U80:AA80" si="14">U81*U82</f>
        <v>7814869.3228838323</v>
      </c>
      <c r="V80" s="71">
        <f t="shared" si="14"/>
        <v>8596024.0334518477</v>
      </c>
      <c r="W80" s="71">
        <f t="shared" si="14"/>
        <v>8345397.295505411</v>
      </c>
      <c r="X80" s="71">
        <f>X81*X82</f>
        <v>14595706.879585302</v>
      </c>
      <c r="Y80" s="71">
        <f t="shared" si="14"/>
        <v>13902876.410572832</v>
      </c>
      <c r="Z80" s="71">
        <f t="shared" si="14"/>
        <v>15829183.082345759</v>
      </c>
      <c r="AA80" s="71">
        <f t="shared" si="14"/>
        <v>15246784.881273419</v>
      </c>
      <c r="AC80"/>
    </row>
    <row r="81" spans="3:29" s="70" customFormat="1" x14ac:dyDescent="0.25">
      <c r="C81" s="72" t="s">
        <v>661</v>
      </c>
      <c r="D81" s="73">
        <f>D80/D82</f>
        <v>0</v>
      </c>
      <c r="E81" s="73">
        <f t="shared" ref="E81:R81" si="15">E80/E82</f>
        <v>0</v>
      </c>
      <c r="F81" s="73">
        <f t="shared" si="15"/>
        <v>0</v>
      </c>
      <c r="G81" s="73">
        <f t="shared" si="15"/>
        <v>0</v>
      </c>
      <c r="H81" s="73">
        <f t="shared" si="15"/>
        <v>0</v>
      </c>
      <c r="I81" s="73">
        <f t="shared" si="15"/>
        <v>0</v>
      </c>
      <c r="J81" s="73">
        <f t="shared" si="15"/>
        <v>0</v>
      </c>
      <c r="K81" s="73">
        <f t="shared" si="15"/>
        <v>1.9073231668241047E-3</v>
      </c>
      <c r="L81" s="73">
        <f t="shared" si="15"/>
        <v>1.7427983982795546E-3</v>
      </c>
      <c r="M81" s="73">
        <f t="shared" si="15"/>
        <v>1.0286217434849869E-3</v>
      </c>
      <c r="N81" s="73">
        <f t="shared" si="15"/>
        <v>1.0189762899703962E-3</v>
      </c>
      <c r="O81" s="73">
        <f t="shared" si="15"/>
        <v>2.651042273430711E-3</v>
      </c>
      <c r="P81" s="73">
        <f t="shared" si="15"/>
        <v>8.7422489143178272E-4</v>
      </c>
      <c r="Q81" s="73">
        <f t="shared" si="15"/>
        <v>2.4622699469155954E-3</v>
      </c>
      <c r="R81" s="73">
        <f t="shared" si="15"/>
        <v>5.1702335718732062E-2</v>
      </c>
      <c r="S81" s="73">
        <f>S80/S82</f>
        <v>2.3885297180154152E-2</v>
      </c>
      <c r="T81" s="73">
        <f>+BR_ren_T1</f>
        <v>4.2000000000000003E-2</v>
      </c>
      <c r="U81" s="73">
        <f>+BR_ren_T1</f>
        <v>4.2000000000000003E-2</v>
      </c>
      <c r="V81" s="73">
        <f>+BR_ren_T1</f>
        <v>4.2000000000000003E-2</v>
      </c>
      <c r="W81" s="73">
        <f>+BR_ren_T1</f>
        <v>4.2000000000000003E-2</v>
      </c>
      <c r="X81" s="73">
        <f>+BR_ren_T0</f>
        <v>7.2999999999999995E-2</v>
      </c>
      <c r="Y81" s="73">
        <f>+BR_ren_T0</f>
        <v>7.2999999999999995E-2</v>
      </c>
      <c r="Z81" s="73">
        <f>+BR_ren_T0</f>
        <v>7.2999999999999995E-2</v>
      </c>
      <c r="AA81" s="73">
        <f>+BR_ren_T0</f>
        <v>7.2999999999999995E-2</v>
      </c>
      <c r="AC81"/>
    </row>
    <row r="82" spans="3:29" s="70" customFormat="1" ht="15.75" thickBot="1" x14ac:dyDescent="0.3">
      <c r="C82" s="74" t="s">
        <v>551</v>
      </c>
      <c r="D82" s="75">
        <f t="shared" ref="D82:S82" si="16">SUM(D4:D6,D12:D13)</f>
        <v>212379041</v>
      </c>
      <c r="E82" s="75">
        <f t="shared" si="16"/>
        <v>169566829</v>
      </c>
      <c r="F82" s="75">
        <f t="shared" si="16"/>
        <v>197339277</v>
      </c>
      <c r="G82" s="75">
        <f t="shared" si="16"/>
        <v>176992250</v>
      </c>
      <c r="H82" s="75">
        <f t="shared" si="16"/>
        <v>149660362</v>
      </c>
      <c r="I82" s="75">
        <f t="shared" si="16"/>
        <v>198453243</v>
      </c>
      <c r="J82" s="75">
        <f t="shared" si="16"/>
        <v>207579224</v>
      </c>
      <c r="K82" s="75">
        <f t="shared" si="16"/>
        <v>178393397</v>
      </c>
      <c r="L82" s="75">
        <f t="shared" si="16"/>
        <v>172986767</v>
      </c>
      <c r="M82" s="75">
        <f t="shared" si="16"/>
        <v>194877932</v>
      </c>
      <c r="N82" s="75">
        <f t="shared" si="16"/>
        <v>219738526</v>
      </c>
      <c r="O82" s="75">
        <f t="shared" si="16"/>
        <v>181656585</v>
      </c>
      <c r="P82" s="75">
        <f t="shared" si="16"/>
        <v>186232387</v>
      </c>
      <c r="Q82" s="75">
        <f t="shared" si="16"/>
        <v>186761155</v>
      </c>
      <c r="R82" s="75">
        <f t="shared" si="16"/>
        <v>220252368</v>
      </c>
      <c r="S82" s="75">
        <f t="shared" si="16"/>
        <v>199112930</v>
      </c>
      <c r="T82" s="149">
        <f>P82*(1+T83)</f>
        <v>205674175.35691118</v>
      </c>
      <c r="U82" s="149">
        <f t="shared" ref="U82:AA82" si="17">Q82*(1+U83)</f>
        <v>186068317.21151981</v>
      </c>
      <c r="V82" s="149">
        <f t="shared" si="17"/>
        <v>204667238.89171064</v>
      </c>
      <c r="W82" s="149">
        <f t="shared" si="17"/>
        <v>198699935.60727167</v>
      </c>
      <c r="X82" s="149">
        <f t="shared" si="17"/>
        <v>199941190.13130552</v>
      </c>
      <c r="Y82" s="149">
        <f t="shared" si="17"/>
        <v>190450361.78866896</v>
      </c>
      <c r="Z82" s="149">
        <f t="shared" si="17"/>
        <v>216838124.41569534</v>
      </c>
      <c r="AA82" s="149">
        <f t="shared" si="17"/>
        <v>208860066.86675918</v>
      </c>
      <c r="AC82"/>
    </row>
    <row r="83" spans="3:29" s="70" customFormat="1" x14ac:dyDescent="0.25">
      <c r="C83" s="151" t="s">
        <v>689</v>
      </c>
      <c r="D83" s="152"/>
      <c r="E83" s="152"/>
      <c r="F83" s="152"/>
      <c r="G83" s="152"/>
      <c r="H83" s="153">
        <f t="shared" ref="H83:S83" si="18">H82/D82-1</f>
        <v>-0.29531482346226434</v>
      </c>
      <c r="I83" s="153">
        <f t="shared" si="18"/>
        <v>0.17035415576474566</v>
      </c>
      <c r="J83" s="153">
        <f t="shared" si="18"/>
        <v>5.1890060385697989E-2</v>
      </c>
      <c r="K83" s="153">
        <f t="shared" si="18"/>
        <v>7.916431369170196E-3</v>
      </c>
      <c r="L83" s="153">
        <f t="shared" si="18"/>
        <v>0.15586227834996147</v>
      </c>
      <c r="M83" s="153">
        <f t="shared" si="18"/>
        <v>-1.8015885988822089E-2</v>
      </c>
      <c r="N83" s="153">
        <f t="shared" si="18"/>
        <v>5.8576681065153124E-2</v>
      </c>
      <c r="O83" s="153">
        <f t="shared" si="18"/>
        <v>1.8292089588943794E-2</v>
      </c>
      <c r="P83" s="153">
        <f t="shared" si="18"/>
        <v>7.6570134408026735E-2</v>
      </c>
      <c r="Q83" s="153">
        <f t="shared" si="18"/>
        <v>-4.1650570265698406E-2</v>
      </c>
      <c r="R83" s="153">
        <f t="shared" si="18"/>
        <v>2.3384247148359183E-3</v>
      </c>
      <c r="S83" s="153">
        <f t="shared" si="18"/>
        <v>9.6095305325705649E-2</v>
      </c>
      <c r="T83" s="155">
        <f>'[1]Quarterly Work'!Q19</f>
        <v>0.10439531313590034</v>
      </c>
      <c r="U83" s="155">
        <f>'[1]Quarterly Work'!Q20</f>
        <v>-3.7097531790279969E-3</v>
      </c>
      <c r="V83" s="155">
        <f>'[1]Quarterly Work'!Q21</f>
        <v>-7.0760324848309297E-2</v>
      </c>
      <c r="W83" s="155">
        <f>'[1]Quarterly Work'!Q22</f>
        <v>-2.0741716408287925E-3</v>
      </c>
      <c r="X83" s="155">
        <f>'[1]Quarterly Work'!Q23</f>
        <v>-2.7874113099795261E-2</v>
      </c>
      <c r="Y83" s="155">
        <f>'[1]Quarterly Work'!Q24</f>
        <v>2.3550729338663867E-2</v>
      </c>
      <c r="Z83" s="155">
        <f>'[1]Quarterly Work'!Q25</f>
        <v>5.9466701118806364E-2</v>
      </c>
      <c r="AA83" s="155">
        <f>'[1]Quarterly Work'!Q26</f>
        <v>5.1133037504193846E-2</v>
      </c>
      <c r="AC83"/>
    </row>
    <row r="84" spans="3:29" s="70" customFormat="1" x14ac:dyDescent="0.25"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AC84"/>
    </row>
    <row r="85" spans="3:29" s="70" customFormat="1" x14ac:dyDescent="0.25">
      <c r="C85" s="70" t="s">
        <v>663</v>
      </c>
      <c r="D85" s="71">
        <f t="shared" ref="D85:S85" si="19">D15</f>
        <v>7061</v>
      </c>
      <c r="E85" s="71">
        <f t="shared" si="19"/>
        <v>10979</v>
      </c>
      <c r="F85" s="71">
        <f t="shared" si="19"/>
        <v>15031</v>
      </c>
      <c r="G85" s="71">
        <f t="shared" si="19"/>
        <v>14084</v>
      </c>
      <c r="H85" s="71">
        <f t="shared" si="19"/>
        <v>14322</v>
      </c>
      <c r="I85" s="71">
        <f t="shared" si="19"/>
        <v>18144</v>
      </c>
      <c r="J85" s="71">
        <f t="shared" si="19"/>
        <v>24117</v>
      </c>
      <c r="K85" s="71">
        <f t="shared" si="19"/>
        <v>22967</v>
      </c>
      <c r="L85" s="71">
        <f t="shared" si="19"/>
        <v>18643</v>
      </c>
      <c r="M85" s="71">
        <f t="shared" si="19"/>
        <v>26424</v>
      </c>
      <c r="N85" s="71">
        <f t="shared" si="19"/>
        <v>34852</v>
      </c>
      <c r="O85" s="71">
        <f t="shared" si="19"/>
        <v>43869</v>
      </c>
      <c r="P85" s="71">
        <f t="shared" si="19"/>
        <v>43384</v>
      </c>
      <c r="Q85" s="71">
        <f t="shared" si="19"/>
        <v>54052</v>
      </c>
      <c r="R85" s="71">
        <f t="shared" si="19"/>
        <v>70193</v>
      </c>
      <c r="S85" s="71">
        <f t="shared" si="19"/>
        <v>69198</v>
      </c>
      <c r="T85" s="71">
        <f t="shared" ref="T85:AA85" si="20">T88-T86</f>
        <v>69833.568923503743</v>
      </c>
      <c r="U85" s="71">
        <f t="shared" si="20"/>
        <v>43488.445861214772</v>
      </c>
      <c r="V85" s="71">
        <f t="shared" si="20"/>
        <v>65563.960510185221</v>
      </c>
      <c r="W85" s="71">
        <f t="shared" si="20"/>
        <v>85912.896389098489</v>
      </c>
      <c r="X85" s="71">
        <f t="shared" si="20"/>
        <v>108399.4055491722</v>
      </c>
      <c r="Y85" s="71">
        <f t="shared" si="20"/>
        <v>113065.06036533113</v>
      </c>
      <c r="Z85" s="71">
        <f t="shared" si="20"/>
        <v>117989.13470765797</v>
      </c>
      <c r="AA85" s="71">
        <f t="shared" si="20"/>
        <v>131262.44085162366</v>
      </c>
    </row>
    <row r="86" spans="3:29" s="70" customFormat="1" x14ac:dyDescent="0.25">
      <c r="C86" s="70" t="s">
        <v>664</v>
      </c>
      <c r="D86" s="71">
        <f>'Electric Vehicles'!$B86*(3.6/116.09)*(D85/SUM($D85:$G85))</f>
        <v>191567.53531276336</v>
      </c>
      <c r="E86" s="71">
        <f>'Electric Vehicles'!$B86*(3.6/116.09)*(E85/SUM($D85:$G85))</f>
        <v>297864.32094587578</v>
      </c>
      <c r="F86" s="71">
        <f>'Electric Vehicles'!$B86*(3.6/116.09)*(F85/SUM($D85:$G85))</f>
        <v>407796.57602126413</v>
      </c>
      <c r="G86" s="71">
        <f>'Electric Vehicles'!$B86*(3.6/116.09)*(G85/SUM($D85:$G85))</f>
        <v>382104.11660458281</v>
      </c>
      <c r="H86" s="71">
        <f>'Electric Vehicles'!$C86*(3.6/116.09)*(H85/SUM($H85:$K85))</f>
        <v>281507.37611096178</v>
      </c>
      <c r="I86" s="71">
        <f>'Electric Vehicles'!$C86*(3.6/116.09)*(I85/SUM($H85:$K85))</f>
        <v>356631.04539570527</v>
      </c>
      <c r="J86" s="71">
        <f>'Electric Vehicles'!$C86*(3.6/116.09)*(J85/SUM($H85:$K85))</f>
        <v>474033.89119313407</v>
      </c>
      <c r="K86" s="71">
        <f>'Electric Vehicles'!$C86*(3.6/116.09)*(K85/SUM($H85:$K85))</f>
        <v>451429.96139788156</v>
      </c>
      <c r="L86" s="71">
        <f>'Electric Vehicles'!$D86*(3.6/116.09)*(L85/SUM($L85:$O85))</f>
        <v>318047.5502671334</v>
      </c>
      <c r="M86" s="71">
        <f>'Electric Vehicles'!$D86*(3.6/116.09)*(M85/SUM($L85:$O85))</f>
        <v>450790.5631206744</v>
      </c>
      <c r="N86" s="71">
        <f>'Electric Vehicles'!$D86*(3.6/116.09)*(N85/SUM($L85:$O85))</f>
        <v>594571.32553291484</v>
      </c>
      <c r="O86" s="71">
        <f>'Electric Vehicles'!$D86*(3.6/116.09)*(O85/SUM($L85:$O85))</f>
        <v>748400.36381853104</v>
      </c>
      <c r="P86" s="71">
        <f>'Electric Vehicles'!$E86*(3.6/118.383)*(P85/SUM($P85:$S85))</f>
        <v>483822.83333091799</v>
      </c>
      <c r="Q86" s="71">
        <f>'Electric Vehicles'!$E86*(3.6/118.383)*(Q85/SUM($P85:$S85))</f>
        <v>602793.46734286321</v>
      </c>
      <c r="R86" s="71">
        <f>'Electric Vehicles'!$E86*(3.6/118.383)*(R85/SUM($P85:$S85))</f>
        <v>782799.5606674609</v>
      </c>
      <c r="S86" s="71">
        <f>'Electric Vehicles'!$E86*(3.6/118.383)*(S85/SUM($P85:$S85))</f>
        <v>771703.21825633547</v>
      </c>
      <c r="T86" s="71">
        <f t="shared" ref="T86:AA86" si="21">T88*T87</f>
        <v>752912.43314929353</v>
      </c>
      <c r="U86" s="71">
        <f t="shared" si="21"/>
        <v>448838.99535665457</v>
      </c>
      <c r="V86" s="71">
        <f t="shared" si="21"/>
        <v>648748.75022669404</v>
      </c>
      <c r="W86" s="71">
        <f t="shared" si="21"/>
        <v>815797.14189328463</v>
      </c>
      <c r="X86" s="71">
        <f t="shared" si="21"/>
        <v>989100.39079927804</v>
      </c>
      <c r="Y86" s="71">
        <f t="shared" si="21"/>
        <v>993407.25431426521</v>
      </c>
      <c r="Z86" s="71">
        <f t="shared" si="21"/>
        <v>998920.96576517459</v>
      </c>
      <c r="AA86" s="71">
        <f t="shared" si="21"/>
        <v>1071539.5464063655</v>
      </c>
    </row>
    <row r="87" spans="3:29" s="70" customFormat="1" x14ac:dyDescent="0.25">
      <c r="C87" s="72" t="s">
        <v>666</v>
      </c>
      <c r="D87" s="73">
        <f>D86/D88</f>
        <v>0.96445123059040005</v>
      </c>
      <c r="E87" s="73">
        <f t="shared" ref="E87:S87" si="22">E86/E88</f>
        <v>0.96445123059040005</v>
      </c>
      <c r="F87" s="73">
        <f t="shared" si="22"/>
        <v>0.96445123059040005</v>
      </c>
      <c r="G87" s="73">
        <f t="shared" si="22"/>
        <v>0.96445123059040005</v>
      </c>
      <c r="H87" s="73">
        <f t="shared" si="22"/>
        <v>0.95158695803547244</v>
      </c>
      <c r="I87" s="73">
        <f t="shared" si="22"/>
        <v>0.95158695803547244</v>
      </c>
      <c r="J87" s="73">
        <f t="shared" si="22"/>
        <v>0.95158695803547244</v>
      </c>
      <c r="K87" s="73">
        <f t="shared" si="22"/>
        <v>0.95158695803547244</v>
      </c>
      <c r="L87" s="73">
        <f t="shared" si="22"/>
        <v>0.94462868059347527</v>
      </c>
      <c r="M87" s="73">
        <f t="shared" si="22"/>
        <v>0.94462868059347527</v>
      </c>
      <c r="N87" s="73">
        <f t="shared" si="22"/>
        <v>0.94462868059347527</v>
      </c>
      <c r="O87" s="73">
        <f t="shared" si="22"/>
        <v>0.94462868059347527</v>
      </c>
      <c r="P87" s="73">
        <f t="shared" si="22"/>
        <v>0.91770971607879626</v>
      </c>
      <c r="Q87" s="73">
        <f t="shared" si="22"/>
        <v>0.91770971607879626</v>
      </c>
      <c r="R87" s="73">
        <f t="shared" si="22"/>
        <v>0.91770971607879626</v>
      </c>
      <c r="S87" s="73">
        <f t="shared" si="22"/>
        <v>0.91770971607879626</v>
      </c>
      <c r="T87" s="73">
        <f t="shared" ref="T87:AA87" si="23">TREND($D87:$S87,$D70:$S70,T70)</f>
        <v>0.91512135124623217</v>
      </c>
      <c r="U87" s="73">
        <f t="shared" si="23"/>
        <v>0.91166763779480275</v>
      </c>
      <c r="V87" s="73">
        <f t="shared" si="23"/>
        <v>0.90821392434337334</v>
      </c>
      <c r="W87" s="73">
        <f t="shared" si="23"/>
        <v>0.90472225799687322</v>
      </c>
      <c r="X87" s="73">
        <f t="shared" si="23"/>
        <v>0.90123059165037334</v>
      </c>
      <c r="Y87" s="73">
        <f t="shared" si="23"/>
        <v>0.89781483109401461</v>
      </c>
      <c r="Z87" s="73">
        <f t="shared" si="23"/>
        <v>0.89436111764258519</v>
      </c>
      <c r="AA87" s="73">
        <f t="shared" si="23"/>
        <v>0.89086945129608508</v>
      </c>
      <c r="AB87" s="73"/>
    </row>
    <row r="88" spans="3:29" s="70" customFormat="1" ht="15.75" thickBot="1" x14ac:dyDescent="0.3">
      <c r="C88" s="74" t="s">
        <v>665</v>
      </c>
      <c r="D88" s="75">
        <f t="shared" ref="D88:Q88" si="24">SUM(D85:D86)</f>
        <v>198628.53531276336</v>
      </c>
      <c r="E88" s="75">
        <f t="shared" si="24"/>
        <v>308843.32094587578</v>
      </c>
      <c r="F88" s="75">
        <f t="shared" si="24"/>
        <v>422827.57602126413</v>
      </c>
      <c r="G88" s="75">
        <f t="shared" si="24"/>
        <v>396188.11660458281</v>
      </c>
      <c r="H88" s="75">
        <f t="shared" si="24"/>
        <v>295829.37611096178</v>
      </c>
      <c r="I88" s="75">
        <f t="shared" si="24"/>
        <v>374775.04539570527</v>
      </c>
      <c r="J88" s="75">
        <f t="shared" si="24"/>
        <v>498150.89119313407</v>
      </c>
      <c r="K88" s="75">
        <f t="shared" si="24"/>
        <v>474396.96139788156</v>
      </c>
      <c r="L88" s="75">
        <f t="shared" si="24"/>
        <v>336690.5502671334</v>
      </c>
      <c r="M88" s="75">
        <f t="shared" si="24"/>
        <v>477214.5631206744</v>
      </c>
      <c r="N88" s="75">
        <f t="shared" si="24"/>
        <v>629423.32553291484</v>
      </c>
      <c r="O88" s="75">
        <f t="shared" si="24"/>
        <v>792269.36381853104</v>
      </c>
      <c r="P88" s="75">
        <f>SUM(P85:P86)</f>
        <v>527206.83333091799</v>
      </c>
      <c r="Q88" s="75">
        <f t="shared" si="24"/>
        <v>656845.46734286321</v>
      </c>
      <c r="R88" s="75">
        <f>SUM(R85:R86)</f>
        <v>852992.5606674609</v>
      </c>
      <c r="S88" s="75">
        <f>SUM(S85:S86)</f>
        <v>840901.21825633547</v>
      </c>
      <c r="T88" s="149">
        <f>'Electric Vehicles'!$H$32*T91*(ED_eon_T1/ED_gas_T1)/4</f>
        <v>822746.00207279727</v>
      </c>
      <c r="U88" s="149">
        <f>'Electric Vehicles'!$H$33*U91*(ED_eon_T1/ED_gas_T1)/4</f>
        <v>492327.44121786935</v>
      </c>
      <c r="V88" s="149">
        <f>'Electric Vehicles'!$H$34*V91*(ED_eon_T1/ED_gas_T1)/4</f>
        <v>714312.71073687926</v>
      </c>
      <c r="W88" s="149">
        <f>'Electric Vehicles'!$H$35*W91*(ED_eon_T1/ED_gas_T1)/4</f>
        <v>901710.03828238312</v>
      </c>
      <c r="X88" s="149">
        <f>'Electric Vehicles'!$H$36*X91*(ED_eon_T0/ED_gas_T0)/4</f>
        <v>1097499.7963484502</v>
      </c>
      <c r="Y88" s="149">
        <f>'Electric Vehicles'!$H$37*Y91*(ED_eon_T0/ED_gas_T0)/4</f>
        <v>1106472.3146795963</v>
      </c>
      <c r="Z88" s="149">
        <f>'Electric Vehicles'!$H$38*Z91*(ED_eon_T0/ED_gas_T0)/4</f>
        <v>1116910.1004728326</v>
      </c>
      <c r="AA88" s="149">
        <f>'Electric Vehicles'!$H$39*AA91*(ED_eon_T0/ED_gas_T0)/4</f>
        <v>1202801.9872579891</v>
      </c>
    </row>
    <row r="89" spans="3:29" s="70" customFormat="1" x14ac:dyDescent="0.25">
      <c r="C89" s="151" t="s">
        <v>689</v>
      </c>
      <c r="D89" s="152"/>
      <c r="E89" s="152"/>
      <c r="F89" s="152"/>
      <c r="G89" s="152"/>
      <c r="H89" s="153">
        <f t="shared" ref="H89:AA89" si="25">H88/D88-1</f>
        <v>0.4893599031234086</v>
      </c>
      <c r="I89" s="153">
        <f t="shared" si="25"/>
        <v>0.21347952174553875</v>
      </c>
      <c r="J89" s="153">
        <f t="shared" si="25"/>
        <v>0.17814191751789132</v>
      </c>
      <c r="K89" s="153">
        <f t="shared" si="25"/>
        <v>0.19740330796280658</v>
      </c>
      <c r="L89" s="153">
        <f t="shared" si="25"/>
        <v>0.13812412645877714</v>
      </c>
      <c r="M89" s="153">
        <f t="shared" si="25"/>
        <v>0.27333601578730682</v>
      </c>
      <c r="N89" s="153">
        <f t="shared" si="25"/>
        <v>0.2635194208432845</v>
      </c>
      <c r="O89" s="153">
        <f t="shared" si="25"/>
        <v>0.67005573029808407</v>
      </c>
      <c r="P89" s="153">
        <f t="shared" si="25"/>
        <v>0.5658498075239331</v>
      </c>
      <c r="Q89" s="153">
        <f t="shared" si="25"/>
        <v>0.37641538650354445</v>
      </c>
      <c r="R89" s="153">
        <f t="shared" si="25"/>
        <v>0.35519693355065352</v>
      </c>
      <c r="S89" s="153">
        <f t="shared" si="25"/>
        <v>6.1382979903970458E-2</v>
      </c>
      <c r="T89" s="153">
        <f t="shared" si="25"/>
        <v>0.5605753758437626</v>
      </c>
      <c r="U89" s="153">
        <f t="shared" si="25"/>
        <v>-0.25046686672059804</v>
      </c>
      <c r="V89" s="153">
        <f t="shared" si="25"/>
        <v>-0.16258037446664908</v>
      </c>
      <c r="W89" s="153">
        <f t="shared" si="25"/>
        <v>7.2313868390081248E-2</v>
      </c>
      <c r="X89" s="153">
        <f t="shared" si="25"/>
        <v>0.33394728577647048</v>
      </c>
      <c r="Y89" s="153">
        <f t="shared" si="25"/>
        <v>1.2474317335278289</v>
      </c>
      <c r="Z89" s="153">
        <f t="shared" si="25"/>
        <v>0.56361504378192717</v>
      </c>
      <c r="AA89" s="153">
        <f t="shared" si="25"/>
        <v>0.33391216266055901</v>
      </c>
    </row>
    <row r="90" spans="3:29" s="70" customFormat="1" x14ac:dyDescent="0.25">
      <c r="C90" s="9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3:29" s="70" customFormat="1" x14ac:dyDescent="0.25">
      <c r="C91" s="95" t="s">
        <v>710</v>
      </c>
      <c r="D91" s="24">
        <f>D88*116.09/3.4/'Electric Vehicles'!$H16*4</f>
        <v>2782.6427645017829</v>
      </c>
      <c r="E91" s="24">
        <f>E88*116.09/3.4/'Electric Vehicles'!$H17*4</f>
        <v>3974.0654550157642</v>
      </c>
      <c r="F91" s="24">
        <f>F88*116.09/3.4/'Electric Vehicles'!$H18*4</f>
        <v>4988.6228403907226</v>
      </c>
      <c r="G91" s="24">
        <f>G88*116.09/3.4/'Electric Vehicles'!$H19*4</f>
        <v>4295.1241986707528</v>
      </c>
      <c r="H91" s="24">
        <f>H88*116.09/3.4/'Electric Vehicles'!$H20*4</f>
        <v>3047.9278881679816</v>
      </c>
      <c r="I91" s="24">
        <f>I88*116.09/3.4/'Electric Vehicles'!$H21*4</f>
        <v>3583.6626034230271</v>
      </c>
      <c r="J91" s="24">
        <f>J88*116.09/3.4/'Electric Vehicles'!$H22*4</f>
        <v>4470.4442170669745</v>
      </c>
      <c r="K91" s="24">
        <f>K88*116.09/3.4/'Electric Vehicles'!$H23*4</f>
        <v>4006.8931753559655</v>
      </c>
      <c r="L91" s="24">
        <f>L88*116.09/3.4/'Electric Vehicles'!$H24*4</f>
        <v>2668.9887419987176</v>
      </c>
      <c r="M91" s="24">
        <f>M88*116.09/3.4/'Electric Vehicles'!$H25*4</f>
        <v>3525.901041078082</v>
      </c>
      <c r="N91" s="24">
        <f>N88*116.09/3.4/'Electric Vehicles'!$H26*4</f>
        <v>4321.9917700952938</v>
      </c>
      <c r="O91" s="24">
        <f>O88*116.09/3.4/'Electric Vehicles'!$H27*4</f>
        <v>4899.2734522105184</v>
      </c>
      <c r="P91" s="24">
        <f>P88*118.383/3.6/'Electric Vehicles'!H28*4</f>
        <v>2877.111957027666</v>
      </c>
      <c r="Q91" s="24">
        <f>Q88*118.383/3.6/'Electric Vehicles'!H29*4</f>
        <v>3385.0205018566476</v>
      </c>
      <c r="R91" s="24">
        <f>R88*118.383/3.6/'Electric Vehicles'!H30*4</f>
        <v>4042.2163101798546</v>
      </c>
      <c r="S91" s="24">
        <f>S88*118.383/3.6/'Electric Vehicles'!H31*4</f>
        <v>3719.9617691994858</v>
      </c>
      <c r="T91" s="24">
        <f>AVERAGE($P91:$S91)</f>
        <v>3506.0776345659137</v>
      </c>
      <c r="U91" s="150">
        <f>AVERAGE($P91:$S91)-1425</f>
        <v>2081.0776345659137</v>
      </c>
      <c r="V91" s="150">
        <f>AVERAGE($P91:$S91)-515</f>
        <v>2991.0776345659137</v>
      </c>
      <c r="W91" s="24">
        <f>AVERAGE($P91:$S91)</f>
        <v>3506.0776345659137</v>
      </c>
      <c r="X91" s="24">
        <f>AVERAGE($P91:$S91)</f>
        <v>3506.0776345659137</v>
      </c>
      <c r="Y91" s="24">
        <f>AVERAGE($P91:$S91)</f>
        <v>3506.0776345659137</v>
      </c>
      <c r="Z91" s="24">
        <f>AVERAGE($P91:$S91)</f>
        <v>3506.0776345659137</v>
      </c>
      <c r="AA91" s="24">
        <f>AVERAGE($P91:$S91)</f>
        <v>3506.0776345659137</v>
      </c>
      <c r="AC91" s="24"/>
    </row>
    <row r="92" spans="3:29" s="70" customFormat="1" x14ac:dyDescent="0.25">
      <c r="C92" s="9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3:29" s="70" customFormat="1" ht="15.75" thickBot="1" x14ac:dyDescent="0.3">
      <c r="C93" s="74" t="s">
        <v>704</v>
      </c>
      <c r="D93" s="75">
        <f t="shared" ref="D93:S93" si="26">D14</f>
        <v>0</v>
      </c>
      <c r="E93" s="75">
        <f t="shared" si="26"/>
        <v>0</v>
      </c>
      <c r="F93" s="75">
        <f t="shared" si="26"/>
        <v>0</v>
      </c>
      <c r="G93" s="75">
        <f t="shared" si="26"/>
        <v>0</v>
      </c>
      <c r="H93" s="75">
        <f t="shared" si="26"/>
        <v>0</v>
      </c>
      <c r="I93" s="75">
        <f t="shared" si="26"/>
        <v>0</v>
      </c>
      <c r="J93" s="75">
        <f t="shared" si="26"/>
        <v>0</v>
      </c>
      <c r="K93" s="75">
        <f t="shared" si="26"/>
        <v>0</v>
      </c>
      <c r="L93" s="75">
        <f t="shared" si="26"/>
        <v>431079</v>
      </c>
      <c r="M93" s="75">
        <f t="shared" si="26"/>
        <v>422832</v>
      </c>
      <c r="N93" s="75">
        <f t="shared" si="26"/>
        <v>440204</v>
      </c>
      <c r="O93" s="75">
        <f t="shared" si="26"/>
        <v>433671</v>
      </c>
      <c r="P93" s="75">
        <f t="shared" si="26"/>
        <v>477625</v>
      </c>
      <c r="Q93" s="75">
        <f t="shared" si="26"/>
        <v>490452</v>
      </c>
      <c r="R93" s="75">
        <f t="shared" si="26"/>
        <v>605468</v>
      </c>
      <c r="S93" s="75">
        <f t="shared" si="26"/>
        <v>647036</v>
      </c>
      <c r="T93" s="75">
        <f>P93*(1+GR_eof_T1)</f>
        <v>716437.5</v>
      </c>
      <c r="U93" s="75">
        <f>Q93*(1+GR_eof_T1)</f>
        <v>735678</v>
      </c>
      <c r="V93" s="75">
        <f>R93*(1+GR_eof_T1)</f>
        <v>908202</v>
      </c>
      <c r="W93" s="75">
        <f>S93*(1+GR_eof_T1)</f>
        <v>970554</v>
      </c>
      <c r="X93" s="75">
        <f>T93*(1+GR_eof_T0)</f>
        <v>1253765.625</v>
      </c>
      <c r="Y93" s="75">
        <f>U93*(1+GR_eof_T0)</f>
        <v>1287436.5</v>
      </c>
      <c r="Z93" s="75">
        <f>V93*(1+GR_eof_T0)</f>
        <v>1589353.5</v>
      </c>
      <c r="AA93" s="75">
        <f>W93*(1+GR_eof_T0)</f>
        <v>1698469.5</v>
      </c>
    </row>
    <row r="94" spans="3:29" s="70" customFormat="1" x14ac:dyDescent="0.25">
      <c r="C94" s="151" t="s">
        <v>689</v>
      </c>
      <c r="D94" s="152"/>
      <c r="E94" s="152"/>
      <c r="F94" s="152"/>
      <c r="G94" s="152"/>
      <c r="H94" s="153"/>
      <c r="I94" s="153"/>
      <c r="J94" s="153"/>
      <c r="K94" s="153"/>
      <c r="L94" s="153"/>
      <c r="M94" s="153"/>
      <c r="N94" s="153"/>
      <c r="O94" s="153"/>
      <c r="P94" s="153">
        <f t="shared" ref="P94:AA94" si="27">P93/L93-1</f>
        <v>0.10797556828330768</v>
      </c>
      <c r="Q94" s="153">
        <f t="shared" si="27"/>
        <v>0.1599216710182767</v>
      </c>
      <c r="R94" s="153">
        <f t="shared" si="27"/>
        <v>0.37542593888288156</v>
      </c>
      <c r="S94" s="153">
        <f t="shared" si="27"/>
        <v>0.49199738972631324</v>
      </c>
      <c r="T94" s="153">
        <f t="shared" si="27"/>
        <v>0.5</v>
      </c>
      <c r="U94" s="153">
        <f t="shared" si="27"/>
        <v>0.5</v>
      </c>
      <c r="V94" s="153">
        <f t="shared" si="27"/>
        <v>0.5</v>
      </c>
      <c r="W94" s="153">
        <f t="shared" si="27"/>
        <v>0.5</v>
      </c>
      <c r="X94" s="153">
        <f t="shared" si="27"/>
        <v>0.75</v>
      </c>
      <c r="Y94" s="153">
        <f t="shared" si="27"/>
        <v>0.75</v>
      </c>
      <c r="Z94" s="153">
        <f t="shared" si="27"/>
        <v>0.75</v>
      </c>
      <c r="AA94" s="153">
        <f t="shared" si="27"/>
        <v>0.75</v>
      </c>
    </row>
    <row r="95" spans="3:29" s="70" customFormat="1" x14ac:dyDescent="0.25"/>
    <row r="96" spans="3:29" s="70" customFormat="1" x14ac:dyDescent="0.25">
      <c r="C96" s="70" t="s">
        <v>662</v>
      </c>
      <c r="D96" s="71">
        <f>D99-D97</f>
        <v>47944</v>
      </c>
      <c r="E96" s="71">
        <f t="shared" ref="E96:R96" si="28">E99-E97</f>
        <v>83529</v>
      </c>
      <c r="F96" s="71">
        <f t="shared" si="28"/>
        <v>253637</v>
      </c>
      <c r="G96" s="71">
        <f t="shared" si="28"/>
        <v>212524</v>
      </c>
      <c r="H96" s="71">
        <f t="shared" si="28"/>
        <v>234492</v>
      </c>
      <c r="I96" s="71">
        <f t="shared" si="28"/>
        <v>224761</v>
      </c>
      <c r="J96" s="71">
        <f t="shared" si="28"/>
        <v>249111</v>
      </c>
      <c r="K96" s="71">
        <f t="shared" si="28"/>
        <v>205210</v>
      </c>
      <c r="L96" s="71">
        <f t="shared" si="28"/>
        <v>384241</v>
      </c>
      <c r="M96" s="71">
        <f t="shared" si="28"/>
        <v>347101</v>
      </c>
      <c r="N96" s="71">
        <f t="shared" si="28"/>
        <v>377295</v>
      </c>
      <c r="O96" s="71">
        <f t="shared" si="28"/>
        <v>351743</v>
      </c>
      <c r="P96" s="71">
        <f t="shared" si="28"/>
        <v>329179</v>
      </c>
      <c r="Q96" s="71">
        <f t="shared" si="28"/>
        <v>328445</v>
      </c>
      <c r="R96" s="71">
        <f t="shared" si="28"/>
        <v>360620</v>
      </c>
      <c r="S96" s="71">
        <f t="shared" ref="S96:AA96" si="29">S99-S97</f>
        <v>375705</v>
      </c>
      <c r="T96" s="71">
        <f t="shared" si="29"/>
        <v>297756.38749999995</v>
      </c>
      <c r="U96" s="71">
        <f t="shared" si="29"/>
        <v>316018.20250000001</v>
      </c>
      <c r="V96" s="71">
        <f t="shared" si="29"/>
        <v>328022.33750000002</v>
      </c>
      <c r="W96" s="71">
        <f t="shared" si="29"/>
        <v>351072.14999999991</v>
      </c>
      <c r="X96" s="71">
        <f t="shared" si="29"/>
        <v>245076.41125</v>
      </c>
      <c r="Y96" s="71">
        <f t="shared" si="29"/>
        <v>260107.28975</v>
      </c>
      <c r="Z96" s="71">
        <f t="shared" si="29"/>
        <v>269987.61624999996</v>
      </c>
      <c r="AA96" s="71">
        <f t="shared" si="29"/>
        <v>288959.38500000001</v>
      </c>
    </row>
    <row r="97" spans="1:27" s="70" customFormat="1" x14ac:dyDescent="0.25">
      <c r="C97" s="70" t="s">
        <v>660</v>
      </c>
      <c r="D97" s="71">
        <f t="shared" ref="D97:S97" si="30">SUM(D10:D11)</f>
        <v>88727</v>
      </c>
      <c r="E97" s="71">
        <f t="shared" si="30"/>
        <v>81346</v>
      </c>
      <c r="F97" s="71">
        <f t="shared" si="30"/>
        <v>316051</v>
      </c>
      <c r="G97" s="71">
        <f t="shared" si="30"/>
        <v>428481</v>
      </c>
      <c r="H97" s="71">
        <f t="shared" si="30"/>
        <v>419136</v>
      </c>
      <c r="I97" s="71">
        <f t="shared" si="30"/>
        <v>539292</v>
      </c>
      <c r="J97" s="71">
        <f t="shared" si="30"/>
        <v>466743</v>
      </c>
      <c r="K97" s="71">
        <f t="shared" si="30"/>
        <v>436099</v>
      </c>
      <c r="L97" s="71">
        <f t="shared" si="30"/>
        <v>271827</v>
      </c>
      <c r="M97" s="71">
        <f t="shared" si="30"/>
        <v>434690</v>
      </c>
      <c r="N97" s="71">
        <f t="shared" si="30"/>
        <v>474288</v>
      </c>
      <c r="O97" s="71">
        <f t="shared" si="30"/>
        <v>538530</v>
      </c>
      <c r="P97" s="71">
        <f t="shared" si="30"/>
        <v>503706</v>
      </c>
      <c r="Q97" s="71">
        <f t="shared" si="30"/>
        <v>555522</v>
      </c>
      <c r="R97" s="71">
        <f t="shared" si="30"/>
        <v>556925</v>
      </c>
      <c r="S97" s="71">
        <f t="shared" si="30"/>
        <v>606315</v>
      </c>
      <c r="T97" s="71">
        <f t="shared" ref="T97:AA97" si="31">T99*T98</f>
        <v>618417.11250000016</v>
      </c>
      <c r="U97" s="71">
        <f t="shared" si="31"/>
        <v>656345.49750000006</v>
      </c>
      <c r="V97" s="71">
        <f t="shared" si="31"/>
        <v>681277.16250000009</v>
      </c>
      <c r="W97" s="71">
        <f t="shared" si="31"/>
        <v>729149.85000000009</v>
      </c>
      <c r="X97" s="71">
        <f t="shared" si="31"/>
        <v>735229.23375000013</v>
      </c>
      <c r="Y97" s="71">
        <f t="shared" si="31"/>
        <v>780321.86925000011</v>
      </c>
      <c r="Z97" s="71">
        <f t="shared" si="31"/>
        <v>809962.84875000012</v>
      </c>
      <c r="AA97" s="71">
        <f t="shared" si="31"/>
        <v>866878.15500000003</v>
      </c>
    </row>
    <row r="98" spans="1:27" s="70" customFormat="1" x14ac:dyDescent="0.25">
      <c r="C98" s="72" t="s">
        <v>661</v>
      </c>
      <c r="D98" s="73">
        <f>D97/D99</f>
        <v>0.64920136678593121</v>
      </c>
      <c r="E98" s="73">
        <f t="shared" ref="E98:R98" si="32">E97/E99</f>
        <v>0.49337983320697498</v>
      </c>
      <c r="F98" s="73">
        <f t="shared" si="32"/>
        <v>0.55477910716041057</v>
      </c>
      <c r="G98" s="73">
        <f t="shared" si="32"/>
        <v>0.6684518841506697</v>
      </c>
      <c r="H98" s="73">
        <f t="shared" si="32"/>
        <v>0.64124547907984353</v>
      </c>
      <c r="I98" s="73">
        <f t="shared" si="32"/>
        <v>0.70583061646247058</v>
      </c>
      <c r="J98" s="73">
        <f t="shared" si="32"/>
        <v>0.6520086498084805</v>
      </c>
      <c r="K98" s="73">
        <f t="shared" si="32"/>
        <v>0.68001384667921394</v>
      </c>
      <c r="L98" s="73">
        <f t="shared" si="32"/>
        <v>0.41432747824920585</v>
      </c>
      <c r="M98" s="73">
        <f t="shared" si="32"/>
        <v>0.55601816853865038</v>
      </c>
      <c r="N98" s="73">
        <f t="shared" si="32"/>
        <v>0.55694864740136896</v>
      </c>
      <c r="O98" s="73">
        <f t="shared" si="32"/>
        <v>0.6049043383321745</v>
      </c>
      <c r="P98" s="73">
        <f t="shared" si="32"/>
        <v>0.60477256764139109</v>
      </c>
      <c r="Q98" s="73">
        <f t="shared" si="32"/>
        <v>0.62844201197556016</v>
      </c>
      <c r="R98" s="73">
        <f t="shared" si="32"/>
        <v>0.60697295500493165</v>
      </c>
      <c r="S98" s="73">
        <f>S97/S99</f>
        <v>0.61741614223742902</v>
      </c>
      <c r="T98" s="73">
        <f>BR_bgs_T1</f>
        <v>0.67500000000000004</v>
      </c>
      <c r="U98" s="73">
        <f>BR_bgs_T1</f>
        <v>0.67500000000000004</v>
      </c>
      <c r="V98" s="73">
        <f>BR_bgs_T1</f>
        <v>0.67500000000000004</v>
      </c>
      <c r="W98" s="73">
        <f>BR_bgs_T1</f>
        <v>0.67500000000000004</v>
      </c>
      <c r="X98" s="73">
        <f>BR_bgs_T0</f>
        <v>0.75</v>
      </c>
      <c r="Y98" s="73">
        <f>BR_bgs_T0</f>
        <v>0.75</v>
      </c>
      <c r="Z98" s="73">
        <f>BR_bgs_T0</f>
        <v>0.75</v>
      </c>
      <c r="AA98" s="73">
        <f>BR_bgs_T0</f>
        <v>0.75</v>
      </c>
    </row>
    <row r="99" spans="1:27" s="70" customFormat="1" ht="15.75" thickBot="1" x14ac:dyDescent="0.3">
      <c r="C99" s="74" t="s">
        <v>10</v>
      </c>
      <c r="D99" s="75">
        <f t="shared" ref="D99:S99" si="33">SUM(D10,D11,D20,D21)</f>
        <v>136671</v>
      </c>
      <c r="E99" s="75">
        <f t="shared" si="33"/>
        <v>164875</v>
      </c>
      <c r="F99" s="75">
        <f t="shared" si="33"/>
        <v>569688</v>
      </c>
      <c r="G99" s="75">
        <f t="shared" si="33"/>
        <v>641005</v>
      </c>
      <c r="H99" s="75">
        <f t="shared" si="33"/>
        <v>653628</v>
      </c>
      <c r="I99" s="75">
        <f t="shared" si="33"/>
        <v>764053</v>
      </c>
      <c r="J99" s="75">
        <f t="shared" si="33"/>
        <v>715854</v>
      </c>
      <c r="K99" s="75">
        <f t="shared" si="33"/>
        <v>641309</v>
      </c>
      <c r="L99" s="75">
        <f t="shared" si="33"/>
        <v>656068</v>
      </c>
      <c r="M99" s="75">
        <f t="shared" si="33"/>
        <v>781791</v>
      </c>
      <c r="N99" s="75">
        <f t="shared" si="33"/>
        <v>851583</v>
      </c>
      <c r="O99" s="75">
        <f t="shared" si="33"/>
        <v>890273</v>
      </c>
      <c r="P99" s="75">
        <f t="shared" si="33"/>
        <v>832885</v>
      </c>
      <c r="Q99" s="75">
        <f t="shared" si="33"/>
        <v>883967</v>
      </c>
      <c r="R99" s="75">
        <f t="shared" si="33"/>
        <v>917545</v>
      </c>
      <c r="S99" s="75">
        <f t="shared" si="33"/>
        <v>982020</v>
      </c>
      <c r="T99" s="149">
        <f>P99*(1+GR_ng_T1)</f>
        <v>916173.50000000012</v>
      </c>
      <c r="U99" s="149">
        <f>Q99*(1+GR_ng_T1)</f>
        <v>972363.70000000007</v>
      </c>
      <c r="V99" s="149">
        <f>R99*(1+GR_ng_T1)</f>
        <v>1009299.5000000001</v>
      </c>
      <c r="W99" s="149">
        <f>S99*(1+GR_ng_T1)</f>
        <v>1080222</v>
      </c>
      <c r="X99" s="149">
        <f>T99*(1+GR_ng_T0)</f>
        <v>980305.64500000014</v>
      </c>
      <c r="Y99" s="149">
        <f>U99*(1+GR_ng_T0)</f>
        <v>1040429.1590000001</v>
      </c>
      <c r="Z99" s="149">
        <f>V99*(1+GR_ng_T0)</f>
        <v>1079950.4650000001</v>
      </c>
      <c r="AA99" s="149">
        <f>W99*(1+GR_ng_T0)</f>
        <v>1155837.54</v>
      </c>
    </row>
    <row r="100" spans="1:27" s="70" customFormat="1" x14ac:dyDescent="0.25">
      <c r="C100" s="151" t="s">
        <v>689</v>
      </c>
      <c r="D100" s="152"/>
      <c r="E100" s="152"/>
      <c r="F100" s="152"/>
      <c r="G100" s="152"/>
      <c r="H100" s="153">
        <f t="shared" ref="H100:AA100" si="34">H99/D99-1</f>
        <v>3.7824922624404591</v>
      </c>
      <c r="I100" s="153">
        <f t="shared" si="34"/>
        <v>3.6341349507202425</v>
      </c>
      <c r="J100" s="153">
        <f t="shared" si="34"/>
        <v>0.25657201836794874</v>
      </c>
      <c r="K100" s="153">
        <f t="shared" si="34"/>
        <v>4.7425527101974119E-4</v>
      </c>
      <c r="L100" s="153">
        <f t="shared" si="34"/>
        <v>3.7330102137607124E-3</v>
      </c>
      <c r="M100" s="153">
        <f t="shared" si="34"/>
        <v>2.3215666975981986E-2</v>
      </c>
      <c r="N100" s="153">
        <f t="shared" si="34"/>
        <v>0.18960430478840662</v>
      </c>
      <c r="O100" s="153">
        <f t="shared" si="34"/>
        <v>0.38821223466378929</v>
      </c>
      <c r="P100" s="153">
        <f t="shared" si="34"/>
        <v>0.26951017272599787</v>
      </c>
      <c r="Q100" s="153">
        <f t="shared" si="34"/>
        <v>0.13069477648118233</v>
      </c>
      <c r="R100" s="153">
        <f t="shared" si="34"/>
        <v>7.7458098623387261E-2</v>
      </c>
      <c r="S100" s="153">
        <f t="shared" si="34"/>
        <v>0.10305490563007069</v>
      </c>
      <c r="T100" s="153">
        <f t="shared" si="34"/>
        <v>0.10000000000000009</v>
      </c>
      <c r="U100" s="153">
        <f t="shared" si="34"/>
        <v>0.10000000000000009</v>
      </c>
      <c r="V100" s="153">
        <f t="shared" si="34"/>
        <v>0.10000000000000009</v>
      </c>
      <c r="W100" s="153">
        <f t="shared" si="34"/>
        <v>0.10000000000000009</v>
      </c>
      <c r="X100" s="153">
        <f t="shared" si="34"/>
        <v>7.0000000000000062E-2</v>
      </c>
      <c r="Y100" s="153">
        <f t="shared" si="34"/>
        <v>7.0000000000000062E-2</v>
      </c>
      <c r="Z100" s="153">
        <f t="shared" si="34"/>
        <v>7.0000000000000062E-2</v>
      </c>
      <c r="AA100" s="153">
        <f t="shared" si="34"/>
        <v>7.0000000000000062E-2</v>
      </c>
    </row>
    <row r="101" spans="1:27" s="70" customFormat="1" x14ac:dyDescent="0.25"/>
    <row r="102" spans="1:27" s="70" customFormat="1" ht="15.75" thickBot="1" x14ac:dyDescent="0.3">
      <c r="C102" s="74" t="s">
        <v>667</v>
      </c>
      <c r="D102" s="75">
        <f t="shared" ref="D102:S102" si="35">SUM(D22:D23)</f>
        <v>18821</v>
      </c>
      <c r="E102" s="75">
        <f t="shared" si="35"/>
        <v>18876</v>
      </c>
      <c r="F102" s="75">
        <f t="shared" si="35"/>
        <v>7995</v>
      </c>
      <c r="G102" s="75">
        <f t="shared" si="35"/>
        <v>19358</v>
      </c>
      <c r="H102" s="75">
        <f t="shared" si="35"/>
        <v>20826</v>
      </c>
      <c r="I102" s="75">
        <f t="shared" si="35"/>
        <v>43505</v>
      </c>
      <c r="J102" s="75">
        <f t="shared" si="35"/>
        <v>24333</v>
      </c>
      <c r="K102" s="75">
        <f t="shared" si="35"/>
        <v>39627</v>
      </c>
      <c r="L102" s="75">
        <f t="shared" si="35"/>
        <v>138064</v>
      </c>
      <c r="M102" s="75">
        <f t="shared" si="35"/>
        <v>152677</v>
      </c>
      <c r="N102" s="75">
        <f t="shared" si="35"/>
        <v>162962</v>
      </c>
      <c r="O102" s="75">
        <f t="shared" si="35"/>
        <v>286715</v>
      </c>
      <c r="P102" s="75">
        <f t="shared" si="35"/>
        <v>495110</v>
      </c>
      <c r="Q102" s="75">
        <f t="shared" si="35"/>
        <v>365157</v>
      </c>
      <c r="R102" s="75">
        <f t="shared" si="35"/>
        <v>486957</v>
      </c>
      <c r="S102" s="75">
        <f t="shared" si="35"/>
        <v>708353</v>
      </c>
      <c r="T102" s="149">
        <f>P102*(1+GR_lp_T1)</f>
        <v>990220</v>
      </c>
      <c r="U102" s="149">
        <f>Q102*(1+GR_lp_T1)</f>
        <v>730314</v>
      </c>
      <c r="V102" s="149">
        <f>R102*(1+GR_lp_T1)</f>
        <v>973914</v>
      </c>
      <c r="W102" s="149">
        <f>S102*(1+GR_lp_T1)</f>
        <v>1416706</v>
      </c>
      <c r="X102" s="149">
        <f>T102*(1+GR_lp_T0)</f>
        <v>1683374</v>
      </c>
      <c r="Y102" s="149">
        <f>U102*(1+GR_lp_T0)</f>
        <v>1241533.8</v>
      </c>
      <c r="Z102" s="149">
        <f>V102*(1+GR_lp_T0)</f>
        <v>1655653.8</v>
      </c>
      <c r="AA102" s="149">
        <f>W102*(1+GR_lp_T0)</f>
        <v>2408400.1999999997</v>
      </c>
    </row>
    <row r="103" spans="1:27" s="70" customFormat="1" x14ac:dyDescent="0.25">
      <c r="C103" s="151" t="s">
        <v>689</v>
      </c>
      <c r="D103" s="152"/>
      <c r="E103" s="152"/>
      <c r="F103" s="152"/>
      <c r="G103" s="152"/>
      <c r="H103" s="153">
        <f t="shared" ref="H103:AA103" si="36">H102/D102-1</f>
        <v>0.10652993996068227</v>
      </c>
      <c r="I103" s="153">
        <f t="shared" si="36"/>
        <v>1.3047785547785549</v>
      </c>
      <c r="J103" s="153">
        <f t="shared" si="36"/>
        <v>2.0435272045028143</v>
      </c>
      <c r="K103" s="153">
        <f t="shared" si="36"/>
        <v>1.0470606467610288</v>
      </c>
      <c r="L103" s="153">
        <f t="shared" si="36"/>
        <v>5.629405550753865</v>
      </c>
      <c r="M103" s="153">
        <f t="shared" si="36"/>
        <v>2.5094127111826228</v>
      </c>
      <c r="N103" s="153">
        <f t="shared" si="36"/>
        <v>5.6971602350717134</v>
      </c>
      <c r="O103" s="153">
        <f t="shared" si="36"/>
        <v>6.2353445882857645</v>
      </c>
      <c r="P103" s="153">
        <f t="shared" si="36"/>
        <v>2.5860905087495656</v>
      </c>
      <c r="Q103" s="153">
        <f t="shared" si="36"/>
        <v>1.3916961952356934</v>
      </c>
      <c r="R103" s="153">
        <f t="shared" si="36"/>
        <v>1.9881628845988635</v>
      </c>
      <c r="S103" s="153">
        <f t="shared" si="36"/>
        <v>1.4705822855448791</v>
      </c>
      <c r="T103" s="153">
        <f t="shared" si="36"/>
        <v>1</v>
      </c>
      <c r="U103" s="153">
        <f t="shared" si="36"/>
        <v>1</v>
      </c>
      <c r="V103" s="153">
        <f t="shared" si="36"/>
        <v>1</v>
      </c>
      <c r="W103" s="153">
        <f t="shared" si="36"/>
        <v>1</v>
      </c>
      <c r="X103" s="153">
        <f t="shared" si="36"/>
        <v>0.7</v>
      </c>
      <c r="Y103" s="153">
        <f t="shared" si="36"/>
        <v>0.7</v>
      </c>
      <c r="Z103" s="153">
        <f t="shared" si="36"/>
        <v>0.7</v>
      </c>
      <c r="AA103" s="153">
        <f t="shared" si="36"/>
        <v>0.69999999999999973</v>
      </c>
    </row>
    <row r="104" spans="1:27" s="136" customFormat="1" x14ac:dyDescent="0.25"/>
    <row r="105" spans="1:27" s="136" customFormat="1" x14ac:dyDescent="0.25"/>
    <row r="106" spans="1:27" ht="21" x14ac:dyDescent="0.35">
      <c r="A106" s="97" t="s">
        <v>856</v>
      </c>
    </row>
    <row r="107" spans="1:27" x14ac:dyDescent="0.25">
      <c r="B107" s="68" t="s">
        <v>26</v>
      </c>
      <c r="C107" s="2" t="s">
        <v>4</v>
      </c>
      <c r="D107" s="3">
        <f t="shared" ref="D107:S107" si="37">SUM(D124:D125)</f>
        <v>-104646</v>
      </c>
      <c r="E107" s="3">
        <f t="shared" si="37"/>
        <v>-91055.6</v>
      </c>
      <c r="F107" s="3">
        <f t="shared" si="37"/>
        <v>-105226.2</v>
      </c>
      <c r="G107" s="3">
        <f t="shared" si="37"/>
        <v>-89547.3</v>
      </c>
      <c r="H107" s="3">
        <f t="shared" si="37"/>
        <v>-81495.899999999994</v>
      </c>
      <c r="I107" s="3">
        <f t="shared" si="37"/>
        <v>-108247.2</v>
      </c>
      <c r="J107" s="3">
        <f t="shared" si="37"/>
        <v>-123378.8</v>
      </c>
      <c r="K107" s="3">
        <f t="shared" si="37"/>
        <v>-110255.3</v>
      </c>
      <c r="L107" s="3">
        <f t="shared" si="37"/>
        <v>-124460.6</v>
      </c>
      <c r="M107" s="3">
        <f t="shared" si="37"/>
        <v>-152984.1</v>
      </c>
      <c r="N107" s="3">
        <f t="shared" si="37"/>
        <v>-150279.30000000002</v>
      </c>
      <c r="O107" s="3">
        <f t="shared" si="37"/>
        <v>-140868.4</v>
      </c>
      <c r="P107" s="3">
        <f t="shared" si="37"/>
        <v>-157390.79999999999</v>
      </c>
      <c r="Q107" s="3">
        <f t="shared" si="37"/>
        <v>-166881.60000000001</v>
      </c>
      <c r="R107" s="3">
        <f t="shared" si="37"/>
        <v>-168781</v>
      </c>
      <c r="S107" s="3">
        <f t="shared" si="37"/>
        <v>-171531.9</v>
      </c>
      <c r="T107" s="3">
        <f>T71*ED_gas_T1*(CIT_gas_T1-CIA_cbob_T1)/1000000</f>
        <v>-182893.99861323816</v>
      </c>
      <c r="U107" s="3">
        <f>U71*ED_gas_T1*(CIT_gas_T1-CIA_cbob_T1)/1000000</f>
        <v>-195078.38846071364</v>
      </c>
      <c r="V107" s="3">
        <f>V71*ED_gas_T1*(CIT_gas_T1-CIA_cbob_T1)/1000000</f>
        <v>-197558.81739354369</v>
      </c>
      <c r="W107" s="3">
        <f>W71*ED_gas_T1*(CIT_gas_T1-CIA_cbob_T1)/1000000</f>
        <v>-198415.20188914085</v>
      </c>
      <c r="X107" s="3">
        <f>X71*ED_gas_T0*(CIT_gas_T0-CIA_cbob_T0)/1000000</f>
        <v>-245373.89920351299</v>
      </c>
      <c r="Y107" s="3">
        <f>Y71*ED_gas_T0*(CIT_gas_T0-CIA_cbob_T0)/1000000</f>
        <v>-261720.69717917044</v>
      </c>
      <c r="Z107" s="3">
        <f>Z71*ED_gas_T0*(CIT_gas_T0-CIA_cbob_T0)/1000000</f>
        <v>-265048.48553505179</v>
      </c>
      <c r="AA107" s="3">
        <f>AA71*ED_gas_T0*(CIT_gas_T0-CIA_cbob_T0)/1000000</f>
        <v>-266197.42647622759</v>
      </c>
    </row>
    <row r="108" spans="1:27" ht="15.75" thickBot="1" x14ac:dyDescent="0.3">
      <c r="B108" s="60"/>
      <c r="C108" s="61" t="s">
        <v>3</v>
      </c>
      <c r="D108" s="76">
        <f t="shared" ref="D108:S108" si="38">SUM(D128:D129)</f>
        <v>-56134.7</v>
      </c>
      <c r="E108" s="76">
        <f t="shared" si="38"/>
        <v>-46127.6</v>
      </c>
      <c r="F108" s="76">
        <f t="shared" si="38"/>
        <v>-54080.950000000004</v>
      </c>
      <c r="G108" s="76">
        <f t="shared" si="38"/>
        <v>-47895.55</v>
      </c>
      <c r="H108" s="76">
        <f t="shared" si="38"/>
        <v>-45288.800000000003</v>
      </c>
      <c r="I108" s="76">
        <f t="shared" si="38"/>
        <v>-60056.800000000003</v>
      </c>
      <c r="J108" s="76">
        <f t="shared" si="38"/>
        <v>-62745.850000000006</v>
      </c>
      <c r="K108" s="76">
        <f t="shared" si="38"/>
        <v>-52669.35</v>
      </c>
      <c r="L108" s="76">
        <f t="shared" si="38"/>
        <v>-66200.650000000009</v>
      </c>
      <c r="M108" s="76">
        <f t="shared" si="38"/>
        <v>-75077.049999999988</v>
      </c>
      <c r="N108" s="76">
        <f t="shared" si="38"/>
        <v>-84716.95</v>
      </c>
      <c r="O108" s="76">
        <f t="shared" si="38"/>
        <v>-69822.900000000009</v>
      </c>
      <c r="P108" s="76">
        <f t="shared" si="38"/>
        <v>-81647.499999999985</v>
      </c>
      <c r="Q108" s="76">
        <f t="shared" si="38"/>
        <v>-79420.100000000006</v>
      </c>
      <c r="R108" s="76">
        <f t="shared" si="38"/>
        <v>-89544.85</v>
      </c>
      <c r="S108" s="76">
        <f t="shared" si="38"/>
        <v>-84441.3</v>
      </c>
      <c r="T108" s="76">
        <f>T77*ED_die_T1*(CIT_die_T1-CIA_die_T1)/1000000</f>
        <v>-107810.60252148958</v>
      </c>
      <c r="U108" s="76">
        <f>U77*ED_die_T1*(CIT_die_T1-CIA_die_T1)/1000000</f>
        <v>-97533.573935195207</v>
      </c>
      <c r="V108" s="76">
        <f>V77*ED_die_T1*(CIT_die_T1-CIA_die_T1)/1000000</f>
        <v>-107282.78503139512</v>
      </c>
      <c r="W108" s="76">
        <f>W77*ED_die_T1*(CIT_die_T1-CIA_die_T1)/1000000</f>
        <v>-104154.83490636155</v>
      </c>
      <c r="X108" s="76">
        <f>X77*ED_die_T0*(CIT_die_T0-CIA_die_T0)/1000000</f>
        <v>-121774.82086151499</v>
      </c>
      <c r="Y108" s="76">
        <f>Y77*ED_die_T0*(CIT_die_T0-CIA_die_T0)/1000000</f>
        <v>-115994.40152674484</v>
      </c>
      <c r="Z108" s="76">
        <f>Z77*ED_die_T0*(CIT_die_T0-CIA_die_T0)/1000000</f>
        <v>-132065.9526900246</v>
      </c>
      <c r="AA108" s="76">
        <f>AA77*ED_die_T0*(CIT_die_T0-CIA_die_T0)/1000000</f>
        <v>-127206.89124197312</v>
      </c>
    </row>
    <row r="109" spans="1:27" ht="15.75" thickBot="1" x14ac:dyDescent="0.3">
      <c r="B109" s="64" t="s">
        <v>657</v>
      </c>
      <c r="C109" s="65"/>
      <c r="D109" s="19">
        <f>SUM(D107:D108)</f>
        <v>-160780.70000000001</v>
      </c>
      <c r="E109" s="19">
        <f t="shared" ref="E109:R109" si="39">SUM(E107:E108)</f>
        <v>-137183.20000000001</v>
      </c>
      <c r="F109" s="19">
        <f t="shared" si="39"/>
        <v>-159307.15</v>
      </c>
      <c r="G109" s="19">
        <f t="shared" si="39"/>
        <v>-137442.85</v>
      </c>
      <c r="H109" s="19">
        <f t="shared" si="39"/>
        <v>-126784.7</v>
      </c>
      <c r="I109" s="19">
        <f t="shared" si="39"/>
        <v>-168304</v>
      </c>
      <c r="J109" s="19">
        <f t="shared" si="39"/>
        <v>-186124.65000000002</v>
      </c>
      <c r="K109" s="19">
        <f t="shared" si="39"/>
        <v>-162924.65</v>
      </c>
      <c r="L109" s="19">
        <f t="shared" si="39"/>
        <v>-190661.25</v>
      </c>
      <c r="M109" s="19">
        <f t="shared" si="39"/>
        <v>-228061.15</v>
      </c>
      <c r="N109" s="19">
        <f t="shared" si="39"/>
        <v>-234996.25</v>
      </c>
      <c r="O109" s="19">
        <f t="shared" si="39"/>
        <v>-210691.3</v>
      </c>
      <c r="P109" s="19">
        <f t="shared" si="39"/>
        <v>-239038.3</v>
      </c>
      <c r="Q109" s="19">
        <f t="shared" si="39"/>
        <v>-246301.7</v>
      </c>
      <c r="R109" s="19">
        <f t="shared" si="39"/>
        <v>-258325.85</v>
      </c>
      <c r="S109" s="19">
        <f t="shared" ref="S109:AA109" si="40">SUM(S107:S108)</f>
        <v>-255973.2</v>
      </c>
      <c r="T109" s="19">
        <f t="shared" si="40"/>
        <v>-290704.60113472771</v>
      </c>
      <c r="U109" s="19">
        <f t="shared" si="40"/>
        <v>-292611.96239590883</v>
      </c>
      <c r="V109" s="19">
        <f t="shared" si="40"/>
        <v>-304841.60242493881</v>
      </c>
      <c r="W109" s="19">
        <f t="shared" si="40"/>
        <v>-302570.03679550241</v>
      </c>
      <c r="X109" s="19">
        <f t="shared" si="40"/>
        <v>-367148.720065028</v>
      </c>
      <c r="Y109" s="19">
        <f t="shared" si="40"/>
        <v>-377715.09870591527</v>
      </c>
      <c r="Z109" s="19">
        <f t="shared" si="40"/>
        <v>-397114.43822507642</v>
      </c>
      <c r="AA109" s="19">
        <f t="shared" si="40"/>
        <v>-393404.31771820073</v>
      </c>
    </row>
    <row r="110" spans="1:27" x14ac:dyDescent="0.25">
      <c r="B110" s="62"/>
      <c r="C110" s="62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27" x14ac:dyDescent="0.25">
      <c r="B111" s="68" t="s">
        <v>27</v>
      </c>
      <c r="C111" s="2" t="s">
        <v>5</v>
      </c>
      <c r="D111" s="3">
        <f t="shared" ref="D111:S111" si="41">SUM(D126:D127)</f>
        <v>138648</v>
      </c>
      <c r="E111" s="3">
        <f t="shared" si="41"/>
        <v>118785.60000000001</v>
      </c>
      <c r="F111" s="3">
        <f t="shared" si="41"/>
        <v>134540.20000000001</v>
      </c>
      <c r="G111" s="3">
        <f t="shared" si="41"/>
        <v>107973.3</v>
      </c>
      <c r="H111" s="3">
        <f t="shared" si="41"/>
        <v>110457.9</v>
      </c>
      <c r="I111" s="3">
        <f t="shared" si="41"/>
        <v>116915.2</v>
      </c>
      <c r="J111" s="3">
        <f t="shared" si="41"/>
        <v>131071.8</v>
      </c>
      <c r="K111" s="3">
        <f t="shared" si="41"/>
        <v>121252.3</v>
      </c>
      <c r="L111" s="3">
        <f t="shared" si="41"/>
        <v>116877.6</v>
      </c>
      <c r="M111" s="3">
        <f t="shared" si="41"/>
        <v>113546.09999999999</v>
      </c>
      <c r="N111" s="3">
        <f t="shared" si="41"/>
        <v>134732.30000000002</v>
      </c>
      <c r="O111" s="3">
        <f t="shared" si="41"/>
        <v>130018.40000000001</v>
      </c>
      <c r="P111" s="3">
        <f t="shared" si="41"/>
        <v>108496.8</v>
      </c>
      <c r="Q111" s="3">
        <f t="shared" si="41"/>
        <v>127125.6</v>
      </c>
      <c r="R111" s="3">
        <f t="shared" si="41"/>
        <v>146340</v>
      </c>
      <c r="S111" s="3">
        <f t="shared" si="41"/>
        <v>138948.9</v>
      </c>
      <c r="T111" s="3">
        <f>T72*ED_eth_T1*(CIT_gas_T1-CIA_eth_T1)/1000000</f>
        <v>129136.62465415509</v>
      </c>
      <c r="U111" s="3">
        <f>U72*ED_eth_T1*(CIT_gas_T1-CIA_eth_T1)/1000000</f>
        <v>137739.70069986334</v>
      </c>
      <c r="V111" s="3">
        <f>V72*ED_eth_T1*(CIT_gas_T1-CIA_eth_T1)/1000000</f>
        <v>139491.06609462152</v>
      </c>
      <c r="W111" s="3">
        <f>W72*ED_eth_T1*(CIT_gas_T1-CIA_eth_T1)/1000000</f>
        <v>140095.73658138493</v>
      </c>
      <c r="X111" s="3">
        <f>X72*ED_eth_T0*(CIT_gas_T0-CIA_Eth_T0)/1000000</f>
        <v>156921.19353214619</v>
      </c>
      <c r="Y111" s="3">
        <f>Y72*ED_eth_T0*(CIT_gas_T0-CIA_Eth_T0)/1000000</f>
        <v>167375.2762895037</v>
      </c>
      <c r="Z111" s="3">
        <f>Z72*ED_eth_T0*(CIT_gas_T0-CIA_Eth_T0)/1000000</f>
        <v>169503.45912525905</v>
      </c>
      <c r="AA111" s="3">
        <f>AA72*ED_eth_T0*(CIT_gas_T0-CIA_Eth_T0)/1000000</f>
        <v>170238.22832594623</v>
      </c>
    </row>
    <row r="112" spans="1:27" x14ac:dyDescent="0.25">
      <c r="B112" s="68"/>
      <c r="C112" s="2" t="s">
        <v>7</v>
      </c>
      <c r="D112" s="3">
        <f t="shared" ref="D112:S112" si="42">SUM(D130:D131)</f>
        <v>58357.7</v>
      </c>
      <c r="E112" s="3">
        <f t="shared" si="42"/>
        <v>63905.599999999999</v>
      </c>
      <c r="F112" s="3">
        <f t="shared" si="42"/>
        <v>75231.95</v>
      </c>
      <c r="G112" s="3">
        <f t="shared" si="42"/>
        <v>68921.55</v>
      </c>
      <c r="H112" s="3">
        <f t="shared" si="42"/>
        <v>56931.8</v>
      </c>
      <c r="I112" s="3">
        <f t="shared" si="42"/>
        <v>82463.8</v>
      </c>
      <c r="J112" s="3">
        <f t="shared" si="42"/>
        <v>90061.85</v>
      </c>
      <c r="K112" s="3">
        <f t="shared" si="42"/>
        <v>87088.349999999991</v>
      </c>
      <c r="L112" s="3">
        <f t="shared" si="42"/>
        <v>72712.650000000009</v>
      </c>
      <c r="M112" s="3">
        <f t="shared" si="42"/>
        <v>87686.049999999988</v>
      </c>
      <c r="N112" s="3">
        <f t="shared" si="42"/>
        <v>100399.95</v>
      </c>
      <c r="O112" s="3">
        <f t="shared" si="42"/>
        <v>90598.900000000009</v>
      </c>
      <c r="P112" s="3">
        <f t="shared" si="42"/>
        <v>81710.5</v>
      </c>
      <c r="Q112" s="3">
        <f t="shared" si="42"/>
        <v>120433.09999999999</v>
      </c>
      <c r="R112" s="3">
        <f t="shared" si="42"/>
        <v>123703.85</v>
      </c>
      <c r="S112" s="3">
        <f t="shared" si="42"/>
        <v>112159.3</v>
      </c>
      <c r="T112" s="3">
        <f>T78*ED_bio_T1*(CIT_die_T1-CIA_Bio_T1)/1000000</f>
        <v>142055.16850119826</v>
      </c>
      <c r="U112" s="3">
        <f>U78*ED_bio_T1*(CIT_die_T1-CIA_Bio_T1)/1000000</f>
        <v>128513.78209417324</v>
      </c>
      <c r="V112" s="3">
        <f>V78*ED_bio_T1*(CIT_die_T1-CIA_Bio_T1)/1000000</f>
        <v>141359.69699153581</v>
      </c>
      <c r="W112" s="3">
        <f>W78*ED_bio_T1*(CIT_die_T1-CIA_Bio_T1)/1000000</f>
        <v>137238.19621440748</v>
      </c>
      <c r="X112" s="3">
        <f>X78*ED_Bio_T0*(CIT_die_T0-CIA_bio_T0)/1000000</f>
        <v>166539.48261040158</v>
      </c>
      <c r="Y112" s="3">
        <f>Y78*ED_Bio_T0*(CIT_die_T0-CIA_bio_T0)/1000000</f>
        <v>158634.16984974025</v>
      </c>
      <c r="Z112" s="3">
        <f>Z78*ED_Bio_T0*(CIT_die_T0-CIA_bio_T0)/1000000</f>
        <v>180613.65457854993</v>
      </c>
      <c r="AA112" s="3">
        <f>AA78*ED_Bio_T0*(CIT_die_T0-CIA_bio_T0)/1000000</f>
        <v>173968.39266146679</v>
      </c>
    </row>
    <row r="113" spans="1:27" x14ac:dyDescent="0.25">
      <c r="B113" s="68"/>
      <c r="C113" s="2" t="s">
        <v>6</v>
      </c>
      <c r="D113" s="3">
        <f t="shared" ref="D113:S113" si="43">SUM(D132:D133)</f>
        <v>0</v>
      </c>
      <c r="E113" s="3">
        <f t="shared" si="43"/>
        <v>0</v>
      </c>
      <c r="F113" s="3">
        <f t="shared" si="43"/>
        <v>0</v>
      </c>
      <c r="G113" s="3">
        <f t="shared" si="43"/>
        <v>0</v>
      </c>
      <c r="H113" s="3">
        <f t="shared" si="43"/>
        <v>0</v>
      </c>
      <c r="I113" s="3">
        <f t="shared" si="43"/>
        <v>0</v>
      </c>
      <c r="J113" s="3">
        <f t="shared" si="43"/>
        <v>0</v>
      </c>
      <c r="K113" s="3">
        <f t="shared" si="43"/>
        <v>2863.3466101694917</v>
      </c>
      <c r="L113" s="3">
        <f t="shared" si="43"/>
        <v>1949.0035593154121</v>
      </c>
      <c r="M113" s="3">
        <f t="shared" si="43"/>
        <v>1637.8461901437001</v>
      </c>
      <c r="N113" s="3">
        <f t="shared" si="43"/>
        <v>1800.9339706317139</v>
      </c>
      <c r="O113" s="3">
        <f t="shared" si="43"/>
        <v>4037.3148446755299</v>
      </c>
      <c r="P113" s="3">
        <f t="shared" si="43"/>
        <v>907.00976061794529</v>
      </c>
      <c r="Q113" s="3">
        <f t="shared" si="43"/>
        <v>3104.2788023952094</v>
      </c>
      <c r="R113" s="3">
        <f t="shared" si="43"/>
        <v>98819.205136718432</v>
      </c>
      <c r="S113" s="3">
        <f t="shared" si="43"/>
        <v>42518.991498970405</v>
      </c>
      <c r="T113" s="3">
        <f>T80*ED_ren_T1*(CIT_die_T1-CIA_ren_T1)/1000000</f>
        <v>70656.72422132481</v>
      </c>
      <c r="U113" s="3">
        <f>U80*ED_ren_T1*(CIT_die_T1-CIA_ren_T1)/1000000</f>
        <v>63921.383191283428</v>
      </c>
      <c r="V113" s="3">
        <f>V80*ED_ren_T1*(CIT_die_T1-CIA_ren_T1)/1000000</f>
        <v>70310.804117322434</v>
      </c>
      <c r="W113" s="3">
        <f>W80*ED_ren_T1*(CIT_die_T1-CIA_ren_T1)/1000000</f>
        <v>68260.813632216814</v>
      </c>
      <c r="X113" s="3">
        <f>X80*ED_ren_T0*(CIT_die_T0-CIA_ren_T0)/1000000</f>
        <v>128848.98099752438</v>
      </c>
      <c r="Y113" s="3">
        <f>Y80*ED_ren_T0*(CIT_die_T0-CIA_ren_T0)/1000000</f>
        <v>122732.76472428898</v>
      </c>
      <c r="Z113" s="3">
        <f>Z80*ED_ren_T0*(CIT_die_T0-CIA_ren_T0)/1000000</f>
        <v>139737.94671337304</v>
      </c>
      <c r="AA113" s="3">
        <f>AA80*ED_ren_T0*(CIT_die_T0-CIA_ren_T0)/1000000</f>
        <v>134596.61197966986</v>
      </c>
    </row>
    <row r="114" spans="1:27" x14ac:dyDescent="0.25">
      <c r="B114" s="68"/>
      <c r="C114" s="2" t="s">
        <v>28</v>
      </c>
      <c r="D114" s="3">
        <f t="shared" ref="D114:S114" si="44">SUM(D134:D135)</f>
        <v>8894</v>
      </c>
      <c r="E114" s="3">
        <f t="shared" si="44"/>
        <v>9074</v>
      </c>
      <c r="F114" s="3">
        <f t="shared" si="44"/>
        <v>9257</v>
      </c>
      <c r="G114" s="3">
        <f t="shared" si="44"/>
        <v>9214</v>
      </c>
      <c r="H114" s="3">
        <f t="shared" si="44"/>
        <v>10950</v>
      </c>
      <c r="I114" s="3">
        <f t="shared" si="44"/>
        <v>11123</v>
      </c>
      <c r="J114" s="3">
        <f t="shared" si="44"/>
        <v>11396</v>
      </c>
      <c r="K114" s="3">
        <f t="shared" si="44"/>
        <v>11247</v>
      </c>
      <c r="L114" s="3">
        <f t="shared" si="44"/>
        <v>14761</v>
      </c>
      <c r="M114" s="3">
        <f t="shared" si="44"/>
        <v>14983</v>
      </c>
      <c r="N114" s="3">
        <f t="shared" si="44"/>
        <v>15191</v>
      </c>
      <c r="O114" s="3">
        <f t="shared" si="44"/>
        <v>15437</v>
      </c>
      <c r="P114" s="3">
        <f t="shared" si="44"/>
        <v>19504</v>
      </c>
      <c r="Q114" s="3">
        <f t="shared" si="44"/>
        <v>19817</v>
      </c>
      <c r="R114" s="3">
        <f t="shared" si="44"/>
        <v>20283</v>
      </c>
      <c r="S114" s="3">
        <f t="shared" si="44"/>
        <v>20258</v>
      </c>
      <c r="T114" s="3">
        <f>'Electric Vehicles'!H32*(KWh_T1/4)*EEReon_T1*ED_eon_T1*(CIT_gas_T1-(CIA_eon_T1/EEReon_T1))/1000000</f>
        <v>18734.027453576702</v>
      </c>
      <c r="U114" s="3">
        <f>'Electric Vehicles'!H33*(KWh_T1/4)*EEReon_T1*ED_eon_T1*(CIT_gas_T1-(CIA_eon_T1/EEReon_T1))/1000000</f>
        <v>18886.55124057936</v>
      </c>
      <c r="V114" s="3">
        <f>'Electric Vehicles'!H34*(KWh_T1/4)*EEReon_T1*ED_eon_T1*(CIT_gas_T1-(CIA_eon_T1/EEReon_T1))/1000000</f>
        <v>19065.47337533248</v>
      </c>
      <c r="W114" s="3">
        <f>'Electric Vehicles'!H35*(KWh_T1/4)*EEReon_T1*ED_eon_T1*(CIT_gas_T1-(CIA_eon_T1/EEReon_T1))/1000000</f>
        <v>20532.048250358053</v>
      </c>
      <c r="X114" s="3">
        <f>'Electric Vehicles'!H36*(KWh_T0/4)*EEReon_T0*ED_eon_T0*(CIT_gas_T0-(CIA_eon_T0/EEReon_T0))/1000000</f>
        <v>28741.240853576979</v>
      </c>
      <c r="Y114" s="3">
        <f>'Electric Vehicles'!H37*(KWh_T0/4)*EEReon_T0*ED_eon_T0*(CIT_gas_T0-(CIA_eon_T0/EEReon_T0))/1000000</f>
        <v>28976.212478425226</v>
      </c>
      <c r="Z114" s="3">
        <f>'Electric Vehicles'!H38*(KWh_T0/4)*EEReon_T0*ED_eon_T0*(CIT_gas_T0-(CIA_eon_T0/EEReon_T0))/1000000</f>
        <v>29249.556415672017</v>
      </c>
      <c r="AA114" s="3">
        <f>'Electric Vehicles'!H39*(KWh_T0/4)*EEReon_T0*ED_eon_T0*(CIT_gas_T0-(CIA_eon_T0/EEReon_T0))/1000000</f>
        <v>31498.886587462395</v>
      </c>
    </row>
    <row r="115" spans="1:27" x14ac:dyDescent="0.25">
      <c r="B115" s="68"/>
      <c r="C115" s="6" t="s">
        <v>29</v>
      </c>
      <c r="D115" s="12">
        <f t="shared" ref="D115:S115" si="45">SUM(D136:D137)</f>
        <v>0</v>
      </c>
      <c r="E115" s="84">
        <f t="shared" si="45"/>
        <v>0</v>
      </c>
      <c r="F115" s="84">
        <f t="shared" si="45"/>
        <v>0</v>
      </c>
      <c r="G115" s="84">
        <f t="shared" si="45"/>
        <v>0</v>
      </c>
      <c r="H115" s="84">
        <f t="shared" si="45"/>
        <v>0</v>
      </c>
      <c r="I115" s="84">
        <f t="shared" si="45"/>
        <v>0</v>
      </c>
      <c r="J115" s="84">
        <f t="shared" si="45"/>
        <v>0</v>
      </c>
      <c r="K115" s="84">
        <f t="shared" si="45"/>
        <v>0</v>
      </c>
      <c r="L115" s="84">
        <f t="shared" si="45"/>
        <v>4288</v>
      </c>
      <c r="M115" s="84">
        <f t="shared" si="45"/>
        <v>4206</v>
      </c>
      <c r="N115" s="84">
        <f t="shared" si="45"/>
        <v>4382</v>
      </c>
      <c r="O115" s="84">
        <f t="shared" si="45"/>
        <v>4313</v>
      </c>
      <c r="P115" s="84">
        <f t="shared" si="45"/>
        <v>4662</v>
      </c>
      <c r="Q115" s="84">
        <f t="shared" si="45"/>
        <v>4756</v>
      </c>
      <c r="R115" s="84">
        <f t="shared" si="45"/>
        <v>5787</v>
      </c>
      <c r="S115" s="84">
        <f t="shared" si="45"/>
        <v>6098</v>
      </c>
      <c r="T115" s="3">
        <f t="shared" ref="T115:AA115" si="46">TREND($L115:$R115,$L70:$R70,T70)</f>
        <v>5680.1871425482968</v>
      </c>
      <c r="U115" s="3">
        <f t="shared" si="46"/>
        <v>5889.6950206118199</v>
      </c>
      <c r="V115" s="3">
        <f t="shared" si="46"/>
        <v>6099.202898675343</v>
      </c>
      <c r="W115" s="3">
        <f t="shared" si="46"/>
        <v>6311.0130611131754</v>
      </c>
      <c r="X115" s="3">
        <f t="shared" si="46"/>
        <v>6522.8232235510222</v>
      </c>
      <c r="Y115" s="3">
        <f t="shared" si="46"/>
        <v>6730.0288172402215</v>
      </c>
      <c r="Z115" s="3">
        <f t="shared" si="46"/>
        <v>6939.5366953037446</v>
      </c>
      <c r="AA115" s="3">
        <f t="shared" si="46"/>
        <v>7151.3468577415915</v>
      </c>
    </row>
    <row r="116" spans="1:27" x14ac:dyDescent="0.25">
      <c r="B116" s="68"/>
      <c r="C116" s="2" t="s">
        <v>10</v>
      </c>
      <c r="D116" s="3">
        <f t="shared" ref="D116:S116" si="47">SUM(D138:D141)</f>
        <v>535</v>
      </c>
      <c r="E116" s="3">
        <f t="shared" si="47"/>
        <v>427</v>
      </c>
      <c r="F116" s="3">
        <f t="shared" si="47"/>
        <v>2380</v>
      </c>
      <c r="G116" s="3">
        <f t="shared" si="47"/>
        <v>3135</v>
      </c>
      <c r="H116" s="3">
        <f t="shared" si="47"/>
        <v>2364</v>
      </c>
      <c r="I116" s="3">
        <f t="shared" si="47"/>
        <v>3016</v>
      </c>
      <c r="J116" s="3">
        <f t="shared" si="47"/>
        <v>2961</v>
      </c>
      <c r="K116" s="3">
        <f t="shared" si="47"/>
        <v>2879</v>
      </c>
      <c r="L116" s="3">
        <f t="shared" si="47"/>
        <v>1675</v>
      </c>
      <c r="M116" s="3">
        <f t="shared" si="47"/>
        <v>2284</v>
      </c>
      <c r="N116" s="3">
        <f t="shared" si="47"/>
        <v>2503</v>
      </c>
      <c r="O116" s="3">
        <f t="shared" si="47"/>
        <v>2602</v>
      </c>
      <c r="P116" s="3">
        <f t="shared" si="47"/>
        <v>2357</v>
      </c>
      <c r="Q116" s="3">
        <f t="shared" si="47"/>
        <v>2569</v>
      </c>
      <c r="R116" s="3">
        <f t="shared" si="47"/>
        <v>2590</v>
      </c>
      <c r="S116" s="3">
        <f t="shared" si="47"/>
        <v>3175</v>
      </c>
      <c r="T116" s="3">
        <f>SUM(T96*EERng_T1*ED_die_T1*(CIT_die_T1-(CIA_fcg_T1/EERng_T1))/1000000,T97*EERng_T1*ED_die_T1*(CIT_die_T1-(CIA_bgs_T1/EERng_T1))/1000000)</f>
        <v>3314.2070268258594</v>
      </c>
      <c r="U116" s="3">
        <f>SUM(U96*EERng_T1*ED_die_T1*(CIT_die_T1-(CIA_fcg_T1/EERng_T1))/1000000,U97*EERng_T1*ED_die_T1*(CIT_die_T1-(CIA_bgs_T1/EERng_T1))/1000000)</f>
        <v>3517.471971379211</v>
      </c>
      <c r="V116" s="3">
        <f>SUM(V96*EERng_T1*ED_die_T1*(CIT_die_T1-(CIA_fcg_T1/EERng_T1))/1000000,V97*EERng_T1*ED_die_T1*(CIT_die_T1-(CIA_bgs_T1/EERng_T1))/1000000)</f>
        <v>3651.0851875456196</v>
      </c>
      <c r="W116" s="3">
        <f>SUM(W96*EERng_T1*ED_die_T1*(CIT_die_T1-(CIA_fcg_T1/EERng_T1))/1000000,W97*EERng_T1*ED_die_T1*(CIT_die_T1-(CIA_bgs_T1/EERng_T1))/1000000)</f>
        <v>3907.6434135367194</v>
      </c>
      <c r="X116" s="3">
        <f>SUM(X96*EERng_T0*ED_die_T0*(CIT_die_T0-(CIA_fcg_T0/EERng_T0))/1000000,X97*EERng_T0*ED_die_T0*(CIT_die_T0-(CIA_bgs_T0/EERng_T0))/1000000)</f>
        <v>3825.2228950986346</v>
      </c>
      <c r="Y116" s="3">
        <f>SUM(Y96*EERng_T0*ED_die_T0*(CIT_die_T0-(CIA_fcg_T0/EERng_T0))/1000000,Y97*EERng_T0*ED_die_T0*(CIT_die_T0-(CIA_bgs_T0/EERng_T0))/1000000)</f>
        <v>4059.8291563801176</v>
      </c>
      <c r="Z116" s="3">
        <f>SUM(Z96*EERng_T0*ED_die_T0*(CIT_die_T0-(CIA_fcg_T0/EERng_T0))/1000000,Z97*EERng_T0*ED_die_T0*(CIT_die_T0-(CIA_bgs_T0/EERng_T0))/1000000)</f>
        <v>4214.0441252793316</v>
      </c>
      <c r="AA116" s="3">
        <f>SUM(AA96*EERng_T0*ED_die_T0*(CIT_die_T0-(CIA_fcg_T0/EERng_T0))/1000000,AA97*EERng_T0*ED_die_T0*(CIT_die_T0-(CIA_bgs_T0/EERng_T0))/1000000)</f>
        <v>4510.160931514868</v>
      </c>
    </row>
    <row r="117" spans="1:27" ht="15.75" thickBot="1" x14ac:dyDescent="0.3">
      <c r="B117" s="60"/>
      <c r="C117" s="61" t="s">
        <v>11</v>
      </c>
      <c r="D117" s="76">
        <f t="shared" ref="D117:S117" si="48">SUM(D142:D143)</f>
        <v>28</v>
      </c>
      <c r="E117" s="76">
        <f t="shared" si="48"/>
        <v>28</v>
      </c>
      <c r="F117" s="76">
        <f t="shared" si="48"/>
        <v>13</v>
      </c>
      <c r="G117" s="76">
        <f t="shared" si="48"/>
        <v>31</v>
      </c>
      <c r="H117" s="76">
        <f t="shared" si="48"/>
        <v>32</v>
      </c>
      <c r="I117" s="76">
        <f t="shared" si="48"/>
        <v>68</v>
      </c>
      <c r="J117" s="76">
        <f t="shared" si="48"/>
        <v>38</v>
      </c>
      <c r="K117" s="76">
        <f t="shared" si="48"/>
        <v>61</v>
      </c>
      <c r="L117" s="76">
        <f t="shared" si="48"/>
        <v>199</v>
      </c>
      <c r="M117" s="76">
        <f t="shared" si="48"/>
        <v>218</v>
      </c>
      <c r="N117" s="76">
        <f t="shared" si="48"/>
        <v>238</v>
      </c>
      <c r="O117" s="76">
        <f t="shared" si="48"/>
        <v>535</v>
      </c>
      <c r="P117" s="76">
        <f t="shared" si="48"/>
        <v>1219</v>
      </c>
      <c r="Q117" s="76">
        <f t="shared" si="48"/>
        <v>1385</v>
      </c>
      <c r="R117" s="76">
        <f t="shared" si="48"/>
        <v>1643</v>
      </c>
      <c r="S117" s="76">
        <f t="shared" si="48"/>
        <v>1935</v>
      </c>
      <c r="T117" s="3">
        <f>T102*ED_lp_T1*(CIT_gas_T1-CIA_lp_T1)/1000000</f>
        <v>1307.3378559780001</v>
      </c>
      <c r="U117" s="3">
        <f>U102*ED_lp_T1*(CIT_gas_T1-CIA_lp_T1)/1000000</f>
        <v>964.19698546860025</v>
      </c>
      <c r="V117" s="3">
        <f>V102*ED_lp_T1*(CIT_gas_T1-CIA_lp_T1)/1000000</f>
        <v>1285.8098611086002</v>
      </c>
      <c r="W117" s="3">
        <f>W102*ED_lp_T1*(CIT_gas_T1-CIA_lp_T1)/1000000</f>
        <v>1870.4059548294003</v>
      </c>
      <c r="X117" s="3">
        <f>X102*ED_lp_T0*(CIT_gas_T0-CIA_lp_T0)/1000000</f>
        <v>2074.611159775</v>
      </c>
      <c r="Y117" s="3">
        <f>Y102*ED_lp_T0*(CIT_gas_T0-CIA_lp_T0)/1000000</f>
        <v>1530.0817742925001</v>
      </c>
      <c r="Z117" s="3">
        <f>Z102*ED_lp_T0*(CIT_gas_T0-CIA_lp_T0)/1000000</f>
        <v>2040.4484387924997</v>
      </c>
      <c r="AA117" s="3">
        <f>AA102*ED_lp_T0*(CIT_gas_T0-CIA_lp_T0)/1000000</f>
        <v>2968.1425114824997</v>
      </c>
    </row>
    <row r="118" spans="1:27" ht="15.75" thickBot="1" x14ac:dyDescent="0.3">
      <c r="B118" s="64" t="s">
        <v>658</v>
      </c>
      <c r="C118" s="65"/>
      <c r="D118" s="19">
        <f>SUM(D111:D117)</f>
        <v>206462.7</v>
      </c>
      <c r="E118" s="19">
        <f t="shared" ref="E118:X118" si="49">SUM(E111:E117)</f>
        <v>192220.2</v>
      </c>
      <c r="F118" s="19">
        <f t="shared" si="49"/>
        <v>221422.15000000002</v>
      </c>
      <c r="G118" s="19">
        <f t="shared" si="49"/>
        <v>189274.85</v>
      </c>
      <c r="H118" s="19">
        <f t="shared" si="49"/>
        <v>180735.7</v>
      </c>
      <c r="I118" s="19">
        <f t="shared" si="49"/>
        <v>213586</v>
      </c>
      <c r="J118" s="19">
        <f t="shared" si="49"/>
        <v>235528.65000000002</v>
      </c>
      <c r="K118" s="19">
        <f t="shared" si="49"/>
        <v>225390.99661016947</v>
      </c>
      <c r="L118" s="19">
        <f t="shared" si="49"/>
        <v>212462.2535593154</v>
      </c>
      <c r="M118" s="19">
        <f t="shared" si="49"/>
        <v>224560.99619014366</v>
      </c>
      <c r="N118" s="19">
        <f t="shared" si="49"/>
        <v>259247.18397063171</v>
      </c>
      <c r="O118" s="19">
        <f t="shared" si="49"/>
        <v>247541.61484467555</v>
      </c>
      <c r="P118" s="19">
        <f t="shared" si="49"/>
        <v>218856.30976061794</v>
      </c>
      <c r="Q118" s="19">
        <f t="shared" si="49"/>
        <v>279189.97880239523</v>
      </c>
      <c r="R118" s="19">
        <f t="shared" si="49"/>
        <v>399166.05513671844</v>
      </c>
      <c r="S118" s="19">
        <f>SUM(S111:S117)</f>
        <v>325093.19149897044</v>
      </c>
      <c r="T118" s="19">
        <f t="shared" si="49"/>
        <v>370884.27685560699</v>
      </c>
      <c r="U118" s="19">
        <f t="shared" si="49"/>
        <v>359432.78120335896</v>
      </c>
      <c r="V118" s="19">
        <f t="shared" si="49"/>
        <v>381263.13852614182</v>
      </c>
      <c r="W118" s="19">
        <f t="shared" si="49"/>
        <v>378215.85710784659</v>
      </c>
      <c r="X118" s="19">
        <f t="shared" si="49"/>
        <v>493473.55527207378</v>
      </c>
      <c r="Y118" s="19">
        <f>SUM(Y111:Y117)</f>
        <v>490038.36308987101</v>
      </c>
      <c r="Z118" s="19">
        <f>SUM(Z111:Z117)</f>
        <v>532298.64609222964</v>
      </c>
      <c r="AA118" s="19">
        <f>SUM(AA111:AA117)</f>
        <v>524931.76985528425</v>
      </c>
    </row>
    <row r="120" spans="1:27" ht="15.75" thickBot="1" x14ac:dyDescent="0.3">
      <c r="B120" s="93" t="s">
        <v>703</v>
      </c>
      <c r="C120" s="31"/>
      <c r="D120" s="94">
        <f>SUM(D109,D118)</f>
        <v>45682</v>
      </c>
      <c r="E120" s="94">
        <f t="shared" ref="E120:AA120" si="50">SUM(E109,E118)</f>
        <v>55037</v>
      </c>
      <c r="F120" s="94">
        <f t="shared" si="50"/>
        <v>62115.000000000029</v>
      </c>
      <c r="G120" s="94">
        <f t="shared" si="50"/>
        <v>51832</v>
      </c>
      <c r="H120" s="94">
        <f t="shared" si="50"/>
        <v>53951.000000000015</v>
      </c>
      <c r="I120" s="94">
        <f t="shared" si="50"/>
        <v>45282</v>
      </c>
      <c r="J120" s="94">
        <f t="shared" si="50"/>
        <v>49404</v>
      </c>
      <c r="K120" s="94">
        <f t="shared" si="50"/>
        <v>62466.346610169479</v>
      </c>
      <c r="L120" s="94">
        <f t="shared" si="50"/>
        <v>21801.003559315403</v>
      </c>
      <c r="M120" s="94">
        <f t="shared" si="50"/>
        <v>-3500.1538098563324</v>
      </c>
      <c r="N120" s="94">
        <f t="shared" si="50"/>
        <v>24250.933970631711</v>
      </c>
      <c r="O120" s="94">
        <f t="shared" si="50"/>
        <v>36850.314844675566</v>
      </c>
      <c r="P120" s="94">
        <f t="shared" si="50"/>
        <v>-20181.990239382052</v>
      </c>
      <c r="Q120" s="94">
        <f t="shared" si="50"/>
        <v>32888.278802395216</v>
      </c>
      <c r="R120" s="94">
        <f t="shared" si="50"/>
        <v>140840.20513671843</v>
      </c>
      <c r="S120" s="94">
        <f>SUM(S109,S118)</f>
        <v>69119.991498970427</v>
      </c>
      <c r="T120" s="94">
        <f t="shared" si="50"/>
        <v>80179.675720879284</v>
      </c>
      <c r="U120" s="94">
        <f t="shared" si="50"/>
        <v>66820.818807450123</v>
      </c>
      <c r="V120" s="94">
        <f t="shared" si="50"/>
        <v>76421.536101203004</v>
      </c>
      <c r="W120" s="94">
        <f t="shared" si="50"/>
        <v>75645.820312344178</v>
      </c>
      <c r="X120" s="94">
        <f t="shared" si="50"/>
        <v>126324.83520704578</v>
      </c>
      <c r="Y120" s="94">
        <f t="shared" si="50"/>
        <v>112323.26438395574</v>
      </c>
      <c r="Z120" s="94">
        <f t="shared" si="50"/>
        <v>135184.20786715322</v>
      </c>
      <c r="AA120" s="94">
        <f t="shared" si="50"/>
        <v>131527.45213708351</v>
      </c>
    </row>
    <row r="122" spans="1:27" x14ac:dyDescent="0.25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27" ht="21" x14ac:dyDescent="0.35">
      <c r="A123" s="97" t="s">
        <v>717</v>
      </c>
    </row>
    <row r="124" spans="1:27" x14ac:dyDescent="0.25">
      <c r="B124" s="70" t="s">
        <v>555</v>
      </c>
      <c r="C124" s="70" t="s">
        <v>26</v>
      </c>
      <c r="D124" s="71">
        <f t="shared" ref="D124:S124" si="51">-(D50+0.9*D51)</f>
        <v>-104961.9</v>
      </c>
      <c r="E124" s="71">
        <f t="shared" si="51"/>
        <v>-92107.8</v>
      </c>
      <c r="F124" s="71">
        <f t="shared" si="51"/>
        <v>-105722.7</v>
      </c>
      <c r="G124" s="71">
        <f t="shared" si="51"/>
        <v>-89709.8</v>
      </c>
      <c r="H124" s="71">
        <f t="shared" si="51"/>
        <v>-81772.7</v>
      </c>
      <c r="I124" s="71">
        <f t="shared" si="51"/>
        <v>-109189.9</v>
      </c>
      <c r="J124" s="71">
        <f t="shared" si="51"/>
        <v>-124127.8</v>
      </c>
      <c r="K124" s="71">
        <f t="shared" si="51"/>
        <v>-110653.8</v>
      </c>
      <c r="L124" s="71">
        <f t="shared" si="51"/>
        <v>-124708.3</v>
      </c>
      <c r="M124" s="71">
        <f t="shared" si="51"/>
        <v>-154264.70000000001</v>
      </c>
      <c r="N124" s="71">
        <f t="shared" si="51"/>
        <v>-150758.6</v>
      </c>
      <c r="O124" s="71">
        <f t="shared" si="51"/>
        <v>-142843.29999999999</v>
      </c>
      <c r="P124" s="71">
        <f t="shared" si="51"/>
        <v>-158954.79999999999</v>
      </c>
      <c r="Q124" s="71">
        <f t="shared" si="51"/>
        <v>-168980.6</v>
      </c>
      <c r="R124" s="71">
        <f t="shared" si="51"/>
        <v>-171190</v>
      </c>
      <c r="S124" s="71">
        <f t="shared" si="51"/>
        <v>-171533.9</v>
      </c>
    </row>
    <row r="125" spans="1:27" x14ac:dyDescent="0.25">
      <c r="B125" s="70"/>
      <c r="C125" s="70" t="s">
        <v>27</v>
      </c>
      <c r="D125" s="71">
        <f t="shared" ref="D125:S125" si="52">D28+0.9*D29</f>
        <v>315.90000000000003</v>
      </c>
      <c r="E125" s="71">
        <f t="shared" si="52"/>
        <v>1052.2</v>
      </c>
      <c r="F125" s="71">
        <f t="shared" si="52"/>
        <v>496.5</v>
      </c>
      <c r="G125" s="71">
        <f t="shared" si="52"/>
        <v>162.5</v>
      </c>
      <c r="H125" s="71">
        <f t="shared" si="52"/>
        <v>276.8</v>
      </c>
      <c r="I125" s="71">
        <f t="shared" si="52"/>
        <v>942.7</v>
      </c>
      <c r="J125" s="71">
        <f t="shared" si="52"/>
        <v>749</v>
      </c>
      <c r="K125" s="71">
        <f t="shared" si="52"/>
        <v>398.5</v>
      </c>
      <c r="L125" s="71">
        <f t="shared" si="52"/>
        <v>247.7</v>
      </c>
      <c r="M125" s="71">
        <f t="shared" si="52"/>
        <v>1280.5999999999999</v>
      </c>
      <c r="N125" s="71">
        <f t="shared" si="52"/>
        <v>479.3</v>
      </c>
      <c r="O125" s="71">
        <f t="shared" si="52"/>
        <v>1974.9</v>
      </c>
      <c r="P125" s="71">
        <f t="shared" si="52"/>
        <v>1564</v>
      </c>
      <c r="Q125" s="71">
        <f t="shared" si="52"/>
        <v>2099</v>
      </c>
      <c r="R125" s="71">
        <f t="shared" si="52"/>
        <v>2409</v>
      </c>
      <c r="S125" s="71">
        <f t="shared" si="52"/>
        <v>2</v>
      </c>
    </row>
    <row r="126" spans="1:27" x14ac:dyDescent="0.25">
      <c r="B126" s="70" t="s">
        <v>5</v>
      </c>
      <c r="C126" s="70" t="s">
        <v>26</v>
      </c>
      <c r="D126" s="71">
        <f t="shared" ref="D126:S126" si="53">-(SUM(D59:D62)+0.1*D51)</f>
        <v>-46.1</v>
      </c>
      <c r="E126" s="71">
        <f t="shared" si="53"/>
        <v>-3852.2</v>
      </c>
      <c r="F126" s="71">
        <f t="shared" si="53"/>
        <v>-6491.3</v>
      </c>
      <c r="G126" s="71">
        <f t="shared" si="53"/>
        <v>-3713.2</v>
      </c>
      <c r="H126" s="71">
        <f t="shared" si="53"/>
        <v>-10682.3</v>
      </c>
      <c r="I126" s="71">
        <f t="shared" si="53"/>
        <v>-13595.1</v>
      </c>
      <c r="J126" s="71">
        <f t="shared" si="53"/>
        <v>-15527.2</v>
      </c>
      <c r="K126" s="71">
        <f t="shared" si="53"/>
        <v>-21141.200000000001</v>
      </c>
      <c r="L126" s="71">
        <f t="shared" si="53"/>
        <v>-4209.7</v>
      </c>
      <c r="M126" s="71">
        <f t="shared" si="53"/>
        <v>-3224.3</v>
      </c>
      <c r="N126" s="71">
        <f t="shared" si="53"/>
        <v>-5626.4</v>
      </c>
      <c r="O126" s="71">
        <f t="shared" si="53"/>
        <v>-7631.7</v>
      </c>
      <c r="P126" s="71">
        <f t="shared" si="53"/>
        <v>-4668.2</v>
      </c>
      <c r="Q126" s="71">
        <f t="shared" si="53"/>
        <v>-9390.4</v>
      </c>
      <c r="R126" s="71">
        <f t="shared" si="53"/>
        <v>-11818</v>
      </c>
      <c r="S126" s="71">
        <f t="shared" si="53"/>
        <v>-6980.1</v>
      </c>
    </row>
    <row r="127" spans="1:27" x14ac:dyDescent="0.25">
      <c r="B127" s="70"/>
      <c r="C127" s="70" t="s">
        <v>27</v>
      </c>
      <c r="D127" s="71">
        <f t="shared" ref="D127:S127" si="54">SUM(D38:D41)+0.1*D29</f>
        <v>138694.1</v>
      </c>
      <c r="E127" s="71">
        <f t="shared" si="54"/>
        <v>122637.8</v>
      </c>
      <c r="F127" s="71">
        <f t="shared" si="54"/>
        <v>141031.5</v>
      </c>
      <c r="G127" s="71">
        <f t="shared" si="54"/>
        <v>111686.5</v>
      </c>
      <c r="H127" s="71">
        <f t="shared" si="54"/>
        <v>121140.2</v>
      </c>
      <c r="I127" s="71">
        <f t="shared" si="54"/>
        <v>130510.3</v>
      </c>
      <c r="J127" s="71">
        <f t="shared" si="54"/>
        <v>146599</v>
      </c>
      <c r="K127" s="71">
        <f t="shared" si="54"/>
        <v>142393.5</v>
      </c>
      <c r="L127" s="71">
        <f t="shared" si="54"/>
        <v>121087.3</v>
      </c>
      <c r="M127" s="71">
        <f t="shared" si="54"/>
        <v>116770.4</v>
      </c>
      <c r="N127" s="71">
        <f t="shared" si="54"/>
        <v>140358.70000000001</v>
      </c>
      <c r="O127" s="71">
        <f t="shared" si="54"/>
        <v>137650.1</v>
      </c>
      <c r="P127" s="71">
        <f t="shared" si="54"/>
        <v>113165</v>
      </c>
      <c r="Q127" s="71">
        <f t="shared" si="54"/>
        <v>136516</v>
      </c>
      <c r="R127" s="71">
        <f t="shared" si="54"/>
        <v>158158</v>
      </c>
      <c r="S127" s="71">
        <f t="shared" si="54"/>
        <v>145929</v>
      </c>
    </row>
    <row r="128" spans="1:27" x14ac:dyDescent="0.25">
      <c r="B128" s="70" t="s">
        <v>669</v>
      </c>
      <c r="C128" s="70" t="s">
        <v>26</v>
      </c>
      <c r="D128" s="71">
        <f t="shared" ref="D128:S128" si="55">-(SUM(D47,0.8*D48,0.95*D49))</f>
        <v>-56487.25</v>
      </c>
      <c r="E128" s="71">
        <f t="shared" si="55"/>
        <v>-47301.35</v>
      </c>
      <c r="F128" s="71">
        <f t="shared" si="55"/>
        <v>-54385.3</v>
      </c>
      <c r="G128" s="71">
        <f t="shared" si="55"/>
        <v>-48485.55</v>
      </c>
      <c r="H128" s="71">
        <f t="shared" si="55"/>
        <v>-45760.9</v>
      </c>
      <c r="I128" s="71">
        <f t="shared" si="55"/>
        <v>-61042.25</v>
      </c>
      <c r="J128" s="71">
        <f t="shared" si="55"/>
        <v>-63525.55</v>
      </c>
      <c r="K128" s="71">
        <f t="shared" si="55"/>
        <v>-53290.65</v>
      </c>
      <c r="L128" s="71">
        <f t="shared" si="55"/>
        <v>-67359.55</v>
      </c>
      <c r="M128" s="71">
        <f t="shared" si="55"/>
        <v>-76981.149999999994</v>
      </c>
      <c r="N128" s="71">
        <f t="shared" si="55"/>
        <v>-86343.3</v>
      </c>
      <c r="O128" s="71">
        <f t="shared" si="55"/>
        <v>-71905.600000000006</v>
      </c>
      <c r="P128" s="71">
        <f t="shared" si="55"/>
        <v>-83988.599999999991</v>
      </c>
      <c r="Q128" s="71">
        <f t="shared" si="55"/>
        <v>-81002.150000000009</v>
      </c>
      <c r="R128" s="71">
        <f t="shared" si="55"/>
        <v>-90986.25</v>
      </c>
      <c r="S128" s="71">
        <f t="shared" si="55"/>
        <v>-84743</v>
      </c>
    </row>
    <row r="129" spans="2:19" x14ac:dyDescent="0.25">
      <c r="B129" s="70"/>
      <c r="C129" s="70" t="s">
        <v>27</v>
      </c>
      <c r="D129" s="71">
        <f t="shared" ref="D129:S129" si="56">(SUM(D25,0.8*D26,0.95*D27))</f>
        <v>352.55</v>
      </c>
      <c r="E129" s="71">
        <f t="shared" si="56"/>
        <v>1173.75</v>
      </c>
      <c r="F129" s="71">
        <f t="shared" si="56"/>
        <v>304.35000000000002</v>
      </c>
      <c r="G129" s="71">
        <f t="shared" si="56"/>
        <v>590</v>
      </c>
      <c r="H129" s="71">
        <f t="shared" si="56"/>
        <v>472.1</v>
      </c>
      <c r="I129" s="71">
        <f t="shared" si="56"/>
        <v>985.45</v>
      </c>
      <c r="J129" s="71">
        <f t="shared" si="56"/>
        <v>779.7</v>
      </c>
      <c r="K129" s="71">
        <f t="shared" si="56"/>
        <v>621.29999999999995</v>
      </c>
      <c r="L129" s="71">
        <f t="shared" si="56"/>
        <v>1158.9000000000001</v>
      </c>
      <c r="M129" s="71">
        <f t="shared" si="56"/>
        <v>1904.1</v>
      </c>
      <c r="N129" s="71">
        <f t="shared" si="56"/>
        <v>1626.35</v>
      </c>
      <c r="O129" s="71">
        <f t="shared" si="56"/>
        <v>2082.6999999999998</v>
      </c>
      <c r="P129" s="71">
        <f t="shared" si="56"/>
        <v>2341.1</v>
      </c>
      <c r="Q129" s="71">
        <f t="shared" si="56"/>
        <v>1582.05</v>
      </c>
      <c r="R129" s="71">
        <f t="shared" si="56"/>
        <v>1441.4</v>
      </c>
      <c r="S129" s="71">
        <f t="shared" si="56"/>
        <v>301.7</v>
      </c>
    </row>
    <row r="130" spans="2:19" x14ac:dyDescent="0.25">
      <c r="B130" s="70" t="s">
        <v>7</v>
      </c>
      <c r="C130" s="70" t="s">
        <v>26</v>
      </c>
      <c r="D130" s="71">
        <f t="shared" ref="D130:S130" si="57">-SUM(D55,0.2*D48*(D55/SUM(D55)),0.05*D49*(D55/SUM(D55)))</f>
        <v>-170.75</v>
      </c>
      <c r="E130" s="71">
        <f t="shared" si="57"/>
        <v>-1266.6500000000001</v>
      </c>
      <c r="F130" s="71">
        <f t="shared" si="57"/>
        <v>-1296.7</v>
      </c>
      <c r="G130" s="71">
        <f t="shared" si="57"/>
        <v>-491.45</v>
      </c>
      <c r="H130" s="71">
        <f t="shared" si="57"/>
        <v>-527.1</v>
      </c>
      <c r="I130" s="71">
        <f t="shared" si="57"/>
        <v>-922.75</v>
      </c>
      <c r="J130" s="71">
        <f t="shared" si="57"/>
        <v>-2159.4499999999998</v>
      </c>
      <c r="K130" s="71">
        <f t="shared" si="57"/>
        <v>-1304.3499999999999</v>
      </c>
      <c r="L130" s="71">
        <f t="shared" si="57"/>
        <v>-686.45</v>
      </c>
      <c r="M130" s="71">
        <f t="shared" si="57"/>
        <v>-1155.8499999999999</v>
      </c>
      <c r="N130" s="71">
        <f t="shared" si="57"/>
        <v>-1122.7</v>
      </c>
      <c r="O130" s="71">
        <f t="shared" si="57"/>
        <v>-617.4</v>
      </c>
      <c r="P130" s="71">
        <f t="shared" si="57"/>
        <v>-1922.3999999999999</v>
      </c>
      <c r="Q130" s="71">
        <f t="shared" si="57"/>
        <v>-1487.8500000000001</v>
      </c>
      <c r="R130" s="71">
        <f t="shared" si="57"/>
        <v>-1596.75</v>
      </c>
      <c r="S130" s="71">
        <f t="shared" si="57"/>
        <v>-997</v>
      </c>
    </row>
    <row r="131" spans="2:19" x14ac:dyDescent="0.25">
      <c r="B131" s="70"/>
      <c r="C131" s="70" t="s">
        <v>27</v>
      </c>
      <c r="D131" s="71">
        <f t="shared" ref="D131:S131" si="58">SUM(D33,0.2*D26*(D33/SUM(D33)),0.05*D27*(D33/SUM(D33)))</f>
        <v>58528.45</v>
      </c>
      <c r="E131" s="71">
        <f t="shared" si="58"/>
        <v>65172.25</v>
      </c>
      <c r="F131" s="71">
        <f t="shared" si="58"/>
        <v>76528.649999999994</v>
      </c>
      <c r="G131" s="71">
        <f t="shared" si="58"/>
        <v>69413</v>
      </c>
      <c r="H131" s="71">
        <f t="shared" si="58"/>
        <v>57458.9</v>
      </c>
      <c r="I131" s="71">
        <f t="shared" si="58"/>
        <v>83386.55</v>
      </c>
      <c r="J131" s="71">
        <f t="shared" si="58"/>
        <v>92221.3</v>
      </c>
      <c r="K131" s="71">
        <f t="shared" si="58"/>
        <v>88392.7</v>
      </c>
      <c r="L131" s="71">
        <f t="shared" si="58"/>
        <v>73399.100000000006</v>
      </c>
      <c r="M131" s="71">
        <f t="shared" si="58"/>
        <v>88841.9</v>
      </c>
      <c r="N131" s="71">
        <f t="shared" si="58"/>
        <v>101522.65</v>
      </c>
      <c r="O131" s="71">
        <f t="shared" si="58"/>
        <v>91216.3</v>
      </c>
      <c r="P131" s="71">
        <f t="shared" si="58"/>
        <v>83632.899999999994</v>
      </c>
      <c r="Q131" s="71">
        <f t="shared" si="58"/>
        <v>121920.95</v>
      </c>
      <c r="R131" s="71">
        <f t="shared" si="58"/>
        <v>125300.6</v>
      </c>
      <c r="S131" s="71">
        <f t="shared" si="58"/>
        <v>113156.3</v>
      </c>
    </row>
    <row r="132" spans="2:19" x14ac:dyDescent="0.25">
      <c r="B132" s="70" t="s">
        <v>6</v>
      </c>
      <c r="C132" s="70" t="s">
        <v>26</v>
      </c>
      <c r="D132" s="71">
        <f t="shared" ref="D132:S132" si="59">-SUM(D56,0.2*D48*(D56/SUM(D55)),0.05*D49*(D56/SUM(D55)))</f>
        <v>0</v>
      </c>
      <c r="E132" s="71">
        <f t="shared" si="59"/>
        <v>0</v>
      </c>
      <c r="F132" s="71">
        <f t="shared" si="59"/>
        <v>0</v>
      </c>
      <c r="G132" s="71">
        <f t="shared" si="59"/>
        <v>0</v>
      </c>
      <c r="H132" s="71">
        <f t="shared" si="59"/>
        <v>0</v>
      </c>
      <c r="I132" s="71">
        <f t="shared" si="59"/>
        <v>0</v>
      </c>
      <c r="J132" s="71">
        <f t="shared" si="59"/>
        <v>0</v>
      </c>
      <c r="K132" s="71">
        <f t="shared" si="59"/>
        <v>0</v>
      </c>
      <c r="L132" s="71">
        <f t="shared" si="59"/>
        <v>-18.749772382397573</v>
      </c>
      <c r="M132" s="71">
        <f t="shared" si="59"/>
        <v>0</v>
      </c>
      <c r="N132" s="71">
        <f t="shared" si="59"/>
        <v>0</v>
      </c>
      <c r="O132" s="71">
        <f t="shared" si="59"/>
        <v>0</v>
      </c>
      <c r="P132" s="71">
        <f t="shared" si="59"/>
        <v>0</v>
      </c>
      <c r="Q132" s="71">
        <f t="shared" si="59"/>
        <v>0</v>
      </c>
      <c r="R132" s="71">
        <f t="shared" si="59"/>
        <v>0</v>
      </c>
      <c r="S132" s="71">
        <f t="shared" si="59"/>
        <v>0</v>
      </c>
    </row>
    <row r="133" spans="2:19" x14ac:dyDescent="0.25">
      <c r="B133" s="70"/>
      <c r="C133" s="70" t="s">
        <v>27</v>
      </c>
      <c r="D133" s="71">
        <f t="shared" ref="D133:S133" si="60">SUM(D34,0.2*D26*(D34/SUM(D33)),0.05*D27*(D34/SUM(D33)))</f>
        <v>0</v>
      </c>
      <c r="E133" s="71">
        <f t="shared" si="60"/>
        <v>0</v>
      </c>
      <c r="F133" s="71">
        <f t="shared" si="60"/>
        <v>0</v>
      </c>
      <c r="G133" s="71">
        <f t="shared" si="60"/>
        <v>0</v>
      </c>
      <c r="H133" s="71">
        <f t="shared" si="60"/>
        <v>0</v>
      </c>
      <c r="I133" s="71">
        <f t="shared" si="60"/>
        <v>0</v>
      </c>
      <c r="J133" s="71">
        <f t="shared" si="60"/>
        <v>0</v>
      </c>
      <c r="K133" s="71">
        <f t="shared" si="60"/>
        <v>2863.3466101694917</v>
      </c>
      <c r="L133" s="71">
        <f t="shared" si="60"/>
        <v>1967.7533316978097</v>
      </c>
      <c r="M133" s="71">
        <f t="shared" si="60"/>
        <v>1637.8461901437001</v>
      </c>
      <c r="N133" s="71">
        <f t="shared" si="60"/>
        <v>1800.9339706317139</v>
      </c>
      <c r="O133" s="71">
        <f t="shared" si="60"/>
        <v>4037.3148446755299</v>
      </c>
      <c r="P133" s="71">
        <f t="shared" si="60"/>
        <v>907.00976061794529</v>
      </c>
      <c r="Q133" s="71">
        <f t="shared" si="60"/>
        <v>3104.2788023952094</v>
      </c>
      <c r="R133" s="71">
        <f t="shared" si="60"/>
        <v>98819.205136718432</v>
      </c>
      <c r="S133" s="71">
        <f t="shared" si="60"/>
        <v>42518.991498970405</v>
      </c>
    </row>
    <row r="134" spans="2:19" x14ac:dyDescent="0.25">
      <c r="B134" s="70" t="s">
        <v>670</v>
      </c>
      <c r="C134" s="70" t="s">
        <v>26</v>
      </c>
      <c r="D134" s="71">
        <f t="shared" ref="D134:S134" si="61">-D58</f>
        <v>0</v>
      </c>
      <c r="E134" s="71">
        <f t="shared" si="61"/>
        <v>0</v>
      </c>
      <c r="F134" s="71">
        <f t="shared" si="61"/>
        <v>0</v>
      </c>
      <c r="G134" s="71">
        <f t="shared" si="61"/>
        <v>0</v>
      </c>
      <c r="H134" s="71">
        <f t="shared" si="61"/>
        <v>0</v>
      </c>
      <c r="I134" s="71">
        <f t="shared" si="61"/>
        <v>0</v>
      </c>
      <c r="J134" s="71">
        <f t="shared" si="61"/>
        <v>0</v>
      </c>
      <c r="K134" s="71">
        <f t="shared" si="61"/>
        <v>0</v>
      </c>
      <c r="L134" s="71">
        <f t="shared" si="61"/>
        <v>0</v>
      </c>
      <c r="M134" s="71">
        <f t="shared" si="61"/>
        <v>0</v>
      </c>
      <c r="N134" s="71">
        <f t="shared" si="61"/>
        <v>0</v>
      </c>
      <c r="O134" s="71">
        <f t="shared" si="61"/>
        <v>0</v>
      </c>
      <c r="P134" s="71">
        <f t="shared" si="61"/>
        <v>0</v>
      </c>
      <c r="Q134" s="71">
        <f t="shared" si="61"/>
        <v>0</v>
      </c>
      <c r="R134" s="71">
        <f t="shared" si="61"/>
        <v>0</v>
      </c>
      <c r="S134" s="71">
        <f t="shared" si="61"/>
        <v>0</v>
      </c>
    </row>
    <row r="135" spans="2:19" x14ac:dyDescent="0.25">
      <c r="B135" s="70"/>
      <c r="C135" s="70" t="s">
        <v>27</v>
      </c>
      <c r="D135" s="71">
        <f t="shared" ref="D135:S135" si="62">SUM(D36:D37)</f>
        <v>8894</v>
      </c>
      <c r="E135" s="71">
        <f t="shared" si="62"/>
        <v>9074</v>
      </c>
      <c r="F135" s="71">
        <f t="shared" si="62"/>
        <v>9257</v>
      </c>
      <c r="G135" s="71">
        <f t="shared" si="62"/>
        <v>9214</v>
      </c>
      <c r="H135" s="71">
        <f t="shared" si="62"/>
        <v>10950</v>
      </c>
      <c r="I135" s="71">
        <f t="shared" si="62"/>
        <v>11123</v>
      </c>
      <c r="J135" s="71">
        <f t="shared" si="62"/>
        <v>11396</v>
      </c>
      <c r="K135" s="71">
        <f t="shared" si="62"/>
        <v>11247</v>
      </c>
      <c r="L135" s="71">
        <f t="shared" si="62"/>
        <v>14761</v>
      </c>
      <c r="M135" s="71">
        <f t="shared" si="62"/>
        <v>14983</v>
      </c>
      <c r="N135" s="71">
        <f t="shared" si="62"/>
        <v>15191</v>
      </c>
      <c r="O135" s="71">
        <f t="shared" si="62"/>
        <v>15437</v>
      </c>
      <c r="P135" s="71">
        <f t="shared" si="62"/>
        <v>19504</v>
      </c>
      <c r="Q135" s="71">
        <f t="shared" si="62"/>
        <v>19817</v>
      </c>
      <c r="R135" s="71">
        <f t="shared" si="62"/>
        <v>20283</v>
      </c>
      <c r="S135" s="71">
        <f t="shared" si="62"/>
        <v>20258</v>
      </c>
    </row>
    <row r="136" spans="2:19" x14ac:dyDescent="0.25">
      <c r="B136" s="70" t="s">
        <v>671</v>
      </c>
      <c r="C136" s="70" t="s">
        <v>26</v>
      </c>
      <c r="D136" s="71">
        <f t="shared" ref="D136:S136" si="63">-D57</f>
        <v>0</v>
      </c>
      <c r="E136" s="71">
        <f t="shared" si="63"/>
        <v>0</v>
      </c>
      <c r="F136" s="71">
        <f t="shared" si="63"/>
        <v>0</v>
      </c>
      <c r="G136" s="71">
        <f t="shared" si="63"/>
        <v>0</v>
      </c>
      <c r="H136" s="71">
        <f t="shared" si="63"/>
        <v>0</v>
      </c>
      <c r="I136" s="71">
        <f t="shared" si="63"/>
        <v>0</v>
      </c>
      <c r="J136" s="71">
        <f t="shared" si="63"/>
        <v>0</v>
      </c>
      <c r="K136" s="71">
        <f t="shared" si="63"/>
        <v>0</v>
      </c>
      <c r="L136" s="71">
        <f t="shared" si="63"/>
        <v>0</v>
      </c>
      <c r="M136" s="71">
        <f t="shared" si="63"/>
        <v>0</v>
      </c>
      <c r="N136" s="71">
        <f t="shared" si="63"/>
        <v>0</v>
      </c>
      <c r="O136" s="71">
        <f t="shared" si="63"/>
        <v>0</v>
      </c>
      <c r="P136" s="71">
        <f t="shared" si="63"/>
        <v>0</v>
      </c>
      <c r="Q136" s="71">
        <f t="shared" si="63"/>
        <v>0</v>
      </c>
      <c r="R136" s="71">
        <f t="shared" si="63"/>
        <v>0</v>
      </c>
      <c r="S136" s="71">
        <f t="shared" si="63"/>
        <v>0</v>
      </c>
    </row>
    <row r="137" spans="2:19" x14ac:dyDescent="0.25">
      <c r="B137" s="70"/>
      <c r="C137" s="70" t="s">
        <v>27</v>
      </c>
      <c r="D137" s="71">
        <f t="shared" ref="D137:S137" si="64">D35</f>
        <v>0</v>
      </c>
      <c r="E137" s="71">
        <f t="shared" si="64"/>
        <v>0</v>
      </c>
      <c r="F137" s="71">
        <f t="shared" si="64"/>
        <v>0</v>
      </c>
      <c r="G137" s="71">
        <f t="shared" si="64"/>
        <v>0</v>
      </c>
      <c r="H137" s="71">
        <f t="shared" si="64"/>
        <v>0</v>
      </c>
      <c r="I137" s="71">
        <f t="shared" si="64"/>
        <v>0</v>
      </c>
      <c r="J137" s="71">
        <f t="shared" si="64"/>
        <v>0</v>
      </c>
      <c r="K137" s="71">
        <f t="shared" si="64"/>
        <v>0</v>
      </c>
      <c r="L137" s="71">
        <f t="shared" si="64"/>
        <v>4288</v>
      </c>
      <c r="M137" s="71">
        <f t="shared" si="64"/>
        <v>4206</v>
      </c>
      <c r="N137" s="71">
        <f t="shared" si="64"/>
        <v>4382</v>
      </c>
      <c r="O137" s="71">
        <f t="shared" si="64"/>
        <v>4313</v>
      </c>
      <c r="P137" s="71">
        <f t="shared" si="64"/>
        <v>4662</v>
      </c>
      <c r="Q137" s="71">
        <f t="shared" si="64"/>
        <v>4756</v>
      </c>
      <c r="R137" s="71">
        <f t="shared" si="64"/>
        <v>5787</v>
      </c>
      <c r="S137" s="71">
        <f t="shared" si="64"/>
        <v>6098</v>
      </c>
    </row>
    <row r="138" spans="2:19" x14ac:dyDescent="0.25">
      <c r="B138" s="70" t="s">
        <v>672</v>
      </c>
      <c r="C138" s="70" t="s">
        <v>26</v>
      </c>
      <c r="D138" s="71">
        <f t="shared" ref="D138:S138" si="65">-SUM(D63:D64)</f>
        <v>0</v>
      </c>
      <c r="E138" s="71">
        <f t="shared" si="65"/>
        <v>0</v>
      </c>
      <c r="F138" s="71">
        <f t="shared" si="65"/>
        <v>0</v>
      </c>
      <c r="G138" s="71">
        <f t="shared" si="65"/>
        <v>0</v>
      </c>
      <c r="H138" s="71">
        <f t="shared" si="65"/>
        <v>0</v>
      </c>
      <c r="I138" s="71">
        <f t="shared" si="65"/>
        <v>0</v>
      </c>
      <c r="J138" s="71">
        <f t="shared" si="65"/>
        <v>0</v>
      </c>
      <c r="K138" s="71">
        <f t="shared" si="65"/>
        <v>0</v>
      </c>
      <c r="L138" s="71">
        <f t="shared" si="65"/>
        <v>0</v>
      </c>
      <c r="M138" s="71">
        <f t="shared" si="65"/>
        <v>0</v>
      </c>
      <c r="N138" s="71">
        <f t="shared" si="65"/>
        <v>0</v>
      </c>
      <c r="O138" s="71">
        <f t="shared" si="65"/>
        <v>0</v>
      </c>
      <c r="P138" s="71">
        <f t="shared" si="65"/>
        <v>0</v>
      </c>
      <c r="Q138" s="71">
        <f t="shared" si="65"/>
        <v>0</v>
      </c>
      <c r="R138" s="71">
        <f t="shared" si="65"/>
        <v>0</v>
      </c>
      <c r="S138" s="71">
        <f t="shared" si="65"/>
        <v>0</v>
      </c>
    </row>
    <row r="139" spans="2:19" x14ac:dyDescent="0.25">
      <c r="B139" s="70"/>
      <c r="C139" s="70" t="s">
        <v>27</v>
      </c>
      <c r="D139" s="71">
        <f t="shared" ref="D139:S139" si="66">SUM(D42:D43)</f>
        <v>61</v>
      </c>
      <c r="E139" s="71">
        <f t="shared" si="66"/>
        <v>112</v>
      </c>
      <c r="F139" s="71">
        <f t="shared" si="66"/>
        <v>346</v>
      </c>
      <c r="G139" s="71">
        <f t="shared" si="66"/>
        <v>292</v>
      </c>
      <c r="H139" s="71">
        <f t="shared" si="66"/>
        <v>308</v>
      </c>
      <c r="I139" s="71">
        <f t="shared" si="66"/>
        <v>297</v>
      </c>
      <c r="J139" s="71">
        <f t="shared" si="66"/>
        <v>327</v>
      </c>
      <c r="K139" s="71">
        <f t="shared" si="66"/>
        <v>272</v>
      </c>
      <c r="L139" s="71">
        <f t="shared" si="66"/>
        <v>472</v>
      </c>
      <c r="M139" s="71">
        <f t="shared" si="66"/>
        <v>514</v>
      </c>
      <c r="N139" s="71">
        <f t="shared" si="66"/>
        <v>582</v>
      </c>
      <c r="O139" s="71">
        <f t="shared" si="66"/>
        <v>487</v>
      </c>
      <c r="P139" s="71">
        <f t="shared" si="66"/>
        <v>452</v>
      </c>
      <c r="Q139" s="71">
        <f t="shared" si="66"/>
        <v>472</v>
      </c>
      <c r="R139" s="71">
        <f t="shared" si="66"/>
        <v>501</v>
      </c>
      <c r="S139" s="71">
        <f t="shared" si="66"/>
        <v>529</v>
      </c>
    </row>
    <row r="140" spans="2:19" x14ac:dyDescent="0.25">
      <c r="B140" s="70" t="s">
        <v>34</v>
      </c>
      <c r="C140" s="70" t="s">
        <v>26</v>
      </c>
      <c r="D140" s="71">
        <f t="shared" ref="D140:S140" si="67">SUM(D53:D54)</f>
        <v>0</v>
      </c>
      <c r="E140" s="71">
        <f t="shared" si="67"/>
        <v>0</v>
      </c>
      <c r="F140" s="71">
        <f t="shared" si="67"/>
        <v>0</v>
      </c>
      <c r="G140" s="71">
        <f t="shared" si="67"/>
        <v>0</v>
      </c>
      <c r="H140" s="71">
        <f t="shared" si="67"/>
        <v>0</v>
      </c>
      <c r="I140" s="71">
        <f t="shared" si="67"/>
        <v>0</v>
      </c>
      <c r="J140" s="71">
        <f t="shared" si="67"/>
        <v>0</v>
      </c>
      <c r="K140" s="71">
        <f t="shared" si="67"/>
        <v>0</v>
      </c>
      <c r="L140" s="71">
        <f t="shared" si="67"/>
        <v>0</v>
      </c>
      <c r="M140" s="71">
        <f t="shared" si="67"/>
        <v>0</v>
      </c>
      <c r="N140" s="71">
        <f t="shared" si="67"/>
        <v>0</v>
      </c>
      <c r="O140" s="71">
        <f t="shared" si="67"/>
        <v>0</v>
      </c>
      <c r="P140" s="71">
        <f t="shared" si="67"/>
        <v>0</v>
      </c>
      <c r="Q140" s="71">
        <f t="shared" si="67"/>
        <v>0</v>
      </c>
      <c r="R140" s="71">
        <f t="shared" si="67"/>
        <v>0</v>
      </c>
      <c r="S140" s="71">
        <f t="shared" si="67"/>
        <v>0</v>
      </c>
    </row>
    <row r="141" spans="2:19" x14ac:dyDescent="0.25">
      <c r="B141" s="70"/>
      <c r="C141" s="70" t="s">
        <v>27</v>
      </c>
      <c r="D141" s="71">
        <f t="shared" ref="D141:S141" si="68">SUM(D31:D32)</f>
        <v>474</v>
      </c>
      <c r="E141" s="71">
        <f t="shared" si="68"/>
        <v>315</v>
      </c>
      <c r="F141" s="71">
        <f t="shared" si="68"/>
        <v>2034</v>
      </c>
      <c r="G141" s="71">
        <f t="shared" si="68"/>
        <v>2843</v>
      </c>
      <c r="H141" s="71">
        <f t="shared" si="68"/>
        <v>2056</v>
      </c>
      <c r="I141" s="71">
        <f t="shared" si="68"/>
        <v>2719</v>
      </c>
      <c r="J141" s="71">
        <f t="shared" si="68"/>
        <v>2634</v>
      </c>
      <c r="K141" s="71">
        <f t="shared" si="68"/>
        <v>2607</v>
      </c>
      <c r="L141" s="71">
        <f t="shared" si="68"/>
        <v>1203</v>
      </c>
      <c r="M141" s="71">
        <f t="shared" si="68"/>
        <v>1770</v>
      </c>
      <c r="N141" s="71">
        <f t="shared" si="68"/>
        <v>1921</v>
      </c>
      <c r="O141" s="71">
        <f t="shared" si="68"/>
        <v>2115</v>
      </c>
      <c r="P141" s="71">
        <f t="shared" si="68"/>
        <v>1905</v>
      </c>
      <c r="Q141" s="71">
        <f t="shared" si="68"/>
        <v>2097</v>
      </c>
      <c r="R141" s="71">
        <f t="shared" si="68"/>
        <v>2089</v>
      </c>
      <c r="S141" s="71">
        <f t="shared" si="68"/>
        <v>2646</v>
      </c>
    </row>
    <row r="142" spans="2:19" x14ac:dyDescent="0.25">
      <c r="B142" s="70" t="s">
        <v>11</v>
      </c>
      <c r="C142" s="70" t="s">
        <v>26</v>
      </c>
      <c r="D142" s="71">
        <f t="shared" ref="D142:S142" si="69">-SUM(D65:D66)</f>
        <v>0</v>
      </c>
      <c r="E142" s="71">
        <f t="shared" si="69"/>
        <v>0</v>
      </c>
      <c r="F142" s="71">
        <f t="shared" si="69"/>
        <v>0</v>
      </c>
      <c r="G142" s="71">
        <f t="shared" si="69"/>
        <v>0</v>
      </c>
      <c r="H142" s="71">
        <f t="shared" si="69"/>
        <v>0</v>
      </c>
      <c r="I142" s="71">
        <f t="shared" si="69"/>
        <v>0</v>
      </c>
      <c r="J142" s="71">
        <f t="shared" si="69"/>
        <v>0</v>
      </c>
      <c r="K142" s="71">
        <f t="shared" si="69"/>
        <v>0</v>
      </c>
      <c r="L142" s="71">
        <f t="shared" si="69"/>
        <v>0</v>
      </c>
      <c r="M142" s="71">
        <f t="shared" si="69"/>
        <v>0</v>
      </c>
      <c r="N142" s="71">
        <f t="shared" si="69"/>
        <v>0</v>
      </c>
      <c r="O142" s="71">
        <f t="shared" si="69"/>
        <v>0</v>
      </c>
      <c r="P142" s="71">
        <f t="shared" si="69"/>
        <v>0</v>
      </c>
      <c r="Q142" s="71">
        <f t="shared" si="69"/>
        <v>0</v>
      </c>
      <c r="R142" s="71">
        <f t="shared" si="69"/>
        <v>0</v>
      </c>
      <c r="S142" s="71">
        <f t="shared" si="69"/>
        <v>0</v>
      </c>
    </row>
    <row r="143" spans="2:19" x14ac:dyDescent="0.25">
      <c r="B143" s="70"/>
      <c r="C143" s="70" t="s">
        <v>27</v>
      </c>
      <c r="D143" s="71">
        <f t="shared" ref="D143:S143" si="70">SUM(D44:D45)</f>
        <v>28</v>
      </c>
      <c r="E143" s="71">
        <f t="shared" si="70"/>
        <v>28</v>
      </c>
      <c r="F143" s="71">
        <f t="shared" si="70"/>
        <v>13</v>
      </c>
      <c r="G143" s="71">
        <f t="shared" si="70"/>
        <v>31</v>
      </c>
      <c r="H143" s="71">
        <f t="shared" si="70"/>
        <v>32</v>
      </c>
      <c r="I143" s="71">
        <f t="shared" si="70"/>
        <v>68</v>
      </c>
      <c r="J143" s="71">
        <f t="shared" si="70"/>
        <v>38</v>
      </c>
      <c r="K143" s="71">
        <f t="shared" si="70"/>
        <v>61</v>
      </c>
      <c r="L143" s="71">
        <f t="shared" si="70"/>
        <v>199</v>
      </c>
      <c r="M143" s="71">
        <f t="shared" si="70"/>
        <v>218</v>
      </c>
      <c r="N143" s="71">
        <f t="shared" si="70"/>
        <v>238</v>
      </c>
      <c r="O143" s="71">
        <f t="shared" si="70"/>
        <v>535</v>
      </c>
      <c r="P143" s="71">
        <f t="shared" si="70"/>
        <v>1219</v>
      </c>
      <c r="Q143" s="71">
        <f t="shared" si="70"/>
        <v>1385</v>
      </c>
      <c r="R143" s="71">
        <f t="shared" si="70"/>
        <v>1643</v>
      </c>
      <c r="S143" s="71">
        <f t="shared" si="70"/>
        <v>1935</v>
      </c>
    </row>
    <row r="144" spans="2:19" s="136" customFormat="1" x14ac:dyDescent="0.25">
      <c r="B144" s="70"/>
      <c r="C144" s="70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3:19" x14ac:dyDescent="0.25">
      <c r="C145" s="99" t="s">
        <v>853</v>
      </c>
      <c r="D145" s="146">
        <f t="shared" ref="D145:S145" si="71">SUM(D30,D46,-D52,-D67)</f>
        <v>45682</v>
      </c>
      <c r="E145" s="146">
        <f t="shared" si="71"/>
        <v>55037</v>
      </c>
      <c r="F145" s="146">
        <f t="shared" si="71"/>
        <v>62115</v>
      </c>
      <c r="G145" s="146">
        <f t="shared" si="71"/>
        <v>51832</v>
      </c>
      <c r="H145" s="146">
        <f t="shared" si="71"/>
        <v>53951</v>
      </c>
      <c r="I145" s="146">
        <f t="shared" si="71"/>
        <v>45282</v>
      </c>
      <c r="J145" s="146">
        <f t="shared" si="71"/>
        <v>49404</v>
      </c>
      <c r="K145" s="146">
        <f t="shared" si="71"/>
        <v>62466</v>
      </c>
      <c r="L145" s="146">
        <f t="shared" si="71"/>
        <v>21801</v>
      </c>
      <c r="M145" s="146">
        <f t="shared" si="71"/>
        <v>-3501</v>
      </c>
      <c r="N145" s="146">
        <f t="shared" si="71"/>
        <v>24250</v>
      </c>
      <c r="O145" s="146">
        <f t="shared" si="71"/>
        <v>36848</v>
      </c>
      <c r="P145" s="146">
        <f t="shared" si="71"/>
        <v>-20182</v>
      </c>
      <c r="Q145" s="146">
        <f t="shared" si="71"/>
        <v>32888</v>
      </c>
      <c r="R145" s="146">
        <f t="shared" si="71"/>
        <v>140835</v>
      </c>
      <c r="S145" s="146">
        <f t="shared" si="71"/>
        <v>69118</v>
      </c>
    </row>
    <row r="146" spans="3:19" x14ac:dyDescent="0.25">
      <c r="C146" s="99" t="s">
        <v>854</v>
      </c>
      <c r="D146" s="146">
        <f>SUM(D124:D143)</f>
        <v>45682</v>
      </c>
      <c r="E146" s="146">
        <f t="shared" ref="E146:R146" si="72">SUM(E124:E143)</f>
        <v>55037</v>
      </c>
      <c r="F146" s="146">
        <f t="shared" si="72"/>
        <v>62114.999999999985</v>
      </c>
      <c r="G146" s="146">
        <f t="shared" si="72"/>
        <v>51832</v>
      </c>
      <c r="H146" s="146">
        <f t="shared" si="72"/>
        <v>53951</v>
      </c>
      <c r="I146" s="146">
        <f t="shared" si="72"/>
        <v>45282</v>
      </c>
      <c r="J146" s="146">
        <f t="shared" si="72"/>
        <v>49404</v>
      </c>
      <c r="K146" s="146">
        <f t="shared" si="72"/>
        <v>62466.346610169494</v>
      </c>
      <c r="L146" s="146">
        <f t="shared" si="72"/>
        <v>21801.00355931541</v>
      </c>
      <c r="M146" s="146">
        <f t="shared" si="72"/>
        <v>-3500.1538098562996</v>
      </c>
      <c r="N146" s="146">
        <f t="shared" si="72"/>
        <v>24250.933970631715</v>
      </c>
      <c r="O146" s="146">
        <f t="shared" si="72"/>
        <v>36850.314844675529</v>
      </c>
      <c r="P146" s="146">
        <f t="shared" si="72"/>
        <v>-20181.990239382023</v>
      </c>
      <c r="Q146" s="146">
        <f t="shared" si="72"/>
        <v>32888.278802395194</v>
      </c>
      <c r="R146" s="146">
        <f t="shared" si="72"/>
        <v>140840.20513671843</v>
      </c>
      <c r="S146" s="146">
        <f>SUM(S124:S143)</f>
        <v>69119.991498970398</v>
      </c>
    </row>
    <row r="148" spans="3:19" x14ac:dyDescent="0.25">
      <c r="C148" s="99" t="s">
        <v>890</v>
      </c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</row>
    <row r="151" spans="3:19" x14ac:dyDescent="0.25">
      <c r="N151" s="137"/>
    </row>
    <row r="152" spans="3:19" x14ac:dyDescent="0.25">
      <c r="N152" s="137"/>
    </row>
    <row r="155" spans="3:19" x14ac:dyDescent="0.25">
      <c r="N155" s="137"/>
      <c r="O155" s="137"/>
      <c r="P155" s="137"/>
      <c r="Q155" s="137"/>
      <c r="R155" s="137"/>
      <c r="S155" s="137"/>
    </row>
    <row r="156" spans="3:19" x14ac:dyDescent="0.25">
      <c r="N156" s="137"/>
      <c r="O156" s="137"/>
      <c r="P156" s="137"/>
      <c r="Q156" s="137"/>
      <c r="R156" s="137"/>
      <c r="S156" s="137"/>
    </row>
  </sheetData>
  <pageMargins left="0.7" right="0.7" top="0.75" bottom="0.75" header="0.3" footer="0.3"/>
  <pageSetup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6" sqref="E26"/>
    </sheetView>
  </sheetViews>
  <sheetFormatPr defaultRowHeight="15" x14ac:dyDescent="0.25"/>
  <cols>
    <col min="3" max="3" width="19.42578125" customWidth="1"/>
    <col min="4" max="4" width="16.42578125" bestFit="1" customWidth="1"/>
    <col min="5" max="5" width="28.28515625" customWidth="1"/>
  </cols>
  <sheetData>
    <row r="1" spans="1:9" x14ac:dyDescent="0.25">
      <c r="A1" t="s">
        <v>698</v>
      </c>
      <c r="B1" t="s">
        <v>252</v>
      </c>
      <c r="C1" t="s">
        <v>257</v>
      </c>
      <c r="D1" t="s">
        <v>571</v>
      </c>
      <c r="E1" t="s">
        <v>696</v>
      </c>
    </row>
    <row r="2" spans="1:9" x14ac:dyDescent="0.25">
      <c r="A2" s="21">
        <v>44197</v>
      </c>
      <c r="B2" s="21">
        <v>44197</v>
      </c>
      <c r="C2" t="s">
        <v>572</v>
      </c>
      <c r="D2" t="s">
        <v>576</v>
      </c>
      <c r="E2" s="10">
        <v>122.48</v>
      </c>
    </row>
    <row r="3" spans="1:9" x14ac:dyDescent="0.25">
      <c r="A3" s="21">
        <v>44197</v>
      </c>
      <c r="B3" s="21">
        <v>44197</v>
      </c>
      <c r="C3" t="s">
        <v>573</v>
      </c>
      <c r="D3" t="s">
        <v>576</v>
      </c>
      <c r="E3" s="10">
        <v>134.47999999999999</v>
      </c>
      <c r="I3" t="s">
        <v>885</v>
      </c>
    </row>
    <row r="4" spans="1:9" x14ac:dyDescent="0.25">
      <c r="A4" s="21">
        <v>44197</v>
      </c>
      <c r="B4" s="21">
        <v>44197</v>
      </c>
      <c r="C4" t="s">
        <v>269</v>
      </c>
      <c r="D4" t="s">
        <v>576</v>
      </c>
      <c r="E4" s="10">
        <v>105.5</v>
      </c>
      <c r="I4" s="96" t="s">
        <v>884</v>
      </c>
    </row>
    <row r="5" spans="1:9" x14ac:dyDescent="0.25">
      <c r="A5" s="21">
        <v>44197</v>
      </c>
      <c r="B5" s="21">
        <v>44197</v>
      </c>
      <c r="C5" t="s">
        <v>278</v>
      </c>
      <c r="D5" t="s">
        <v>576</v>
      </c>
      <c r="E5" s="10">
        <v>78.83</v>
      </c>
    </row>
    <row r="6" spans="1:9" x14ac:dyDescent="0.25">
      <c r="A6" s="21">
        <v>44197</v>
      </c>
      <c r="B6" s="21">
        <v>44197</v>
      </c>
      <c r="C6" t="s">
        <v>264</v>
      </c>
      <c r="D6" t="s">
        <v>576</v>
      </c>
      <c r="E6" s="10">
        <v>3.6</v>
      </c>
    </row>
    <row r="7" spans="1:9" x14ac:dyDescent="0.25">
      <c r="A7" s="21">
        <v>44197</v>
      </c>
      <c r="B7" s="21">
        <v>44197</v>
      </c>
      <c r="C7" t="s">
        <v>22</v>
      </c>
      <c r="D7" t="s">
        <v>576</v>
      </c>
      <c r="E7" s="10">
        <v>120</v>
      </c>
    </row>
    <row r="8" spans="1:9" x14ac:dyDescent="0.25">
      <c r="A8" s="21">
        <v>44197</v>
      </c>
      <c r="B8" s="21">
        <v>44197</v>
      </c>
      <c r="C8" t="s">
        <v>5</v>
      </c>
      <c r="D8" t="s">
        <v>576</v>
      </c>
      <c r="E8" s="10">
        <v>81.510000000000005</v>
      </c>
    </row>
    <row r="9" spans="1:9" x14ac:dyDescent="0.25">
      <c r="A9" s="21">
        <v>44197</v>
      </c>
      <c r="B9" s="21">
        <v>44197</v>
      </c>
      <c r="C9" t="s">
        <v>7</v>
      </c>
      <c r="D9" t="s">
        <v>576</v>
      </c>
      <c r="E9" s="10">
        <v>126.13</v>
      </c>
    </row>
    <row r="10" spans="1:9" x14ac:dyDescent="0.25">
      <c r="A10" s="21">
        <v>44197</v>
      </c>
      <c r="B10" s="21">
        <v>44197</v>
      </c>
      <c r="C10" t="s">
        <v>258</v>
      </c>
      <c r="D10" t="s">
        <v>576</v>
      </c>
      <c r="E10" s="10">
        <v>129.65</v>
      </c>
    </row>
    <row r="11" spans="1:9" x14ac:dyDescent="0.25">
      <c r="A11" s="21">
        <v>44197</v>
      </c>
      <c r="B11" s="21">
        <v>44197</v>
      </c>
      <c r="C11" t="s">
        <v>271</v>
      </c>
      <c r="D11" t="s">
        <v>576</v>
      </c>
      <c r="E11" s="10">
        <v>89.63</v>
      </c>
    </row>
    <row r="12" spans="1:9" x14ac:dyDescent="0.25">
      <c r="A12" s="21">
        <v>44197</v>
      </c>
      <c r="B12" s="21">
        <v>44197</v>
      </c>
      <c r="C12" t="s">
        <v>574</v>
      </c>
      <c r="D12" t="s">
        <v>576</v>
      </c>
      <c r="E12" s="10">
        <v>122.48</v>
      </c>
    </row>
    <row r="13" spans="1:9" x14ac:dyDescent="0.25">
      <c r="A13" s="21">
        <v>44197</v>
      </c>
      <c r="B13" s="21">
        <v>44197</v>
      </c>
      <c r="C13" t="s">
        <v>575</v>
      </c>
      <c r="D13" t="s">
        <v>576</v>
      </c>
      <c r="E13" s="10">
        <v>126.37</v>
      </c>
    </row>
    <row r="14" spans="1:9" x14ac:dyDescent="0.25">
      <c r="A14" s="21">
        <v>44197</v>
      </c>
      <c r="B14" s="21">
        <v>44197</v>
      </c>
      <c r="C14" t="s">
        <v>572</v>
      </c>
      <c r="D14" t="s">
        <v>577</v>
      </c>
      <c r="E14" s="10">
        <v>94.63</v>
      </c>
    </row>
    <row r="15" spans="1:9" x14ac:dyDescent="0.25">
      <c r="A15" s="21">
        <v>44197</v>
      </c>
      <c r="B15" s="21">
        <v>44197</v>
      </c>
      <c r="C15" t="s">
        <v>573</v>
      </c>
      <c r="D15" t="s">
        <v>577</v>
      </c>
      <c r="E15" s="10">
        <v>95.29</v>
      </c>
    </row>
    <row r="16" spans="1:9" x14ac:dyDescent="0.25">
      <c r="A16" s="21">
        <v>44197</v>
      </c>
      <c r="B16" s="21">
        <v>44197</v>
      </c>
      <c r="C16" t="s">
        <v>575</v>
      </c>
      <c r="D16" t="s">
        <v>577</v>
      </c>
      <c r="E16" s="10">
        <v>90.8</v>
      </c>
    </row>
    <row r="17" spans="1:5" x14ac:dyDescent="0.25">
      <c r="A17" s="21">
        <v>44197</v>
      </c>
      <c r="B17" s="21">
        <v>44197</v>
      </c>
      <c r="C17" t="s">
        <v>572</v>
      </c>
      <c r="D17" t="s">
        <v>578</v>
      </c>
      <c r="E17" s="10">
        <v>100.14</v>
      </c>
    </row>
    <row r="18" spans="1:5" x14ac:dyDescent="0.25">
      <c r="A18" s="21">
        <v>44197</v>
      </c>
      <c r="B18" s="21">
        <v>44197</v>
      </c>
      <c r="C18" t="s">
        <v>573</v>
      </c>
      <c r="D18" t="s">
        <v>578</v>
      </c>
      <c r="E18" s="10">
        <v>100.74</v>
      </c>
    </row>
    <row r="19" spans="1:5" x14ac:dyDescent="0.25">
      <c r="A19" s="21">
        <v>44197</v>
      </c>
      <c r="B19" s="21">
        <v>44197</v>
      </c>
      <c r="C19" t="s">
        <v>574</v>
      </c>
      <c r="D19" t="s">
        <v>578</v>
      </c>
      <c r="E19" s="10">
        <v>98.16</v>
      </c>
    </row>
    <row r="20" spans="1:5" x14ac:dyDescent="0.25">
      <c r="A20" s="21">
        <v>44197</v>
      </c>
      <c r="B20" s="21">
        <v>44197</v>
      </c>
      <c r="C20" t="s">
        <v>264</v>
      </c>
      <c r="D20" t="s">
        <v>578</v>
      </c>
      <c r="E20" s="10">
        <v>107.92</v>
      </c>
    </row>
    <row r="21" spans="1:5" x14ac:dyDescent="0.25">
      <c r="A21" s="21">
        <v>44197</v>
      </c>
      <c r="B21" s="21">
        <v>44197</v>
      </c>
      <c r="C21" t="s">
        <v>269</v>
      </c>
      <c r="D21" t="s">
        <v>578</v>
      </c>
      <c r="E21" s="10">
        <v>79.98</v>
      </c>
    </row>
    <row r="22" spans="1:5" s="136" customFormat="1" x14ac:dyDescent="0.25">
      <c r="A22" s="21">
        <v>44197</v>
      </c>
      <c r="B22" s="21">
        <v>43831</v>
      </c>
      <c r="C22" s="136" t="s">
        <v>34</v>
      </c>
      <c r="D22" s="136" t="s">
        <v>578</v>
      </c>
      <c r="E22" s="10">
        <f>'CI Facility'!N113</f>
        <v>49</v>
      </c>
    </row>
    <row r="23" spans="1:5" x14ac:dyDescent="0.25">
      <c r="A23" s="21">
        <v>44197</v>
      </c>
      <c r="B23" s="21">
        <v>44197</v>
      </c>
      <c r="C23" t="s">
        <v>34</v>
      </c>
      <c r="D23" t="s">
        <v>578</v>
      </c>
      <c r="E23" s="10">
        <f>'CI Facility'!N113</f>
        <v>49</v>
      </c>
    </row>
    <row r="24" spans="1:5" x14ac:dyDescent="0.25">
      <c r="A24" s="21">
        <v>44197</v>
      </c>
      <c r="B24" s="21">
        <v>44197</v>
      </c>
      <c r="C24" t="s">
        <v>271</v>
      </c>
      <c r="D24" t="s">
        <v>578</v>
      </c>
      <c r="E24" s="10">
        <v>80.88</v>
      </c>
    </row>
    <row r="25" spans="1:5" s="136" customFormat="1" x14ac:dyDescent="0.25">
      <c r="A25" s="21">
        <v>44197</v>
      </c>
      <c r="B25" s="21">
        <v>43831</v>
      </c>
      <c r="C25" s="136" t="s">
        <v>5</v>
      </c>
      <c r="D25" s="136" t="s">
        <v>578</v>
      </c>
      <c r="E25" s="10">
        <f>AVERAGE(AVERAGE('CI Trend'!$P$12:$S$12),'CI Facility'!N56)</f>
        <v>52.83</v>
      </c>
    </row>
    <row r="26" spans="1:5" x14ac:dyDescent="0.25">
      <c r="A26" s="21">
        <v>44197</v>
      </c>
      <c r="B26" s="21">
        <v>44197</v>
      </c>
      <c r="C26" t="s">
        <v>5</v>
      </c>
      <c r="D26" t="s">
        <v>578</v>
      </c>
      <c r="E26" s="51">
        <f>'CI Facility'!N56</f>
        <v>47.5</v>
      </c>
    </row>
    <row r="27" spans="1:5" s="136" customFormat="1" x14ac:dyDescent="0.25">
      <c r="A27" s="21">
        <v>44197</v>
      </c>
      <c r="B27" s="21">
        <v>43831</v>
      </c>
      <c r="C27" s="136" t="s">
        <v>7</v>
      </c>
      <c r="D27" s="136" t="s">
        <v>578</v>
      </c>
      <c r="E27" s="51">
        <f>AVERAGE(AVERAGE('CI Trend'!$P$18:$S$18),'CI Facility'!N90)</f>
        <v>32.58625</v>
      </c>
    </row>
    <row r="28" spans="1:5" x14ac:dyDescent="0.25">
      <c r="A28" s="21">
        <v>44197</v>
      </c>
      <c r="B28" s="21">
        <v>44197</v>
      </c>
      <c r="C28" t="s">
        <v>7</v>
      </c>
      <c r="D28" t="s">
        <v>578</v>
      </c>
      <c r="E28" s="51">
        <f>'CI Facility'!N90</f>
        <v>26.5</v>
      </c>
    </row>
    <row r="29" spans="1:5" s="136" customFormat="1" x14ac:dyDescent="0.25">
      <c r="A29" s="21">
        <v>44197</v>
      </c>
      <c r="B29" s="21">
        <v>43831</v>
      </c>
      <c r="C29" s="136" t="s">
        <v>258</v>
      </c>
      <c r="D29" s="136" t="s">
        <v>578</v>
      </c>
      <c r="E29" s="51">
        <f>AVERAGE(AVERAGE('CI Trend'!$P$23:$S$23),'CI Facility'!N103)</f>
        <v>33.181249999999999</v>
      </c>
    </row>
    <row r="30" spans="1:5" x14ac:dyDescent="0.25">
      <c r="A30" s="21">
        <v>44197</v>
      </c>
      <c r="B30" s="21">
        <v>44197</v>
      </c>
      <c r="C30" t="s">
        <v>258</v>
      </c>
      <c r="D30" t="s">
        <v>578</v>
      </c>
      <c r="E30" s="51">
        <f>'CI Facility'!N103</f>
        <v>27.2</v>
      </c>
    </row>
    <row r="31" spans="1:5" s="136" customFormat="1" x14ac:dyDescent="0.25">
      <c r="A31" s="21">
        <v>44197</v>
      </c>
      <c r="B31" s="21">
        <v>43831</v>
      </c>
      <c r="C31" s="136" t="s">
        <v>700</v>
      </c>
      <c r="D31" s="136" t="s">
        <v>579</v>
      </c>
      <c r="E31" s="137">
        <f>AVERAGE(Forecast_Main!T91:W91)</f>
        <v>3021.0776345659137</v>
      </c>
    </row>
    <row r="32" spans="1:5" x14ac:dyDescent="0.25">
      <c r="A32" s="21">
        <v>44197</v>
      </c>
      <c r="B32" s="21">
        <v>44197</v>
      </c>
      <c r="C32" t="s">
        <v>700</v>
      </c>
      <c r="D32" t="s">
        <v>579</v>
      </c>
      <c r="E32" s="11">
        <f>AVERAGE(Forecast_Main!X91:AA91)</f>
        <v>3506.0776345659137</v>
      </c>
    </row>
    <row r="33" spans="1:5" x14ac:dyDescent="0.25">
      <c r="A33" s="21">
        <v>44197</v>
      </c>
      <c r="B33" s="21">
        <v>44197</v>
      </c>
      <c r="C33" t="s">
        <v>859</v>
      </c>
      <c r="D33" t="s">
        <v>579</v>
      </c>
      <c r="E33">
        <v>3.4</v>
      </c>
    </row>
    <row r="34" spans="1:5" s="136" customFormat="1" x14ac:dyDescent="0.25">
      <c r="A34" s="21">
        <v>44197</v>
      </c>
      <c r="B34" s="21">
        <v>44197</v>
      </c>
      <c r="C34" s="136" t="s">
        <v>860</v>
      </c>
      <c r="D34" s="136" t="s">
        <v>579</v>
      </c>
      <c r="E34" s="136">
        <v>0.9</v>
      </c>
    </row>
    <row r="35" spans="1:5" x14ac:dyDescent="0.25">
      <c r="A35" s="21">
        <v>44197</v>
      </c>
      <c r="B35" s="21">
        <v>43831</v>
      </c>
      <c r="C35" t="s">
        <v>4</v>
      </c>
      <c r="D35" t="s">
        <v>697</v>
      </c>
      <c r="E35" s="26">
        <f>'[1]Annual Data'!B33</f>
        <v>-0.106</v>
      </c>
    </row>
    <row r="36" spans="1:5" x14ac:dyDescent="0.25">
      <c r="A36" s="21">
        <v>44197</v>
      </c>
      <c r="B36" s="21">
        <v>44197</v>
      </c>
      <c r="C36" t="s">
        <v>4</v>
      </c>
      <c r="D36" t="s">
        <v>697</v>
      </c>
      <c r="E36" s="26">
        <f>'[1]Annual Data'!B34</f>
        <v>0.10299999999999999</v>
      </c>
    </row>
    <row r="37" spans="1:5" x14ac:dyDescent="0.25">
      <c r="A37" s="21">
        <v>44197</v>
      </c>
      <c r="B37" s="21">
        <v>43831</v>
      </c>
      <c r="C37" t="s">
        <v>3</v>
      </c>
      <c r="D37" t="s">
        <v>697</v>
      </c>
      <c r="E37" s="26">
        <f>'[1]Annual Data'!L33</f>
        <v>-3.1046501075563837E-2</v>
      </c>
    </row>
    <row r="38" spans="1:5" x14ac:dyDescent="0.25">
      <c r="A38" s="21">
        <v>44197</v>
      </c>
      <c r="B38" s="21">
        <v>44197</v>
      </c>
      <c r="C38" t="s">
        <v>3</v>
      </c>
      <c r="D38" t="s">
        <v>697</v>
      </c>
      <c r="E38" s="26">
        <f>'[1]Annual Data'!L34</f>
        <v>4.6262661114707893E-2</v>
      </c>
    </row>
    <row r="39" spans="1:5" x14ac:dyDescent="0.25">
      <c r="A39" s="21">
        <v>44197</v>
      </c>
      <c r="B39" s="21">
        <v>43831</v>
      </c>
      <c r="C39" t="s">
        <v>263</v>
      </c>
      <c r="D39" t="s">
        <v>697</v>
      </c>
      <c r="E39" s="26">
        <v>0.5</v>
      </c>
    </row>
    <row r="40" spans="1:5" x14ac:dyDescent="0.25">
      <c r="A40" s="21">
        <v>44197</v>
      </c>
      <c r="B40" s="21">
        <v>44197</v>
      </c>
      <c r="C40" t="s">
        <v>263</v>
      </c>
      <c r="D40" t="s">
        <v>697</v>
      </c>
      <c r="E40" s="26">
        <v>0.75</v>
      </c>
    </row>
    <row r="41" spans="1:5" x14ac:dyDescent="0.25">
      <c r="A41" s="21">
        <v>44197</v>
      </c>
      <c r="B41" s="21">
        <v>43831</v>
      </c>
      <c r="C41" t="s">
        <v>699</v>
      </c>
      <c r="D41" t="s">
        <v>697</v>
      </c>
      <c r="E41" s="26">
        <v>0.1</v>
      </c>
    </row>
    <row r="42" spans="1:5" x14ac:dyDescent="0.25">
      <c r="A42" s="21">
        <v>44197</v>
      </c>
      <c r="B42" s="21">
        <v>44197</v>
      </c>
      <c r="C42" t="s">
        <v>699</v>
      </c>
      <c r="D42" t="s">
        <v>697</v>
      </c>
      <c r="E42" s="26">
        <v>7.0000000000000007E-2</v>
      </c>
    </row>
    <row r="43" spans="1:5" x14ac:dyDescent="0.25">
      <c r="A43" s="21">
        <v>44197</v>
      </c>
      <c r="B43" s="21">
        <v>43831</v>
      </c>
      <c r="C43" t="s">
        <v>271</v>
      </c>
      <c r="D43" t="s">
        <v>697</v>
      </c>
      <c r="E43" s="26">
        <v>1</v>
      </c>
    </row>
    <row r="44" spans="1:5" x14ac:dyDescent="0.25">
      <c r="A44" s="21">
        <v>44197</v>
      </c>
      <c r="B44" s="21">
        <v>44197</v>
      </c>
      <c r="C44" t="s">
        <v>271</v>
      </c>
      <c r="D44" t="s">
        <v>697</v>
      </c>
      <c r="E44" s="26">
        <v>0.7</v>
      </c>
    </row>
    <row r="45" spans="1:5" x14ac:dyDescent="0.25">
      <c r="A45" s="21">
        <v>44197</v>
      </c>
      <c r="B45" s="21">
        <v>44197</v>
      </c>
      <c r="C45" t="s">
        <v>5</v>
      </c>
      <c r="D45" t="s">
        <v>661</v>
      </c>
      <c r="E45">
        <v>0.10100000000000001</v>
      </c>
    </row>
    <row r="46" spans="1:5" x14ac:dyDescent="0.25">
      <c r="A46" s="21">
        <v>44197</v>
      </c>
      <c r="B46" s="21">
        <v>43831</v>
      </c>
      <c r="C46" t="s">
        <v>5</v>
      </c>
      <c r="D46" t="s">
        <v>661</v>
      </c>
      <c r="E46">
        <v>0.10100000000000001</v>
      </c>
    </row>
    <row r="47" spans="1:5" x14ac:dyDescent="0.25">
      <c r="A47" s="21">
        <v>44197</v>
      </c>
      <c r="B47" s="21">
        <v>44197</v>
      </c>
      <c r="C47" t="s">
        <v>7</v>
      </c>
      <c r="D47" t="s">
        <v>661</v>
      </c>
      <c r="E47">
        <v>9.6000000000000002E-2</v>
      </c>
    </row>
    <row r="48" spans="1:5" x14ac:dyDescent="0.25">
      <c r="A48" s="21">
        <v>44197</v>
      </c>
      <c r="B48" s="21">
        <v>43831</v>
      </c>
      <c r="C48" t="s">
        <v>7</v>
      </c>
      <c r="D48" t="s">
        <v>661</v>
      </c>
      <c r="E48">
        <v>8.5999999999999993E-2</v>
      </c>
    </row>
    <row r="49" spans="1:5" x14ac:dyDescent="0.25">
      <c r="A49" s="21">
        <v>44197</v>
      </c>
      <c r="B49" s="21">
        <v>44197</v>
      </c>
      <c r="C49" t="s">
        <v>6</v>
      </c>
      <c r="D49" t="s">
        <v>661</v>
      </c>
      <c r="E49">
        <v>7.2999999999999995E-2</v>
      </c>
    </row>
    <row r="50" spans="1:5" x14ac:dyDescent="0.25">
      <c r="A50" s="21">
        <v>44197</v>
      </c>
      <c r="B50" s="21">
        <v>43831</v>
      </c>
      <c r="C50" t="s">
        <v>6</v>
      </c>
      <c r="D50" t="s">
        <v>661</v>
      </c>
      <c r="E50">
        <v>4.2000000000000003E-2</v>
      </c>
    </row>
    <row r="51" spans="1:5" x14ac:dyDescent="0.25">
      <c r="A51" s="21">
        <v>44197</v>
      </c>
      <c r="B51" s="21">
        <v>44197</v>
      </c>
      <c r="C51" t="s">
        <v>34</v>
      </c>
      <c r="D51" t="s">
        <v>661</v>
      </c>
      <c r="E51">
        <v>0.75</v>
      </c>
    </row>
    <row r="52" spans="1:5" x14ac:dyDescent="0.25">
      <c r="A52" s="21">
        <v>44197</v>
      </c>
      <c r="B52" s="21">
        <v>43831</v>
      </c>
      <c r="C52" t="s">
        <v>34</v>
      </c>
      <c r="D52" t="s">
        <v>661</v>
      </c>
      <c r="E52">
        <v>0.67500000000000004</v>
      </c>
    </row>
    <row r="53" spans="1:5" x14ac:dyDescent="0.25">
      <c r="A53" s="21"/>
      <c r="B53" s="21"/>
    </row>
    <row r="54" spans="1:5" x14ac:dyDescent="0.25">
      <c r="A54" s="21"/>
      <c r="B54" s="21"/>
    </row>
    <row r="55" spans="1:5" x14ac:dyDescent="0.25">
      <c r="A55" s="21"/>
      <c r="B55" s="21"/>
    </row>
    <row r="56" spans="1:5" x14ac:dyDescent="0.25">
      <c r="A56" s="21"/>
      <c r="B56" s="21"/>
    </row>
    <row r="57" spans="1:5" x14ac:dyDescent="0.25">
      <c r="A57" s="21"/>
      <c r="B57" s="21"/>
    </row>
  </sheetData>
  <hyperlinks>
    <hyperlink ref="I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pane xSplit="1" ySplit="1" topLeftCell="B32" activePane="bottomRight" state="frozen"/>
      <selection pane="topRight" activeCell="C1" sqref="C1"/>
      <selection pane="bottomLeft" activeCell="A4" sqref="A4"/>
      <selection pane="bottomRight" activeCell="G17" sqref="G17"/>
    </sheetView>
  </sheetViews>
  <sheetFormatPr defaultRowHeight="15" x14ac:dyDescent="0.25"/>
  <cols>
    <col min="1" max="1" width="29" bestFit="1" customWidth="1"/>
    <col min="2" max="4" width="13.42578125" hidden="1" customWidth="1"/>
    <col min="5" max="8" width="11.5703125" customWidth="1"/>
    <col min="9" max="9" width="12" customWidth="1"/>
  </cols>
  <sheetData>
    <row r="1" spans="1:9" ht="18.75" x14ac:dyDescent="0.3">
      <c r="A1" s="173" t="s">
        <v>567</v>
      </c>
      <c r="B1" s="173"/>
      <c r="C1" s="173"/>
      <c r="D1" s="173"/>
      <c r="E1" s="173"/>
      <c r="F1" s="173"/>
      <c r="G1" s="173"/>
      <c r="H1" s="47"/>
      <c r="I1" s="47"/>
    </row>
    <row r="2" spans="1:9" ht="18.75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9" ht="15.75" thickBot="1" x14ac:dyDescent="0.3">
      <c r="A3" s="39" t="s">
        <v>2</v>
      </c>
      <c r="B3" s="28">
        <v>2015</v>
      </c>
      <c r="C3" s="28">
        <v>2016</v>
      </c>
      <c r="D3" s="28">
        <v>2017</v>
      </c>
      <c r="E3" s="28">
        <v>2018</v>
      </c>
      <c r="F3" s="28">
        <v>2019</v>
      </c>
      <c r="G3" s="40" t="s">
        <v>732</v>
      </c>
      <c r="H3" s="40" t="s">
        <v>733</v>
      </c>
      <c r="I3" s="28">
        <v>2022</v>
      </c>
    </row>
    <row r="4" spans="1:9" x14ac:dyDescent="0.25">
      <c r="A4" t="s">
        <v>743</v>
      </c>
      <c r="B4" s="9">
        <f>'AEO 2020 Pacific'!F56/'AEO 2020 Pacific'!E56-1</f>
        <v>1.3261500207210952E-2</v>
      </c>
      <c r="C4" s="9">
        <f>'AEO 2020 Pacific'!G56/'AEO 2020 Pacific'!F56-1</f>
        <v>-3.3946830265848549E-2</v>
      </c>
      <c r="D4" s="9">
        <f>'AEO 2020 Pacific'!H56/'AEO 2020 Pacific'!G56-1</f>
        <v>4.2946655376798759E-3</v>
      </c>
      <c r="E4" s="9">
        <f>'AEO 2020 Pacific'!I56/'AEO 2020 Pacific'!H56-1</f>
        <v>-8.0391409627755817E-4</v>
      </c>
      <c r="F4" s="9">
        <f>'AEO 2020 Pacific'!J56/'AEO 2020 Pacific'!I56-1</f>
        <v>-1.6665000166660171E-4</v>
      </c>
      <c r="G4" s="9">
        <f>'AEO 2020 Pacific'!K56/'AEO 2020 Pacific'!J56-1</f>
        <v>-3.0394431358713447E-3</v>
      </c>
      <c r="H4" s="9">
        <f>'AEO 2020 Pacific'!L56/'AEO 2020 Pacific'!K56-1</f>
        <v>-1.1885015019222234E-2</v>
      </c>
      <c r="I4" s="9">
        <f>'AEO 2020 Pacific'!M56/'AEO 2020 Pacific'!L56-1</f>
        <v>-2.1805831422551325E-2</v>
      </c>
    </row>
    <row r="5" spans="1:9" x14ac:dyDescent="0.25">
      <c r="A5" t="s">
        <v>568</v>
      </c>
      <c r="B5" s="42">
        <v>3.9217289403143063E-2</v>
      </c>
      <c r="C5" s="42">
        <v>4.0632393000938016E-2</v>
      </c>
      <c r="D5" s="42">
        <v>1.5996041372245307E-2</v>
      </c>
      <c r="E5" s="9">
        <f>'[1]Quarterly Work'!$C$45</f>
        <v>1.8666000423515072E-3</v>
      </c>
      <c r="F5" s="9">
        <f>'[1]Quarterly Work'!$C$46</f>
        <v>-1.1531428822663781E-2</v>
      </c>
      <c r="G5" s="9">
        <f>'[1]Quarterly Work'!$C$47</f>
        <v>-9.6947158528657762E-2</v>
      </c>
      <c r="H5" s="9">
        <f>'[1]Quarterly Work'!$C$48</f>
        <v>9.7000001409885739E-2</v>
      </c>
      <c r="I5" s="9">
        <f>'[1]Quarterly Work'!$C$49</f>
        <v>2.794708783996569E-3</v>
      </c>
    </row>
    <row r="6" spans="1:9" x14ac:dyDescent="0.25">
      <c r="A6" t="s">
        <v>550</v>
      </c>
      <c r="B6" s="41"/>
      <c r="C6" s="41"/>
      <c r="D6" s="42">
        <f>SUM(Forecast_Main!H74:K74)/SUM(Forecast_Main!D74:G74)-1</f>
        <v>1.0116006450684445E-2</v>
      </c>
      <c r="E6" s="42">
        <f>SUM(Forecast_Main!L74:O74)/SUM(Forecast_Main!H74:K74)-1</f>
        <v>5.7934184079037276E-2</v>
      </c>
      <c r="F6" s="42">
        <f>SUM(Forecast_Main!P74:S74)/SUM(Forecast_Main!L74:O74)-1</f>
        <v>1.6146682207614171E-2</v>
      </c>
      <c r="G6" s="122">
        <f>SUM(Forecast_Main!T74:W74)/SUM(Forecast_Main!P74:S74)-1</f>
        <v>-0.10599999999999987</v>
      </c>
      <c r="H6" s="122">
        <f>SUM(Forecast_Main!X74:AA74)/SUM(Forecast_Main!T74:W74)-1</f>
        <v>0.10299999999999998</v>
      </c>
    </row>
    <row r="7" spans="1:9" x14ac:dyDescent="0.25">
      <c r="A7" s="45"/>
      <c r="D7" s="9"/>
      <c r="E7" s="9"/>
    </row>
    <row r="8" spans="1:9" ht="15.75" thickBot="1" x14ac:dyDescent="0.3">
      <c r="A8" s="39" t="s">
        <v>5</v>
      </c>
      <c r="B8" s="28">
        <v>2015</v>
      </c>
      <c r="C8" s="28">
        <v>2016</v>
      </c>
      <c r="D8" s="28">
        <v>2017</v>
      </c>
      <c r="E8" s="28">
        <v>2018</v>
      </c>
      <c r="F8" s="28">
        <v>2019</v>
      </c>
      <c r="G8" s="40" t="s">
        <v>732</v>
      </c>
      <c r="H8" s="40" t="s">
        <v>733</v>
      </c>
      <c r="I8" s="28">
        <v>2022</v>
      </c>
    </row>
    <row r="9" spans="1:9" x14ac:dyDescent="0.25">
      <c r="A9" t="s">
        <v>552</v>
      </c>
      <c r="B9" s="29">
        <f>SUM('AEO 2020 Renewable'!F16:F17)/SUM('AEO 2020 Renewable'!E16:E17)-1</f>
        <v>3.603603603603589E-2</v>
      </c>
      <c r="C9" s="29">
        <f>SUM('AEO 2020 Renewable'!G16:G17)/SUM('AEO 2020 Renewable'!F16:F17)-1</f>
        <v>1.7391304347826209E-2</v>
      </c>
      <c r="D9" s="29">
        <f>SUM('AEO 2020 Renewable'!H16:H17)/SUM('AEO 2020 Renewable'!G16:G17)-1</f>
        <v>2.5041025641025616E-2</v>
      </c>
      <c r="E9" s="29">
        <f>SUM('AEO 2020 Renewable'!I16:I17)/SUM('AEO 2020 Renewable'!H16:H17)-1</f>
        <v>-1.0199299923788763E-2</v>
      </c>
      <c r="F9" s="29">
        <f>SUM('AEO 2020 Renewable'!J16:J17)/SUM('AEO 2020 Renewable'!I16:I17)-1</f>
        <v>-5.8733044329464246E-3</v>
      </c>
      <c r="G9" s="29">
        <f>SUM('AEO 2020 Renewable'!K16:K17)/SUM('AEO 2020 Renewable'!J16:J17)-1</f>
        <v>5.4995618993070039E-4</v>
      </c>
      <c r="H9" s="29">
        <f>SUM('AEO 2020 Renewable'!L16:L17)/SUM('AEO 2020 Renewable'!K16:K17)-1</f>
        <v>1.2172843709427061E-2</v>
      </c>
      <c r="I9" s="29">
        <f>SUM('AEO 2020 Renewable'!M16:M17)/SUM('AEO 2020 Renewable'!L16:L17)-1</f>
        <v>-8.6535532952450867E-3</v>
      </c>
    </row>
    <row r="10" spans="1:9" x14ac:dyDescent="0.25">
      <c r="A10" t="s">
        <v>568</v>
      </c>
      <c r="B10" s="44"/>
      <c r="C10" s="44"/>
      <c r="D10" s="44"/>
      <c r="E10" s="44">
        <f>E5</f>
        <v>1.8666000423515072E-3</v>
      </c>
      <c r="F10" s="44">
        <f>F5</f>
        <v>-1.1531428822663781E-2</v>
      </c>
      <c r="G10" s="44">
        <f>G5</f>
        <v>-9.6947158528657762E-2</v>
      </c>
      <c r="H10" s="44">
        <f>H5</f>
        <v>9.7000001409885739E-2</v>
      </c>
      <c r="I10" s="44">
        <f>I5</f>
        <v>2.794708783996569E-3</v>
      </c>
    </row>
    <row r="11" spans="1:9" x14ac:dyDescent="0.25">
      <c r="A11" t="s">
        <v>550</v>
      </c>
      <c r="B11" s="41"/>
      <c r="C11" s="41"/>
      <c r="D11" s="44">
        <f>SUM(Forecast_Main!H72:K72)/SUM(Forecast_Main!D72:G72)-1</f>
        <v>-1.8719266703021598E-2</v>
      </c>
      <c r="E11" s="44">
        <f>SUM(Forecast_Main!L72:O72)/SUM(Forecast_Main!H72:K72)-1</f>
        <v>-9.3490873992054802E-3</v>
      </c>
      <c r="F11" s="44">
        <f>SUM(Forecast_Main!P72:S72)/SUM(Forecast_Main!L72:O72)-1</f>
        <v>8.2195633155741632E-3</v>
      </c>
      <c r="G11" s="123">
        <f>SUM(Forecast_Main!T72:W72)/SUM(Forecast_Main!P72:S72)-1</f>
        <v>-9.7549048018267914E-2</v>
      </c>
      <c r="H11" s="123">
        <f>SUM(Forecast_Main!X72:AA72)/SUM(Forecast_Main!T72:W72)-1</f>
        <v>0.1030000000000002</v>
      </c>
      <c r="I11" s="41"/>
    </row>
    <row r="12" spans="1:9" ht="7.5" customHeight="1" x14ac:dyDescent="0.25">
      <c r="B12" s="22"/>
      <c r="C12" s="22"/>
      <c r="D12" s="108"/>
      <c r="E12" s="108"/>
      <c r="F12" s="108"/>
      <c r="G12" s="124"/>
      <c r="H12" s="124"/>
      <c r="I12" s="22"/>
    </row>
    <row r="13" spans="1:9" x14ac:dyDescent="0.25">
      <c r="A13" s="125" t="s">
        <v>661</v>
      </c>
      <c r="B13" s="126"/>
      <c r="C13" s="126"/>
      <c r="D13" s="127"/>
      <c r="E13" s="127">
        <f>'Table 1 - Volumes'!D7</f>
        <v>0.10084086643183812</v>
      </c>
      <c r="F13" s="127">
        <f>'Table 1 - Volumes'!E7</f>
        <v>0.10005419109118274</v>
      </c>
      <c r="G13" s="127">
        <f>'Table 1 - Volumes'!F7</f>
        <v>0.10099999999999998</v>
      </c>
      <c r="H13" s="127">
        <f>'Table 1 - Volumes'!G7</f>
        <v>0.10100000000000001</v>
      </c>
      <c r="I13" s="22"/>
    </row>
    <row r="14" spans="1:9" x14ac:dyDescent="0.25">
      <c r="A14" s="45"/>
      <c r="D14" s="9"/>
      <c r="E14" s="9"/>
    </row>
    <row r="15" spans="1:9" ht="15.75" thickBot="1" x14ac:dyDescent="0.3">
      <c r="A15" s="39" t="s">
        <v>551</v>
      </c>
      <c r="B15" s="28">
        <v>2015</v>
      </c>
      <c r="C15" s="28">
        <v>2016</v>
      </c>
      <c r="D15" s="28">
        <v>2017</v>
      </c>
      <c r="E15" s="28">
        <v>2018</v>
      </c>
      <c r="F15" s="28">
        <v>2019</v>
      </c>
      <c r="G15" s="40" t="s">
        <v>732</v>
      </c>
      <c r="H15" s="40" t="s">
        <v>733</v>
      </c>
      <c r="I15" s="28">
        <v>2022</v>
      </c>
    </row>
    <row r="16" spans="1:9" x14ac:dyDescent="0.25">
      <c r="A16" t="s">
        <v>743</v>
      </c>
      <c r="B16" s="9">
        <f>'AEO 2020 Pacific'!F59/'AEO 2020 Pacific'!E59-1</f>
        <v>9.2715231788078611E-3</v>
      </c>
      <c r="C16" s="9">
        <f>'AEO 2020 Pacific'!G59/'AEO 2020 Pacific'!F59-1</f>
        <v>-1.8372703412073532E-2</v>
      </c>
      <c r="D16" s="9">
        <f>'AEO 2020 Pacific'!H59/'AEO 2020 Pacific'!G59-1</f>
        <v>1.9430481283422507E-2</v>
      </c>
      <c r="E16" s="9">
        <f>'AEO 2020 Pacific'!I59/'AEO 2020 Pacific'!H59-1</f>
        <v>1.2131918052178614E-2</v>
      </c>
      <c r="F16" s="9">
        <f>'AEO 2020 Pacific'!J59/'AEO 2020 Pacific'!I59-1</f>
        <v>4.7409576501227457E-2</v>
      </c>
      <c r="G16" s="9">
        <f>'AEO 2020 Pacific'!K59/'AEO 2020 Pacific'!J59-1</f>
        <v>1.3238905211071739E-2</v>
      </c>
      <c r="H16" s="9">
        <f>'AEO 2020 Pacific'!L59/'AEO 2020 Pacific'!K59-1</f>
        <v>3.3562168147805327E-2</v>
      </c>
      <c r="I16" s="9">
        <f>'AEO 2020 Pacific'!M59/'AEO 2020 Pacific'!L59-1</f>
        <v>2.2730628526743901E-2</v>
      </c>
    </row>
    <row r="17" spans="1:9" x14ac:dyDescent="0.25">
      <c r="A17" t="s">
        <v>566</v>
      </c>
      <c r="B17" s="42">
        <v>0</v>
      </c>
      <c r="C17" s="42">
        <v>0</v>
      </c>
      <c r="D17" s="42">
        <v>0</v>
      </c>
      <c r="E17" s="42">
        <f>'[1]Quarterly Work'!$P$45</f>
        <v>0.13634536834187316</v>
      </c>
      <c r="F17" s="42">
        <f>'[1]Quarterly Work'!$P$46</f>
        <v>2.7500684730805691E-3</v>
      </c>
      <c r="G17" s="42">
        <f>'[1]Quarterly Work'!$P$47</f>
        <v>1.3000380081111818E-3</v>
      </c>
      <c r="H17" s="42">
        <f>'[1]Quarterly Work'!$P$48</f>
        <v>2.7689256297723119E-2</v>
      </c>
      <c r="I17" s="42">
        <f>'[1]Quarterly Work'!$P$49</f>
        <v>8.1213102447343921E-3</v>
      </c>
    </row>
    <row r="18" spans="1:9" x14ac:dyDescent="0.25">
      <c r="A18" t="s">
        <v>550</v>
      </c>
      <c r="B18" s="41"/>
      <c r="C18" s="41"/>
      <c r="D18" s="42">
        <f>SUM(Forecast_Main!H82:K82)/SUM(Forecast_Main!D82:G82)-1</f>
        <v>-2.9342634181621641E-2</v>
      </c>
      <c r="E18" s="42">
        <f>SUM(Forecast_Main!L82:O82)/SUM(Forecast_Main!H82:K82)-1</f>
        <v>4.7914785421951267E-2</v>
      </c>
      <c r="F18" s="42">
        <f>SUM(Forecast_Main!P82:S82)/SUM(Forecast_Main!L82:O82)-1</f>
        <v>3.0027605367814569E-2</v>
      </c>
      <c r="G18" s="122">
        <f>SUM(Forecast_Main!T82:W82)/SUM(Forecast_Main!P82:S82)-1</f>
        <v>3.4716935415439742E-3</v>
      </c>
      <c r="H18" s="122">
        <f>SUM(Forecast_Main!X82:AA82)/SUM(Forecast_Main!T82:W82)-1</f>
        <v>2.6386392976953665E-2</v>
      </c>
    </row>
    <row r="19" spans="1:9" x14ac:dyDescent="0.25">
      <c r="A19" s="45"/>
      <c r="D19" s="9"/>
      <c r="E19" s="9"/>
    </row>
    <row r="20" spans="1:9" ht="15.75" thickBot="1" x14ac:dyDescent="0.3">
      <c r="A20" s="39" t="s">
        <v>7</v>
      </c>
      <c r="B20" s="28">
        <v>2015</v>
      </c>
      <c r="C20" s="28">
        <v>2016</v>
      </c>
      <c r="D20" s="28">
        <v>2017</v>
      </c>
      <c r="E20" s="28">
        <v>2018</v>
      </c>
      <c r="F20" s="28">
        <v>2019</v>
      </c>
      <c r="G20" s="40" t="s">
        <v>732</v>
      </c>
      <c r="H20" s="40" t="s">
        <v>733</v>
      </c>
      <c r="I20" s="28">
        <v>2022</v>
      </c>
    </row>
    <row r="21" spans="1:9" x14ac:dyDescent="0.25">
      <c r="A21" t="s">
        <v>552</v>
      </c>
      <c r="B21" s="29">
        <f>'AEO 2020 Renewable'!F18/'AEO 2020 Renewable'!E18-1</f>
        <v>0.15789473684210531</v>
      </c>
      <c r="C21" s="29">
        <f>'AEO 2020 Renewable'!G18/'AEO 2020 Renewable'!F18-1</f>
        <v>0.40909090909090917</v>
      </c>
      <c r="D21" s="29">
        <f>'AEO 2020 Renewable'!H18/'AEO 2020 Renewable'!G18-1</f>
        <v>-0.14230000000000009</v>
      </c>
      <c r="E21" s="29">
        <f>'AEO 2020 Renewable'!I18/'AEO 2020 Renewable'!H18-1</f>
        <v>0.11078766543682095</v>
      </c>
      <c r="F21" s="29">
        <f>'AEO 2020 Renewable'!J18/'AEO 2020 Renewable'!I18-1</f>
        <v>-3.0574516496018167E-2</v>
      </c>
      <c r="G21" s="29">
        <f>'AEO 2020 Renewable'!K18/'AEO 2020 Renewable'!J18-1</f>
        <v>0.10456002850017798</v>
      </c>
      <c r="H21" s="29">
        <f>'AEO 2020 Renewable'!L18/'AEO 2020 Renewable'!K18-1</f>
        <v>0.23925616045482845</v>
      </c>
      <c r="I21" s="29">
        <f>'AEO 2020 Renewable'!M18/'AEO 2020 Renewable'!L18-1</f>
        <v>2.0448259320875017E-2</v>
      </c>
    </row>
    <row r="22" spans="1:9" x14ac:dyDescent="0.25">
      <c r="A22" t="s">
        <v>566</v>
      </c>
      <c r="B22" s="43"/>
      <c r="C22" s="43"/>
      <c r="D22" s="43"/>
      <c r="E22" s="43">
        <f>E17</f>
        <v>0.13634536834187316</v>
      </c>
      <c r="F22" s="43">
        <f>F17</f>
        <v>2.7500684730805691E-3</v>
      </c>
      <c r="G22" s="43">
        <f>G17</f>
        <v>1.3000380081111818E-3</v>
      </c>
      <c r="H22" s="43">
        <f>H17</f>
        <v>2.7689256297723119E-2</v>
      </c>
      <c r="I22" s="43">
        <f>I17</f>
        <v>8.1213102447343921E-3</v>
      </c>
    </row>
    <row r="23" spans="1:9" x14ac:dyDescent="0.25">
      <c r="A23" t="s">
        <v>550</v>
      </c>
      <c r="B23" s="41"/>
      <c r="C23" s="41"/>
      <c r="D23" s="44">
        <f>SUM(Forecast_Main!H78:K78)/SUM(Forecast_Main!D78:G78)-1</f>
        <v>7.6790669293036906E-2</v>
      </c>
      <c r="E23" s="44">
        <f>SUM(Forecast_Main!L78:O78)/SUM(Forecast_Main!H78:K78)-1</f>
        <v>8.9322673858163171E-3</v>
      </c>
      <c r="F23" s="44">
        <f>SUM(Forecast_Main!P78:S78)/SUM(Forecast_Main!L78:O78)-1</f>
        <v>0.15540505093784618</v>
      </c>
      <c r="G23" s="123">
        <f>SUM(Forecast_Main!T78:W78)/SUM(Forecast_Main!P78:S78)-1</f>
        <v>0.14617938660296415</v>
      </c>
      <c r="H23" s="123">
        <f>SUM(Forecast_Main!X78:AA78)/SUM(Forecast_Main!T78:W78)-1</f>
        <v>0.14573364797427435</v>
      </c>
      <c r="I23" s="41"/>
    </row>
    <row r="24" spans="1:9" ht="7.5" customHeight="1" x14ac:dyDescent="0.25">
      <c r="B24" s="22"/>
      <c r="C24" s="22"/>
      <c r="D24" s="108"/>
      <c r="E24" s="108"/>
      <c r="F24" s="108"/>
      <c r="G24" s="124"/>
      <c r="H24" s="124"/>
      <c r="I24" s="22"/>
    </row>
    <row r="25" spans="1:9" x14ac:dyDescent="0.25">
      <c r="A25" s="125" t="s">
        <v>661</v>
      </c>
      <c r="B25" s="126"/>
      <c r="C25" s="127">
        <f>'Table 1 - Volumes'!B12</f>
        <v>6.28440569406572E-2</v>
      </c>
      <c r="D25" s="127">
        <f>'Table 1 - Volumes'!C12</f>
        <v>6.9715531470949374E-2</v>
      </c>
      <c r="E25" s="127">
        <f>'Table 1 - Volumes'!D12</f>
        <v>6.7122107844551457E-2</v>
      </c>
      <c r="F25" s="127">
        <f>'Table 1 - Volumes'!E12</f>
        <v>7.5292372776257707E-2</v>
      </c>
      <c r="G25" s="127">
        <f>'Table 1 - Volumes'!F12</f>
        <v>8.5999999999999979E-2</v>
      </c>
      <c r="H25" s="127">
        <f>'Table 1 - Volumes'!G12</f>
        <v>9.6000000000000016E-2</v>
      </c>
      <c r="I25" s="22"/>
    </row>
    <row r="26" spans="1:9" x14ac:dyDescent="0.25">
      <c r="B26" s="22"/>
      <c r="C26" s="22"/>
      <c r="D26" s="108"/>
      <c r="E26" s="108"/>
      <c r="F26" s="108"/>
      <c r="G26" s="108"/>
      <c r="H26" s="108"/>
      <c r="I26" s="22"/>
    </row>
    <row r="27" spans="1:9" ht="15.75" thickBot="1" x14ac:dyDescent="0.3">
      <c r="A27" s="39" t="s">
        <v>6</v>
      </c>
      <c r="B27" s="28">
        <v>2015</v>
      </c>
      <c r="C27" s="28">
        <v>2016</v>
      </c>
      <c r="D27" s="28">
        <v>2017</v>
      </c>
      <c r="E27" s="28">
        <v>2018</v>
      </c>
      <c r="F27" s="28">
        <v>2019</v>
      </c>
      <c r="G27" s="40" t="s">
        <v>732</v>
      </c>
      <c r="H27" s="40" t="s">
        <v>733</v>
      </c>
      <c r="I27" s="28">
        <v>2022</v>
      </c>
    </row>
    <row r="28" spans="1:9" x14ac:dyDescent="0.25">
      <c r="A28" t="s">
        <v>552</v>
      </c>
      <c r="B28" s="29"/>
      <c r="C28" s="29">
        <f>'AEO 2020 Renewable'!G21/'AEO 2020 Renewable'!F21-1</f>
        <v>3</v>
      </c>
      <c r="D28" s="29">
        <f>'AEO 2020 Renewable'!H21/'AEO 2020 Renewable'!G21-1</f>
        <v>0.34932499999999989</v>
      </c>
      <c r="E28" s="29">
        <f>'AEO 2020 Renewable'!I21/'AEO 2020 Renewable'!H21-1</f>
        <v>0.25883312026383565</v>
      </c>
      <c r="F28" s="29">
        <f>'AEO 2020 Renewable'!J21/'AEO 2020 Renewable'!I21-1</f>
        <v>-9.7611232945262971E-2</v>
      </c>
      <c r="G28" s="29">
        <f>'AEO 2020 Renewable'!K21/'AEO 2020 Renewable'!J21-1</f>
        <v>-0.21266983086232483</v>
      </c>
      <c r="H28" s="29">
        <f>'AEO 2020 Renewable'!L21/'AEO 2020 Renewable'!K21-1</f>
        <v>0.57592393105734163</v>
      </c>
      <c r="I28" s="29">
        <f>'AEO 2020 Renewable'!M21/'AEO 2020 Renewable'!L21-1</f>
        <v>0.51020730088204758</v>
      </c>
    </row>
    <row r="29" spans="1:9" x14ac:dyDescent="0.25">
      <c r="A29" t="s">
        <v>566</v>
      </c>
      <c r="B29" s="44"/>
      <c r="C29" s="44"/>
      <c r="D29" s="44"/>
      <c r="E29" s="44">
        <f>E17</f>
        <v>0.13634536834187316</v>
      </c>
      <c r="F29" s="44">
        <f>F17</f>
        <v>2.7500684730805691E-3</v>
      </c>
      <c r="G29" s="44">
        <f>G17</f>
        <v>1.3000380081111818E-3</v>
      </c>
      <c r="H29" s="44">
        <f>H17</f>
        <v>2.7689256297723119E-2</v>
      </c>
      <c r="I29" s="44">
        <f>I17</f>
        <v>8.1213102447343921E-3</v>
      </c>
    </row>
    <row r="30" spans="1:9" x14ac:dyDescent="0.25">
      <c r="A30" t="s">
        <v>565</v>
      </c>
      <c r="B30" s="41"/>
      <c r="C30" s="41"/>
      <c r="D30" s="41"/>
      <c r="E30" s="44">
        <f>Forecast_Main!O80/Forecast_Main!K80-1</f>
        <v>0.4153529004187555</v>
      </c>
      <c r="F30" s="44">
        <f>SUM(Forecast_Main!P80:S80)/SUM(Forecast_Main!L80:O80)-1</f>
        <v>12.885837593830653</v>
      </c>
      <c r="G30" s="123">
        <f>SUM(Forecast_Main!U80:X80)/SUM(Forecast_Main!Q80:T80)-1</f>
        <v>0.55901327748040197</v>
      </c>
      <c r="H30" s="123">
        <f>SUM(Forecast_Main!Y80:AB80)/SUM(Forecast_Main!U80:X80)-1</f>
        <v>0.14298757866794531</v>
      </c>
      <c r="I30" s="41"/>
    </row>
    <row r="31" spans="1:9" ht="7.5" customHeight="1" x14ac:dyDescent="0.25">
      <c r="B31" s="22"/>
      <c r="C31" s="22"/>
      <c r="D31" s="22"/>
      <c r="E31" s="108"/>
      <c r="F31" s="108"/>
      <c r="G31" s="124"/>
      <c r="H31" s="124"/>
      <c r="I31" s="22"/>
    </row>
    <row r="32" spans="1:9" x14ac:dyDescent="0.25">
      <c r="A32" s="125" t="s">
        <v>661</v>
      </c>
      <c r="B32" s="126"/>
      <c r="C32" s="126"/>
      <c r="D32" s="127"/>
      <c r="E32" s="127">
        <f>'Table 1 - Volumes'!D14</f>
        <v>1.5695924276881825E-3</v>
      </c>
      <c r="F32" s="127">
        <f>'Table 1 - Volumes'!E14</f>
        <v>2.115972953132807E-2</v>
      </c>
      <c r="G32" s="127">
        <f>'Table 1 - Volumes'!F14</f>
        <v>4.1999999999999996E-2</v>
      </c>
      <c r="H32" s="127">
        <f>'Table 1 - Volumes'!G14</f>
        <v>7.2999999999999995E-2</v>
      </c>
      <c r="I32" s="22"/>
    </row>
    <row r="33" spans="1:9" x14ac:dyDescent="0.25">
      <c r="A33" s="45" t="s">
        <v>715</v>
      </c>
      <c r="E33" s="9"/>
    </row>
    <row r="34" spans="1:9" ht="21" customHeight="1" x14ac:dyDescent="0.25">
      <c r="A34" s="45"/>
      <c r="E34" s="9"/>
    </row>
    <row r="35" spans="1:9" ht="15.75" thickBot="1" x14ac:dyDescent="0.3">
      <c r="A35" s="39" t="s">
        <v>8</v>
      </c>
      <c r="B35" s="28">
        <v>2015</v>
      </c>
      <c r="C35" s="28">
        <v>2016</v>
      </c>
      <c r="D35" s="28">
        <v>2017</v>
      </c>
      <c r="E35" s="28">
        <v>2018</v>
      </c>
      <c r="F35" s="28">
        <v>2019</v>
      </c>
      <c r="G35" s="40" t="s">
        <v>732</v>
      </c>
      <c r="H35" s="40" t="s">
        <v>733</v>
      </c>
      <c r="I35" s="28">
        <v>2022</v>
      </c>
    </row>
    <row r="36" spans="1:9" x14ac:dyDescent="0.25">
      <c r="A36" t="s">
        <v>743</v>
      </c>
      <c r="B36" s="29">
        <f>'AEO 2020 Pacific'!F66/'AEO 2020 Pacific'!E66-1</f>
        <v>0.33333333333333326</v>
      </c>
      <c r="C36" s="29">
        <f>'AEO 2020 Pacific'!G66/'AEO 2020 Pacific'!F66-1</f>
        <v>0.25</v>
      </c>
      <c r="D36" s="29">
        <f>'AEO 2020 Pacific'!H66/'AEO 2020 Pacific'!G66-1</f>
        <v>0.72780000000000022</v>
      </c>
      <c r="E36" s="29">
        <f>'AEO 2020 Pacific'!I66/'AEO 2020 Pacific'!H66-1</f>
        <v>0.1472392638036808</v>
      </c>
      <c r="F36" s="29">
        <f>'AEO 2020 Pacific'!J66/'AEO 2020 Pacific'!I66-1</f>
        <v>7.2041166380789168E-2</v>
      </c>
      <c r="G36" s="29">
        <f>'AEO 2020 Pacific'!K66/'AEO 2020 Pacific'!J66-1</f>
        <v>0.11708235294117642</v>
      </c>
      <c r="H36" s="29">
        <f>'AEO 2020 Pacific'!L66/'AEO 2020 Pacific'!K66-1</f>
        <v>0.13320414525233804</v>
      </c>
      <c r="I36" s="29">
        <f>'AEO 2020 Pacific'!M66/'AEO 2020 Pacific'!L66-1</f>
        <v>0.11286245353159852</v>
      </c>
    </row>
    <row r="37" spans="1:9" x14ac:dyDescent="0.25">
      <c r="A37" t="s">
        <v>553</v>
      </c>
      <c r="B37" s="42">
        <f>'Electric Vehicles'!H69</f>
        <v>0.44255739767264224</v>
      </c>
      <c r="C37" s="42">
        <f>'Electric Vehicles'!H70</f>
        <v>0.38714299062509738</v>
      </c>
      <c r="D37" s="42">
        <f>'Electric Vehicles'!H71</f>
        <v>0.32312459303500463</v>
      </c>
      <c r="E37" s="42">
        <f>'Electric Vehicles'!H72</f>
        <v>0.31838854194949762</v>
      </c>
      <c r="F37" s="46">
        <f>'Electric Vehicles'!H73</f>
        <v>0.39169843896122569</v>
      </c>
      <c r="G37" s="46">
        <f>'Electric Vehicles'!H74</f>
        <v>0.22883175563397384</v>
      </c>
      <c r="H37" s="42">
        <f>'Electric Vehicles'!H75</f>
        <v>0.33394688589872978</v>
      </c>
      <c r="I37" s="42">
        <f>'Electric Vehicles'!H76</f>
        <v>0.28437890207933814</v>
      </c>
    </row>
    <row r="38" spans="1:9" x14ac:dyDescent="0.25">
      <c r="A38" t="s">
        <v>550</v>
      </c>
      <c r="B38" s="42"/>
      <c r="C38" s="42"/>
      <c r="D38" s="42">
        <f>SUM(Forecast_Main!H88:K88)/SUM(Forecast_Main!D88:G88)-1</f>
        <v>0.23872423490103389</v>
      </c>
      <c r="E38" s="42">
        <f>SUM(Forecast_Main!L88:O88)/SUM(Forecast_Main!H88:K88)-1</f>
        <v>0.36055424562942928</v>
      </c>
      <c r="F38" s="42">
        <f>SUM(Forecast_Main!P88:S88)/SUM(Forecast_Main!L88:O88)-1</f>
        <v>0.28732729835002591</v>
      </c>
      <c r="G38" s="122">
        <f>SUM(Forecast_Main!T88:W88)/SUM(Forecast_Main!P88:S88)-1</f>
        <v>1.8468071062604396E-2</v>
      </c>
      <c r="H38" s="122">
        <f>SUM(Forecast_Main!X88:AA88)/SUM(Forecast_Main!T88:W88)-1</f>
        <v>0.54334211569967539</v>
      </c>
    </row>
    <row r="39" spans="1:9" x14ac:dyDescent="0.25">
      <c r="B39" s="9"/>
      <c r="C39" s="9"/>
      <c r="D39" s="9"/>
      <c r="E39" s="9"/>
      <c r="F39" s="9"/>
      <c r="G39" s="9"/>
      <c r="H39" s="9"/>
      <c r="I39" s="9"/>
    </row>
    <row r="40" spans="1:9" ht="15.75" thickBot="1" x14ac:dyDescent="0.3">
      <c r="A40" s="39" t="s">
        <v>10</v>
      </c>
      <c r="B40" s="28">
        <v>2015</v>
      </c>
      <c r="C40" s="28">
        <v>2016</v>
      </c>
      <c r="D40" s="28">
        <v>2017</v>
      </c>
      <c r="E40" s="28">
        <v>2018</v>
      </c>
      <c r="F40" s="28">
        <v>2019</v>
      </c>
      <c r="G40" s="40" t="s">
        <v>732</v>
      </c>
      <c r="H40" s="40" t="s">
        <v>733</v>
      </c>
      <c r="I40" s="28">
        <v>2022</v>
      </c>
    </row>
    <row r="41" spans="1:9" x14ac:dyDescent="0.25">
      <c r="A41" t="s">
        <v>743</v>
      </c>
      <c r="B41" s="29">
        <f>'AEO 2020 Pacific'!F64/'AEO 2020 Pacific'!E64-1</f>
        <v>0.11111111111111116</v>
      </c>
      <c r="C41" s="29">
        <f>'AEO 2020 Pacific'!G64/'AEO 2020 Pacific'!F64-1</f>
        <v>0.79999999999999982</v>
      </c>
      <c r="D41" s="29">
        <f>'AEO 2020 Pacific'!H64/'AEO 2020 Pacific'!G64-1</f>
        <v>1.1944444444444535E-2</v>
      </c>
      <c r="E41" s="29">
        <f>'AEO 2020 Pacific'!I64/'AEO 2020 Pacific'!H64-1</f>
        <v>0.17101290145484493</v>
      </c>
      <c r="F41" s="29">
        <f>'AEO 2020 Pacific'!J64/'AEO 2020 Pacific'!I64-1</f>
        <v>0.18996718237224575</v>
      </c>
      <c r="G41" s="29">
        <f>'AEO 2020 Pacific'!K64/'AEO 2020 Pacific'!J64-1</f>
        <v>6.217004176187868E-2</v>
      </c>
      <c r="H41" s="29">
        <f>'AEO 2020 Pacific'!L64/'AEO 2020 Pacific'!K64-1</f>
        <v>0.42470326409495551</v>
      </c>
      <c r="I41" s="29">
        <f>'AEO 2020 Pacific'!M64/'AEO 2020 Pacific'!L64-1</f>
        <v>1.9265816193699603E-2</v>
      </c>
    </row>
    <row r="42" spans="1:9" x14ac:dyDescent="0.25">
      <c r="A42" t="s">
        <v>550</v>
      </c>
      <c r="B42" s="41"/>
      <c r="C42" s="41"/>
      <c r="D42" s="42">
        <f>SUM(Forecast_Main!H99:K99)/SUM(Forecast_Main!D99:G99)-1</f>
        <v>0.83492424147241273</v>
      </c>
      <c r="E42" s="42">
        <f>SUM(Forecast_Main!L99:O99)/SUM(Forecast_Main!H99:K99)-1</f>
        <v>0.1459076618361248</v>
      </c>
      <c r="F42" s="42">
        <f>SUM(Forecast_Main!P99:S99)/SUM(Forecast_Main!L99:O99)-1</f>
        <v>0.13733998172792217</v>
      </c>
      <c r="G42" s="122">
        <f>SUM(Forecast_Main!T99:W99)/SUM(Forecast_Main!P99:S99)-1</f>
        <v>0.10000000000000009</v>
      </c>
      <c r="H42" s="122">
        <f>SUM(Forecast_Main!X99:AA99)/SUM(Forecast_Main!T99:W99)-1</f>
        <v>7.0000000000000062E-2</v>
      </c>
      <c r="I42" s="41"/>
    </row>
    <row r="43" spans="1:9" ht="7.5" customHeight="1" x14ac:dyDescent="0.25">
      <c r="B43" s="22"/>
      <c r="C43" s="22"/>
      <c r="D43" s="128"/>
      <c r="E43" s="128"/>
      <c r="F43" s="128"/>
      <c r="G43" s="48"/>
      <c r="H43" s="48"/>
      <c r="I43" s="22"/>
    </row>
    <row r="44" spans="1:9" x14ac:dyDescent="0.25">
      <c r="A44" s="125" t="s">
        <v>563</v>
      </c>
      <c r="B44" s="126"/>
      <c r="C44" s="126"/>
      <c r="D44" s="129"/>
      <c r="E44" s="129">
        <f>'Table 1 - Volumes'!D22</f>
        <v>0.54071984438856946</v>
      </c>
      <c r="F44" s="129">
        <f>'Table 1 - Volumes'!E22</f>
        <v>0.61454970485981009</v>
      </c>
      <c r="G44" s="129">
        <f>'Table 1 - Volumes'!F22</f>
        <v>0.67500000000000004</v>
      </c>
      <c r="H44" s="129">
        <f>'Table 1 - Volumes'!G22</f>
        <v>0.75</v>
      </c>
      <c r="I44" s="128"/>
    </row>
    <row r="46" spans="1:9" ht="30.75" thickBot="1" x14ac:dyDescent="0.3">
      <c r="A46" s="39" t="s">
        <v>569</v>
      </c>
      <c r="D46" s="28">
        <v>2017</v>
      </c>
      <c r="E46" s="28">
        <v>2018</v>
      </c>
      <c r="F46" s="28">
        <v>2019</v>
      </c>
      <c r="G46" s="40" t="s">
        <v>732</v>
      </c>
      <c r="H46" s="40" t="s">
        <v>733</v>
      </c>
      <c r="I46" s="40" t="s">
        <v>716</v>
      </c>
    </row>
    <row r="47" spans="1:9" ht="15.75" thickBot="1" x14ac:dyDescent="0.3">
      <c r="A47" t="s">
        <v>743</v>
      </c>
      <c r="B47" s="29"/>
      <c r="C47" s="29"/>
      <c r="D47" s="29"/>
      <c r="E47" s="29">
        <f>'AEO 2020 Pacific'!I55/'AEO 2020 Pacific'!H55-1</f>
        <v>7.7922077922077948E-2</v>
      </c>
      <c r="F47" s="29">
        <f>'AEO 2020 Pacific'!J55/'AEO 2020 Pacific'!I55-1</f>
        <v>-2.0429544264012667E-2</v>
      </c>
      <c r="G47" s="29">
        <f>'AEO 2020 Pacific'!K55/'AEO 2020 Pacific'!J55-1</f>
        <v>6.9518716577539053E-3</v>
      </c>
      <c r="H47" s="29">
        <f>'AEO 2020 Pacific'!L55/'AEO 2020 Pacific'!K55-1</f>
        <v>-1.1152416356877359E-2</v>
      </c>
      <c r="I47" s="29">
        <f>'AEO 2020 Pacific'!M55/'AEO 2020 Pacific'!L55-1</f>
        <v>-1.5037593984962405E-2</v>
      </c>
    </row>
    <row r="48" spans="1:9" x14ac:dyDescent="0.25">
      <c r="A48" t="s">
        <v>550</v>
      </c>
      <c r="D48" s="42">
        <f>SUM(Forecast_Main!H102:K102)/SUM(Forecast_Main!D102:G102)-1</f>
        <v>0.97219062259800149</v>
      </c>
      <c r="E48" s="42">
        <f>SUM(Forecast_Main!L102:O102)/SUM(Forecast_Main!H102:K102)-1</f>
        <v>4.7713947198166666</v>
      </c>
      <c r="F48" s="42">
        <f>SUM(Forecast_Main!P102:S102)/SUM(Forecast_Main!L102:O102)-1</f>
        <v>1.7762385571393455</v>
      </c>
      <c r="G48" s="122">
        <f>SUM(Forecast_Main!T102:W102)/SUM(Forecast_Main!P102:S102)-1</f>
        <v>1</v>
      </c>
      <c r="H48" s="122">
        <f>SUM(Forecast_Main!X102:AA102)/SUM(Forecast_Main!T102:W102)-1</f>
        <v>0.69999999999999973</v>
      </c>
      <c r="I48" s="49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zoomScale="75" zoomScaleNormal="75" workbookViewId="0">
      <selection activeCell="Y56" sqref="Y5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opLeftCell="A13" workbookViewId="0">
      <selection activeCell="D32" sqref="D32"/>
    </sheetView>
  </sheetViews>
  <sheetFormatPr defaultRowHeight="15" x14ac:dyDescent="0.25"/>
  <cols>
    <col min="1" max="1" width="25" customWidth="1"/>
    <col min="2" max="3" width="11.5703125" hidden="1" customWidth="1"/>
    <col min="4" max="7" width="11.5703125" customWidth="1"/>
    <col min="8" max="8" width="3" style="22" customWidth="1"/>
    <col min="9" max="9" width="12.5703125" customWidth="1"/>
  </cols>
  <sheetData>
    <row r="2" spans="1:9" ht="18.75" x14ac:dyDescent="0.3">
      <c r="A2" s="173" t="s">
        <v>719</v>
      </c>
      <c r="B2" s="173"/>
      <c r="C2" s="173"/>
      <c r="D2" s="173"/>
      <c r="E2" s="173"/>
      <c r="F2" s="173"/>
      <c r="G2" s="173"/>
      <c r="H2" s="173"/>
      <c r="I2" s="173"/>
    </row>
    <row r="4" spans="1:9" ht="33.75" customHeight="1" thickBot="1" x14ac:dyDescent="0.3">
      <c r="A4" t="s">
        <v>554</v>
      </c>
      <c r="B4" s="36">
        <v>2016</v>
      </c>
      <c r="C4" s="36">
        <v>2017</v>
      </c>
      <c r="D4" s="36">
        <v>2018</v>
      </c>
      <c r="E4" s="36">
        <v>2019</v>
      </c>
      <c r="F4" s="36">
        <v>2020</v>
      </c>
      <c r="G4" s="36">
        <v>2021</v>
      </c>
      <c r="H4" s="140"/>
      <c r="I4" s="36" t="s">
        <v>786</v>
      </c>
    </row>
    <row r="5" spans="1:9" x14ac:dyDescent="0.25">
      <c r="A5" t="s">
        <v>555</v>
      </c>
      <c r="B5" s="33">
        <f>SUM(Forecast_Main!D71:G71)/1000000</f>
        <v>1421.1401914</v>
      </c>
      <c r="C5" s="33">
        <f>SUM(Forecast_Main!H71:K71)/1000000</f>
        <v>1440.6255101999998</v>
      </c>
      <c r="D5" s="33">
        <f>SUM(Forecast_Main!L71:O71)/1000000</f>
        <v>1535.7851165</v>
      </c>
      <c r="E5" s="33">
        <f>SUM(Forecast_Main!P71:S71)/1000000</f>
        <v>1561.9483064999999</v>
      </c>
      <c r="F5" s="33">
        <f>SUM(Forecast_Main!T71:W71)/1000000</f>
        <v>1394.9142417208382</v>
      </c>
      <c r="G5" s="33">
        <f>SUM(Forecast_Main!X71:AA71)/1000000</f>
        <v>1538.5904086180844</v>
      </c>
      <c r="H5" s="38"/>
      <c r="I5" s="9">
        <f>(G5/E5)^(1/2)-1</f>
        <v>-7.5053323963771845E-3</v>
      </c>
    </row>
    <row r="6" spans="1:9" x14ac:dyDescent="0.25">
      <c r="A6" t="s">
        <v>5</v>
      </c>
      <c r="B6" s="33">
        <f>SUM(Forecast_Main!D72:G72)/1000000</f>
        <v>177.1807546</v>
      </c>
      <c r="C6" s="33">
        <f>SUM(Forecast_Main!H72:K72)/1000000</f>
        <v>173.86406079999998</v>
      </c>
      <c r="D6" s="33">
        <f>SUM(Forecast_Main!L72:O72)/1000000</f>
        <v>172.23859049999999</v>
      </c>
      <c r="E6" s="33">
        <f>SUM(Forecast_Main!P72:S72)/1000000</f>
        <v>173.65431649999999</v>
      </c>
      <c r="F6" s="33">
        <f>SUM(Forecast_Main!T72:W72)/1000000</f>
        <v>156.71450324116199</v>
      </c>
      <c r="G6" s="33">
        <f>SUM(Forecast_Main!X72:AA72)/1000000</f>
        <v>172.85609707500171</v>
      </c>
      <c r="H6" s="38"/>
      <c r="I6" s="9">
        <f>(G6/E6)^(1/2)-1</f>
        <v>-2.3009471609934939E-3</v>
      </c>
    </row>
    <row r="7" spans="1:9" x14ac:dyDescent="0.25">
      <c r="A7" s="164" t="s">
        <v>556</v>
      </c>
      <c r="B7" s="165">
        <f t="shared" ref="B7:G7" si="0">B6/SUM(B5:B6)</f>
        <v>0.11085430310064898</v>
      </c>
      <c r="C7" s="165">
        <f t="shared" si="0"/>
        <v>0.10768980111299833</v>
      </c>
      <c r="D7" s="165">
        <f t="shared" si="0"/>
        <v>0.10084086643183812</v>
      </c>
      <c r="E7" s="165">
        <f t="shared" si="0"/>
        <v>0.10005419109118274</v>
      </c>
      <c r="F7" s="165">
        <f t="shared" si="0"/>
        <v>0.10099999999999998</v>
      </c>
      <c r="G7" s="165">
        <f t="shared" si="0"/>
        <v>0.10100000000000001</v>
      </c>
      <c r="H7" s="141"/>
    </row>
    <row r="8" spans="1:9" ht="15.75" thickBot="1" x14ac:dyDescent="0.3">
      <c r="A8" s="31" t="s">
        <v>33</v>
      </c>
      <c r="B8" s="34">
        <f t="shared" ref="B8:G8" si="1">SUM(B5:B6)</f>
        <v>1598.320946</v>
      </c>
      <c r="C8" s="34">
        <f t="shared" si="1"/>
        <v>1614.4895709999998</v>
      </c>
      <c r="D8" s="34">
        <f t="shared" si="1"/>
        <v>1708.0237069999998</v>
      </c>
      <c r="E8" s="34">
        <f t="shared" si="1"/>
        <v>1735.602623</v>
      </c>
      <c r="F8" s="34">
        <f t="shared" si="1"/>
        <v>1551.6287449620002</v>
      </c>
      <c r="G8" s="34">
        <f t="shared" si="1"/>
        <v>1711.4465056930862</v>
      </c>
      <c r="H8" s="38"/>
      <c r="I8" s="35">
        <f>(G8/E8)^(1/2)-1</f>
        <v>-6.9833838248223312E-3</v>
      </c>
    </row>
    <row r="9" spans="1:9" ht="9.75" customHeight="1" x14ac:dyDescent="0.25"/>
    <row r="10" spans="1:9" x14ac:dyDescent="0.25">
      <c r="A10" t="s">
        <v>557</v>
      </c>
      <c r="B10" s="33">
        <f>SUM(Forecast_Main!D77:G77)/1000000</f>
        <v>708.74985719999995</v>
      </c>
      <c r="C10" s="33">
        <f>SUM(Forecast_Main!H77:K77)/1000000</f>
        <v>682.56876075000002</v>
      </c>
      <c r="D10" s="33">
        <f>SUM(Forecast_Main!L77:O77)/1000000</f>
        <v>716.41804569999988</v>
      </c>
      <c r="E10" s="33">
        <f>SUM(Forecast_Main!P77:S77)/1000000</f>
        <v>715.93416409999998</v>
      </c>
      <c r="F10" s="33">
        <f>SUM(Forecast_Main!T77:W77)/1000000</f>
        <v>693.33562968278443</v>
      </c>
      <c r="G10" s="33">
        <f>SUM(Forecast_Main!X77:AA77)/1000000</f>
        <v>678.1705766012185</v>
      </c>
      <c r="H10" s="38"/>
      <c r="I10" s="9">
        <f>(G10/E10)^(1/2)-1</f>
        <v>-2.6730916309388841E-2</v>
      </c>
    </row>
    <row r="11" spans="1:9" x14ac:dyDescent="0.25">
      <c r="A11" t="s">
        <v>7</v>
      </c>
      <c r="B11" s="33">
        <f>SUM(Forecast_Main!D78:G78)/1000000</f>
        <v>47.527539800000007</v>
      </c>
      <c r="C11" s="33">
        <f>SUM(Forecast_Main!H78:K78)/1000000</f>
        <v>51.177211391093458</v>
      </c>
      <c r="D11" s="33">
        <f>SUM(Forecast_Main!L78:O78)/1000000</f>
        <v>51.634339927299152</v>
      </c>
      <c r="E11" s="33">
        <f>SUM(Forecast_Main!P78:S78)/1000000</f>
        <v>59.65857715384314</v>
      </c>
      <c r="F11" s="33">
        <f>SUM(Forecast_Main!T78:W78)/1000000</f>
        <v>68.379431367797537</v>
      </c>
      <c r="G11" s="33">
        <f>SUM(Forecast_Main!X78:AA78)/1000000</f>
        <v>78.344615347433191</v>
      </c>
      <c r="H11" s="38"/>
      <c r="I11" s="9">
        <f>(G11/E11)^(1/2)-1</f>
        <v>0.14595649561644786</v>
      </c>
    </row>
    <row r="12" spans="1:9" x14ac:dyDescent="0.25">
      <c r="A12" s="164" t="s">
        <v>558</v>
      </c>
      <c r="B12" s="166">
        <f t="shared" ref="B12:G12" si="2">B11/SUM(B10:B11,B13)</f>
        <v>6.28440569406572E-2</v>
      </c>
      <c r="C12" s="166">
        <f t="shared" si="2"/>
        <v>6.9715531470949374E-2</v>
      </c>
      <c r="D12" s="166">
        <f t="shared" si="2"/>
        <v>6.7122107844551457E-2</v>
      </c>
      <c r="E12" s="166">
        <f t="shared" si="2"/>
        <v>7.5292372776257707E-2</v>
      </c>
      <c r="F12" s="166">
        <f t="shared" si="2"/>
        <v>8.5999999999999979E-2</v>
      </c>
      <c r="G12" s="166">
        <f t="shared" si="2"/>
        <v>9.6000000000000016E-2</v>
      </c>
      <c r="H12" s="142"/>
    </row>
    <row r="13" spans="1:9" x14ac:dyDescent="0.25">
      <c r="A13" t="s">
        <v>6</v>
      </c>
      <c r="B13" s="33">
        <f>SUM(Forecast_Main!D80:G80)/1000000</f>
        <v>0</v>
      </c>
      <c r="C13" s="33">
        <f>SUM(Forecast_Main!H80:K80)/1000000</f>
        <v>0.34025385890654974</v>
      </c>
      <c r="D13" s="33">
        <f>SUM(Forecast_Main!L80:O80)/1000000</f>
        <v>1.2074243727008498</v>
      </c>
      <c r="E13" s="33">
        <f>SUM(Forecast_Main!P80:S80)/1000000</f>
        <v>16.766098746156853</v>
      </c>
      <c r="F13" s="33">
        <f>SUM(Forecast_Main!T80:W80)/1000000</f>
        <v>33.394606016831361</v>
      </c>
      <c r="G13" s="33">
        <f>SUM(Forecast_Main!X80:AA80)/1000000</f>
        <v>59.574551253777308</v>
      </c>
      <c r="H13" s="38"/>
      <c r="I13" s="9">
        <f>(G13/E13)^(1/2)-1</f>
        <v>0.88501313174041352</v>
      </c>
    </row>
    <row r="14" spans="1:9" x14ac:dyDescent="0.25">
      <c r="A14" s="164" t="s">
        <v>559</v>
      </c>
      <c r="B14" s="166">
        <f t="shared" ref="B14:G14" si="3">B13/SUM(B10:B11,B13)</f>
        <v>0</v>
      </c>
      <c r="C14" s="166">
        <f t="shared" si="3"/>
        <v>4.6350666564141436E-4</v>
      </c>
      <c r="D14" s="166">
        <f t="shared" si="3"/>
        <v>1.5695924276881825E-3</v>
      </c>
      <c r="E14" s="166">
        <f t="shared" si="3"/>
        <v>2.115972953132807E-2</v>
      </c>
      <c r="F14" s="166">
        <f t="shared" si="3"/>
        <v>4.1999999999999996E-2</v>
      </c>
      <c r="G14" s="166">
        <f t="shared" si="3"/>
        <v>7.2999999999999995E-2</v>
      </c>
      <c r="H14" s="142"/>
    </row>
    <row r="15" spans="1:9" ht="15.75" thickBot="1" x14ac:dyDescent="0.3">
      <c r="A15" s="31" t="s">
        <v>551</v>
      </c>
      <c r="B15" s="34">
        <f t="shared" ref="B15:G15" si="4">SUM(B10,B11,B13)</f>
        <v>756.27739699999995</v>
      </c>
      <c r="C15" s="34">
        <f t="shared" si="4"/>
        <v>734.08622600000001</v>
      </c>
      <c r="D15" s="34">
        <f t="shared" si="4"/>
        <v>769.2598099999999</v>
      </c>
      <c r="E15" s="34">
        <f t="shared" si="4"/>
        <v>792.35883999999999</v>
      </c>
      <c r="F15" s="34">
        <f t="shared" si="4"/>
        <v>795.1096670674134</v>
      </c>
      <c r="G15" s="34">
        <f t="shared" si="4"/>
        <v>816.08974320242896</v>
      </c>
      <c r="H15" s="38"/>
      <c r="I15" s="35">
        <f>(G15/E15)^(1/2)-1</f>
        <v>1.4864371228284101E-2</v>
      </c>
    </row>
    <row r="16" spans="1:9" ht="9.75" customHeight="1" x14ac:dyDescent="0.25"/>
    <row r="17" spans="1:9" x14ac:dyDescent="0.25">
      <c r="A17" t="s">
        <v>560</v>
      </c>
      <c r="B17" s="33">
        <f>SUM(Forecast_Main!D88:G88)/1000000</f>
        <v>1.3264875488844861</v>
      </c>
      <c r="C17" s="33">
        <f>SUM(Forecast_Main!H88:K88)/1000000</f>
        <v>1.6431522740976827</v>
      </c>
      <c r="D17" s="33">
        <f>SUM(Forecast_Main!L88:O88)/1000000</f>
        <v>2.2355978027392536</v>
      </c>
      <c r="E17" s="33">
        <f>SUM(Forecast_Main!P88:S88)/1000000</f>
        <v>2.8779460795975775</v>
      </c>
      <c r="F17" s="171">
        <f>SUM(Forecast_Main!T88:W88)/1000000</f>
        <v>2.931096192309929</v>
      </c>
      <c r="G17" s="171">
        <f>SUM(Forecast_Main!X88:AA88)/1000000</f>
        <v>4.5236841987588683</v>
      </c>
      <c r="H17" s="172"/>
      <c r="I17" s="169">
        <f>(G17/E17)^(1/2)-1</f>
        <v>0.25373229501609584</v>
      </c>
    </row>
    <row r="18" spans="1:9" x14ac:dyDescent="0.25">
      <c r="A18" t="s">
        <v>561</v>
      </c>
      <c r="B18" s="33">
        <f>SUM(Forecast_Main!D93:G93)/1000000</f>
        <v>0</v>
      </c>
      <c r="C18" s="33">
        <f>SUM(Forecast_Main!H93:K93)/1000000</f>
        <v>0</v>
      </c>
      <c r="D18" s="33">
        <f>SUM(Forecast_Main!L93:O93)/1000000</f>
        <v>1.727786</v>
      </c>
      <c r="E18" s="33">
        <f>SUM(Forecast_Main!P93:S93)/1000000</f>
        <v>2.2205810000000001</v>
      </c>
      <c r="F18" s="33">
        <f>SUM(Forecast_Main!T93:W93)/1000000</f>
        <v>3.3308715000000002</v>
      </c>
      <c r="G18" s="33">
        <f>SUM(Forecast_Main!X93:AA93)/1000000</f>
        <v>5.8290251250000003</v>
      </c>
      <c r="H18" s="38"/>
      <c r="I18" s="9">
        <f>(G18/E18)^(1/2)-1</f>
        <v>0.62018517460196509</v>
      </c>
    </row>
    <row r="19" spans="1:9" ht="9.75" customHeight="1" x14ac:dyDescent="0.25"/>
    <row r="20" spans="1:9" x14ac:dyDescent="0.25">
      <c r="A20" t="s">
        <v>562</v>
      </c>
      <c r="B20" s="33">
        <f>SUM(Forecast_Main!D96:G96)/1000000</f>
        <v>0.597634</v>
      </c>
      <c r="C20" s="33">
        <f>SUM(Forecast_Main!H96:K96)/1000000</f>
        <v>0.913574</v>
      </c>
      <c r="D20" s="33">
        <f>SUM(Forecast_Main!L96:O96)/1000000</f>
        <v>1.46038</v>
      </c>
      <c r="E20" s="33">
        <f>SUM(Forecast_Main!P96:S96)/1000000</f>
        <v>1.3939490000000001</v>
      </c>
      <c r="F20" s="33">
        <f>SUM(Forecast_Main!T96:W96)/1000000</f>
        <v>1.2928690774999998</v>
      </c>
      <c r="G20" s="33">
        <f>SUM(Forecast_Main!X96:AA96)/1000000</f>
        <v>1.0641307022500002</v>
      </c>
      <c r="H20" s="38"/>
      <c r="I20" s="9">
        <f>(G20/E20)^(1/2)-1</f>
        <v>-0.12627644434225216</v>
      </c>
    </row>
    <row r="21" spans="1:9" x14ac:dyDescent="0.25">
      <c r="A21" t="s">
        <v>34</v>
      </c>
      <c r="B21" s="33">
        <f>SUM(Forecast_Main!D97:G97)/1000000</f>
        <v>0.914605</v>
      </c>
      <c r="C21" s="33">
        <f>SUM(Forecast_Main!H97:K97)/1000000</f>
        <v>1.86127</v>
      </c>
      <c r="D21" s="33">
        <f>SUM(Forecast_Main!L97:O97)/1000000</f>
        <v>1.7193350000000001</v>
      </c>
      <c r="E21" s="33">
        <f>SUM(Forecast_Main!P97:S97)/1000000</f>
        <v>2.2224680000000001</v>
      </c>
      <c r="F21" s="33">
        <f>SUM(Forecast_Main!T97:W97)/1000000</f>
        <v>2.6851896225000007</v>
      </c>
      <c r="G21" s="33">
        <f>SUM(Forecast_Main!X97:AA97)/1000000</f>
        <v>3.1923921067500003</v>
      </c>
      <c r="H21" s="38"/>
      <c r="I21" s="9">
        <f>(G21/E21)^(1/2)-1</f>
        <v>0.19850639558290384</v>
      </c>
    </row>
    <row r="22" spans="1:9" x14ac:dyDescent="0.25">
      <c r="A22" s="164" t="s">
        <v>563</v>
      </c>
      <c r="B22" s="166">
        <f t="shared" ref="B22:G22" si="5">B21/SUM(B20:B21)</f>
        <v>0.604801886474294</v>
      </c>
      <c r="C22" s="166">
        <f t="shared" si="5"/>
        <v>0.67076563583394244</v>
      </c>
      <c r="D22" s="166">
        <f t="shared" si="5"/>
        <v>0.54071984438856946</v>
      </c>
      <c r="E22" s="166">
        <f t="shared" si="5"/>
        <v>0.61454970485981009</v>
      </c>
      <c r="F22" s="166">
        <f t="shared" si="5"/>
        <v>0.67500000000000004</v>
      </c>
      <c r="G22" s="166">
        <f t="shared" si="5"/>
        <v>0.75</v>
      </c>
      <c r="H22" s="142"/>
    </row>
    <row r="23" spans="1:9" ht="15.75" thickBot="1" x14ac:dyDescent="0.3">
      <c r="A23" s="31" t="s">
        <v>564</v>
      </c>
      <c r="B23" s="34">
        <f t="shared" ref="B23:G23" si="6">SUM(B20:B21)</f>
        <v>1.5122390000000001</v>
      </c>
      <c r="C23" s="34">
        <f t="shared" si="6"/>
        <v>2.7748439999999999</v>
      </c>
      <c r="D23" s="34">
        <f t="shared" si="6"/>
        <v>3.1797149999999998</v>
      </c>
      <c r="E23" s="34">
        <f t="shared" si="6"/>
        <v>3.6164170000000002</v>
      </c>
      <c r="F23" s="34">
        <f t="shared" si="6"/>
        <v>3.9780587000000005</v>
      </c>
      <c r="G23" s="34">
        <f t="shared" si="6"/>
        <v>4.2565228090000007</v>
      </c>
      <c r="H23" s="38"/>
      <c r="I23" s="35">
        <f>(G23/E23)^(1/2)-1</f>
        <v>8.4896308409241561E-2</v>
      </c>
    </row>
    <row r="24" spans="1:9" x14ac:dyDescent="0.25">
      <c r="A24" s="30"/>
      <c r="B24" s="30"/>
      <c r="C24" s="30"/>
      <c r="D24" s="30"/>
    </row>
    <row r="25" spans="1:9" ht="15.75" thickBot="1" x14ac:dyDescent="0.3">
      <c r="A25" s="32" t="s">
        <v>11</v>
      </c>
      <c r="B25" s="34">
        <f>SUM(Forecast_Main!D102:G102)/1000000</f>
        <v>6.5049999999999997E-2</v>
      </c>
      <c r="C25" s="34">
        <f>SUM(Forecast_Main!H102:K102)/1000000</f>
        <v>0.12829099999999999</v>
      </c>
      <c r="D25" s="34">
        <f>SUM(Forecast_Main!L102:O102)/1000000</f>
        <v>0.74041800000000002</v>
      </c>
      <c r="E25" s="34">
        <f>SUM(Forecast_Main!P102:S102)/1000000</f>
        <v>2.055577</v>
      </c>
      <c r="F25" s="34">
        <f>SUM(Forecast_Main!T102:W102)/1000000</f>
        <v>4.111154</v>
      </c>
      <c r="G25" s="34">
        <f>SUM(Forecast_Main!X102:AA102)/1000000</f>
        <v>6.9889617999999984</v>
      </c>
      <c r="H25" s="38"/>
      <c r="I25" s="35">
        <f>(G25/E25)^(1/2)-1</f>
        <v>0.84390889145857728</v>
      </c>
    </row>
    <row r="26" spans="1:9" ht="6" customHeight="1" x14ac:dyDescent="0.25">
      <c r="A26" s="37"/>
      <c r="B26" s="37"/>
      <c r="C26" s="37"/>
      <c r="D26" s="37"/>
      <c r="E26" s="38"/>
      <c r="F26" s="38"/>
      <c r="G26" s="38"/>
      <c r="H26" s="38"/>
    </row>
    <row r="27" spans="1:9" x14ac:dyDescent="0.25">
      <c r="A27" s="45" t="s">
        <v>656</v>
      </c>
      <c r="B27" s="45"/>
      <c r="C27" s="45"/>
      <c r="D27" s="45"/>
    </row>
    <row r="28" spans="1:9" x14ac:dyDescent="0.25">
      <c r="D28" s="45"/>
    </row>
    <row r="30" spans="1:9" x14ac:dyDescent="0.25">
      <c r="D30" t="s">
        <v>895</v>
      </c>
      <c r="E30" t="s">
        <v>896</v>
      </c>
      <c r="F30" t="s">
        <v>897</v>
      </c>
    </row>
    <row r="31" spans="1:9" x14ac:dyDescent="0.25">
      <c r="A31" s="136" t="s">
        <v>554</v>
      </c>
    </row>
    <row r="32" spans="1:9" x14ac:dyDescent="0.25">
      <c r="A32" s="136" t="s">
        <v>555</v>
      </c>
    </row>
    <row r="33" spans="1:1" x14ac:dyDescent="0.25">
      <c r="A33" s="136" t="s">
        <v>5</v>
      </c>
    </row>
    <row r="34" spans="1:1" x14ac:dyDescent="0.25">
      <c r="A34" s="164" t="s">
        <v>556</v>
      </c>
    </row>
    <row r="35" spans="1:1" ht="15.75" thickBot="1" x14ac:dyDescent="0.3">
      <c r="A35" s="31" t="s">
        <v>33</v>
      </c>
    </row>
    <row r="36" spans="1:1" x14ac:dyDescent="0.25">
      <c r="A36" s="136"/>
    </row>
    <row r="37" spans="1:1" x14ac:dyDescent="0.25">
      <c r="A37" s="136" t="s">
        <v>557</v>
      </c>
    </row>
    <row r="38" spans="1:1" x14ac:dyDescent="0.25">
      <c r="A38" s="136" t="s">
        <v>7</v>
      </c>
    </row>
    <row r="39" spans="1:1" x14ac:dyDescent="0.25">
      <c r="A39" s="164" t="s">
        <v>558</v>
      </c>
    </row>
    <row r="40" spans="1:1" x14ac:dyDescent="0.25">
      <c r="A40" s="136" t="s">
        <v>6</v>
      </c>
    </row>
    <row r="41" spans="1:1" x14ac:dyDescent="0.25">
      <c r="A41" s="164" t="s">
        <v>559</v>
      </c>
    </row>
    <row r="42" spans="1:1" ht="15.75" thickBot="1" x14ac:dyDescent="0.3">
      <c r="A42" s="31" t="s">
        <v>551</v>
      </c>
    </row>
    <row r="43" spans="1:1" x14ac:dyDescent="0.25">
      <c r="A43" s="136"/>
    </row>
    <row r="44" spans="1:1" x14ac:dyDescent="0.25">
      <c r="A44" s="136" t="s">
        <v>560</v>
      </c>
    </row>
    <row r="45" spans="1:1" x14ac:dyDescent="0.25">
      <c r="A45" s="136" t="s">
        <v>561</v>
      </c>
    </row>
    <row r="46" spans="1:1" x14ac:dyDescent="0.25">
      <c r="A46" s="136"/>
    </row>
    <row r="47" spans="1:1" x14ac:dyDescent="0.25">
      <c r="A47" s="136" t="s">
        <v>562</v>
      </c>
    </row>
    <row r="48" spans="1:1" x14ac:dyDescent="0.25">
      <c r="A48" s="136" t="s">
        <v>34</v>
      </c>
    </row>
    <row r="49" spans="1:1" x14ac:dyDescent="0.25">
      <c r="A49" s="164" t="s">
        <v>563</v>
      </c>
    </row>
    <row r="50" spans="1:1" ht="15.75" thickBot="1" x14ac:dyDescent="0.3">
      <c r="A50" s="31" t="s">
        <v>564</v>
      </c>
    </row>
    <row r="51" spans="1:1" x14ac:dyDescent="0.25">
      <c r="A51" s="30"/>
    </row>
    <row r="52" spans="1:1" ht="15.75" thickBot="1" x14ac:dyDescent="0.3">
      <c r="A52" s="32" t="s">
        <v>11</v>
      </c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C18"/>
    </sheetView>
  </sheetViews>
  <sheetFormatPr defaultRowHeight="15" x14ac:dyDescent="0.25"/>
  <cols>
    <col min="1" max="1" width="27.5703125" customWidth="1"/>
    <col min="2" max="2" width="21" customWidth="1"/>
    <col min="3" max="3" width="19.42578125" customWidth="1"/>
    <col min="4" max="4" width="8.28515625" style="136" customWidth="1"/>
    <col min="6" max="6" width="23.42578125" customWidth="1"/>
    <col min="7" max="12" width="12.85546875" customWidth="1"/>
  </cols>
  <sheetData>
    <row r="1" spans="1:12" ht="21" x14ac:dyDescent="0.35">
      <c r="A1" t="s">
        <v>858</v>
      </c>
      <c r="D1"/>
      <c r="F1" s="177" t="s">
        <v>734</v>
      </c>
      <c r="G1" s="177"/>
      <c r="H1" s="177"/>
      <c r="I1" s="177"/>
      <c r="J1" s="177"/>
      <c r="K1" s="177"/>
      <c r="L1" s="177"/>
    </row>
    <row r="2" spans="1:12" ht="21.75" thickBot="1" x14ac:dyDescent="0.4">
      <c r="A2" s="174" t="s">
        <v>25</v>
      </c>
      <c r="B2" s="175"/>
      <c r="C2" s="176"/>
      <c r="D2"/>
      <c r="G2" s="28">
        <v>2016</v>
      </c>
      <c r="H2" s="28">
        <v>2017</v>
      </c>
      <c r="I2" s="28">
        <v>2018</v>
      </c>
      <c r="J2" s="28">
        <v>2019</v>
      </c>
      <c r="K2" s="112" t="s">
        <v>732</v>
      </c>
      <c r="L2" s="112" t="s">
        <v>733</v>
      </c>
    </row>
    <row r="3" spans="1:12" x14ac:dyDescent="0.25">
      <c r="A3" s="90" t="s">
        <v>26</v>
      </c>
      <c r="B3" s="2" t="s">
        <v>4</v>
      </c>
      <c r="C3" s="13">
        <f>SUM(Forecast_Main!X107:AA107)</f>
        <v>-1038340.5083939629</v>
      </c>
      <c r="D3"/>
      <c r="F3" s="2" t="s">
        <v>4</v>
      </c>
      <c r="G3" s="11">
        <f>SUM(Forecast_Main!D107:G107)</f>
        <v>-390475.1</v>
      </c>
      <c r="H3" s="11">
        <f>SUM(Forecast_Main!H107:K107)</f>
        <v>-423377.19999999995</v>
      </c>
      <c r="I3" s="11">
        <f>SUM(Forecast_Main!L107:O107)</f>
        <v>-568592.4</v>
      </c>
      <c r="J3" s="11">
        <f>SUM(Forecast_Main!P107:S107)</f>
        <v>-664585.30000000005</v>
      </c>
      <c r="K3" s="113">
        <f>SUM(Forecast_Main!T107:W107)</f>
        <v>-773946.40635663632</v>
      </c>
      <c r="L3" s="113">
        <f>SUM(Forecast_Main!X107:AA107)</f>
        <v>-1038340.5083939629</v>
      </c>
    </row>
    <row r="4" spans="1:12" ht="15.75" thickBot="1" x14ac:dyDescent="0.3">
      <c r="A4" s="60"/>
      <c r="B4" s="61" t="s">
        <v>3</v>
      </c>
      <c r="C4" s="13">
        <f>SUM(Forecast_Main!X108:AA108)</f>
        <v>-497042.06632025761</v>
      </c>
      <c r="D4"/>
      <c r="F4" s="61" t="s">
        <v>3</v>
      </c>
      <c r="G4" s="11">
        <f>SUM(Forecast_Main!D108:G108)</f>
        <v>-204238.8</v>
      </c>
      <c r="H4" s="11">
        <f>SUM(Forecast_Main!H108:K108)</f>
        <v>-220760.80000000002</v>
      </c>
      <c r="I4" s="11">
        <f>SUM(Forecast_Main!L108:O108)</f>
        <v>-295817.55000000005</v>
      </c>
      <c r="J4" s="11">
        <f>SUM(Forecast_Main!P108:S108)</f>
        <v>-335053.75</v>
      </c>
      <c r="K4" s="113">
        <f>SUM(Forecast_Main!T108:W108)</f>
        <v>-416781.79639444139</v>
      </c>
      <c r="L4" s="113">
        <f>SUM(Forecast_Main!X108:AA108)</f>
        <v>-497042.06632025761</v>
      </c>
    </row>
    <row r="5" spans="1:12" ht="15.75" thickBot="1" x14ac:dyDescent="0.3">
      <c r="A5" s="64" t="s">
        <v>657</v>
      </c>
      <c r="B5" s="65"/>
      <c r="C5" s="66">
        <f>SUM(C3:C4)</f>
        <v>-1535382.5747142206</v>
      </c>
      <c r="D5"/>
      <c r="F5" s="65" t="s">
        <v>728</v>
      </c>
      <c r="G5" s="66">
        <f t="shared" ref="G5:L5" si="0">SUM(G3:G4)</f>
        <v>-594713.89999999991</v>
      </c>
      <c r="H5" s="66">
        <f t="shared" si="0"/>
        <v>-644138</v>
      </c>
      <c r="I5" s="66">
        <f t="shared" si="0"/>
        <v>-864409.95000000007</v>
      </c>
      <c r="J5" s="66">
        <f t="shared" si="0"/>
        <v>-999639.05</v>
      </c>
      <c r="K5" s="114">
        <f t="shared" si="0"/>
        <v>-1190728.2027510777</v>
      </c>
      <c r="L5" s="114">
        <f t="shared" si="0"/>
        <v>-1535382.5747142206</v>
      </c>
    </row>
    <row r="6" spans="1:12" x14ac:dyDescent="0.25">
      <c r="A6" s="62"/>
      <c r="B6" s="62"/>
      <c r="C6" s="63"/>
      <c r="D6"/>
      <c r="F6" s="62"/>
      <c r="G6" s="11"/>
      <c r="H6" s="11"/>
      <c r="I6" s="11"/>
      <c r="J6" s="11"/>
      <c r="K6" s="113"/>
      <c r="L6" s="113"/>
    </row>
    <row r="7" spans="1:12" x14ac:dyDescent="0.25">
      <c r="A7" s="90" t="s">
        <v>27</v>
      </c>
      <c r="B7" s="2" t="s">
        <v>5</v>
      </c>
      <c r="C7" s="54">
        <f>SUM(Forecast_Main!X111:AA111)</f>
        <v>664038.15727285517</v>
      </c>
      <c r="D7"/>
      <c r="F7" s="2" t="s">
        <v>5</v>
      </c>
      <c r="G7" s="11">
        <f>SUM(Forecast_Main!D111:G111)</f>
        <v>499947.10000000003</v>
      </c>
      <c r="H7" s="11">
        <f>SUM(Forecast_Main!H111:K111)</f>
        <v>479697.19999999995</v>
      </c>
      <c r="I7" s="11">
        <f>SUM(Forecast_Main!L111:O111)</f>
        <v>495174.40000000002</v>
      </c>
      <c r="J7" s="11">
        <f>SUM(Forecast_Main!P111:S111)</f>
        <v>520911.30000000005</v>
      </c>
      <c r="K7" s="113">
        <f>SUM(Forecast_Main!T111:W111)</f>
        <v>546463.12803002482</v>
      </c>
      <c r="L7" s="113">
        <f>SUM(Forecast_Main!X111:AA111)</f>
        <v>664038.15727285517</v>
      </c>
    </row>
    <row r="8" spans="1:12" x14ac:dyDescent="0.25">
      <c r="A8" s="90"/>
      <c r="B8" s="2" t="s">
        <v>7</v>
      </c>
      <c r="C8" s="54">
        <f>SUM(Forecast_Main!X112:AA112)</f>
        <v>679755.69970015856</v>
      </c>
      <c r="D8"/>
      <c r="F8" s="2" t="s">
        <v>7</v>
      </c>
      <c r="G8" s="11">
        <f>SUM(Forecast_Main!D112:G112)</f>
        <v>266416.8</v>
      </c>
      <c r="H8" s="11">
        <f>SUM(Forecast_Main!H112:K112)</f>
        <v>316545.8</v>
      </c>
      <c r="I8" s="11">
        <f>SUM(Forecast_Main!L112:O112)</f>
        <v>351397.55000000005</v>
      </c>
      <c r="J8" s="11">
        <f>SUM(Forecast_Main!P112:S112)</f>
        <v>438006.74999999994</v>
      </c>
      <c r="K8" s="113">
        <f>SUM(Forecast_Main!T112:W112)</f>
        <v>549166.84380131471</v>
      </c>
      <c r="L8" s="113">
        <f>SUM(Forecast_Main!X112:AA112)</f>
        <v>679755.69970015856</v>
      </c>
    </row>
    <row r="9" spans="1:12" x14ac:dyDescent="0.25">
      <c r="A9" s="90"/>
      <c r="B9" s="2" t="s">
        <v>6</v>
      </c>
      <c r="C9" s="54">
        <f>SUM(Forecast_Main!X113:AA113)</f>
        <v>525916.30441485625</v>
      </c>
      <c r="D9"/>
      <c r="F9" s="2" t="s">
        <v>6</v>
      </c>
      <c r="G9" s="11">
        <f>SUM(Forecast_Main!D113:G113)</f>
        <v>0</v>
      </c>
      <c r="H9" s="11">
        <f>SUM(Forecast_Main!H113:K113)</f>
        <v>2863.3466101694917</v>
      </c>
      <c r="I9" s="11">
        <f>SUM(Forecast_Main!L113:O113)</f>
        <v>9425.0985647663565</v>
      </c>
      <c r="J9" s="11">
        <f>SUM(Forecast_Main!P113:S113)</f>
        <v>145349.48519870199</v>
      </c>
      <c r="K9" s="113">
        <f>SUM(Forecast_Main!T113:W113)</f>
        <v>273149.72516214749</v>
      </c>
      <c r="L9" s="113">
        <f>SUM(Forecast_Main!X113:AA113)</f>
        <v>525916.30441485625</v>
      </c>
    </row>
    <row r="10" spans="1:12" x14ac:dyDescent="0.25">
      <c r="A10" s="90"/>
      <c r="B10" s="2" t="s">
        <v>28</v>
      </c>
      <c r="C10" s="54">
        <f>SUM(Forecast_Main!X114:AA114)</f>
        <v>118465.89633513661</v>
      </c>
      <c r="D10"/>
      <c r="F10" s="2" t="s">
        <v>28</v>
      </c>
      <c r="G10" s="11">
        <f>SUM(Forecast_Main!D114:G114)</f>
        <v>36439</v>
      </c>
      <c r="H10" s="11">
        <f>SUM(Forecast_Main!H114:K114)</f>
        <v>44716</v>
      </c>
      <c r="I10" s="11">
        <f>SUM(Forecast_Main!L114:O114)</f>
        <v>60372</v>
      </c>
      <c r="J10" s="11">
        <f>SUM(Forecast_Main!P114:S114)</f>
        <v>79862</v>
      </c>
      <c r="K10" s="113">
        <f>SUM(Forecast_Main!T114:W114)</f>
        <v>77218.100319846606</v>
      </c>
      <c r="L10" s="113">
        <f>SUM(Forecast_Main!X114:AA114)</f>
        <v>118465.89633513661</v>
      </c>
    </row>
    <row r="11" spans="1:12" x14ac:dyDescent="0.25">
      <c r="A11" s="90"/>
      <c r="B11" s="6" t="s">
        <v>29</v>
      </c>
      <c r="C11" s="54">
        <f>SUM(Forecast_Main!X115:AA115)</f>
        <v>27343.73559383658</v>
      </c>
      <c r="D11"/>
      <c r="F11" s="6" t="s">
        <v>29</v>
      </c>
      <c r="G11" s="11">
        <f>SUM(Forecast_Main!D115:G115)</f>
        <v>0</v>
      </c>
      <c r="H11" s="11">
        <f>SUM(Forecast_Main!H115:K115)</f>
        <v>0</v>
      </c>
      <c r="I11" s="11">
        <f>SUM(Forecast_Main!L115:O115)</f>
        <v>17189</v>
      </c>
      <c r="J11" s="11">
        <f>SUM(Forecast_Main!P115:S115)</f>
        <v>21303</v>
      </c>
      <c r="K11" s="113">
        <f>SUM(Forecast_Main!T115:W115)</f>
        <v>23980.098122948635</v>
      </c>
      <c r="L11" s="113">
        <f>SUM(Forecast_Main!X115:AA115)</f>
        <v>27343.73559383658</v>
      </c>
    </row>
    <row r="12" spans="1:12" x14ac:dyDescent="0.25">
      <c r="A12" s="90"/>
      <c r="B12" s="2" t="s">
        <v>10</v>
      </c>
      <c r="C12" s="54">
        <f>SUM(Forecast_Main!X116:AA116)</f>
        <v>16609.257108272952</v>
      </c>
      <c r="D12"/>
      <c r="F12" s="2" t="s">
        <v>10</v>
      </c>
      <c r="G12" s="11">
        <f>SUM(Forecast_Main!D116:G116)</f>
        <v>6477</v>
      </c>
      <c r="H12" s="11">
        <f>SUM(Forecast_Main!H116:K116)</f>
        <v>11220</v>
      </c>
      <c r="I12" s="11">
        <f>SUM(Forecast_Main!L116:O116)</f>
        <v>9064</v>
      </c>
      <c r="J12" s="11">
        <f>SUM(Forecast_Main!P116:S116)</f>
        <v>10691</v>
      </c>
      <c r="K12" s="113">
        <f>SUM(Forecast_Main!T116:W116)</f>
        <v>14390.40759928741</v>
      </c>
      <c r="L12" s="113">
        <f>SUM(Forecast_Main!X116:AA116)</f>
        <v>16609.257108272952</v>
      </c>
    </row>
    <row r="13" spans="1:12" ht="15.75" thickBot="1" x14ac:dyDescent="0.3">
      <c r="A13" s="60"/>
      <c r="B13" s="61" t="s">
        <v>11</v>
      </c>
      <c r="C13" s="54">
        <f>SUM(Forecast_Main!X117:AA117)</f>
        <v>8613.2838843424997</v>
      </c>
      <c r="D13"/>
      <c r="F13" s="61" t="s">
        <v>11</v>
      </c>
      <c r="G13" s="11">
        <f>SUM(Forecast_Main!D117:G117)</f>
        <v>100</v>
      </c>
      <c r="H13" s="11">
        <f>SUM(Forecast_Main!H117:K117)</f>
        <v>199</v>
      </c>
      <c r="I13" s="11">
        <f>SUM(Forecast_Main!L117:O117)</f>
        <v>1190</v>
      </c>
      <c r="J13" s="11">
        <f>SUM(Forecast_Main!P117:S117)</f>
        <v>6182</v>
      </c>
      <c r="K13" s="113">
        <f>SUM(Forecast_Main!T117:W117)</f>
        <v>5427.7506573846003</v>
      </c>
      <c r="L13" s="113">
        <f>SUM(Forecast_Main!X117:AA117)</f>
        <v>8613.2838843424997</v>
      </c>
    </row>
    <row r="14" spans="1:12" ht="15.75" thickBot="1" x14ac:dyDescent="0.3">
      <c r="A14" s="64" t="s">
        <v>658</v>
      </c>
      <c r="B14" s="65"/>
      <c r="C14" s="66">
        <f>SUM(C7:C13)</f>
        <v>2040742.3343094587</v>
      </c>
      <c r="D14"/>
      <c r="F14" s="109" t="s">
        <v>729</v>
      </c>
      <c r="G14" s="66">
        <f t="shared" ref="G14:L14" si="1">SUM(G7:G13)</f>
        <v>809379.9</v>
      </c>
      <c r="H14" s="66">
        <f t="shared" si="1"/>
        <v>855241.34661016951</v>
      </c>
      <c r="I14" s="66">
        <f t="shared" si="1"/>
        <v>943812.04856476642</v>
      </c>
      <c r="J14" s="66">
        <f t="shared" si="1"/>
        <v>1222305.535198702</v>
      </c>
      <c r="K14" s="114">
        <f t="shared" si="1"/>
        <v>1489796.0536929539</v>
      </c>
      <c r="L14" s="114">
        <f t="shared" si="1"/>
        <v>2040742.3343094587</v>
      </c>
    </row>
    <row r="15" spans="1:12" x14ac:dyDescent="0.25">
      <c r="A15" s="1"/>
      <c r="B15" s="1"/>
      <c r="C15" s="55"/>
      <c r="D15"/>
      <c r="K15" s="102"/>
      <c r="L15" s="102"/>
    </row>
    <row r="16" spans="1:12" x14ac:dyDescent="0.25">
      <c r="A16" s="91" t="s">
        <v>701</v>
      </c>
      <c r="B16" s="92"/>
      <c r="C16" s="56">
        <f>SUM(C7:C13)+C3+C4</f>
        <v>505359.75959523825</v>
      </c>
      <c r="D16"/>
      <c r="F16" s="110" t="s">
        <v>730</v>
      </c>
      <c r="G16" s="56">
        <f t="shared" ref="G16:L16" si="2">SUM(G7:G13)+G3+G4</f>
        <v>214666.00000000006</v>
      </c>
      <c r="H16" s="56">
        <f t="shared" si="2"/>
        <v>211103.34661016954</v>
      </c>
      <c r="I16" s="56">
        <f t="shared" si="2"/>
        <v>79402.098564766347</v>
      </c>
      <c r="J16" s="56">
        <f t="shared" si="2"/>
        <v>222666.48519870196</v>
      </c>
      <c r="K16" s="115">
        <f>SUM(K7:K13)+K3+K4</f>
        <v>299067.85094187618</v>
      </c>
      <c r="L16" s="115">
        <f t="shared" si="2"/>
        <v>505359.75959523825</v>
      </c>
    </row>
    <row r="17" spans="1:12" ht="15.75" thickBot="1" x14ac:dyDescent="0.3">
      <c r="A17" s="85" t="s">
        <v>702</v>
      </c>
      <c r="B17" s="86"/>
      <c r="C17" s="57">
        <f>SUM(Forecast_Main!D120:W120)</f>
        <v>1026905.7813155146</v>
      </c>
      <c r="D17"/>
      <c r="K17" s="102"/>
      <c r="L17" s="102"/>
    </row>
    <row r="18" spans="1:12" ht="15.75" thickBot="1" x14ac:dyDescent="0.3">
      <c r="A18" s="87" t="s">
        <v>251</v>
      </c>
      <c r="B18" s="88"/>
      <c r="C18" s="58">
        <f>SUM(C16:C17)</f>
        <v>1532265.540910753</v>
      </c>
      <c r="D18"/>
      <c r="F18" s="111" t="s">
        <v>731</v>
      </c>
      <c r="G18" s="94">
        <f>SUM($G16:G16)</f>
        <v>214666.00000000006</v>
      </c>
      <c r="H18" s="94">
        <f>SUM($G16:H16)</f>
        <v>425769.34661016962</v>
      </c>
      <c r="I18" s="94">
        <f>SUM($G16:I16)</f>
        <v>505171.44517493597</v>
      </c>
      <c r="J18" s="94">
        <f>SUM($G16:J16)</f>
        <v>727837.93037363794</v>
      </c>
      <c r="K18" s="116">
        <f>SUM($G16:K16)</f>
        <v>1026905.7813155141</v>
      </c>
      <c r="L18" s="116">
        <f>SUM($G16:L16)</f>
        <v>1532265.5409107525</v>
      </c>
    </row>
    <row r="19" spans="1:12" x14ac:dyDescent="0.25">
      <c r="A19" s="1"/>
      <c r="B19" s="1"/>
      <c r="C19" s="52"/>
      <c r="D19"/>
    </row>
    <row r="20" spans="1:12" x14ac:dyDescent="0.25">
      <c r="A20" s="91" t="s">
        <v>655</v>
      </c>
      <c r="B20" s="89"/>
      <c r="C20" s="59">
        <f>-C17/SUM(C3,C4)</f>
        <v>0.66882729961075116</v>
      </c>
      <c r="D20"/>
    </row>
    <row r="21" spans="1:12" x14ac:dyDescent="0.25">
      <c r="D21"/>
      <c r="G21" t="s">
        <v>726</v>
      </c>
    </row>
    <row r="22" spans="1:12" x14ac:dyDescent="0.25">
      <c r="D22"/>
    </row>
    <row r="23" spans="1:12" ht="30.75" thickBot="1" x14ac:dyDescent="0.3">
      <c r="G23" s="28" t="s">
        <v>23</v>
      </c>
      <c r="H23" s="107" t="s">
        <v>26</v>
      </c>
      <c r="I23" s="107" t="s">
        <v>27</v>
      </c>
      <c r="J23" s="40" t="s">
        <v>725</v>
      </c>
    </row>
    <row r="25" spans="1:12" x14ac:dyDescent="0.25">
      <c r="G25" s="106">
        <v>2016</v>
      </c>
      <c r="H25" s="11">
        <f>SUM(Forecast_Main!D109:G109)</f>
        <v>-594713.9</v>
      </c>
      <c r="I25" s="11">
        <f>SUM(Forecast_Main!D118:G118)</f>
        <v>809379.9</v>
      </c>
      <c r="J25" s="11">
        <f>SUM(H25:I25)</f>
        <v>214666</v>
      </c>
    </row>
    <row r="26" spans="1:12" x14ac:dyDescent="0.25">
      <c r="G26" s="106">
        <v>2017</v>
      </c>
      <c r="H26" s="11">
        <f>SUM(Forecast_Main!H109:K109)</f>
        <v>-644138</v>
      </c>
      <c r="I26" s="11">
        <f>SUM(Forecast_Main!H118:K118)</f>
        <v>855241.34661016962</v>
      </c>
      <c r="J26" s="11">
        <f>SUM(H26:I26)</f>
        <v>211103.34661016962</v>
      </c>
    </row>
    <row r="27" spans="1:12" x14ac:dyDescent="0.25">
      <c r="G27" s="106">
        <v>2018</v>
      </c>
      <c r="H27" s="11">
        <f>SUM(Forecast_Main!L109:O109)</f>
        <v>-864409.95</v>
      </c>
      <c r="I27" s="11">
        <f>SUM(Forecast_Main!L118:O118)</f>
        <v>943812.0485647663</v>
      </c>
      <c r="J27" s="11">
        <f>SUM(H27:I27)</f>
        <v>79402.098564766347</v>
      </c>
    </row>
    <row r="28" spans="1:12" x14ac:dyDescent="0.25">
      <c r="G28" s="106">
        <v>2019</v>
      </c>
      <c r="H28" s="11">
        <f>SUM(Forecast_Main!P109:S109)</f>
        <v>-999639.05</v>
      </c>
      <c r="I28" s="11">
        <f>SUM(Forecast_Main!P118:S118)</f>
        <v>1222305.535198702</v>
      </c>
      <c r="J28" s="11">
        <f>SUM(H28:I28)</f>
        <v>222666.48519870196</v>
      </c>
    </row>
    <row r="29" spans="1:12" x14ac:dyDescent="0.25">
      <c r="G29" s="106" t="s">
        <v>724</v>
      </c>
      <c r="H29" s="11">
        <f>SUM(Forecast_Main!T109:W109)</f>
        <v>-1190728.2027510777</v>
      </c>
      <c r="I29" s="11">
        <f>SUM(Forecast_Main!T118:W118)</f>
        <v>1489796.0536929544</v>
      </c>
      <c r="J29" s="11">
        <f>SUM(H29:I29)</f>
        <v>299067.85094187665</v>
      </c>
    </row>
    <row r="30" spans="1:12" ht="15.75" thickBot="1" x14ac:dyDescent="0.3">
      <c r="G30" s="31" t="s">
        <v>32</v>
      </c>
      <c r="H30" s="94">
        <f>SUM(H25:H29)</f>
        <v>-4293629.1027510772</v>
      </c>
      <c r="I30" s="94">
        <f>SUM(I25:I29)</f>
        <v>5320534.884066592</v>
      </c>
      <c r="J30" s="94">
        <f>SUM(J25:J29)</f>
        <v>1026905.7813155146</v>
      </c>
    </row>
  </sheetData>
  <mergeCells count="2">
    <mergeCell ref="A2:C2"/>
    <mergeCell ref="F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zoomScale="75" zoomScaleNormal="75" workbookViewId="0">
      <pane xSplit="3" ySplit="5" topLeftCell="K9" activePane="bottomRight" state="frozen"/>
      <selection pane="topRight" activeCell="D1" sqref="D1"/>
      <selection pane="bottomLeft" activeCell="A3" sqref="A3"/>
      <selection pane="bottomRight" activeCell="T23" sqref="T23"/>
    </sheetView>
  </sheetViews>
  <sheetFormatPr defaultRowHeight="15" x14ac:dyDescent="0.25"/>
  <cols>
    <col min="1" max="1" width="23.5703125" customWidth="1"/>
    <col min="2" max="2" width="15.7109375" bestFit="1" customWidth="1"/>
    <col min="3" max="3" width="23.42578125" customWidth="1"/>
    <col min="4" max="6" width="15" customWidth="1"/>
    <col min="7" max="13" width="19.85546875" customWidth="1"/>
    <col min="14" max="32" width="13" customWidth="1"/>
  </cols>
  <sheetData>
    <row r="1" spans="1:30" ht="21" x14ac:dyDescent="0.35">
      <c r="A1" s="97" t="s">
        <v>705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30" ht="79.5" customHeight="1" x14ac:dyDescent="0.25">
      <c r="A2" s="178" t="s">
        <v>706</v>
      </c>
      <c r="B2" s="178"/>
      <c r="C2" s="178"/>
      <c r="D2" s="178"/>
      <c r="E2" s="178"/>
      <c r="F2" s="178"/>
      <c r="G2" s="178"/>
    </row>
    <row r="4" spans="1:30" x14ac:dyDescent="0.25">
      <c r="A4" s="20" t="s">
        <v>277</v>
      </c>
      <c r="D4" s="20" t="s">
        <v>252</v>
      </c>
    </row>
    <row r="5" spans="1:30" x14ac:dyDescent="0.25">
      <c r="A5" s="20" t="s">
        <v>253</v>
      </c>
      <c r="B5" s="20" t="s">
        <v>272</v>
      </c>
      <c r="C5" s="20" t="s">
        <v>257</v>
      </c>
      <c r="D5" s="21">
        <v>42370</v>
      </c>
      <c r="E5" s="21">
        <v>42461</v>
      </c>
      <c r="F5" s="21">
        <v>42552</v>
      </c>
      <c r="G5" s="21">
        <v>42644</v>
      </c>
      <c r="H5" s="21">
        <v>42736</v>
      </c>
      <c r="I5" s="21">
        <v>42826</v>
      </c>
      <c r="J5" s="21">
        <v>42917</v>
      </c>
      <c r="K5" s="21">
        <v>43009</v>
      </c>
      <c r="L5" s="21">
        <v>43101</v>
      </c>
      <c r="M5" s="21">
        <v>43191</v>
      </c>
      <c r="N5" s="21">
        <v>43282</v>
      </c>
      <c r="O5" s="21">
        <v>43374</v>
      </c>
      <c r="P5" s="21">
        <v>43466</v>
      </c>
      <c r="Q5" s="21">
        <v>43556</v>
      </c>
      <c r="R5" s="21">
        <v>43647</v>
      </c>
      <c r="S5" s="21">
        <v>43739</v>
      </c>
      <c r="T5" s="21">
        <v>43831</v>
      </c>
      <c r="U5" s="69">
        <f t="shared" ref="U5:AA5" si="0">DATE(YEAR(T5),MONTH(T5)+3,1)</f>
        <v>43922</v>
      </c>
      <c r="V5" s="69">
        <f>DATE(YEAR(U5),MONTH(U5)+3,1)</f>
        <v>44013</v>
      </c>
      <c r="W5" s="69">
        <f t="shared" si="0"/>
        <v>44105</v>
      </c>
      <c r="X5" s="69">
        <f t="shared" si="0"/>
        <v>44197</v>
      </c>
      <c r="Y5" s="69">
        <f t="shared" si="0"/>
        <v>44287</v>
      </c>
      <c r="Z5" s="69">
        <f t="shared" si="0"/>
        <v>44378</v>
      </c>
      <c r="AA5" s="69">
        <f t="shared" si="0"/>
        <v>44470</v>
      </c>
    </row>
    <row r="6" spans="1:30" x14ac:dyDescent="0.25">
      <c r="A6" s="99" t="s">
        <v>707</v>
      </c>
      <c r="B6" s="99" t="s">
        <v>5</v>
      </c>
      <c r="C6" s="99" t="s">
        <v>5</v>
      </c>
      <c r="D6" s="100">
        <v>64.5</v>
      </c>
      <c r="E6" s="100">
        <v>62.85</v>
      </c>
      <c r="F6" s="100">
        <v>63</v>
      </c>
      <c r="G6" s="100">
        <v>62.48</v>
      </c>
      <c r="H6" s="100">
        <v>62.68</v>
      </c>
      <c r="I6" s="100">
        <v>63.04</v>
      </c>
      <c r="J6" s="100">
        <v>63.49</v>
      </c>
      <c r="K6" s="100">
        <v>61.33</v>
      </c>
      <c r="L6" s="100">
        <v>61.85</v>
      </c>
      <c r="M6" s="100">
        <v>61.12</v>
      </c>
      <c r="N6" s="100">
        <v>60.81</v>
      </c>
      <c r="O6" s="100">
        <v>59.73</v>
      </c>
      <c r="P6" s="100">
        <v>60.13</v>
      </c>
      <c r="Q6" s="100">
        <v>59.68</v>
      </c>
      <c r="R6" s="100">
        <v>57.02</v>
      </c>
      <c r="S6" s="100">
        <v>55.81</v>
      </c>
      <c r="T6" s="100">
        <v>55.3</v>
      </c>
    </row>
    <row r="7" spans="1:30" x14ac:dyDescent="0.25">
      <c r="A7" s="99"/>
      <c r="B7" s="99" t="s">
        <v>7</v>
      </c>
      <c r="C7" s="99" t="s">
        <v>7</v>
      </c>
      <c r="D7" s="100">
        <v>56.38</v>
      </c>
      <c r="E7" s="100">
        <v>51.31</v>
      </c>
      <c r="F7" s="100">
        <v>51.13</v>
      </c>
      <c r="G7" s="100">
        <v>48.72</v>
      </c>
      <c r="H7" s="100">
        <v>46.35</v>
      </c>
      <c r="I7" s="100">
        <v>47.58</v>
      </c>
      <c r="J7" s="100">
        <v>47.06</v>
      </c>
      <c r="K7" s="100">
        <v>47.45</v>
      </c>
      <c r="L7" s="100">
        <v>45.21</v>
      </c>
      <c r="M7" s="100">
        <v>46.03</v>
      </c>
      <c r="N7" s="100">
        <v>45.34</v>
      </c>
      <c r="O7" s="100">
        <v>44.34</v>
      </c>
      <c r="P7" s="100">
        <v>39.51</v>
      </c>
      <c r="Q7" s="100">
        <v>38.92</v>
      </c>
      <c r="R7" s="100">
        <v>38.96</v>
      </c>
      <c r="S7" s="100">
        <v>37.299999999999997</v>
      </c>
      <c r="T7" s="100">
        <v>36.65</v>
      </c>
    </row>
    <row r="8" spans="1:30" x14ac:dyDescent="0.25">
      <c r="A8" s="99"/>
      <c r="B8" s="99" t="s">
        <v>258</v>
      </c>
      <c r="C8" s="99" t="s">
        <v>258</v>
      </c>
      <c r="D8" s="100"/>
      <c r="E8" s="100"/>
      <c r="F8" s="100"/>
      <c r="G8" s="100"/>
      <c r="H8" s="100"/>
      <c r="I8" s="100"/>
      <c r="J8" s="100"/>
      <c r="K8" s="100">
        <v>33.64</v>
      </c>
      <c r="L8" s="100">
        <v>48.76</v>
      </c>
      <c r="M8" s="100">
        <v>36.380000000000003</v>
      </c>
      <c r="N8" s="100">
        <v>37.42</v>
      </c>
      <c r="O8" s="100">
        <v>34.96</v>
      </c>
      <c r="P8" s="100">
        <v>53.91</v>
      </c>
      <c r="Q8" s="100">
        <v>44.74</v>
      </c>
      <c r="R8" s="100">
        <v>29.88</v>
      </c>
      <c r="S8" s="100">
        <v>28.12</v>
      </c>
      <c r="T8" s="100">
        <v>27.31</v>
      </c>
    </row>
    <row r="10" spans="1:30" x14ac:dyDescent="0.25">
      <c r="T10" s="100">
        <v>0.96750000000000003</v>
      </c>
    </row>
    <row r="11" spans="1:30" x14ac:dyDescent="0.25">
      <c r="B11" t="s">
        <v>708</v>
      </c>
      <c r="D11" s="21">
        <f>D5</f>
        <v>42370</v>
      </c>
      <c r="E11" s="21">
        <f t="shared" ref="E11:AA12" si="1">E5</f>
        <v>42461</v>
      </c>
      <c r="F11" s="21">
        <f t="shared" si="1"/>
        <v>42552</v>
      </c>
      <c r="G11" s="21">
        <f t="shared" si="1"/>
        <v>42644</v>
      </c>
      <c r="H11" s="21">
        <f t="shared" si="1"/>
        <v>42736</v>
      </c>
      <c r="I11" s="21">
        <f t="shared" si="1"/>
        <v>42826</v>
      </c>
      <c r="J11" s="21">
        <f t="shared" si="1"/>
        <v>42917</v>
      </c>
      <c r="K11" s="21">
        <f t="shared" si="1"/>
        <v>43009</v>
      </c>
      <c r="L11" s="21">
        <f t="shared" si="1"/>
        <v>43101</v>
      </c>
      <c r="M11" s="21">
        <f t="shared" si="1"/>
        <v>43191</v>
      </c>
      <c r="N11" s="21">
        <f t="shared" si="1"/>
        <v>43282</v>
      </c>
      <c r="O11" s="21">
        <f t="shared" si="1"/>
        <v>43374</v>
      </c>
      <c r="P11" s="21">
        <f t="shared" si="1"/>
        <v>43466</v>
      </c>
      <c r="Q11" s="21">
        <f t="shared" si="1"/>
        <v>43556</v>
      </c>
      <c r="R11" s="21">
        <f t="shared" si="1"/>
        <v>43647</v>
      </c>
      <c r="S11" s="21">
        <f t="shared" si="1"/>
        <v>43739</v>
      </c>
      <c r="T11" s="21">
        <f t="shared" si="1"/>
        <v>43831</v>
      </c>
      <c r="U11" s="21">
        <f t="shared" si="1"/>
        <v>43922</v>
      </c>
      <c r="V11" s="21">
        <f t="shared" si="1"/>
        <v>44013</v>
      </c>
      <c r="W11" s="21">
        <f t="shared" si="1"/>
        <v>44105</v>
      </c>
      <c r="X11" s="21">
        <f t="shared" si="1"/>
        <v>44197</v>
      </c>
      <c r="Y11" s="21">
        <f t="shared" si="1"/>
        <v>44287</v>
      </c>
      <c r="Z11" s="21">
        <f t="shared" si="1"/>
        <v>44378</v>
      </c>
      <c r="AA11" s="21">
        <f t="shared" si="1"/>
        <v>44470</v>
      </c>
      <c r="AC11" s="103" t="s">
        <v>709</v>
      </c>
      <c r="AD11" t="s">
        <v>898</v>
      </c>
    </row>
    <row r="12" spans="1:30" x14ac:dyDescent="0.25">
      <c r="B12" t="s">
        <v>5</v>
      </c>
      <c r="C12" t="s">
        <v>889</v>
      </c>
      <c r="D12" s="51">
        <f>D6</f>
        <v>64.5</v>
      </c>
      <c r="E12" s="51">
        <f t="shared" si="1"/>
        <v>62.85</v>
      </c>
      <c r="F12" s="51">
        <f t="shared" si="1"/>
        <v>63</v>
      </c>
      <c r="G12" s="51">
        <f t="shared" si="1"/>
        <v>62.48</v>
      </c>
      <c r="H12" s="51">
        <f t="shared" si="1"/>
        <v>62.68</v>
      </c>
      <c r="I12" s="51">
        <f t="shared" si="1"/>
        <v>63.04</v>
      </c>
      <c r="J12" s="51">
        <f t="shared" si="1"/>
        <v>63.49</v>
      </c>
      <c r="K12" s="51">
        <f t="shared" si="1"/>
        <v>61.33</v>
      </c>
      <c r="L12" s="51">
        <f t="shared" si="1"/>
        <v>61.85</v>
      </c>
      <c r="M12" s="51">
        <f t="shared" si="1"/>
        <v>61.12</v>
      </c>
      <c r="N12" s="51">
        <f t="shared" si="1"/>
        <v>60.81</v>
      </c>
      <c r="O12" s="167">
        <f t="shared" si="1"/>
        <v>59.73</v>
      </c>
      <c r="P12" s="167">
        <f t="shared" si="1"/>
        <v>60.13</v>
      </c>
      <c r="Q12" s="167">
        <f t="shared" si="1"/>
        <v>59.68</v>
      </c>
      <c r="R12" s="167">
        <f t="shared" si="1"/>
        <v>57.02</v>
      </c>
      <c r="S12" s="167">
        <f t="shared" si="1"/>
        <v>55.81</v>
      </c>
      <c r="T12" s="51">
        <f>TREND($O12:$S12,$O11:$S11,T11)*$T10</f>
        <v>53.380560475737809</v>
      </c>
      <c r="U12" s="51">
        <f t="shared" ref="U12:AA12" si="2">TREND($O12:$S12,$O11:$S11,U11)*$T10</f>
        <v>52.322417206590536</v>
      </c>
      <c r="V12" s="51">
        <f t="shared" si="2"/>
        <v>51.26427393744315</v>
      </c>
      <c r="W12" s="51">
        <f t="shared" si="2"/>
        <v>50.194502720283246</v>
      </c>
      <c r="X12" s="51">
        <f t="shared" si="2"/>
        <v>49.124731503123229</v>
      </c>
      <c r="Y12" s="51">
        <f t="shared" si="2"/>
        <v>48.078216181988473</v>
      </c>
      <c r="Z12" s="51">
        <f t="shared" si="2"/>
        <v>47.020072912841194</v>
      </c>
      <c r="AA12" s="51">
        <f t="shared" si="2"/>
        <v>45.950301695681176</v>
      </c>
      <c r="AC12" s="104">
        <f>AVERAGE(X12:AA12)</f>
        <v>47.543330573408511</v>
      </c>
      <c r="AD12">
        <f>'CI Facility'!N56</f>
        <v>47.5</v>
      </c>
    </row>
    <row r="13" spans="1:30" s="136" customFormat="1" x14ac:dyDescent="0.25">
      <c r="C13" s="136" t="s">
        <v>888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>
        <v>51.9</v>
      </c>
      <c r="U13" s="51">
        <v>51.9</v>
      </c>
      <c r="V13" s="51">
        <v>51.9</v>
      </c>
      <c r="W13" s="51">
        <v>51.9</v>
      </c>
      <c r="X13" s="51">
        <f>'CI Facility'!$L56</f>
        <v>45.280017086019186</v>
      </c>
      <c r="Y13" s="51">
        <f>'CI Facility'!$L56</f>
        <v>45.280017086019186</v>
      </c>
      <c r="Z13" s="51">
        <f>'CI Facility'!$L56</f>
        <v>45.280017086019186</v>
      </c>
      <c r="AA13" s="51">
        <f>'CI Facility'!$L56</f>
        <v>45.280017086019186</v>
      </c>
      <c r="AC13" s="104"/>
    </row>
    <row r="14" spans="1:30" s="136" customFormat="1" x14ac:dyDescent="0.25">
      <c r="C14" s="136" t="s">
        <v>893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>
        <f>'CI Facility'!$N56</f>
        <v>47.5</v>
      </c>
      <c r="Y14" s="51">
        <f>'CI Facility'!$N56</f>
        <v>47.5</v>
      </c>
      <c r="Z14" s="51">
        <f>'CI Facility'!$N56</f>
        <v>47.5</v>
      </c>
      <c r="AA14" s="51">
        <f>'CI Facility'!$N56</f>
        <v>47.5</v>
      </c>
      <c r="AC14" s="104"/>
    </row>
    <row r="15" spans="1:30" x14ac:dyDescent="0.25">
      <c r="C15" t="s">
        <v>887</v>
      </c>
      <c r="D15" s="51">
        <f>[2]Fuels!W102</f>
        <v>72.87</v>
      </c>
      <c r="E15" s="51">
        <f>[2]Fuels!X102</f>
        <v>70.83</v>
      </c>
      <c r="F15" s="51">
        <f>[2]Fuels!Y102</f>
        <v>69.98</v>
      </c>
      <c r="G15" s="51">
        <f>[2]Fuels!Z102</f>
        <v>70.34</v>
      </c>
      <c r="H15" s="51">
        <f>[2]Fuels!AA102</f>
        <v>71.489999999999995</v>
      </c>
      <c r="I15" s="51">
        <f>[2]Fuels!AB102</f>
        <v>70.290000000000006</v>
      </c>
      <c r="J15" s="51">
        <f>[2]Fuels!AC102</f>
        <v>69.510000000000005</v>
      </c>
      <c r="K15" s="51">
        <f>[2]Fuels!AD102</f>
        <v>68.98</v>
      </c>
      <c r="L15" s="51">
        <f>[2]Fuels!AE102</f>
        <v>70.099999999999994</v>
      </c>
      <c r="M15" s="51">
        <f>[2]Fuels!AF102</f>
        <v>70.02</v>
      </c>
      <c r="N15" s="51">
        <f>[2]Fuels!AG102</f>
        <v>68.41</v>
      </c>
      <c r="O15" s="51">
        <f>[2]Fuels!AH102</f>
        <v>65.88</v>
      </c>
      <c r="P15" s="51">
        <f>[2]Fuels!AI102</f>
        <v>66</v>
      </c>
      <c r="Q15" s="51">
        <f>[2]Fuels!AJ102</f>
        <v>63.69</v>
      </c>
      <c r="R15" s="51">
        <f>[2]Fuels!AK102</f>
        <v>59.33</v>
      </c>
      <c r="S15" s="51">
        <f>[2]Fuels!AL102</f>
        <v>59.46</v>
      </c>
      <c r="T15" s="51">
        <f>[2]Fuels!AM102</f>
        <v>60.34</v>
      </c>
      <c r="U15" s="158"/>
      <c r="V15" s="158"/>
      <c r="W15" s="158"/>
      <c r="X15" s="158"/>
      <c r="Y15" s="158"/>
      <c r="Z15" s="158"/>
      <c r="AA15" s="158"/>
      <c r="AC15" s="103"/>
    </row>
    <row r="16" spans="1:30" s="136" customFormat="1" x14ac:dyDescent="0.25"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58"/>
      <c r="V16" s="158"/>
      <c r="W16" s="158"/>
      <c r="X16" s="158"/>
      <c r="Y16" s="158"/>
      <c r="Z16" s="158"/>
      <c r="AA16" s="158"/>
      <c r="AC16" s="103"/>
    </row>
    <row r="17" spans="2:30" x14ac:dyDescent="0.25"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100">
        <v>1.0149999999999999</v>
      </c>
      <c r="U17" s="51"/>
      <c r="V17" s="51"/>
      <c r="W17" s="51"/>
      <c r="AC17" s="103"/>
    </row>
    <row r="18" spans="2:30" x14ac:dyDescent="0.25">
      <c r="B18" t="s">
        <v>7</v>
      </c>
      <c r="C18" s="136" t="s">
        <v>889</v>
      </c>
      <c r="D18" s="51">
        <f t="shared" ref="D18:S18" si="3">D7</f>
        <v>56.38</v>
      </c>
      <c r="E18" s="51">
        <f t="shared" si="3"/>
        <v>51.31</v>
      </c>
      <c r="F18" s="51">
        <f t="shared" si="3"/>
        <v>51.13</v>
      </c>
      <c r="G18" s="51">
        <f t="shared" si="3"/>
        <v>48.72</v>
      </c>
      <c r="H18" s="51">
        <f t="shared" si="3"/>
        <v>46.35</v>
      </c>
      <c r="I18" s="51">
        <f t="shared" si="3"/>
        <v>47.58</v>
      </c>
      <c r="J18" s="51">
        <f t="shared" si="3"/>
        <v>47.06</v>
      </c>
      <c r="K18" s="51">
        <f t="shared" si="3"/>
        <v>47.45</v>
      </c>
      <c r="L18" s="51">
        <f t="shared" si="3"/>
        <v>45.21</v>
      </c>
      <c r="M18" s="51">
        <f t="shared" si="3"/>
        <v>46.03</v>
      </c>
      <c r="N18" s="51">
        <f t="shared" si="3"/>
        <v>45.34</v>
      </c>
      <c r="O18" s="167">
        <f t="shared" si="3"/>
        <v>44.34</v>
      </c>
      <c r="P18" s="167">
        <f t="shared" si="3"/>
        <v>39.51</v>
      </c>
      <c r="Q18" s="167">
        <f t="shared" si="3"/>
        <v>38.92</v>
      </c>
      <c r="R18" s="167">
        <f t="shared" si="3"/>
        <v>38.96</v>
      </c>
      <c r="S18" s="167">
        <f t="shared" si="3"/>
        <v>37.299999999999997</v>
      </c>
      <c r="T18" s="51">
        <f>TREND($N18:$S18,$N11:$S11,T11)*$T17</f>
        <v>35.53971937809051</v>
      </c>
      <c r="U18" s="51">
        <f t="shared" ref="U18:AA18" si="4">TREND($N18:$S18,$N11:$S11,U11)*$T17</f>
        <v>33.892191662397245</v>
      </c>
      <c r="V18" s="51">
        <f t="shared" si="4"/>
        <v>32.244663946703866</v>
      </c>
      <c r="W18" s="51">
        <f t="shared" si="4"/>
        <v>30.579031530838069</v>
      </c>
      <c r="X18" s="51">
        <f t="shared" si="4"/>
        <v>28.913399114972393</v>
      </c>
      <c r="Y18" s="51">
        <f t="shared" si="4"/>
        <v>27.283976099451426</v>
      </c>
      <c r="Z18" s="51">
        <f t="shared" si="4"/>
        <v>25.636448383758164</v>
      </c>
      <c r="AA18" s="51">
        <f t="shared" si="4"/>
        <v>23.970815967892371</v>
      </c>
      <c r="AC18" s="104">
        <f>AVERAGE(X18:AA18)</f>
        <v>26.451159891518586</v>
      </c>
      <c r="AD18">
        <f>'CI Facility'!N90</f>
        <v>26.5</v>
      </c>
    </row>
    <row r="19" spans="2:30" s="136" customFormat="1" x14ac:dyDescent="0.25">
      <c r="C19" s="136" t="s">
        <v>888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22.2</v>
      </c>
      <c r="U19" s="51">
        <v>22.2</v>
      </c>
      <c r="V19" s="51">
        <v>22.2</v>
      </c>
      <c r="W19" s="51">
        <v>22.2</v>
      </c>
      <c r="X19" s="51">
        <f>'CI Facility'!$L90</f>
        <v>20.12156448876344</v>
      </c>
      <c r="Y19" s="51">
        <f>'CI Facility'!$L90</f>
        <v>20.12156448876344</v>
      </c>
      <c r="Z19" s="51">
        <f>'CI Facility'!$L90</f>
        <v>20.12156448876344</v>
      </c>
      <c r="AA19" s="51">
        <f>'CI Facility'!$L90</f>
        <v>20.12156448876344</v>
      </c>
      <c r="AC19" s="104"/>
    </row>
    <row r="20" spans="2:30" x14ac:dyDescent="0.25">
      <c r="C20" s="136" t="s">
        <v>887</v>
      </c>
      <c r="D20">
        <f>[2]Fuels!W106</f>
        <v>17.25</v>
      </c>
      <c r="E20" s="136">
        <f>[2]Fuels!X106</f>
        <v>13.83</v>
      </c>
      <c r="F20" s="136">
        <f>[2]Fuels!Y106</f>
        <v>17.53</v>
      </c>
      <c r="G20" s="136">
        <f>[2]Fuels!Z106</f>
        <v>18.309999999999999</v>
      </c>
      <c r="H20" s="136">
        <f>[2]Fuels!AA106</f>
        <v>34.76</v>
      </c>
      <c r="I20" s="136">
        <f>[2]Fuels!AB106</f>
        <v>30.84</v>
      </c>
      <c r="J20" s="136">
        <f>[2]Fuels!AC106</f>
        <v>36.82</v>
      </c>
      <c r="K20" s="136">
        <f>[2]Fuels!AD106</f>
        <v>34.15</v>
      </c>
      <c r="L20" s="136">
        <f>[2]Fuels!AE106</f>
        <v>33.97</v>
      </c>
      <c r="M20" s="136">
        <f>[2]Fuels!AF106</f>
        <v>29.93</v>
      </c>
      <c r="N20" s="136">
        <f>[2]Fuels!AG106</f>
        <v>29.61</v>
      </c>
      <c r="O20" s="136">
        <f>[2]Fuels!AH106</f>
        <v>30.67</v>
      </c>
      <c r="P20" s="136">
        <f>[2]Fuels!AI106</f>
        <v>28.46</v>
      </c>
      <c r="Q20" s="136">
        <f>[2]Fuels!AJ106</f>
        <v>26.98</v>
      </c>
      <c r="R20" s="136">
        <f>[2]Fuels!AK106</f>
        <v>26.15</v>
      </c>
      <c r="S20" s="136">
        <f>[2]Fuels!AL106</f>
        <v>26.34</v>
      </c>
      <c r="T20" s="136">
        <f>[2]Fuels!AM106</f>
        <v>25.84</v>
      </c>
      <c r="U20" s="133"/>
      <c r="V20" s="133"/>
      <c r="W20" s="133"/>
      <c r="X20" s="133"/>
      <c r="Y20" s="133"/>
      <c r="Z20" s="133"/>
      <c r="AA20" s="133"/>
      <c r="AC20" s="103"/>
    </row>
    <row r="21" spans="2:30" s="136" customFormat="1" x14ac:dyDescent="0.25">
      <c r="U21" s="133"/>
      <c r="V21" s="133"/>
      <c r="W21" s="133"/>
      <c r="X21" s="133"/>
      <c r="Y21" s="133"/>
      <c r="Z21" s="133"/>
      <c r="AA21" s="133"/>
      <c r="AC21" s="103"/>
    </row>
    <row r="22" spans="2:30" x14ac:dyDescent="0.25"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100">
        <v>0.98</v>
      </c>
      <c r="U22" s="51"/>
      <c r="V22" s="51"/>
      <c r="W22" s="51"/>
      <c r="AC22" s="103"/>
    </row>
    <row r="23" spans="2:30" x14ac:dyDescent="0.25">
      <c r="B23" t="s">
        <v>6</v>
      </c>
      <c r="C23" s="136" t="s">
        <v>889</v>
      </c>
      <c r="K23" s="51">
        <f t="shared" ref="K23:S23" si="5">K8</f>
        <v>33.64</v>
      </c>
      <c r="L23" s="51">
        <f t="shared" si="5"/>
        <v>48.76</v>
      </c>
      <c r="M23" s="167">
        <f t="shared" si="5"/>
        <v>36.380000000000003</v>
      </c>
      <c r="N23" s="167">
        <f t="shared" si="5"/>
        <v>37.42</v>
      </c>
      <c r="O23" s="167">
        <f t="shared" si="5"/>
        <v>34.96</v>
      </c>
      <c r="P23" s="167">
        <f t="shared" si="5"/>
        <v>53.91</v>
      </c>
      <c r="Q23" s="167">
        <f t="shared" si="5"/>
        <v>44.74</v>
      </c>
      <c r="R23" s="167">
        <f t="shared" si="5"/>
        <v>29.88</v>
      </c>
      <c r="S23" s="167">
        <f t="shared" si="5"/>
        <v>28.12</v>
      </c>
      <c r="T23" s="51">
        <f>TREND($M23:$S23,$M11:$S11,T11)*$T22</f>
        <v>32.962208449907422</v>
      </c>
      <c r="U23" s="51">
        <f t="shared" ref="U23:AA23" si="6">TREND($M23:$S23,$M11:$S11,U11)*$T22</f>
        <v>31.919141698381768</v>
      </c>
      <c r="V23" s="51">
        <f t="shared" si="6"/>
        <v>30.876074946855997</v>
      </c>
      <c r="W23" s="51">
        <f t="shared" si="6"/>
        <v>29.82154592333546</v>
      </c>
      <c r="X23" s="51">
        <f t="shared" si="6"/>
        <v>28.767016899814919</v>
      </c>
      <c r="Y23" s="51">
        <f t="shared" si="6"/>
        <v>27.735412420283922</v>
      </c>
      <c r="Z23" s="51">
        <f t="shared" si="6"/>
        <v>26.692345668758154</v>
      </c>
      <c r="AA23" s="51">
        <f t="shared" si="6"/>
        <v>25.637816645237613</v>
      </c>
      <c r="AC23" s="104">
        <f>AVERAGE(X23:AA23)</f>
        <v>27.20814790852365</v>
      </c>
      <c r="AD23">
        <f>'CI Facility'!N103</f>
        <v>27.2</v>
      </c>
    </row>
    <row r="24" spans="2:30" s="136" customFormat="1" x14ac:dyDescent="0.25">
      <c r="C24" s="136" t="s">
        <v>888</v>
      </c>
      <c r="K24" s="51"/>
      <c r="L24" s="51"/>
      <c r="M24" s="51"/>
      <c r="N24" s="51"/>
      <c r="O24" s="51"/>
      <c r="P24" s="51"/>
      <c r="Q24" s="51"/>
      <c r="R24" s="51"/>
      <c r="S24" s="51"/>
      <c r="T24" s="51">
        <v>32.5</v>
      </c>
      <c r="U24" s="51">
        <v>32.5</v>
      </c>
      <c r="V24" s="51">
        <v>32.5</v>
      </c>
      <c r="W24" s="51">
        <v>32.5</v>
      </c>
      <c r="X24" s="51">
        <f>'CI Facility'!$L103</f>
        <v>28.240305224117837</v>
      </c>
      <c r="Y24" s="51">
        <f>'CI Facility'!$L103</f>
        <v>28.240305224117837</v>
      </c>
      <c r="Z24" s="51">
        <f>'CI Facility'!$L103</f>
        <v>28.240305224117837</v>
      </c>
      <c r="AA24" s="51">
        <f>'CI Facility'!$L103</f>
        <v>28.240305224117837</v>
      </c>
      <c r="AC24" s="104"/>
    </row>
    <row r="25" spans="2:30" x14ac:dyDescent="0.25">
      <c r="C25" s="136" t="s">
        <v>887</v>
      </c>
      <c r="D25">
        <f>[2]Fuels!W110</f>
        <v>52.89</v>
      </c>
      <c r="E25" s="136">
        <f>[2]Fuels!X110</f>
        <v>31.78</v>
      </c>
      <c r="F25" s="136">
        <f>[2]Fuels!Y110</f>
        <v>30.2</v>
      </c>
      <c r="G25" s="136">
        <f>[2]Fuels!Z110</f>
        <v>30.71</v>
      </c>
      <c r="H25" s="136">
        <f>[2]Fuels!AA110</f>
        <v>30.11</v>
      </c>
      <c r="I25" s="136">
        <f>[2]Fuels!AB110</f>
        <v>30.23</v>
      </c>
      <c r="J25" s="136">
        <f>[2]Fuels!AC110</f>
        <v>30.39</v>
      </c>
      <c r="K25" s="136">
        <f>[2]Fuels!AD110</f>
        <v>30.9</v>
      </c>
      <c r="L25" s="136">
        <f>[2]Fuels!AE110</f>
        <v>30.9</v>
      </c>
      <c r="M25" s="136">
        <f>[2]Fuels!AF110</f>
        <v>31.53</v>
      </c>
      <c r="N25" s="136">
        <f>[2]Fuels!AG110</f>
        <v>32.200000000000003</v>
      </c>
      <c r="O25" s="136">
        <f>[2]Fuels!AH110</f>
        <v>34.049999999999997</v>
      </c>
      <c r="P25" s="136">
        <f>[2]Fuels!AI110</f>
        <v>36.39</v>
      </c>
      <c r="Q25" s="136">
        <f>[2]Fuels!AJ110</f>
        <v>34.25</v>
      </c>
      <c r="R25" s="136">
        <f>[2]Fuels!AK110</f>
        <v>33.58</v>
      </c>
      <c r="S25" s="136">
        <f>[2]Fuels!AL110</f>
        <v>34.119999999999997</v>
      </c>
      <c r="T25" s="136">
        <f>[2]Fuels!AM110</f>
        <v>32.1</v>
      </c>
      <c r="U25" s="101"/>
      <c r="V25" s="101"/>
      <c r="W25" s="101"/>
      <c r="X25" s="101"/>
      <c r="Y25" s="101"/>
      <c r="Z25" s="101"/>
      <c r="AA25" s="101"/>
      <c r="AC25" s="103"/>
    </row>
    <row r="26" spans="2:30" x14ac:dyDescent="0.25"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2:30" x14ac:dyDescent="0.25">
      <c r="M27" s="147" t="s">
        <v>891</v>
      </c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</row>
  </sheetData>
  <mergeCells count="1">
    <mergeCell ref="A2:G2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="75" zoomScaleNormal="75" workbookViewId="0">
      <pane xSplit="3" ySplit="5" topLeftCell="D63" activePane="bottomRight" state="frozen"/>
      <selection pane="topRight" activeCell="D1" sqref="D1"/>
      <selection pane="bottomLeft" activeCell="A5" sqref="A5"/>
      <selection pane="bottomRight" activeCell="N103" sqref="N103"/>
    </sheetView>
  </sheetViews>
  <sheetFormatPr defaultRowHeight="15" x14ac:dyDescent="0.25"/>
  <cols>
    <col min="1" max="1" width="19.28515625" customWidth="1"/>
    <col min="2" max="2" width="14.85546875" customWidth="1"/>
    <col min="3" max="3" width="36.85546875" customWidth="1"/>
    <col min="4" max="4" width="15.85546875" customWidth="1"/>
    <col min="5" max="5" width="22.42578125" customWidth="1"/>
    <col min="6" max="6" width="22.140625" customWidth="1"/>
    <col min="7" max="7" width="20.7109375" customWidth="1"/>
    <col min="8" max="8" width="5.140625" customWidth="1"/>
    <col min="9" max="9" width="18.42578125" customWidth="1"/>
    <col min="10" max="10" width="25.28515625" customWidth="1"/>
    <col min="12" max="12" width="24.140625" bestFit="1" customWidth="1"/>
    <col min="13" max="13" width="36.5703125" customWidth="1"/>
    <col min="14" max="14" width="21.28515625" customWidth="1"/>
  </cols>
  <sheetData>
    <row r="1" spans="1:14" s="136" customFormat="1" x14ac:dyDescent="0.25">
      <c r="A1" s="20" t="s">
        <v>257</v>
      </c>
      <c r="B1" s="136" t="s">
        <v>5</v>
      </c>
      <c r="L1" s="179" t="s">
        <v>892</v>
      </c>
      <c r="M1" s="179"/>
      <c r="N1" s="179"/>
    </row>
    <row r="2" spans="1:14" x14ac:dyDescent="0.25">
      <c r="A2" s="20" t="s">
        <v>785</v>
      </c>
      <c r="B2" s="132">
        <v>43466</v>
      </c>
      <c r="L2" s="179"/>
      <c r="M2" s="179"/>
      <c r="N2" s="179"/>
    </row>
    <row r="4" spans="1:14" x14ac:dyDescent="0.25">
      <c r="F4" s="20" t="s">
        <v>601</v>
      </c>
      <c r="L4" s="102" t="s">
        <v>851</v>
      </c>
      <c r="M4" s="144" t="s">
        <v>852</v>
      </c>
      <c r="N4" s="125" t="s">
        <v>886</v>
      </c>
    </row>
    <row r="5" spans="1:14" x14ac:dyDescent="0.25">
      <c r="A5" s="20" t="s">
        <v>707</v>
      </c>
      <c r="B5" s="20" t="s">
        <v>12</v>
      </c>
      <c r="C5" s="20" t="s">
        <v>604</v>
      </c>
      <c r="D5" s="20" t="s">
        <v>581</v>
      </c>
      <c r="E5" s="20" t="s">
        <v>605</v>
      </c>
      <c r="F5" s="136" t="s">
        <v>602</v>
      </c>
      <c r="G5" s="136" t="s">
        <v>603</v>
      </c>
      <c r="I5" t="s">
        <v>649</v>
      </c>
      <c r="J5" t="s">
        <v>648</v>
      </c>
    </row>
    <row r="6" spans="1:14" x14ac:dyDescent="0.25">
      <c r="A6" s="136">
        <v>41.24</v>
      </c>
      <c r="B6" s="136" t="s">
        <v>787</v>
      </c>
      <c r="C6" s="136">
        <v>3805</v>
      </c>
      <c r="D6" s="136" t="s">
        <v>788</v>
      </c>
      <c r="E6" s="136" t="s">
        <v>789</v>
      </c>
      <c r="F6" s="71">
        <v>21662108</v>
      </c>
      <c r="G6" s="137"/>
      <c r="I6" s="71">
        <f>MAX(F6:G6)</f>
        <v>21662108</v>
      </c>
      <c r="J6" s="71">
        <f>MAX(F6:G6)*A6</f>
        <v>893345333.92000008</v>
      </c>
      <c r="L6" s="113">
        <f>IF(SUM(I6:I$6)&lt;I$56,I6,I$56-SUM(I5:I$5))</f>
        <v>21662108</v>
      </c>
      <c r="M6" s="113">
        <f>L6*A6</f>
        <v>893345333.92000008</v>
      </c>
    </row>
    <row r="7" spans="1:14" x14ac:dyDescent="0.25">
      <c r="A7" s="136">
        <v>45.263333333333328</v>
      </c>
      <c r="B7" s="136" t="s">
        <v>21</v>
      </c>
      <c r="C7" s="136">
        <v>4727</v>
      </c>
      <c r="D7" s="136" t="s">
        <v>595</v>
      </c>
      <c r="E7" s="136" t="s">
        <v>640</v>
      </c>
      <c r="F7" s="71">
        <v>128722000</v>
      </c>
      <c r="G7" s="137"/>
      <c r="I7" s="71">
        <f t="shared" ref="I7:I53" si="0">MAX(F7:G7)</f>
        <v>128722000</v>
      </c>
      <c r="J7" s="71">
        <f t="shared" ref="J7:J53" si="1">MAX(F7:G7)*A7</f>
        <v>5826386793.333333</v>
      </c>
      <c r="L7" s="113">
        <f>IF(SUM(I$6:I7)&lt;I$56,I7,I$56-SUM(I$5:I6))</f>
        <v>128722000</v>
      </c>
      <c r="M7" s="113">
        <f>L7*A7</f>
        <v>5826386793.333333</v>
      </c>
    </row>
    <row r="8" spans="1:14" x14ac:dyDescent="0.25">
      <c r="A8" s="136">
        <v>49.27</v>
      </c>
      <c r="B8" s="136" t="s">
        <v>787</v>
      </c>
      <c r="C8" s="136">
        <v>3702</v>
      </c>
      <c r="D8" s="136" t="s">
        <v>790</v>
      </c>
      <c r="E8" s="136" t="s">
        <v>791</v>
      </c>
      <c r="F8" s="71">
        <v>51038199</v>
      </c>
      <c r="G8" s="137"/>
      <c r="I8" s="71">
        <f t="shared" si="0"/>
        <v>51038199</v>
      </c>
      <c r="J8" s="71">
        <f t="shared" si="1"/>
        <v>2514652064.73</v>
      </c>
      <c r="L8" s="113">
        <f>IF(SUM(I$6:I8)&lt;I$56,I8,I$56-SUM(I$5:I7))</f>
        <v>22471989.075001717</v>
      </c>
      <c r="M8" s="113">
        <f>L8*A8</f>
        <v>1107194901.7253346</v>
      </c>
    </row>
    <row r="9" spans="1:14" x14ac:dyDescent="0.25">
      <c r="A9" s="136">
        <v>50.25</v>
      </c>
      <c r="B9" s="136" t="s">
        <v>21</v>
      </c>
      <c r="C9" s="136">
        <v>4810</v>
      </c>
      <c r="D9" s="136" t="s">
        <v>821</v>
      </c>
      <c r="E9" s="136" t="s">
        <v>647</v>
      </c>
      <c r="F9" s="71">
        <v>60000000</v>
      </c>
      <c r="G9" s="137">
        <v>50000000</v>
      </c>
      <c r="I9" s="71">
        <f t="shared" si="0"/>
        <v>60000000</v>
      </c>
      <c r="J9" s="71">
        <f t="shared" si="1"/>
        <v>3015000000</v>
      </c>
      <c r="L9" s="71"/>
      <c r="M9" s="71"/>
    </row>
    <row r="10" spans="1:14" x14ac:dyDescent="0.25">
      <c r="A10" s="136">
        <v>51.48</v>
      </c>
      <c r="B10" s="136" t="s">
        <v>20</v>
      </c>
      <c r="C10" s="136">
        <v>3697</v>
      </c>
      <c r="D10" s="136" t="s">
        <v>792</v>
      </c>
      <c r="E10" s="136" t="s">
        <v>636</v>
      </c>
      <c r="F10" s="71">
        <v>43045800</v>
      </c>
      <c r="G10" s="137">
        <v>40000000</v>
      </c>
      <c r="I10" s="11">
        <f t="shared" si="0"/>
        <v>43045800</v>
      </c>
      <c r="J10" s="11">
        <f t="shared" si="1"/>
        <v>2215997784</v>
      </c>
      <c r="L10" s="71"/>
      <c r="M10" s="71"/>
    </row>
    <row r="11" spans="1:14" x14ac:dyDescent="0.25">
      <c r="A11" s="136">
        <v>53</v>
      </c>
      <c r="B11" s="136" t="s">
        <v>815</v>
      </c>
      <c r="C11" s="136">
        <v>4793</v>
      </c>
      <c r="D11" s="136" t="s">
        <v>816</v>
      </c>
      <c r="E11" s="136" t="s">
        <v>817</v>
      </c>
      <c r="F11" s="71">
        <v>65000000</v>
      </c>
      <c r="G11" s="137"/>
      <c r="I11" s="11">
        <f t="shared" si="0"/>
        <v>65000000</v>
      </c>
      <c r="J11" s="11">
        <f t="shared" si="1"/>
        <v>3445000000</v>
      </c>
      <c r="L11" s="71"/>
      <c r="M11" s="71"/>
    </row>
    <row r="12" spans="1:14" x14ac:dyDescent="0.25">
      <c r="A12" s="136">
        <v>54</v>
      </c>
      <c r="B12" s="136" t="s">
        <v>14</v>
      </c>
      <c r="C12" s="136">
        <v>3697</v>
      </c>
      <c r="D12" s="136" t="s">
        <v>792</v>
      </c>
      <c r="E12" s="136" t="s">
        <v>615</v>
      </c>
      <c r="F12" s="71">
        <v>75330150</v>
      </c>
      <c r="G12" s="137">
        <v>60000000</v>
      </c>
      <c r="I12" s="11">
        <f t="shared" si="0"/>
        <v>75330150</v>
      </c>
      <c r="J12" s="11">
        <f t="shared" si="1"/>
        <v>4067828100</v>
      </c>
      <c r="L12" s="71"/>
      <c r="M12" s="71"/>
    </row>
    <row r="13" spans="1:14" x14ac:dyDescent="0.25">
      <c r="A13" s="136">
        <v>54.596000000000004</v>
      </c>
      <c r="B13" s="136" t="s">
        <v>21</v>
      </c>
      <c r="C13" s="136">
        <v>4789</v>
      </c>
      <c r="D13" s="136" t="s">
        <v>596</v>
      </c>
      <c r="E13" s="136" t="s">
        <v>644</v>
      </c>
      <c r="F13" s="71">
        <v>81555600</v>
      </c>
      <c r="G13" s="137">
        <v>80000000</v>
      </c>
      <c r="I13" s="11">
        <f t="shared" si="0"/>
        <v>81555600</v>
      </c>
      <c r="J13" s="11">
        <f t="shared" si="1"/>
        <v>4452609537.6000004</v>
      </c>
      <c r="L13" s="71"/>
      <c r="M13" s="71"/>
    </row>
    <row r="14" spans="1:14" x14ac:dyDescent="0.25">
      <c r="A14" s="136">
        <v>54.629999999999995</v>
      </c>
      <c r="B14" s="136" t="s">
        <v>15</v>
      </c>
      <c r="C14" s="136">
        <v>4060</v>
      </c>
      <c r="D14" s="136" t="s">
        <v>812</v>
      </c>
      <c r="E14" s="136" t="s">
        <v>813</v>
      </c>
      <c r="F14" s="71">
        <v>70000000</v>
      </c>
      <c r="G14" s="137"/>
      <c r="I14" s="11">
        <f t="shared" si="0"/>
        <v>70000000</v>
      </c>
      <c r="J14" s="11">
        <f t="shared" si="1"/>
        <v>3824099999.9999995</v>
      </c>
    </row>
    <row r="15" spans="1:14" x14ac:dyDescent="0.25">
      <c r="A15" s="136">
        <v>54.861666666666672</v>
      </c>
      <c r="B15" s="136" t="s">
        <v>793</v>
      </c>
      <c r="C15" s="136">
        <v>5026</v>
      </c>
      <c r="D15" s="136" t="s">
        <v>794</v>
      </c>
      <c r="E15" s="136" t="s">
        <v>631</v>
      </c>
      <c r="F15" s="71">
        <v>82125000</v>
      </c>
      <c r="G15" s="137"/>
      <c r="I15" s="11">
        <f t="shared" si="0"/>
        <v>82125000</v>
      </c>
      <c r="J15" s="11">
        <f t="shared" si="1"/>
        <v>4505514375</v>
      </c>
    </row>
    <row r="16" spans="1:14" x14ac:dyDescent="0.25">
      <c r="A16" s="136">
        <v>55.23</v>
      </c>
      <c r="B16" s="136" t="s">
        <v>793</v>
      </c>
      <c r="C16" s="136">
        <v>5934</v>
      </c>
      <c r="D16" s="136" t="s">
        <v>795</v>
      </c>
      <c r="E16" s="136" t="s">
        <v>635</v>
      </c>
      <c r="F16" s="71">
        <v>50000000</v>
      </c>
      <c r="G16" s="137"/>
      <c r="I16" s="11">
        <f t="shared" si="0"/>
        <v>50000000</v>
      </c>
      <c r="J16" s="11">
        <f t="shared" si="1"/>
        <v>2761500000</v>
      </c>
    </row>
    <row r="17" spans="1:10" x14ac:dyDescent="0.25">
      <c r="A17" s="136">
        <v>55.3</v>
      </c>
      <c r="B17" s="136" t="s">
        <v>13</v>
      </c>
      <c r="C17" s="136">
        <v>3697</v>
      </c>
      <c r="D17" s="136" t="s">
        <v>792</v>
      </c>
      <c r="E17" s="136" t="s">
        <v>606</v>
      </c>
      <c r="F17" s="137">
        <v>60000000</v>
      </c>
      <c r="G17" s="137">
        <v>60000000</v>
      </c>
      <c r="I17" s="11">
        <f t="shared" si="0"/>
        <v>60000000</v>
      </c>
      <c r="J17" s="11">
        <f t="shared" si="1"/>
        <v>3318000000</v>
      </c>
    </row>
    <row r="18" spans="1:10" x14ac:dyDescent="0.25">
      <c r="A18" s="136">
        <v>55.48</v>
      </c>
      <c r="B18" s="136" t="s">
        <v>796</v>
      </c>
      <c r="C18" s="136">
        <v>4735</v>
      </c>
      <c r="D18" s="136" t="s">
        <v>797</v>
      </c>
      <c r="E18" s="136" t="s">
        <v>607</v>
      </c>
      <c r="F18" s="137">
        <v>40000000</v>
      </c>
      <c r="G18" s="137"/>
      <c r="I18" s="11">
        <f t="shared" si="0"/>
        <v>40000000</v>
      </c>
      <c r="J18" s="11">
        <f t="shared" si="1"/>
        <v>2219200000</v>
      </c>
    </row>
    <row r="19" spans="1:10" x14ac:dyDescent="0.25">
      <c r="A19" s="136">
        <v>56.594999999999999</v>
      </c>
      <c r="B19" s="136" t="s">
        <v>18</v>
      </c>
      <c r="C19" s="136">
        <v>4805</v>
      </c>
      <c r="D19" s="136" t="s">
        <v>819</v>
      </c>
      <c r="E19" s="136" t="s">
        <v>820</v>
      </c>
      <c r="F19" s="137">
        <v>130000000</v>
      </c>
      <c r="G19" s="137"/>
      <c r="I19" s="11">
        <f t="shared" si="0"/>
        <v>130000000</v>
      </c>
      <c r="J19" s="11">
        <f t="shared" si="1"/>
        <v>7357350000</v>
      </c>
    </row>
    <row r="20" spans="1:10" x14ac:dyDescent="0.25">
      <c r="A20" s="136">
        <v>56.760000000000005</v>
      </c>
      <c r="B20" s="136" t="s">
        <v>21</v>
      </c>
      <c r="C20" s="136">
        <v>4094</v>
      </c>
      <c r="D20" s="136" t="s">
        <v>582</v>
      </c>
      <c r="E20" s="136" t="s">
        <v>638</v>
      </c>
      <c r="F20" s="137">
        <v>55300000</v>
      </c>
      <c r="G20" s="137">
        <v>35000000</v>
      </c>
      <c r="I20" s="11">
        <f t="shared" si="0"/>
        <v>55300000</v>
      </c>
      <c r="J20" s="11">
        <f t="shared" si="1"/>
        <v>3138828000.0000005</v>
      </c>
    </row>
    <row r="21" spans="1:10" x14ac:dyDescent="0.25">
      <c r="A21" s="136">
        <v>57.55</v>
      </c>
      <c r="B21" s="136" t="s">
        <v>793</v>
      </c>
      <c r="C21" s="136">
        <v>4754</v>
      </c>
      <c r="D21" s="136" t="s">
        <v>798</v>
      </c>
      <c r="E21" s="136" t="s">
        <v>628</v>
      </c>
      <c r="F21" s="137">
        <v>55000000</v>
      </c>
      <c r="G21" s="137"/>
      <c r="I21" s="11">
        <f t="shared" si="0"/>
        <v>55000000</v>
      </c>
      <c r="J21" s="11">
        <f t="shared" si="1"/>
        <v>3165250000</v>
      </c>
    </row>
    <row r="22" spans="1:10" x14ac:dyDescent="0.25">
      <c r="A22" s="136">
        <v>57.6</v>
      </c>
      <c r="B22" s="136" t="s">
        <v>796</v>
      </c>
      <c r="C22" s="136">
        <v>4766</v>
      </c>
      <c r="D22" s="136" t="s">
        <v>598</v>
      </c>
      <c r="E22" s="136" t="s">
        <v>608</v>
      </c>
      <c r="F22" s="137">
        <v>60000000</v>
      </c>
      <c r="G22" s="137"/>
      <c r="I22" s="11">
        <f t="shared" si="0"/>
        <v>60000000</v>
      </c>
      <c r="J22" s="11">
        <f t="shared" si="1"/>
        <v>3456000000</v>
      </c>
    </row>
    <row r="23" spans="1:10" x14ac:dyDescent="0.25">
      <c r="A23" s="136">
        <v>57.63</v>
      </c>
      <c r="B23" s="136" t="s">
        <v>18</v>
      </c>
      <c r="C23" s="136">
        <v>5214</v>
      </c>
      <c r="D23" s="136" t="s">
        <v>799</v>
      </c>
      <c r="E23" s="136" t="s">
        <v>634</v>
      </c>
      <c r="F23" s="137">
        <v>26500000</v>
      </c>
      <c r="G23" s="137">
        <v>28000000</v>
      </c>
      <c r="I23" s="11">
        <f t="shared" si="0"/>
        <v>28000000</v>
      </c>
      <c r="J23" s="11">
        <f t="shared" si="1"/>
        <v>1613640000</v>
      </c>
    </row>
    <row r="24" spans="1:10" x14ac:dyDescent="0.25">
      <c r="A24" s="136">
        <v>57.68</v>
      </c>
      <c r="B24" s="136" t="s">
        <v>793</v>
      </c>
      <c r="C24" s="136">
        <v>5078</v>
      </c>
      <c r="D24" s="136" t="s">
        <v>800</v>
      </c>
      <c r="E24" s="136" t="s">
        <v>632</v>
      </c>
      <c r="F24" s="137">
        <v>109000000</v>
      </c>
      <c r="G24" s="137"/>
      <c r="I24" s="11">
        <f t="shared" si="0"/>
        <v>109000000</v>
      </c>
      <c r="J24" s="11">
        <f t="shared" si="1"/>
        <v>6287120000</v>
      </c>
    </row>
    <row r="25" spans="1:10" x14ac:dyDescent="0.25">
      <c r="A25" s="136">
        <v>58.475000000000001</v>
      </c>
      <c r="B25" s="136" t="s">
        <v>18</v>
      </c>
      <c r="C25" s="136">
        <v>4831</v>
      </c>
      <c r="D25" s="136" t="s">
        <v>801</v>
      </c>
      <c r="E25" s="136" t="s">
        <v>629</v>
      </c>
      <c r="F25" s="137">
        <v>84000000</v>
      </c>
      <c r="G25" s="137">
        <v>84000000</v>
      </c>
      <c r="I25" s="11">
        <f t="shared" si="0"/>
        <v>84000000</v>
      </c>
      <c r="J25" s="11">
        <f t="shared" si="1"/>
        <v>4911900000</v>
      </c>
    </row>
    <row r="26" spans="1:10" x14ac:dyDescent="0.25">
      <c r="A26" s="136">
        <v>58.51</v>
      </c>
      <c r="B26" s="136" t="s">
        <v>793</v>
      </c>
      <c r="C26" s="136">
        <v>3368</v>
      </c>
      <c r="D26" s="136" t="s">
        <v>588</v>
      </c>
      <c r="E26" s="136" t="s">
        <v>627</v>
      </c>
      <c r="F26" s="137">
        <v>116000000</v>
      </c>
      <c r="G26" s="137"/>
      <c r="I26" s="11">
        <f t="shared" si="0"/>
        <v>116000000</v>
      </c>
      <c r="J26" s="11">
        <f t="shared" si="1"/>
        <v>6787160000</v>
      </c>
    </row>
    <row r="27" spans="1:10" x14ac:dyDescent="0.25">
      <c r="A27" s="136">
        <v>58.994999999999997</v>
      </c>
      <c r="B27" s="136" t="s">
        <v>21</v>
      </c>
      <c r="C27" s="136">
        <v>4803</v>
      </c>
      <c r="D27" s="136" t="s">
        <v>597</v>
      </c>
      <c r="E27" s="136" t="s">
        <v>646</v>
      </c>
      <c r="F27" s="137">
        <v>69949425</v>
      </c>
      <c r="G27" s="137"/>
      <c r="I27" s="11">
        <f t="shared" si="0"/>
        <v>69949425</v>
      </c>
      <c r="J27" s="11">
        <f t="shared" si="1"/>
        <v>4126666327.875</v>
      </c>
    </row>
    <row r="28" spans="1:10" x14ac:dyDescent="0.25">
      <c r="A28" s="136">
        <v>59.489999999999995</v>
      </c>
      <c r="B28" s="136" t="s">
        <v>21</v>
      </c>
      <c r="C28" s="136">
        <v>4061</v>
      </c>
      <c r="D28" s="136" t="s">
        <v>814</v>
      </c>
      <c r="E28" s="136" t="s">
        <v>637</v>
      </c>
      <c r="F28" s="137">
        <v>70000000</v>
      </c>
      <c r="G28" s="137">
        <v>50000000</v>
      </c>
      <c r="I28" s="11">
        <f t="shared" si="0"/>
        <v>70000000</v>
      </c>
      <c r="J28" s="11">
        <f t="shared" si="1"/>
        <v>4164299999.9999995</v>
      </c>
    </row>
    <row r="29" spans="1:10" x14ac:dyDescent="0.25">
      <c r="A29" s="136">
        <v>59.58</v>
      </c>
      <c r="B29" s="136" t="s">
        <v>18</v>
      </c>
      <c r="C29" s="136">
        <v>5095</v>
      </c>
      <c r="D29" s="136" t="s">
        <v>594</v>
      </c>
      <c r="E29" s="136" t="s">
        <v>633</v>
      </c>
      <c r="F29" s="137">
        <v>46000000</v>
      </c>
      <c r="G29" s="137">
        <v>49000000</v>
      </c>
      <c r="I29" s="11">
        <f t="shared" si="0"/>
        <v>49000000</v>
      </c>
      <c r="J29" s="11">
        <f t="shared" si="1"/>
        <v>2919420000</v>
      </c>
    </row>
    <row r="30" spans="1:10" x14ac:dyDescent="0.25">
      <c r="A30" s="136">
        <v>59.99666666666667</v>
      </c>
      <c r="B30" s="136" t="s">
        <v>17</v>
      </c>
      <c r="C30" s="136">
        <v>4063</v>
      </c>
      <c r="D30" s="136" t="s">
        <v>586</v>
      </c>
      <c r="E30" s="136" t="s">
        <v>621</v>
      </c>
      <c r="F30" s="137">
        <v>65000000</v>
      </c>
      <c r="G30" s="137">
        <v>65000000</v>
      </c>
      <c r="I30" s="11">
        <f t="shared" si="0"/>
        <v>65000000</v>
      </c>
      <c r="J30" s="11">
        <f t="shared" si="1"/>
        <v>3899783333.3333335</v>
      </c>
    </row>
    <row r="31" spans="1:10" x14ac:dyDescent="0.25">
      <c r="A31" s="136">
        <v>60.11</v>
      </c>
      <c r="B31" s="136" t="s">
        <v>19</v>
      </c>
      <c r="C31" s="136">
        <v>6169</v>
      </c>
      <c r="D31" s="136" t="s">
        <v>802</v>
      </c>
      <c r="E31" s="136" t="s">
        <v>625</v>
      </c>
      <c r="F31" s="137">
        <v>145000000</v>
      </c>
      <c r="G31" s="137"/>
      <c r="I31" s="11">
        <f t="shared" si="0"/>
        <v>145000000</v>
      </c>
      <c r="J31" s="11">
        <f t="shared" si="1"/>
        <v>8715950000</v>
      </c>
    </row>
    <row r="32" spans="1:10" x14ac:dyDescent="0.25">
      <c r="A32" s="136">
        <v>60.663333333333334</v>
      </c>
      <c r="B32" s="136" t="s">
        <v>16</v>
      </c>
      <c r="C32" s="136">
        <v>4740</v>
      </c>
      <c r="D32" s="136" t="s">
        <v>599</v>
      </c>
      <c r="E32" s="136" t="s">
        <v>617</v>
      </c>
      <c r="F32" s="137">
        <v>54600000</v>
      </c>
      <c r="G32" s="137">
        <v>51000000</v>
      </c>
      <c r="I32" s="11">
        <f t="shared" si="0"/>
        <v>54600000</v>
      </c>
      <c r="J32" s="11">
        <f t="shared" si="1"/>
        <v>3312218000</v>
      </c>
    </row>
    <row r="33" spans="1:10" x14ac:dyDescent="0.25">
      <c r="A33" s="136">
        <v>60.709999999999994</v>
      </c>
      <c r="B33" s="136" t="s">
        <v>17</v>
      </c>
      <c r="C33" s="136">
        <v>4804</v>
      </c>
      <c r="D33" s="136" t="s">
        <v>818</v>
      </c>
      <c r="E33" s="136" t="s">
        <v>623</v>
      </c>
      <c r="F33" s="137">
        <v>53269178</v>
      </c>
      <c r="G33" s="137">
        <v>49000000</v>
      </c>
      <c r="I33" s="11">
        <f t="shared" si="0"/>
        <v>53269178</v>
      </c>
      <c r="J33" s="11">
        <f t="shared" si="1"/>
        <v>3233971796.3799996</v>
      </c>
    </row>
    <row r="34" spans="1:10" x14ac:dyDescent="0.25">
      <c r="A34" s="136">
        <v>61.605000000000004</v>
      </c>
      <c r="B34" s="136" t="s">
        <v>21</v>
      </c>
      <c r="C34" s="136">
        <v>6274</v>
      </c>
      <c r="D34" s="136" t="s">
        <v>822</v>
      </c>
      <c r="E34" s="136" t="s">
        <v>823</v>
      </c>
      <c r="F34" s="137">
        <v>105000000</v>
      </c>
      <c r="G34" s="137"/>
      <c r="I34" s="11">
        <f t="shared" si="0"/>
        <v>105000000</v>
      </c>
      <c r="J34" s="11">
        <f t="shared" si="1"/>
        <v>6468525000</v>
      </c>
    </row>
    <row r="35" spans="1:10" x14ac:dyDescent="0.25">
      <c r="A35" s="136">
        <v>62.1</v>
      </c>
      <c r="B35" s="136" t="s">
        <v>17</v>
      </c>
      <c r="C35" s="136">
        <v>4769</v>
      </c>
      <c r="D35" s="136" t="s">
        <v>587</v>
      </c>
      <c r="E35" s="136" t="s">
        <v>622</v>
      </c>
      <c r="F35" s="137">
        <v>70000000</v>
      </c>
      <c r="G35" s="137">
        <v>60000000</v>
      </c>
      <c r="I35" s="11">
        <f t="shared" si="0"/>
        <v>70000000</v>
      </c>
      <c r="J35" s="11">
        <f t="shared" si="1"/>
        <v>4347000000</v>
      </c>
    </row>
    <row r="36" spans="1:10" x14ac:dyDescent="0.25">
      <c r="A36" s="136">
        <v>62.4</v>
      </c>
      <c r="B36" s="136" t="s">
        <v>17</v>
      </c>
      <c r="C36" s="136">
        <v>3383</v>
      </c>
      <c r="D36" s="136" t="s">
        <v>803</v>
      </c>
      <c r="E36" s="136" t="s">
        <v>619</v>
      </c>
      <c r="F36" s="137">
        <v>149000000</v>
      </c>
      <c r="G36" s="137">
        <v>150000000</v>
      </c>
      <c r="I36" s="11">
        <f t="shared" si="0"/>
        <v>150000000</v>
      </c>
      <c r="J36" s="11">
        <f t="shared" si="1"/>
        <v>9360000000</v>
      </c>
    </row>
    <row r="37" spans="1:10" x14ac:dyDescent="0.25">
      <c r="A37" s="136">
        <v>62.64</v>
      </c>
      <c r="B37" s="136" t="s">
        <v>793</v>
      </c>
      <c r="C37" s="136">
        <v>3360</v>
      </c>
      <c r="D37" s="136" t="s">
        <v>589</v>
      </c>
      <c r="E37" s="136" t="s">
        <v>626</v>
      </c>
      <c r="F37" s="137">
        <v>65000000</v>
      </c>
      <c r="G37" s="137"/>
      <c r="I37" s="11">
        <f t="shared" si="0"/>
        <v>65000000</v>
      </c>
      <c r="J37" s="11">
        <f t="shared" si="1"/>
        <v>4071600000</v>
      </c>
    </row>
    <row r="38" spans="1:10" x14ac:dyDescent="0.25">
      <c r="A38" s="136">
        <v>62.67</v>
      </c>
      <c r="B38" s="136" t="s">
        <v>804</v>
      </c>
      <c r="C38" s="136">
        <v>5073</v>
      </c>
      <c r="D38" s="136" t="s">
        <v>590</v>
      </c>
      <c r="E38" s="136" t="s">
        <v>614</v>
      </c>
      <c r="F38" s="137">
        <v>82000000</v>
      </c>
      <c r="G38" s="137"/>
      <c r="I38" s="11">
        <f t="shared" si="0"/>
        <v>82000000</v>
      </c>
      <c r="J38" s="11">
        <f t="shared" si="1"/>
        <v>5138940000</v>
      </c>
    </row>
    <row r="39" spans="1:10" x14ac:dyDescent="0.25">
      <c r="A39" s="136">
        <v>63.405000000000001</v>
      </c>
      <c r="B39" s="136" t="s">
        <v>15</v>
      </c>
      <c r="C39" s="136">
        <v>4728</v>
      </c>
      <c r="D39" s="136" t="s">
        <v>593</v>
      </c>
      <c r="E39" s="136" t="s">
        <v>609</v>
      </c>
      <c r="F39" s="137">
        <v>185000000</v>
      </c>
      <c r="G39" s="137">
        <v>165000000</v>
      </c>
      <c r="I39" s="11">
        <f t="shared" si="0"/>
        <v>185000000</v>
      </c>
      <c r="J39" s="11">
        <f t="shared" si="1"/>
        <v>11729925000</v>
      </c>
    </row>
    <row r="40" spans="1:10" x14ac:dyDescent="0.25">
      <c r="A40" s="136">
        <v>64.489999999999995</v>
      </c>
      <c r="B40" s="136" t="s">
        <v>15</v>
      </c>
      <c r="C40" s="136">
        <v>5049</v>
      </c>
      <c r="D40" s="136" t="s">
        <v>583</v>
      </c>
      <c r="E40" s="136" t="s">
        <v>613</v>
      </c>
      <c r="F40" s="137">
        <v>130000000</v>
      </c>
      <c r="G40" s="137">
        <v>110000000</v>
      </c>
      <c r="I40" s="11">
        <f t="shared" si="0"/>
        <v>130000000</v>
      </c>
      <c r="J40" s="11">
        <f t="shared" si="1"/>
        <v>8383699999.999999</v>
      </c>
    </row>
    <row r="41" spans="1:10" x14ac:dyDescent="0.25">
      <c r="A41" s="136">
        <v>64.7</v>
      </c>
      <c r="B41" s="136" t="s">
        <v>21</v>
      </c>
      <c r="C41" s="136">
        <v>4094</v>
      </c>
      <c r="D41" s="136" t="s">
        <v>582</v>
      </c>
      <c r="E41" s="136" t="s">
        <v>639</v>
      </c>
      <c r="F41" s="137">
        <v>40000000</v>
      </c>
      <c r="G41" s="137">
        <v>35000000</v>
      </c>
      <c r="I41" s="11">
        <f t="shared" si="0"/>
        <v>40000000</v>
      </c>
      <c r="J41" s="11">
        <f t="shared" si="1"/>
        <v>2588000000</v>
      </c>
    </row>
    <row r="42" spans="1:10" x14ac:dyDescent="0.25">
      <c r="A42" s="136">
        <v>65.13</v>
      </c>
      <c r="B42" s="136" t="s">
        <v>17</v>
      </c>
      <c r="C42" s="136">
        <v>4015</v>
      </c>
      <c r="D42" s="136" t="s">
        <v>592</v>
      </c>
      <c r="E42" s="136" t="s">
        <v>620</v>
      </c>
      <c r="F42" s="137">
        <v>59000000</v>
      </c>
      <c r="G42" s="137">
        <v>72000000</v>
      </c>
      <c r="I42" s="11">
        <f t="shared" si="0"/>
        <v>72000000</v>
      </c>
      <c r="J42" s="11">
        <f t="shared" si="1"/>
        <v>4689360000</v>
      </c>
    </row>
    <row r="43" spans="1:10" x14ac:dyDescent="0.25">
      <c r="A43" s="136">
        <v>65.180000000000007</v>
      </c>
      <c r="B43" s="136" t="s">
        <v>16</v>
      </c>
      <c r="C43" s="136">
        <v>4054</v>
      </c>
      <c r="D43" s="136" t="s">
        <v>585</v>
      </c>
      <c r="E43" s="136" t="s">
        <v>616</v>
      </c>
      <c r="F43" s="137">
        <v>55000000</v>
      </c>
      <c r="G43" s="137">
        <v>55000000</v>
      </c>
      <c r="I43" s="11">
        <f t="shared" si="0"/>
        <v>55000000</v>
      </c>
      <c r="J43" s="11">
        <f t="shared" si="1"/>
        <v>3584900000.0000005</v>
      </c>
    </row>
    <row r="44" spans="1:10" x14ac:dyDescent="0.25">
      <c r="A44" s="136">
        <v>65.78</v>
      </c>
      <c r="B44" s="136" t="s">
        <v>804</v>
      </c>
      <c r="C44" s="136">
        <v>4792</v>
      </c>
      <c r="D44" s="136" t="s">
        <v>805</v>
      </c>
      <c r="E44" s="136" t="s">
        <v>611</v>
      </c>
      <c r="F44" s="137">
        <v>55000000</v>
      </c>
      <c r="G44" s="137"/>
      <c r="I44" s="11">
        <f t="shared" si="0"/>
        <v>55000000</v>
      </c>
      <c r="J44" s="11">
        <f t="shared" si="1"/>
        <v>3617900000</v>
      </c>
    </row>
    <row r="45" spans="1:10" x14ac:dyDescent="0.25">
      <c r="A45" s="136">
        <v>66.16</v>
      </c>
      <c r="B45" s="136" t="s">
        <v>804</v>
      </c>
      <c r="C45" s="136">
        <v>5046</v>
      </c>
      <c r="D45" s="136" t="s">
        <v>806</v>
      </c>
      <c r="E45" s="136" t="s">
        <v>612</v>
      </c>
      <c r="F45" s="137">
        <v>80000000</v>
      </c>
      <c r="G45" s="137"/>
      <c r="I45" s="11">
        <f t="shared" si="0"/>
        <v>80000000</v>
      </c>
      <c r="J45" s="11">
        <f t="shared" si="1"/>
        <v>5292800000</v>
      </c>
    </row>
    <row r="46" spans="1:10" x14ac:dyDescent="0.25">
      <c r="A46" s="136">
        <v>66.599999999999994</v>
      </c>
      <c r="B46" s="136" t="s">
        <v>804</v>
      </c>
      <c r="C46" s="136">
        <v>4783</v>
      </c>
      <c r="D46" s="136" t="s">
        <v>807</v>
      </c>
      <c r="E46" s="136" t="s">
        <v>610</v>
      </c>
      <c r="F46" s="137">
        <v>60000000</v>
      </c>
      <c r="G46" s="137"/>
      <c r="I46" s="11">
        <f t="shared" si="0"/>
        <v>60000000</v>
      </c>
      <c r="J46" s="11">
        <f t="shared" si="1"/>
        <v>3995999999.9999995</v>
      </c>
    </row>
    <row r="47" spans="1:10" x14ac:dyDescent="0.25">
      <c r="A47" s="136">
        <v>67.010000000000005</v>
      </c>
      <c r="B47" s="136" t="s">
        <v>21</v>
      </c>
      <c r="C47" s="136">
        <v>4764</v>
      </c>
      <c r="D47" s="136" t="s">
        <v>808</v>
      </c>
      <c r="E47" s="136" t="s">
        <v>643</v>
      </c>
      <c r="F47" s="137">
        <v>100000000</v>
      </c>
      <c r="G47" s="137">
        <v>130000000</v>
      </c>
      <c r="I47" s="11">
        <f t="shared" si="0"/>
        <v>130000000</v>
      </c>
      <c r="J47" s="11">
        <f t="shared" si="1"/>
        <v>8711300000</v>
      </c>
    </row>
    <row r="48" spans="1:10" x14ac:dyDescent="0.25">
      <c r="A48" s="136">
        <v>67.52</v>
      </c>
      <c r="B48" s="136" t="s">
        <v>21</v>
      </c>
      <c r="C48" s="136">
        <v>4791</v>
      </c>
      <c r="D48" s="136" t="s">
        <v>809</v>
      </c>
      <c r="E48" s="136" t="s">
        <v>645</v>
      </c>
      <c r="F48" s="137">
        <v>70000000</v>
      </c>
      <c r="G48" s="137"/>
      <c r="I48" s="11">
        <f t="shared" si="0"/>
        <v>70000000</v>
      </c>
      <c r="J48" s="11">
        <f t="shared" si="1"/>
        <v>4726400000</v>
      </c>
    </row>
    <row r="49" spans="1:14" x14ac:dyDescent="0.25">
      <c r="A49" s="136">
        <v>67.819999999999993</v>
      </c>
      <c r="B49" s="136" t="s">
        <v>21</v>
      </c>
      <c r="C49" s="136">
        <v>4736</v>
      </c>
      <c r="D49" s="136" t="s">
        <v>810</v>
      </c>
      <c r="E49" s="136" t="s">
        <v>641</v>
      </c>
      <c r="F49" s="137">
        <v>90000000</v>
      </c>
      <c r="G49" s="137"/>
      <c r="I49" s="11">
        <f t="shared" si="0"/>
        <v>90000000</v>
      </c>
      <c r="J49" s="11">
        <f t="shared" si="1"/>
        <v>6103799999.999999</v>
      </c>
    </row>
    <row r="50" spans="1:14" x14ac:dyDescent="0.25">
      <c r="A50" s="136">
        <v>67.989999999999995</v>
      </c>
      <c r="B50" s="136" t="s">
        <v>21</v>
      </c>
      <c r="C50" s="136">
        <v>4764</v>
      </c>
      <c r="D50" s="136" t="s">
        <v>808</v>
      </c>
      <c r="E50" s="136" t="s">
        <v>642</v>
      </c>
      <c r="F50" s="137">
        <v>100000000</v>
      </c>
      <c r="G50" s="137">
        <v>130000000</v>
      </c>
      <c r="I50" s="11">
        <f t="shared" si="0"/>
        <v>130000000</v>
      </c>
      <c r="J50" s="11">
        <f t="shared" si="1"/>
        <v>8838700000</v>
      </c>
    </row>
    <row r="51" spans="1:14" x14ac:dyDescent="0.25">
      <c r="A51" s="136">
        <v>68.040000000000006</v>
      </c>
      <c r="B51" s="136" t="s">
        <v>17</v>
      </c>
      <c r="C51" s="136">
        <v>4827</v>
      </c>
      <c r="D51" s="136" t="s">
        <v>591</v>
      </c>
      <c r="E51" s="136" t="s">
        <v>624</v>
      </c>
      <c r="F51" s="137">
        <v>100000000</v>
      </c>
      <c r="G51" s="137">
        <v>120000000</v>
      </c>
      <c r="I51" s="11">
        <f t="shared" si="0"/>
        <v>120000000</v>
      </c>
      <c r="J51" s="137">
        <f t="shared" si="1"/>
        <v>8164800000.000001</v>
      </c>
    </row>
    <row r="52" spans="1:14" x14ac:dyDescent="0.25">
      <c r="A52" s="136">
        <v>69.27</v>
      </c>
      <c r="B52" s="136" t="s">
        <v>18</v>
      </c>
      <c r="C52" s="136">
        <v>4888</v>
      </c>
      <c r="D52" s="136" t="s">
        <v>811</v>
      </c>
      <c r="E52" s="136" t="s">
        <v>630</v>
      </c>
      <c r="F52" s="137">
        <v>300000000</v>
      </c>
      <c r="G52" s="137">
        <v>206500000</v>
      </c>
      <c r="I52" s="137">
        <f t="shared" si="0"/>
        <v>300000000</v>
      </c>
      <c r="J52" s="137">
        <f t="shared" si="1"/>
        <v>20781000000</v>
      </c>
    </row>
    <row r="53" spans="1:14" x14ac:dyDescent="0.25">
      <c r="A53" s="136">
        <v>69.435000000000002</v>
      </c>
      <c r="B53" s="136" t="s">
        <v>16</v>
      </c>
      <c r="C53" s="136">
        <v>5715</v>
      </c>
      <c r="D53" s="136" t="s">
        <v>584</v>
      </c>
      <c r="E53" s="136" t="s">
        <v>618</v>
      </c>
      <c r="F53" s="137">
        <v>110000000</v>
      </c>
      <c r="G53" s="137">
        <v>110000000</v>
      </c>
      <c r="I53" s="137">
        <f t="shared" si="0"/>
        <v>110000000</v>
      </c>
      <c r="J53" s="137">
        <f t="shared" si="1"/>
        <v>7637850000</v>
      </c>
    </row>
    <row r="54" spans="1:14" s="136" customFormat="1" x14ac:dyDescent="0.25">
      <c r="A54" s="136" t="s">
        <v>600</v>
      </c>
      <c r="B54"/>
      <c r="C54"/>
      <c r="D54"/>
      <c r="E54"/>
      <c r="F54" s="137">
        <v>3973097460</v>
      </c>
      <c r="G54" s="137">
        <v>2044500000</v>
      </c>
      <c r="I54" s="137">
        <f>SUM(I8:I53)</f>
        <v>3921213352</v>
      </c>
      <c r="J54" s="137">
        <f>SUM(J8:J53)</f>
        <v>241661459318.91833</v>
      </c>
    </row>
    <row r="55" spans="1:14" s="136" customFormat="1" ht="15.75" thickBot="1" x14ac:dyDescent="0.3"/>
    <row r="56" spans="1:14" s="136" customFormat="1" ht="15.75" thickBot="1" x14ac:dyDescent="0.3">
      <c r="I56" s="113">
        <f>'Table 1 - Volumes'!G6*1000000</f>
        <v>172856097.07500172</v>
      </c>
      <c r="J56" s="51">
        <f>J54/I54</f>
        <v>61.6292554435121</v>
      </c>
      <c r="L56" s="143">
        <f>SUM(M6:M8)/SUM(L6:L8)</f>
        <v>45.280017086019186</v>
      </c>
      <c r="M56" s="145">
        <f>'CI Trend'!AC12</f>
        <v>47.543330573408511</v>
      </c>
      <c r="N56" s="157">
        <v>47.5</v>
      </c>
    </row>
    <row r="57" spans="1:14" s="136" customFormat="1" x14ac:dyDescent="0.25"/>
    <row r="58" spans="1:14" s="136" customFormat="1" x14ac:dyDescent="0.25">
      <c r="A58" s="20" t="s">
        <v>785</v>
      </c>
      <c r="B58" s="132">
        <v>43466</v>
      </c>
      <c r="F58" s="137"/>
      <c r="G58" s="137"/>
    </row>
    <row r="59" spans="1:14" x14ac:dyDescent="0.25">
      <c r="A59" s="20" t="s">
        <v>257</v>
      </c>
      <c r="B59" s="136" t="s">
        <v>7</v>
      </c>
      <c r="C59" s="136"/>
      <c r="D59" s="136"/>
      <c r="E59" s="136"/>
      <c r="F59" s="136"/>
      <c r="G59" s="136"/>
    </row>
    <row r="60" spans="1:14" x14ac:dyDescent="0.25">
      <c r="A60" s="136"/>
      <c r="B60" s="136"/>
      <c r="C60" s="136"/>
      <c r="D60" s="136"/>
      <c r="E60" s="136"/>
      <c r="F60" s="136"/>
      <c r="G60" s="136"/>
    </row>
    <row r="61" spans="1:14" x14ac:dyDescent="0.25">
      <c r="F61" s="20" t="s">
        <v>601</v>
      </c>
    </row>
    <row r="62" spans="1:14" x14ac:dyDescent="0.25">
      <c r="A62" s="20" t="s">
        <v>707</v>
      </c>
      <c r="B62" s="20" t="s">
        <v>12</v>
      </c>
      <c r="C62" s="20" t="s">
        <v>604</v>
      </c>
      <c r="D62" s="20" t="s">
        <v>581</v>
      </c>
      <c r="E62" s="20" t="s">
        <v>605</v>
      </c>
      <c r="F62" s="136" t="s">
        <v>602</v>
      </c>
      <c r="G62" s="136" t="s">
        <v>603</v>
      </c>
      <c r="I62" s="136" t="s">
        <v>649</v>
      </c>
      <c r="J62" s="136" t="s">
        <v>648</v>
      </c>
    </row>
    <row r="63" spans="1:14" x14ac:dyDescent="0.25">
      <c r="A63" s="136">
        <v>15.43</v>
      </c>
      <c r="B63" s="136" t="s">
        <v>20</v>
      </c>
      <c r="C63" s="136">
        <v>6129</v>
      </c>
      <c r="D63" s="136" t="s">
        <v>824</v>
      </c>
      <c r="E63" s="136" t="s">
        <v>744</v>
      </c>
      <c r="F63" s="113">
        <v>10000000</v>
      </c>
      <c r="G63" s="137">
        <v>17000000</v>
      </c>
      <c r="I63" s="71">
        <f>MAX(F63:G63)</f>
        <v>17000000</v>
      </c>
      <c r="J63" s="71">
        <f>MAX(F63:G63)*A63</f>
        <v>262310000</v>
      </c>
      <c r="L63" s="113">
        <f>IF(SUM(I63:I$63)&lt;I$90,I63,I$103-SUM(I62:I$62))</f>
        <v>17000000</v>
      </c>
      <c r="M63" s="113">
        <f>L63*A63</f>
        <v>262310000</v>
      </c>
    </row>
    <row r="64" spans="1:14" x14ac:dyDescent="0.25">
      <c r="A64" s="136">
        <v>20</v>
      </c>
      <c r="B64" s="136" t="s">
        <v>746</v>
      </c>
      <c r="C64" s="136">
        <v>6094</v>
      </c>
      <c r="D64" s="136" t="s">
        <v>745</v>
      </c>
      <c r="E64" s="136" t="s">
        <v>825</v>
      </c>
      <c r="F64" s="113">
        <v>33285679</v>
      </c>
      <c r="G64" s="137"/>
      <c r="I64" s="71">
        <f t="shared" ref="I64:I80" si="2">MAX(F64:G64)</f>
        <v>33285679</v>
      </c>
      <c r="J64" s="71">
        <f t="shared" ref="J64:J80" si="3">MAX(F64:G64)*A64</f>
        <v>665713580</v>
      </c>
      <c r="L64" s="113">
        <f>IF(SUM(I$63:I64)&lt;I$90,I64,I$103-SUM(I$62:I63))</f>
        <v>33285679</v>
      </c>
      <c r="M64" s="113">
        <f>L64*A64</f>
        <v>665713580</v>
      </c>
    </row>
    <row r="65" spans="1:13" x14ac:dyDescent="0.25">
      <c r="A65" s="136">
        <v>20.38</v>
      </c>
      <c r="B65" s="136" t="s">
        <v>826</v>
      </c>
      <c r="C65" s="136">
        <v>3919</v>
      </c>
      <c r="D65" s="136" t="s">
        <v>747</v>
      </c>
      <c r="E65" s="136" t="s">
        <v>748</v>
      </c>
      <c r="F65" s="113">
        <v>489175</v>
      </c>
      <c r="G65" s="137"/>
      <c r="I65" s="71">
        <f t="shared" si="2"/>
        <v>489175</v>
      </c>
      <c r="J65" s="71">
        <f t="shared" si="3"/>
        <v>9969386.5</v>
      </c>
      <c r="L65" s="113">
        <f>IF(SUM(I$63:I65)&lt;I$90,I65,I$103-SUM(I$62:I64))</f>
        <v>489175</v>
      </c>
      <c r="M65" s="113">
        <f>L65*A65</f>
        <v>9969386.5</v>
      </c>
    </row>
    <row r="66" spans="1:13" x14ac:dyDescent="0.25">
      <c r="A66" s="136">
        <v>25.7</v>
      </c>
      <c r="B66" s="136" t="s">
        <v>749</v>
      </c>
      <c r="C66" s="136">
        <v>7765</v>
      </c>
      <c r="D66" s="136" t="s">
        <v>827</v>
      </c>
      <c r="E66" s="136" t="s">
        <v>750</v>
      </c>
      <c r="F66" s="113">
        <v>15000000</v>
      </c>
      <c r="G66" s="137">
        <v>15000000</v>
      </c>
      <c r="I66" s="71">
        <f t="shared" si="2"/>
        <v>15000000</v>
      </c>
      <c r="J66" s="71">
        <f t="shared" si="3"/>
        <v>385500000</v>
      </c>
      <c r="L66" s="113">
        <f>IF(SUM(I$63:I66)&lt;I$90,I66,I$103-SUM(I$62:I65))</f>
        <v>15000000</v>
      </c>
      <c r="M66" s="113">
        <f>L66*A66</f>
        <v>385500000</v>
      </c>
    </row>
    <row r="67" spans="1:13" x14ac:dyDescent="0.25">
      <c r="A67" s="136">
        <v>26.84</v>
      </c>
      <c r="B67" s="136" t="s">
        <v>828</v>
      </c>
      <c r="C67" s="136">
        <v>5953</v>
      </c>
      <c r="D67" s="136" t="s">
        <v>829</v>
      </c>
      <c r="E67" s="136" t="s">
        <v>751</v>
      </c>
      <c r="F67" s="113">
        <v>16706637</v>
      </c>
      <c r="G67" s="137"/>
      <c r="I67" s="71">
        <f t="shared" si="2"/>
        <v>16706637</v>
      </c>
      <c r="J67" s="71">
        <f t="shared" si="3"/>
        <v>448406137.07999998</v>
      </c>
      <c r="L67" s="71"/>
      <c r="M67" s="71"/>
    </row>
    <row r="68" spans="1:13" x14ac:dyDescent="0.25">
      <c r="A68" s="136">
        <v>28.59</v>
      </c>
      <c r="B68" s="136" t="s">
        <v>754</v>
      </c>
      <c r="C68" s="136">
        <v>3367</v>
      </c>
      <c r="D68" s="136" t="s">
        <v>830</v>
      </c>
      <c r="E68" s="136" t="s">
        <v>755</v>
      </c>
      <c r="F68" s="137">
        <v>5000000</v>
      </c>
      <c r="G68" s="137">
        <v>5000000</v>
      </c>
      <c r="I68" s="137">
        <f t="shared" si="2"/>
        <v>5000000</v>
      </c>
      <c r="J68" s="137">
        <f t="shared" si="3"/>
        <v>142950000</v>
      </c>
      <c r="L68" s="71"/>
      <c r="M68" s="71"/>
    </row>
    <row r="69" spans="1:13" x14ac:dyDescent="0.25">
      <c r="A69" s="136">
        <v>30.083333333333332</v>
      </c>
      <c r="B69" s="136" t="s">
        <v>831</v>
      </c>
      <c r="C69" s="136">
        <v>3758</v>
      </c>
      <c r="D69" s="136" t="s">
        <v>756</v>
      </c>
      <c r="E69" s="136" t="s">
        <v>757</v>
      </c>
      <c r="F69" s="137">
        <v>16642847</v>
      </c>
      <c r="G69" s="137"/>
      <c r="I69" s="137">
        <f t="shared" si="2"/>
        <v>16642847</v>
      </c>
      <c r="J69" s="137">
        <f t="shared" si="3"/>
        <v>500672313.91666663</v>
      </c>
      <c r="L69" s="71"/>
      <c r="M69" s="71"/>
    </row>
    <row r="70" spans="1:13" x14ac:dyDescent="0.25">
      <c r="A70" s="136">
        <v>32.524999999999999</v>
      </c>
      <c r="B70" s="136" t="s">
        <v>758</v>
      </c>
      <c r="C70" s="136">
        <v>4664</v>
      </c>
      <c r="D70" s="136" t="s">
        <v>759</v>
      </c>
      <c r="E70" s="136" t="s">
        <v>760</v>
      </c>
      <c r="F70" s="137">
        <v>59000000</v>
      </c>
      <c r="G70" s="137">
        <v>60000000</v>
      </c>
      <c r="I70" s="137">
        <f t="shared" si="2"/>
        <v>60000000</v>
      </c>
      <c r="J70" s="137">
        <f t="shared" si="3"/>
        <v>1951500000</v>
      </c>
      <c r="L70" s="71"/>
      <c r="M70" s="71"/>
    </row>
    <row r="71" spans="1:13" x14ac:dyDescent="0.25">
      <c r="A71" s="136">
        <v>42.959999999999994</v>
      </c>
      <c r="B71" s="136" t="s">
        <v>18</v>
      </c>
      <c r="C71" s="136">
        <v>6322</v>
      </c>
      <c r="D71" s="136" t="s">
        <v>832</v>
      </c>
      <c r="E71" s="136" t="s">
        <v>767</v>
      </c>
      <c r="F71" s="137">
        <v>62500000</v>
      </c>
      <c r="G71" s="137"/>
      <c r="I71" s="137">
        <f t="shared" si="2"/>
        <v>62500000</v>
      </c>
      <c r="J71" s="137">
        <f t="shared" si="3"/>
        <v>2684999999.9999995</v>
      </c>
    </row>
    <row r="72" spans="1:13" x14ac:dyDescent="0.25">
      <c r="A72" s="136">
        <v>49.16</v>
      </c>
      <c r="B72" s="136" t="s">
        <v>764</v>
      </c>
      <c r="C72" s="136">
        <v>4285</v>
      </c>
      <c r="D72" s="136" t="s">
        <v>833</v>
      </c>
      <c r="E72" s="136" t="s">
        <v>769</v>
      </c>
      <c r="F72" s="137">
        <v>33000000</v>
      </c>
      <c r="G72" s="137">
        <v>50000000</v>
      </c>
      <c r="I72" s="137">
        <f t="shared" si="2"/>
        <v>50000000</v>
      </c>
      <c r="J72" s="137">
        <f t="shared" si="3"/>
        <v>2458000000</v>
      </c>
    </row>
    <row r="73" spans="1:13" x14ac:dyDescent="0.25">
      <c r="A73" s="136">
        <v>50</v>
      </c>
      <c r="B73" s="136" t="s">
        <v>15</v>
      </c>
      <c r="C73" s="136">
        <v>4552</v>
      </c>
      <c r="D73" s="136" t="s">
        <v>834</v>
      </c>
      <c r="E73" s="136" t="s">
        <v>770</v>
      </c>
      <c r="F73" s="137">
        <v>75508819</v>
      </c>
      <c r="G73" s="137">
        <v>75508819</v>
      </c>
      <c r="I73" s="137">
        <f t="shared" si="2"/>
        <v>75508819</v>
      </c>
      <c r="J73" s="137">
        <f t="shared" si="3"/>
        <v>3775440950</v>
      </c>
    </row>
    <row r="74" spans="1:13" x14ac:dyDescent="0.25">
      <c r="A74" s="136">
        <v>50.46</v>
      </c>
      <c r="B74" s="136" t="s">
        <v>764</v>
      </c>
      <c r="C74" s="136">
        <v>4552</v>
      </c>
      <c r="D74" s="136" t="s">
        <v>834</v>
      </c>
      <c r="E74" s="136" t="s">
        <v>771</v>
      </c>
      <c r="F74" s="137">
        <v>41601085</v>
      </c>
      <c r="G74" s="137">
        <v>41601085</v>
      </c>
      <c r="I74" s="137">
        <f t="shared" si="2"/>
        <v>41601085</v>
      </c>
      <c r="J74" s="137">
        <f t="shared" si="3"/>
        <v>2099190749.1000001</v>
      </c>
    </row>
    <row r="75" spans="1:13" x14ac:dyDescent="0.25">
      <c r="A75" s="136">
        <v>50.85</v>
      </c>
      <c r="B75" s="136" t="s">
        <v>764</v>
      </c>
      <c r="C75" s="136">
        <v>4887</v>
      </c>
      <c r="D75" s="136" t="s">
        <v>835</v>
      </c>
      <c r="E75" s="136" t="s">
        <v>772</v>
      </c>
      <c r="F75" s="137">
        <v>50000000</v>
      </c>
      <c r="G75" s="137">
        <v>50000000</v>
      </c>
      <c r="I75" s="137">
        <f t="shared" si="2"/>
        <v>50000000</v>
      </c>
      <c r="J75" s="137">
        <f t="shared" si="3"/>
        <v>2542500000</v>
      </c>
    </row>
    <row r="76" spans="1:13" x14ac:dyDescent="0.25">
      <c r="A76" s="136">
        <v>51.33</v>
      </c>
      <c r="B76" s="136" t="s">
        <v>836</v>
      </c>
      <c r="C76" s="136">
        <v>6137</v>
      </c>
      <c r="D76" s="136" t="s">
        <v>773</v>
      </c>
      <c r="E76" s="136" t="s">
        <v>774</v>
      </c>
      <c r="F76" s="137">
        <v>70000000</v>
      </c>
      <c r="G76" s="137"/>
      <c r="I76" s="137">
        <f t="shared" si="2"/>
        <v>70000000</v>
      </c>
      <c r="J76" s="137">
        <f t="shared" si="3"/>
        <v>3593100000</v>
      </c>
    </row>
    <row r="77" spans="1:13" x14ac:dyDescent="0.25">
      <c r="A77" s="136">
        <v>52.25</v>
      </c>
      <c r="B77" s="136" t="s">
        <v>20</v>
      </c>
      <c r="C77" s="136">
        <v>4888</v>
      </c>
      <c r="D77" s="136" t="s">
        <v>811</v>
      </c>
      <c r="E77" s="136" t="s">
        <v>775</v>
      </c>
      <c r="F77" s="137">
        <v>94500000</v>
      </c>
      <c r="G77" s="137"/>
      <c r="I77" s="137">
        <f t="shared" si="2"/>
        <v>94500000</v>
      </c>
      <c r="J77" s="137">
        <f t="shared" si="3"/>
        <v>4937625000</v>
      </c>
    </row>
    <row r="78" spans="1:13" x14ac:dyDescent="0.25">
      <c r="A78" s="136">
        <v>59.24</v>
      </c>
      <c r="B78" s="136" t="s">
        <v>837</v>
      </c>
      <c r="C78" s="136">
        <v>5981</v>
      </c>
      <c r="D78" s="136" t="s">
        <v>776</v>
      </c>
      <c r="E78" s="136" t="s">
        <v>777</v>
      </c>
      <c r="F78" s="137">
        <v>5284016</v>
      </c>
      <c r="G78" s="137"/>
      <c r="I78" s="137">
        <f t="shared" si="2"/>
        <v>5284016</v>
      </c>
      <c r="J78" s="137">
        <f t="shared" si="3"/>
        <v>313025107.84000003</v>
      </c>
    </row>
    <row r="79" spans="1:13" x14ac:dyDescent="0.25">
      <c r="A79" s="136">
        <v>34.1</v>
      </c>
      <c r="B79" s="136" t="s">
        <v>15</v>
      </c>
      <c r="C79" s="136">
        <v>3514</v>
      </c>
      <c r="D79" s="136" t="s">
        <v>838</v>
      </c>
      <c r="E79" s="136" t="s">
        <v>839</v>
      </c>
      <c r="F79" s="137">
        <v>30000000</v>
      </c>
      <c r="G79" s="137"/>
      <c r="I79" s="137">
        <f t="shared" si="2"/>
        <v>30000000</v>
      </c>
      <c r="J79" s="137">
        <f t="shared" si="3"/>
        <v>1023000000</v>
      </c>
    </row>
    <row r="80" spans="1:13" x14ac:dyDescent="0.25">
      <c r="A80" s="136">
        <v>30.140000000000004</v>
      </c>
      <c r="B80" s="136" t="s">
        <v>17</v>
      </c>
      <c r="C80" s="136">
        <v>4305</v>
      </c>
      <c r="D80" s="136" t="s">
        <v>752</v>
      </c>
      <c r="E80" s="136" t="s">
        <v>753</v>
      </c>
      <c r="F80" s="137">
        <v>30000000</v>
      </c>
      <c r="G80" s="137">
        <v>45565043</v>
      </c>
      <c r="I80" s="137">
        <f t="shared" si="2"/>
        <v>45565043</v>
      </c>
      <c r="J80" s="137">
        <f t="shared" si="3"/>
        <v>1373330396.0200002</v>
      </c>
    </row>
    <row r="81" spans="1:14" x14ac:dyDescent="0.25">
      <c r="A81" s="136">
        <v>36.167500000000004</v>
      </c>
      <c r="B81" s="136" t="s">
        <v>761</v>
      </c>
      <c r="C81" s="136">
        <v>4846</v>
      </c>
      <c r="D81" s="136" t="s">
        <v>762</v>
      </c>
      <c r="E81" s="136" t="s">
        <v>763</v>
      </c>
      <c r="F81" s="137">
        <v>34675000</v>
      </c>
      <c r="G81" s="137"/>
      <c r="I81" s="137">
        <f t="shared" ref="I81:I87" si="4">MAX(F81:G81)</f>
        <v>34675000</v>
      </c>
      <c r="J81" s="137">
        <f t="shared" ref="J81:J87" si="5">MAX(F81:G81)*A81</f>
        <v>1254108062.5000002</v>
      </c>
    </row>
    <row r="82" spans="1:14" x14ac:dyDescent="0.25">
      <c r="A82" s="136">
        <v>54.94</v>
      </c>
      <c r="B82" s="136" t="s">
        <v>764</v>
      </c>
      <c r="C82" s="136">
        <v>5769</v>
      </c>
      <c r="D82" s="136" t="s">
        <v>840</v>
      </c>
      <c r="E82" s="136" t="s">
        <v>841</v>
      </c>
      <c r="F82" s="137">
        <v>69350000</v>
      </c>
      <c r="G82" s="137"/>
      <c r="I82" s="137">
        <f t="shared" si="4"/>
        <v>69350000</v>
      </c>
      <c r="J82" s="137">
        <f t="shared" si="5"/>
        <v>3810089000</v>
      </c>
    </row>
    <row r="83" spans="1:14" x14ac:dyDescent="0.25">
      <c r="A83" s="136">
        <v>27.48</v>
      </c>
      <c r="B83" s="136" t="s">
        <v>842</v>
      </c>
      <c r="C83" s="136">
        <v>5953</v>
      </c>
      <c r="D83" s="136" t="s">
        <v>829</v>
      </c>
      <c r="E83" s="136" t="s">
        <v>843</v>
      </c>
      <c r="F83" s="137">
        <v>5000000</v>
      </c>
      <c r="G83" s="137"/>
      <c r="I83" s="137">
        <f t="shared" si="4"/>
        <v>5000000</v>
      </c>
      <c r="J83" s="137">
        <f t="shared" si="5"/>
        <v>137400000</v>
      </c>
    </row>
    <row r="84" spans="1:14" x14ac:dyDescent="0.25">
      <c r="A84" s="136">
        <v>36.969000000000001</v>
      </c>
      <c r="B84" s="136" t="s">
        <v>15</v>
      </c>
      <c r="C84" s="136">
        <v>6130</v>
      </c>
      <c r="D84" s="136" t="s">
        <v>844</v>
      </c>
      <c r="E84" s="136" t="s">
        <v>766</v>
      </c>
      <c r="F84" s="137">
        <v>30000000</v>
      </c>
      <c r="G84" s="137">
        <v>38479329</v>
      </c>
      <c r="I84" s="137">
        <f t="shared" si="4"/>
        <v>38479329</v>
      </c>
      <c r="J84" s="137">
        <f t="shared" si="5"/>
        <v>1422542313.8010001</v>
      </c>
    </row>
    <row r="85" spans="1:14" x14ac:dyDescent="0.25">
      <c r="A85" s="136">
        <v>37.366666666666667</v>
      </c>
      <c r="B85" s="136" t="s">
        <v>754</v>
      </c>
      <c r="C85" s="136">
        <v>6326</v>
      </c>
      <c r="D85" s="136" t="s">
        <v>845</v>
      </c>
      <c r="E85" s="136" t="s">
        <v>768</v>
      </c>
      <c r="F85" s="137">
        <v>100000000</v>
      </c>
      <c r="G85" s="137">
        <v>106695307</v>
      </c>
      <c r="I85" s="137">
        <f t="shared" si="4"/>
        <v>106695307</v>
      </c>
      <c r="J85" s="137">
        <f t="shared" si="5"/>
        <v>3986847971.5666666</v>
      </c>
    </row>
    <row r="86" spans="1:14" s="136" customFormat="1" x14ac:dyDescent="0.25">
      <c r="A86" s="136">
        <v>30.862499999999997</v>
      </c>
      <c r="B86" s="136" t="s">
        <v>764</v>
      </c>
      <c r="C86" s="136">
        <v>6412</v>
      </c>
      <c r="D86" s="136" t="s">
        <v>846</v>
      </c>
      <c r="E86" s="136" t="s">
        <v>765</v>
      </c>
      <c r="F86" s="137">
        <v>30000000</v>
      </c>
      <c r="G86" s="137"/>
      <c r="I86" s="137">
        <f t="shared" si="4"/>
        <v>30000000</v>
      </c>
      <c r="J86" s="137">
        <f t="shared" si="5"/>
        <v>925874999.99999988</v>
      </c>
    </row>
    <row r="87" spans="1:14" s="136" customFormat="1" x14ac:dyDescent="0.25">
      <c r="A87"/>
      <c r="B87"/>
      <c r="C87"/>
      <c r="D87"/>
      <c r="E87" s="136" t="s">
        <v>771</v>
      </c>
      <c r="F87" s="137">
        <v>30000000</v>
      </c>
      <c r="G87" s="137"/>
      <c r="I87" s="137">
        <f t="shared" si="4"/>
        <v>30000000</v>
      </c>
      <c r="J87" s="137">
        <f t="shared" si="5"/>
        <v>0</v>
      </c>
    </row>
    <row r="88" spans="1:14" s="136" customFormat="1" x14ac:dyDescent="0.25">
      <c r="A88" s="136" t="s">
        <v>600</v>
      </c>
      <c r="B88"/>
      <c r="C88"/>
      <c r="D88"/>
      <c r="E88"/>
      <c r="F88" s="137">
        <v>947543258</v>
      </c>
      <c r="G88" s="137">
        <v>504849583</v>
      </c>
      <c r="I88" s="137">
        <f>SUM(I67:I87)</f>
        <v>937508083</v>
      </c>
      <c r="J88" s="137">
        <f>SUM(J67:J87)</f>
        <v>39380603001.824333</v>
      </c>
    </row>
    <row r="89" spans="1:14" s="136" customFormat="1" ht="15.75" thickBot="1" x14ac:dyDescent="0.3"/>
    <row r="90" spans="1:14" s="136" customFormat="1" ht="15.75" thickBot="1" x14ac:dyDescent="0.3">
      <c r="I90" s="113">
        <f>'Table 1 - Volumes'!G11*1000000</f>
        <v>78344615.347433195</v>
      </c>
      <c r="J90" s="33">
        <f>J88/I88</f>
        <v>42.005614368472955</v>
      </c>
      <c r="L90" s="143">
        <f>SUM(M63:M66)/SUM(L63:L66)</f>
        <v>20.12156448876344</v>
      </c>
      <c r="M90" s="145">
        <f>'CI Trend'!AC18</f>
        <v>26.451159891518586</v>
      </c>
      <c r="N90" s="157">
        <v>26.5</v>
      </c>
    </row>
    <row r="91" spans="1:14" s="136" customFormat="1" x14ac:dyDescent="0.25"/>
    <row r="92" spans="1:14" s="136" customFormat="1" x14ac:dyDescent="0.25">
      <c r="F92" s="137"/>
      <c r="G92" s="137"/>
    </row>
    <row r="93" spans="1:14" s="136" customFormat="1" x14ac:dyDescent="0.25">
      <c r="A93" s="20" t="s">
        <v>785</v>
      </c>
      <c r="B93" s="132">
        <v>43466</v>
      </c>
      <c r="F93" s="137"/>
      <c r="G93" s="137"/>
    </row>
    <row r="94" spans="1:14" x14ac:dyDescent="0.25">
      <c r="A94" s="20" t="s">
        <v>257</v>
      </c>
      <c r="B94" s="136" t="s">
        <v>258</v>
      </c>
      <c r="C94" s="136"/>
      <c r="D94" s="136"/>
      <c r="E94" s="136"/>
      <c r="F94" s="136"/>
      <c r="G94" s="136"/>
    </row>
    <row r="95" spans="1:14" x14ac:dyDescent="0.25">
      <c r="A95" s="136"/>
      <c r="B95" s="136"/>
      <c r="C95" s="136"/>
      <c r="D95" s="136"/>
      <c r="E95" s="136"/>
      <c r="F95" s="136"/>
      <c r="G95" s="136"/>
    </row>
    <row r="96" spans="1:14" x14ac:dyDescent="0.25">
      <c r="F96" s="20" t="s">
        <v>601</v>
      </c>
    </row>
    <row r="97" spans="1:14" x14ac:dyDescent="0.25">
      <c r="A97" s="20" t="s">
        <v>707</v>
      </c>
      <c r="B97" s="20" t="s">
        <v>12</v>
      </c>
      <c r="C97" s="20" t="s">
        <v>604</v>
      </c>
      <c r="D97" s="20" t="s">
        <v>581</v>
      </c>
      <c r="E97" s="20" t="s">
        <v>605</v>
      </c>
      <c r="F97" s="136" t="s">
        <v>602</v>
      </c>
      <c r="G97" s="136" t="s">
        <v>603</v>
      </c>
      <c r="I97" s="136" t="s">
        <v>649</v>
      </c>
      <c r="J97" s="136" t="s">
        <v>648</v>
      </c>
    </row>
    <row r="98" spans="1:14" x14ac:dyDescent="0.25">
      <c r="A98" s="136">
        <v>26.92</v>
      </c>
      <c r="B98" s="136" t="s">
        <v>754</v>
      </c>
      <c r="C98" s="136">
        <v>4320</v>
      </c>
      <c r="D98" s="136" t="s">
        <v>849</v>
      </c>
      <c r="E98" s="136" t="s">
        <v>850</v>
      </c>
      <c r="F98" s="113">
        <v>42438039</v>
      </c>
      <c r="G98" s="137"/>
      <c r="I98" s="71">
        <f>MAX(F98:G98)</f>
        <v>42438039</v>
      </c>
      <c r="J98" s="71">
        <f>MAX(F98:G98)*A98</f>
        <v>1142432009.8800001</v>
      </c>
      <c r="L98" s="113">
        <f>IF(SUM(I$98:I98)&lt;I$103,I98,I$103-SUM(I$97:I97))</f>
        <v>42438039</v>
      </c>
      <c r="M98" s="113">
        <f>L98*A98</f>
        <v>1142432009.8800001</v>
      </c>
    </row>
    <row r="99" spans="1:14" x14ac:dyDescent="0.25">
      <c r="A99" s="136">
        <v>31.509999999999998</v>
      </c>
      <c r="B99" s="136" t="s">
        <v>847</v>
      </c>
      <c r="C99" s="136">
        <v>4137</v>
      </c>
      <c r="D99" s="136" t="s">
        <v>848</v>
      </c>
      <c r="E99" s="136" t="s">
        <v>778</v>
      </c>
      <c r="F99" s="113">
        <v>290756447</v>
      </c>
      <c r="G99" s="137"/>
      <c r="I99" s="71">
        <f>MAX(F99:G99)</f>
        <v>290756447</v>
      </c>
      <c r="J99" s="71">
        <f>MAX(F99:G99)*A99</f>
        <v>9161735644.9699993</v>
      </c>
      <c r="L99" s="113">
        <f>IF(SUM(I$98:I99)&lt;I$103,I99,I$103-SUM(I$97:I98))</f>
        <v>17136512.25377731</v>
      </c>
      <c r="M99" s="113">
        <f>L99*A99</f>
        <v>539971501.11652303</v>
      </c>
    </row>
    <row r="100" spans="1:14" x14ac:dyDescent="0.25">
      <c r="A100" s="136">
        <v>33.988</v>
      </c>
      <c r="B100" s="136" t="s">
        <v>779</v>
      </c>
      <c r="C100" s="136">
        <v>6268</v>
      </c>
      <c r="D100" s="136" t="s">
        <v>780</v>
      </c>
      <c r="E100" s="136" t="s">
        <v>781</v>
      </c>
      <c r="F100" s="137">
        <v>75000000</v>
      </c>
      <c r="G100" s="137"/>
      <c r="I100" s="137">
        <f>MAX(F100:G100)</f>
        <v>75000000</v>
      </c>
      <c r="J100" s="137">
        <f>MAX(F100:G100)*A100</f>
        <v>2549100000</v>
      </c>
    </row>
    <row r="101" spans="1:14" x14ac:dyDescent="0.25">
      <c r="A101" s="136">
        <v>58.38</v>
      </c>
      <c r="B101" s="136" t="s">
        <v>782</v>
      </c>
      <c r="C101" s="136">
        <v>3994</v>
      </c>
      <c r="D101" s="136" t="s">
        <v>783</v>
      </c>
      <c r="E101" s="136" t="s">
        <v>784</v>
      </c>
      <c r="F101" s="137">
        <v>108983768</v>
      </c>
      <c r="G101" s="137"/>
      <c r="I101" s="137">
        <f>SUM(I98:I100)</f>
        <v>408194486</v>
      </c>
      <c r="J101" s="137">
        <f>SUM(J98:J100)</f>
        <v>12853267654.849998</v>
      </c>
    </row>
    <row r="102" spans="1:14" ht="15.75" thickBot="1" x14ac:dyDescent="0.3">
      <c r="A102" s="136" t="s">
        <v>600</v>
      </c>
      <c r="F102" s="137">
        <v>517178254</v>
      </c>
      <c r="G102" s="137"/>
    </row>
    <row r="103" spans="1:14" ht="15.75" thickBot="1" x14ac:dyDescent="0.3">
      <c r="I103" s="113">
        <f>'Table 1 - Volumes'!G13*1000000</f>
        <v>59574551.25377731</v>
      </c>
      <c r="J103" s="33">
        <f>J101/I101</f>
        <v>31.488097207785405</v>
      </c>
      <c r="L103" s="143">
        <f>SUM(M98:M99)/SUM(L98:L99)</f>
        <v>28.240305224117837</v>
      </c>
      <c r="M103" s="145">
        <f>'CI Trend'!AC23</f>
        <v>27.20814790852365</v>
      </c>
      <c r="N103" s="156">
        <v>27.2</v>
      </c>
    </row>
    <row r="106" spans="1:14" x14ac:dyDescent="0.25">
      <c r="A106" s="20" t="s">
        <v>785</v>
      </c>
      <c r="B106" s="132">
        <v>43466</v>
      </c>
      <c r="C106" s="136"/>
      <c r="D106" s="136"/>
      <c r="E106" s="136"/>
      <c r="F106" s="137"/>
      <c r="G106" s="137"/>
    </row>
    <row r="107" spans="1:14" x14ac:dyDescent="0.25">
      <c r="A107" s="20" t="s">
        <v>257</v>
      </c>
      <c r="B107" s="136" t="s">
        <v>10</v>
      </c>
      <c r="C107" s="136"/>
      <c r="D107" s="136"/>
      <c r="E107" s="136"/>
      <c r="F107" s="136"/>
      <c r="G107" s="136"/>
    </row>
    <row r="108" spans="1:14" x14ac:dyDescent="0.25">
      <c r="A108" s="136"/>
      <c r="B108" s="136"/>
      <c r="C108" s="136"/>
      <c r="D108" s="136"/>
      <c r="E108" s="136"/>
      <c r="F108" s="136"/>
      <c r="G108" s="136"/>
    </row>
    <row r="109" spans="1:14" x14ac:dyDescent="0.25">
      <c r="F109" s="20" t="s">
        <v>601</v>
      </c>
    </row>
    <row r="110" spans="1:14" x14ac:dyDescent="0.25">
      <c r="A110" s="20" t="s">
        <v>707</v>
      </c>
      <c r="B110" s="20" t="s">
        <v>12</v>
      </c>
      <c r="C110" s="20" t="s">
        <v>604</v>
      </c>
      <c r="D110" s="20" t="s">
        <v>581</v>
      </c>
      <c r="E110" s="20" t="s">
        <v>605</v>
      </c>
      <c r="F110" s="136" t="s">
        <v>602</v>
      </c>
      <c r="G110" s="136" t="s">
        <v>603</v>
      </c>
    </row>
    <row r="111" spans="1:14" x14ac:dyDescent="0.25">
      <c r="A111" s="136">
        <v>43.97</v>
      </c>
      <c r="B111" s="136" t="s">
        <v>863</v>
      </c>
      <c r="C111" s="136">
        <v>6320</v>
      </c>
      <c r="D111" s="136" t="s">
        <v>864</v>
      </c>
      <c r="E111" s="136" t="s">
        <v>865</v>
      </c>
      <c r="F111" s="137">
        <v>990193214</v>
      </c>
      <c r="G111" s="137"/>
    </row>
    <row r="112" spans="1:14" ht="15.75" thickBot="1" x14ac:dyDescent="0.3">
      <c r="A112" s="136">
        <v>51.98</v>
      </c>
      <c r="B112" s="136" t="s">
        <v>866</v>
      </c>
      <c r="C112" s="136">
        <v>6497</v>
      </c>
      <c r="D112" s="136" t="s">
        <v>867</v>
      </c>
      <c r="E112" s="136" t="s">
        <v>868</v>
      </c>
      <c r="F112" s="137">
        <v>1385</v>
      </c>
      <c r="G112" s="137"/>
    </row>
    <row r="113" spans="1:14" ht="15.75" thickBot="1" x14ac:dyDescent="0.3">
      <c r="A113" s="136" t="s">
        <v>600</v>
      </c>
      <c r="F113" s="137">
        <v>990194599</v>
      </c>
      <c r="G113" s="137"/>
      <c r="N113" s="157">
        <v>49</v>
      </c>
    </row>
  </sheetData>
  <mergeCells count="1">
    <mergeCell ref="L1:N2"/>
  </mergeCell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7"/>
  <sheetViews>
    <sheetView zoomScale="75" zoomScaleNormal="75" workbookViewId="0">
      <pane xSplit="5" ySplit="3" topLeftCell="F69" activePane="bottomRight" state="frozen"/>
      <selection pane="topRight" activeCell="E1" sqref="E1"/>
      <selection pane="bottomLeft" activeCell="A4" sqref="A4"/>
      <selection pane="bottomRight" activeCell="B75" sqref="B75"/>
    </sheetView>
  </sheetViews>
  <sheetFormatPr defaultColWidth="8.85546875" defaultRowHeight="15" x14ac:dyDescent="0.25"/>
  <cols>
    <col min="1" max="1" width="25" style="4" customWidth="1"/>
    <col min="2" max="16" width="14.7109375" style="4" customWidth="1"/>
    <col min="17" max="18" width="9.5703125" style="4" customWidth="1"/>
    <col min="19" max="19" width="9.7109375" style="4" customWidth="1"/>
    <col min="20" max="20" width="8.85546875" style="4"/>
    <col min="21" max="21" width="11" style="4" customWidth="1"/>
    <col min="22" max="22" width="16.42578125" style="4" customWidth="1"/>
    <col min="23" max="23" width="24.42578125" style="4" customWidth="1"/>
    <col min="24" max="16384" width="8.85546875" style="4"/>
  </cols>
  <sheetData>
    <row r="1" spans="1:25" x14ac:dyDescent="0.25">
      <c r="A1" s="78" t="s">
        <v>250</v>
      </c>
      <c r="B1" s="79">
        <f>STDEV(B69:B73)</f>
        <v>4.3284097495109183E-2</v>
      </c>
      <c r="C1" s="79"/>
      <c r="D1" s="79"/>
      <c r="E1" s="79">
        <f>STDEV(E69:E73)</f>
        <v>7.7061781628777859E-2</v>
      </c>
      <c r="F1" s="79"/>
      <c r="G1" s="79"/>
      <c r="H1" s="79">
        <f>STDEV(H69:H73)</f>
        <v>5.2098423595127924E-2</v>
      </c>
      <c r="K1"/>
      <c r="L1"/>
      <c r="M1"/>
      <c r="N1"/>
      <c r="O1"/>
      <c r="P1"/>
      <c r="Q1"/>
    </row>
    <row r="2" spans="1:25" x14ac:dyDescent="0.25">
      <c r="E2" s="4">
        <v>10</v>
      </c>
      <c r="K2"/>
      <c r="L2" s="180" t="s">
        <v>689</v>
      </c>
      <c r="M2" s="180"/>
      <c r="N2" s="180"/>
      <c r="O2"/>
      <c r="P2"/>
      <c r="Q2"/>
    </row>
    <row r="3" spans="1:25" ht="30" x14ac:dyDescent="0.25">
      <c r="A3" s="14" t="s">
        <v>220</v>
      </c>
      <c r="B3" s="15" t="s">
        <v>287</v>
      </c>
      <c r="C3" s="15" t="s">
        <v>288</v>
      </c>
      <c r="D3" s="15" t="s">
        <v>289</v>
      </c>
      <c r="E3" s="15" t="s">
        <v>290</v>
      </c>
      <c r="F3" s="15" t="s">
        <v>291</v>
      </c>
      <c r="G3" s="15" t="s">
        <v>292</v>
      </c>
      <c r="H3" s="15" t="s">
        <v>293</v>
      </c>
      <c r="I3" s="15" t="s">
        <v>294</v>
      </c>
      <c r="J3" s="15" t="s">
        <v>295</v>
      </c>
      <c r="K3"/>
      <c r="L3" s="82" t="s">
        <v>31</v>
      </c>
      <c r="M3" s="82" t="s">
        <v>30</v>
      </c>
      <c r="N3" s="82" t="s">
        <v>32</v>
      </c>
      <c r="O3"/>
      <c r="P3"/>
      <c r="Q3"/>
      <c r="R3"/>
      <c r="S3"/>
      <c r="T3"/>
      <c r="U3"/>
      <c r="V3"/>
      <c r="W3"/>
      <c r="X3"/>
      <c r="Y3" s="16"/>
    </row>
    <row r="4" spans="1:25" x14ac:dyDescent="0.25">
      <c r="A4" s="17" t="s">
        <v>221</v>
      </c>
      <c r="B4" s="18">
        <v>850</v>
      </c>
      <c r="C4" s="18"/>
      <c r="D4" s="18"/>
      <c r="E4" s="18">
        <v>1720</v>
      </c>
      <c r="F4" s="18"/>
      <c r="G4" s="18"/>
      <c r="H4" s="18">
        <f>SUM(B4,E4)</f>
        <v>2570</v>
      </c>
      <c r="I4" s="18"/>
      <c r="J4" s="18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5">
      <c r="A5" s="17" t="s">
        <v>222</v>
      </c>
      <c r="B5" s="18">
        <v>989</v>
      </c>
      <c r="C5" s="18"/>
      <c r="D5" s="18"/>
      <c r="E5" s="18">
        <v>2077</v>
      </c>
      <c r="F5" s="18"/>
      <c r="G5" s="18"/>
      <c r="H5" s="18">
        <f t="shared" ref="H5:H39" si="0">SUM(B5,E5)</f>
        <v>3066</v>
      </c>
      <c r="I5" s="18"/>
      <c r="J5" s="18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x14ac:dyDescent="0.25">
      <c r="A6" s="17" t="s">
        <v>223</v>
      </c>
      <c r="B6" s="18">
        <v>1198</v>
      </c>
      <c r="C6" s="18"/>
      <c r="D6" s="18"/>
      <c r="E6" s="18">
        <v>2471</v>
      </c>
      <c r="F6" s="18"/>
      <c r="G6" s="18"/>
      <c r="H6" s="18">
        <f t="shared" si="0"/>
        <v>3669</v>
      </c>
      <c r="I6" s="18"/>
      <c r="J6" s="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x14ac:dyDescent="0.25">
      <c r="A7" s="17" t="s">
        <v>224</v>
      </c>
      <c r="B7" s="18">
        <v>1584</v>
      </c>
      <c r="C7" s="18"/>
      <c r="D7" s="18"/>
      <c r="E7" s="18">
        <v>2782</v>
      </c>
      <c r="F7" s="18"/>
      <c r="G7" s="18"/>
      <c r="H7" s="18">
        <f t="shared" si="0"/>
        <v>4366</v>
      </c>
      <c r="I7" s="18"/>
      <c r="J7" s="18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x14ac:dyDescent="0.25">
      <c r="A8" s="17" t="s">
        <v>225</v>
      </c>
      <c r="B8" s="18">
        <v>1722</v>
      </c>
      <c r="C8" s="18"/>
      <c r="D8" s="18"/>
      <c r="E8" s="18">
        <v>3010</v>
      </c>
      <c r="F8" s="18"/>
      <c r="G8" s="18"/>
      <c r="H8" s="18">
        <f t="shared" si="0"/>
        <v>4732</v>
      </c>
      <c r="I8" s="18"/>
      <c r="J8" s="18"/>
      <c r="K8"/>
      <c r="L8" s="83">
        <f>B8/B4-1</f>
        <v>1.0258823529411765</v>
      </c>
      <c r="M8" s="83">
        <f>E8/E4-1</f>
        <v>0.75</v>
      </c>
      <c r="N8" s="83">
        <f>H8/H4-1</f>
        <v>0.84124513618677033</v>
      </c>
      <c r="O8"/>
      <c r="P8"/>
      <c r="Q8"/>
      <c r="R8"/>
      <c r="S8"/>
      <c r="T8"/>
      <c r="U8"/>
      <c r="V8"/>
      <c r="W8"/>
      <c r="X8"/>
      <c r="Y8"/>
    </row>
    <row r="9" spans="1:25" x14ac:dyDescent="0.25">
      <c r="A9" s="17" t="s">
        <v>226</v>
      </c>
      <c r="B9" s="18">
        <v>1892</v>
      </c>
      <c r="C9" s="18"/>
      <c r="D9" s="18"/>
      <c r="E9" s="18">
        <v>3293</v>
      </c>
      <c r="F9" s="18"/>
      <c r="G9" s="18"/>
      <c r="H9" s="18">
        <f t="shared" si="0"/>
        <v>5185</v>
      </c>
      <c r="I9" s="18"/>
      <c r="J9" s="18"/>
      <c r="K9"/>
      <c r="L9" s="83">
        <f t="shared" ref="L9:L30" si="1">B9/B5-1</f>
        <v>0.91304347826086962</v>
      </c>
      <c r="M9" s="83">
        <f t="shared" ref="M9:M30" si="2">E9/E5-1</f>
        <v>0.58545979778526713</v>
      </c>
      <c r="N9" s="83">
        <f t="shared" ref="N9:N30" si="3">H9/H5-1</f>
        <v>0.69112850619699939</v>
      </c>
      <c r="O9"/>
      <c r="P9"/>
      <c r="Q9"/>
      <c r="R9"/>
      <c r="S9"/>
      <c r="T9"/>
      <c r="U9"/>
      <c r="V9"/>
      <c r="W9"/>
      <c r="X9"/>
      <c r="Y9"/>
    </row>
    <row r="10" spans="1:25" x14ac:dyDescent="0.25">
      <c r="A10" s="17" t="s">
        <v>227</v>
      </c>
      <c r="B10" s="18">
        <v>2170</v>
      </c>
      <c r="C10" s="18"/>
      <c r="D10" s="18"/>
      <c r="E10" s="18">
        <v>3657</v>
      </c>
      <c r="F10" s="18"/>
      <c r="G10" s="18"/>
      <c r="H10" s="18">
        <f t="shared" si="0"/>
        <v>5827</v>
      </c>
      <c r="I10" s="18"/>
      <c r="J10" s="18"/>
      <c r="K10"/>
      <c r="L10" s="83">
        <f t="shared" si="1"/>
        <v>0.81135225375626052</v>
      </c>
      <c r="M10" s="83">
        <f t="shared" si="2"/>
        <v>0.47996762444354513</v>
      </c>
      <c r="N10" s="83">
        <f t="shared" si="3"/>
        <v>0.58817116380485146</v>
      </c>
      <c r="O10"/>
      <c r="P10"/>
      <c r="Q10"/>
      <c r="R10"/>
      <c r="S10"/>
      <c r="T10"/>
      <c r="U10"/>
      <c r="V10"/>
      <c r="W10"/>
      <c r="X10"/>
      <c r="Y10"/>
    </row>
    <row r="11" spans="1:25" x14ac:dyDescent="0.25">
      <c r="A11" s="17" t="s">
        <v>228</v>
      </c>
      <c r="B11" s="18">
        <v>2414</v>
      </c>
      <c r="C11" s="18"/>
      <c r="D11" s="18"/>
      <c r="E11" s="18">
        <v>4099</v>
      </c>
      <c r="F11" s="18"/>
      <c r="G11" s="18"/>
      <c r="H11" s="18">
        <f t="shared" si="0"/>
        <v>6513</v>
      </c>
      <c r="I11" s="18"/>
      <c r="J11" s="18"/>
      <c r="K11"/>
      <c r="L11" s="83">
        <f t="shared" si="1"/>
        <v>0.52398989898989901</v>
      </c>
      <c r="M11" s="83">
        <f t="shared" si="2"/>
        <v>0.4734004313443565</v>
      </c>
      <c r="N11" s="83">
        <f t="shared" si="3"/>
        <v>0.49175446633073761</v>
      </c>
      <c r="O11"/>
      <c r="P11"/>
      <c r="Q11"/>
      <c r="R11"/>
      <c r="S11"/>
      <c r="T11"/>
      <c r="U11"/>
      <c r="V11"/>
      <c r="W11"/>
      <c r="X11"/>
      <c r="Y11"/>
    </row>
    <row r="12" spans="1:25" x14ac:dyDescent="0.25">
      <c r="A12" s="17" t="s">
        <v>229</v>
      </c>
      <c r="B12" s="18">
        <v>2586</v>
      </c>
      <c r="C12" s="18"/>
      <c r="D12" s="18"/>
      <c r="E12" s="18">
        <v>4418</v>
      </c>
      <c r="F12" s="18"/>
      <c r="G12" s="18"/>
      <c r="H12" s="18">
        <f t="shared" si="0"/>
        <v>7004</v>
      </c>
      <c r="I12" s="18"/>
      <c r="J12" s="18"/>
      <c r="K12"/>
      <c r="L12" s="83">
        <f t="shared" si="1"/>
        <v>0.50174216027874574</v>
      </c>
      <c r="M12" s="83">
        <f t="shared" si="2"/>
        <v>0.46777408637873763</v>
      </c>
      <c r="N12" s="83">
        <f t="shared" si="3"/>
        <v>0.4801352493660187</v>
      </c>
      <c r="O12"/>
      <c r="P12"/>
      <c r="Q12"/>
      <c r="R12"/>
      <c r="S12"/>
      <c r="T12"/>
      <c r="U12"/>
      <c r="V12"/>
      <c r="W12"/>
      <c r="X12"/>
      <c r="Y12"/>
    </row>
    <row r="13" spans="1:25" x14ac:dyDescent="0.25">
      <c r="A13" s="17" t="s">
        <v>230</v>
      </c>
      <c r="B13" s="18">
        <v>2804</v>
      </c>
      <c r="C13" s="18"/>
      <c r="D13" s="18"/>
      <c r="E13" s="18">
        <v>4901</v>
      </c>
      <c r="F13" s="18"/>
      <c r="G13" s="18"/>
      <c r="H13" s="18">
        <f t="shared" si="0"/>
        <v>7705</v>
      </c>
      <c r="I13" s="18"/>
      <c r="J13" s="18"/>
      <c r="K13"/>
      <c r="L13" s="83">
        <f t="shared" si="1"/>
        <v>0.48202959830866798</v>
      </c>
      <c r="M13" s="83">
        <f t="shared" si="2"/>
        <v>0.48830853325235357</v>
      </c>
      <c r="N13" s="83">
        <f t="shared" si="3"/>
        <v>0.48601735776277732</v>
      </c>
      <c r="O13"/>
      <c r="P13"/>
      <c r="Q13"/>
      <c r="R13"/>
      <c r="S13"/>
      <c r="T13"/>
      <c r="U13"/>
      <c r="V13"/>
      <c r="W13"/>
      <c r="X13"/>
      <c r="Y13"/>
    </row>
    <row r="14" spans="1:25" x14ac:dyDescent="0.25">
      <c r="A14" s="17" t="s">
        <v>231</v>
      </c>
      <c r="B14" s="18">
        <v>2992</v>
      </c>
      <c r="C14" s="18"/>
      <c r="D14" s="18"/>
      <c r="E14" s="18">
        <v>5396</v>
      </c>
      <c r="F14" s="18"/>
      <c r="G14" s="18"/>
      <c r="H14" s="18">
        <f t="shared" si="0"/>
        <v>8388</v>
      </c>
      <c r="I14" s="18"/>
      <c r="J14" s="18"/>
      <c r="K14"/>
      <c r="L14" s="83">
        <f t="shared" si="1"/>
        <v>0.37880184331797229</v>
      </c>
      <c r="M14" s="83">
        <f t="shared" si="2"/>
        <v>0.4755263877495215</v>
      </c>
      <c r="N14" s="83">
        <f t="shared" si="3"/>
        <v>0.43950574909902174</v>
      </c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 s="17" t="s">
        <v>232</v>
      </c>
      <c r="B15" s="18">
        <v>3252</v>
      </c>
      <c r="C15" s="18"/>
      <c r="D15" s="18"/>
      <c r="E15" s="18">
        <v>5758</v>
      </c>
      <c r="F15" s="18"/>
      <c r="G15" s="18"/>
      <c r="H15" s="18">
        <f t="shared" si="0"/>
        <v>9010</v>
      </c>
      <c r="I15" s="18"/>
      <c r="J15" s="18"/>
      <c r="K15"/>
      <c r="L15" s="83">
        <f t="shared" si="1"/>
        <v>0.34714167357083681</v>
      </c>
      <c r="M15" s="83">
        <f t="shared" si="2"/>
        <v>0.40473286167357903</v>
      </c>
      <c r="N15" s="83">
        <f t="shared" si="3"/>
        <v>0.38338707200982647</v>
      </c>
      <c r="O15"/>
      <c r="P15"/>
      <c r="Q15"/>
      <c r="R15"/>
      <c r="S15"/>
      <c r="T15"/>
      <c r="U15"/>
      <c r="V15"/>
      <c r="W15"/>
      <c r="X15"/>
      <c r="Y15"/>
    </row>
    <row r="16" spans="1:25" x14ac:dyDescent="0.25">
      <c r="A16" s="17" t="s">
        <v>233</v>
      </c>
      <c r="B16" s="18">
        <v>3577</v>
      </c>
      <c r="C16" s="18"/>
      <c r="D16" s="18"/>
      <c r="E16" s="18">
        <v>6172</v>
      </c>
      <c r="F16" s="18"/>
      <c r="G16" s="18"/>
      <c r="H16" s="18">
        <f t="shared" si="0"/>
        <v>9749</v>
      </c>
      <c r="I16" s="18"/>
      <c r="J16" s="18"/>
      <c r="K16"/>
      <c r="L16" s="83">
        <f t="shared" si="1"/>
        <v>0.3832173240525909</v>
      </c>
      <c r="M16" s="83">
        <f t="shared" si="2"/>
        <v>0.39701222272521508</v>
      </c>
      <c r="N16" s="83">
        <f t="shared" si="3"/>
        <v>0.3919189034837236</v>
      </c>
      <c r="O16"/>
      <c r="P16"/>
      <c r="Q16"/>
      <c r="R16"/>
      <c r="S16"/>
      <c r="T16"/>
      <c r="U16"/>
      <c r="V16"/>
      <c r="W16"/>
      <c r="X16"/>
      <c r="Y16"/>
    </row>
    <row r="17" spans="1:25" x14ac:dyDescent="0.25">
      <c r="A17" s="17" t="s">
        <v>234</v>
      </c>
      <c r="B17" s="18">
        <v>3924</v>
      </c>
      <c r="C17" s="18"/>
      <c r="D17" s="18"/>
      <c r="E17" s="18">
        <v>6690</v>
      </c>
      <c r="F17" s="18"/>
      <c r="G17" s="18"/>
      <c r="H17" s="18">
        <f t="shared" si="0"/>
        <v>10614</v>
      </c>
      <c r="I17" s="18"/>
      <c r="J17" s="18"/>
      <c r="K17"/>
      <c r="L17" s="83">
        <f t="shared" si="1"/>
        <v>0.39942938659058491</v>
      </c>
      <c r="M17" s="83">
        <f t="shared" si="2"/>
        <v>0.36502754539889826</v>
      </c>
      <c r="N17" s="83">
        <f t="shared" si="3"/>
        <v>0.37754704737183653</v>
      </c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A18" s="17" t="s">
        <v>235</v>
      </c>
      <c r="B18" s="18">
        <v>4315</v>
      </c>
      <c r="C18" s="18"/>
      <c r="D18" s="18"/>
      <c r="E18" s="18">
        <v>7261</v>
      </c>
      <c r="F18" s="18"/>
      <c r="G18" s="18"/>
      <c r="H18" s="18">
        <f t="shared" si="0"/>
        <v>11576</v>
      </c>
      <c r="I18" s="18"/>
      <c r="J18" s="18"/>
      <c r="K18"/>
      <c r="L18" s="83">
        <f t="shared" si="1"/>
        <v>0.4421791443850267</v>
      </c>
      <c r="M18" s="83">
        <f t="shared" si="2"/>
        <v>0.34562638991845818</v>
      </c>
      <c r="N18" s="83">
        <f t="shared" si="3"/>
        <v>0.38006676204101097</v>
      </c>
      <c r="O18"/>
      <c r="P18"/>
      <c r="Q18"/>
      <c r="R18"/>
      <c r="S18"/>
      <c r="T18"/>
      <c r="U18"/>
      <c r="V18"/>
      <c r="W18"/>
      <c r="X18"/>
      <c r="Y18"/>
    </row>
    <row r="19" spans="1:25" x14ac:dyDescent="0.25">
      <c r="A19" s="17" t="s">
        <v>236</v>
      </c>
      <c r="B19" s="18">
        <v>4748</v>
      </c>
      <c r="C19" s="18"/>
      <c r="D19" s="18"/>
      <c r="E19" s="18">
        <v>7850</v>
      </c>
      <c r="F19" s="18"/>
      <c r="G19" s="18"/>
      <c r="H19" s="18">
        <f t="shared" si="0"/>
        <v>12598</v>
      </c>
      <c r="I19" s="18"/>
      <c r="J19" s="18"/>
      <c r="K19"/>
      <c r="L19" s="83">
        <f t="shared" si="1"/>
        <v>0.46002460024600245</v>
      </c>
      <c r="M19" s="83">
        <f t="shared" si="2"/>
        <v>0.36332059742966316</v>
      </c>
      <c r="N19" s="83">
        <f t="shared" si="3"/>
        <v>0.39822419533851283</v>
      </c>
      <c r="O19"/>
      <c r="P19"/>
      <c r="Q19"/>
      <c r="R19"/>
      <c r="S19"/>
      <c r="T19"/>
      <c r="U19"/>
      <c r="V19"/>
      <c r="W19"/>
      <c r="X19"/>
      <c r="Y19"/>
    </row>
    <row r="20" spans="1:25" x14ac:dyDescent="0.25">
      <c r="A20" s="17" t="s">
        <v>237</v>
      </c>
      <c r="B20" s="18">
        <v>4997</v>
      </c>
      <c r="C20" s="18"/>
      <c r="D20" s="18"/>
      <c r="E20" s="18">
        <v>8259</v>
      </c>
      <c r="F20" s="18"/>
      <c r="G20" s="18"/>
      <c r="H20" s="18">
        <f t="shared" si="0"/>
        <v>13256</v>
      </c>
      <c r="I20" s="18"/>
      <c r="J20" s="18"/>
      <c r="K20"/>
      <c r="L20" s="83">
        <f t="shared" si="1"/>
        <v>0.396980710092256</v>
      </c>
      <c r="M20" s="83">
        <f t="shared" si="2"/>
        <v>0.33813998703823711</v>
      </c>
      <c r="N20" s="83">
        <f t="shared" si="3"/>
        <v>0.35972920299517908</v>
      </c>
      <c r="O20"/>
      <c r="P20"/>
      <c r="Q20"/>
      <c r="R20"/>
      <c r="S20"/>
      <c r="T20"/>
      <c r="U20"/>
      <c r="V20"/>
      <c r="W20"/>
      <c r="X20"/>
      <c r="Y20"/>
    </row>
    <row r="21" spans="1:25" x14ac:dyDescent="0.25">
      <c r="A21" s="17" t="s">
        <v>238</v>
      </c>
      <c r="B21" s="18">
        <v>5427</v>
      </c>
      <c r="C21" s="18"/>
      <c r="D21" s="18"/>
      <c r="E21" s="18">
        <v>8856</v>
      </c>
      <c r="F21" s="18"/>
      <c r="G21" s="18"/>
      <c r="H21" s="18">
        <f t="shared" si="0"/>
        <v>14283</v>
      </c>
      <c r="I21" s="18"/>
      <c r="J21" s="18"/>
      <c r="K21"/>
      <c r="L21" s="83">
        <f t="shared" si="1"/>
        <v>0.3830275229357798</v>
      </c>
      <c r="M21" s="83">
        <f t="shared" si="2"/>
        <v>0.32376681614349767</v>
      </c>
      <c r="N21" s="83">
        <f t="shared" si="3"/>
        <v>0.34567552289429049</v>
      </c>
      <c r="O21"/>
      <c r="P21"/>
      <c r="Q21"/>
      <c r="R21"/>
      <c r="S21"/>
      <c r="T21"/>
      <c r="U21"/>
      <c r="V21"/>
      <c r="W21"/>
      <c r="X21"/>
      <c r="Y21"/>
    </row>
    <row r="22" spans="1:25" x14ac:dyDescent="0.25">
      <c r="A22" s="17" t="s">
        <v>239</v>
      </c>
      <c r="B22" s="18">
        <v>5904</v>
      </c>
      <c r="C22" s="18"/>
      <c r="D22" s="18"/>
      <c r="E22" s="18">
        <v>9315</v>
      </c>
      <c r="F22" s="18"/>
      <c r="G22" s="18"/>
      <c r="H22" s="18">
        <f t="shared" si="0"/>
        <v>15219</v>
      </c>
      <c r="I22" s="18"/>
      <c r="J22" s="18"/>
      <c r="K22"/>
      <c r="L22" s="83">
        <f t="shared" si="1"/>
        <v>0.3682502896871378</v>
      </c>
      <c r="M22" s="83">
        <f t="shared" si="2"/>
        <v>0.28288114584767943</v>
      </c>
      <c r="N22" s="83">
        <f t="shared" si="3"/>
        <v>0.31470283344851424</v>
      </c>
      <c r="O22"/>
      <c r="P22"/>
      <c r="Q22"/>
      <c r="R22"/>
      <c r="S22"/>
      <c r="T22"/>
      <c r="U22"/>
      <c r="V22"/>
      <c r="W22"/>
      <c r="X22"/>
      <c r="Y22"/>
    </row>
    <row r="23" spans="1:25" x14ac:dyDescent="0.25">
      <c r="A23" s="17" t="s">
        <v>240</v>
      </c>
      <c r="B23" s="18">
        <v>6309</v>
      </c>
      <c r="C23" s="18"/>
      <c r="D23" s="18"/>
      <c r="E23" s="18">
        <v>9861</v>
      </c>
      <c r="F23" s="18"/>
      <c r="G23" s="18"/>
      <c r="H23" s="18">
        <f t="shared" si="0"/>
        <v>16170</v>
      </c>
      <c r="I23" s="18"/>
      <c r="J23" s="18"/>
      <c r="K23"/>
      <c r="L23" s="83">
        <f t="shared" si="1"/>
        <v>0.32877000842459991</v>
      </c>
      <c r="M23" s="83">
        <f t="shared" si="2"/>
        <v>0.2561783439490446</v>
      </c>
      <c r="N23" s="83">
        <f t="shared" si="3"/>
        <v>0.28353706937609147</v>
      </c>
      <c r="O23"/>
      <c r="P23"/>
      <c r="Q23"/>
      <c r="R23"/>
      <c r="S23"/>
      <c r="T23"/>
      <c r="U23"/>
      <c r="V23"/>
      <c r="W23"/>
      <c r="X23"/>
      <c r="Y23"/>
    </row>
    <row r="24" spans="1:25" x14ac:dyDescent="0.25">
      <c r="A24" s="17" t="s">
        <v>241</v>
      </c>
      <c r="B24" s="118">
        <v>6850</v>
      </c>
      <c r="C24" s="18"/>
      <c r="D24" s="18"/>
      <c r="E24" s="119">
        <v>10379</v>
      </c>
      <c r="F24" s="18"/>
      <c r="G24" s="18"/>
      <c r="H24" s="18">
        <f t="shared" si="0"/>
        <v>17229</v>
      </c>
      <c r="I24" s="18"/>
      <c r="J24" s="18"/>
      <c r="K24"/>
      <c r="L24" s="83">
        <f t="shared" si="1"/>
        <v>0.37082249349609775</v>
      </c>
      <c r="M24" s="83">
        <f t="shared" si="2"/>
        <v>0.2566896718731082</v>
      </c>
      <c r="N24" s="83">
        <f t="shared" si="3"/>
        <v>0.29971333735666872</v>
      </c>
      <c r="O24"/>
      <c r="P24"/>
      <c r="Q24"/>
      <c r="R24"/>
      <c r="S24"/>
      <c r="T24"/>
      <c r="U24"/>
      <c r="V24"/>
      <c r="W24"/>
      <c r="X24"/>
      <c r="Y24"/>
    </row>
    <row r="25" spans="1:25" x14ac:dyDescent="0.25">
      <c r="A25" s="17" t="s">
        <v>242</v>
      </c>
      <c r="B25" s="118">
        <v>7475</v>
      </c>
      <c r="C25" s="18"/>
      <c r="D25" s="18"/>
      <c r="E25" s="119">
        <v>11010</v>
      </c>
      <c r="F25" s="18"/>
      <c r="G25" s="18"/>
      <c r="H25" s="18">
        <f t="shared" si="0"/>
        <v>18485</v>
      </c>
      <c r="I25" s="18"/>
      <c r="J25" s="18"/>
      <c r="K25"/>
      <c r="L25" s="83">
        <f t="shared" si="1"/>
        <v>0.37737239727289484</v>
      </c>
      <c r="M25" s="83">
        <f t="shared" si="2"/>
        <v>0.24322493224932251</v>
      </c>
      <c r="N25" s="83">
        <f t="shared" si="3"/>
        <v>0.2941958972204719</v>
      </c>
      <c r="O25"/>
      <c r="P25"/>
      <c r="Q25"/>
      <c r="R25"/>
      <c r="S25"/>
      <c r="T25"/>
      <c r="U25"/>
      <c r="V25"/>
      <c r="W25"/>
      <c r="X25"/>
      <c r="Y25"/>
    </row>
    <row r="26" spans="1:25" x14ac:dyDescent="0.25">
      <c r="A26" s="17" t="s">
        <v>243</v>
      </c>
      <c r="B26" s="118">
        <v>8143</v>
      </c>
      <c r="C26" s="18"/>
      <c r="D26" s="18"/>
      <c r="E26" s="119">
        <v>11747</v>
      </c>
      <c r="F26" s="18"/>
      <c r="G26" s="18"/>
      <c r="H26" s="18">
        <f t="shared" si="0"/>
        <v>19890</v>
      </c>
      <c r="I26" s="18"/>
      <c r="J26" s="18"/>
      <c r="K26"/>
      <c r="L26" s="83">
        <f t="shared" si="1"/>
        <v>0.37923441734417351</v>
      </c>
      <c r="M26" s="83">
        <f t="shared" si="2"/>
        <v>0.26108427267847567</v>
      </c>
      <c r="N26" s="83">
        <f t="shared" si="3"/>
        <v>0.30691898285038444</v>
      </c>
      <c r="O26"/>
      <c r="P26"/>
      <c r="Q26"/>
    </row>
    <row r="27" spans="1:25" x14ac:dyDescent="0.25">
      <c r="A27" s="17" t="s">
        <v>244</v>
      </c>
      <c r="B27" s="118">
        <v>8897</v>
      </c>
      <c r="C27" s="18"/>
      <c r="D27" s="18"/>
      <c r="E27" s="119">
        <v>13189</v>
      </c>
      <c r="F27" s="18"/>
      <c r="G27" s="18"/>
      <c r="H27" s="18">
        <f t="shared" si="0"/>
        <v>22086</v>
      </c>
      <c r="I27" s="18"/>
      <c r="J27" s="18"/>
      <c r="K27"/>
      <c r="L27" s="83">
        <f t="shared" si="1"/>
        <v>0.41020763987953712</v>
      </c>
      <c r="M27" s="83">
        <f t="shared" si="2"/>
        <v>0.33749112666058201</v>
      </c>
      <c r="N27" s="83">
        <f t="shared" si="3"/>
        <v>0.3658627087198516</v>
      </c>
      <c r="O27"/>
      <c r="P27"/>
      <c r="Q27"/>
    </row>
    <row r="28" spans="1:25" x14ac:dyDescent="0.25">
      <c r="A28" s="17" t="s">
        <v>245</v>
      </c>
      <c r="B28" s="138">
        <v>9447</v>
      </c>
      <c r="C28" s="18"/>
      <c r="D28" s="18"/>
      <c r="E28" s="135">
        <v>14656</v>
      </c>
      <c r="F28" s="18"/>
      <c r="G28" s="18"/>
      <c r="H28" s="18">
        <f t="shared" si="0"/>
        <v>24103</v>
      </c>
      <c r="I28" s="18"/>
      <c r="J28" s="18"/>
      <c r="K28"/>
      <c r="L28" s="83">
        <f t="shared" si="1"/>
        <v>0.37912408759124094</v>
      </c>
      <c r="M28" s="83">
        <f t="shared" si="2"/>
        <v>0.41208208883322084</v>
      </c>
      <c r="N28" s="83">
        <f t="shared" si="3"/>
        <v>0.39897846653897506</v>
      </c>
      <c r="O28"/>
      <c r="P28"/>
      <c r="Q28"/>
    </row>
    <row r="29" spans="1:25" x14ac:dyDescent="0.25">
      <c r="A29" s="17" t="s">
        <v>246</v>
      </c>
      <c r="B29" s="138">
        <v>9976</v>
      </c>
      <c r="C29" s="12"/>
      <c r="D29" s="12"/>
      <c r="E29" s="135">
        <v>15548</v>
      </c>
      <c r="F29" s="12"/>
      <c r="G29" s="12"/>
      <c r="H29" s="12">
        <f t="shared" si="0"/>
        <v>25524</v>
      </c>
      <c r="I29" s="12"/>
      <c r="J29" s="12"/>
      <c r="K29"/>
      <c r="L29" s="83">
        <f t="shared" si="1"/>
        <v>0.33458193979933104</v>
      </c>
      <c r="M29" s="83">
        <f t="shared" si="2"/>
        <v>0.41217075386012714</v>
      </c>
      <c r="N29" s="83">
        <f t="shared" si="3"/>
        <v>0.38079523938328363</v>
      </c>
      <c r="O29"/>
      <c r="P29"/>
      <c r="Q29"/>
    </row>
    <row r="30" spans="1:25" x14ac:dyDescent="0.25">
      <c r="A30" s="17" t="s">
        <v>247</v>
      </c>
      <c r="B30" s="138">
        <v>10645</v>
      </c>
      <c r="C30" s="12"/>
      <c r="D30" s="12"/>
      <c r="E30" s="135">
        <v>17112</v>
      </c>
      <c r="F30" s="12"/>
      <c r="G30" s="12"/>
      <c r="H30" s="84">
        <f>SUM(B30,E30)</f>
        <v>27757</v>
      </c>
      <c r="I30" s="18"/>
      <c r="J30" s="18"/>
      <c r="L30" s="83">
        <f t="shared" si="1"/>
        <v>0.30725776740758937</v>
      </c>
      <c r="M30" s="83">
        <f t="shared" si="2"/>
        <v>0.45671235208989525</v>
      </c>
      <c r="N30" s="83">
        <f t="shared" si="3"/>
        <v>0.39552538964303663</v>
      </c>
    </row>
    <row r="31" spans="1:25" x14ac:dyDescent="0.25">
      <c r="A31" s="17" t="s">
        <v>248</v>
      </c>
      <c r="B31" s="138">
        <v>11264</v>
      </c>
      <c r="C31" s="121"/>
      <c r="D31" s="121"/>
      <c r="E31" s="135">
        <v>18470</v>
      </c>
      <c r="F31" s="121"/>
      <c r="G31" s="121"/>
      <c r="H31" s="139">
        <f t="shared" si="0"/>
        <v>29734</v>
      </c>
      <c r="I31" s="121"/>
      <c r="J31" s="121"/>
      <c r="L31" s="83">
        <f>B31/B27-1</f>
        <v>0.26604473418006069</v>
      </c>
      <c r="M31" s="83">
        <f>E31/E27-1</f>
        <v>0.40040943210250957</v>
      </c>
      <c r="N31" s="83">
        <f>H31/H27-1</f>
        <v>0.34628271303087921</v>
      </c>
    </row>
    <row r="32" spans="1:25" x14ac:dyDescent="0.25">
      <c r="A32" s="17" t="s">
        <v>279</v>
      </c>
      <c r="B32" s="138">
        <v>11770</v>
      </c>
      <c r="C32" s="5"/>
      <c r="D32" s="5"/>
      <c r="E32" s="135">
        <v>20165</v>
      </c>
      <c r="F32" s="5"/>
      <c r="G32" s="5"/>
      <c r="H32" s="18">
        <f t="shared" si="0"/>
        <v>31935</v>
      </c>
      <c r="I32" s="18"/>
      <c r="J32" s="18"/>
      <c r="L32" s="83">
        <f>B32/B28-1</f>
        <v>0.24589816873081394</v>
      </c>
      <c r="M32" s="83">
        <f>E32/E28-1</f>
        <v>0.37588700873362435</v>
      </c>
      <c r="N32" s="83">
        <f>H32/H28-1</f>
        <v>0.3249388042982202</v>
      </c>
    </row>
    <row r="33" spans="1:14" x14ac:dyDescent="0.25">
      <c r="A33" s="17" t="s">
        <v>280</v>
      </c>
      <c r="B33" s="138">
        <v>11748</v>
      </c>
      <c r="C33" s="5">
        <f>B33</f>
        <v>11748</v>
      </c>
      <c r="D33" s="5">
        <f>B33</f>
        <v>11748</v>
      </c>
      <c r="E33" s="135">
        <v>20447</v>
      </c>
      <c r="F33" s="5">
        <f>E33</f>
        <v>20447</v>
      </c>
      <c r="G33" s="5">
        <f>E33</f>
        <v>20447</v>
      </c>
      <c r="H33" s="18">
        <f t="shared" si="0"/>
        <v>32195</v>
      </c>
      <c r="I33" s="18">
        <f t="shared" ref="I33:I39" si="4">SUM(C33,F33)</f>
        <v>32195</v>
      </c>
      <c r="J33" s="18">
        <f t="shared" ref="J33:J39" si="5">SUM(D33,G33)</f>
        <v>32195</v>
      </c>
      <c r="L33" s="83">
        <f>B33/B29-1</f>
        <v>0.17762630312750605</v>
      </c>
      <c r="M33" s="83">
        <f>E33/E29-1</f>
        <v>0.31508875739644981</v>
      </c>
      <c r="N33" s="83">
        <f>H33/H29-1</f>
        <v>0.26136185550854107</v>
      </c>
    </row>
    <row r="34" spans="1:14" x14ac:dyDescent="0.25">
      <c r="A34" s="17" t="s">
        <v>281</v>
      </c>
      <c r="B34" s="168">
        <v>12000</v>
      </c>
      <c r="C34" s="18">
        <f>C33*((B34/B33)+(B$1/4))</f>
        <v>12127.125394343133</v>
      </c>
      <c r="D34" s="18">
        <f t="shared" ref="D34:D51" si="6">D33*((B34/B33)-(B$1/4))</f>
        <v>11872.874605656865</v>
      </c>
      <c r="E34" s="168">
        <v>20500</v>
      </c>
      <c r="F34" s="18">
        <f t="shared" ref="F34:F51" si="7">F33*((E34/E33)+(E$1/4))</f>
        <v>20893.920562240906</v>
      </c>
      <c r="G34" s="18">
        <f t="shared" ref="G34:G51" si="8">G33*((E34/E33)-(E$1/4))</f>
        <v>20106.079437759097</v>
      </c>
      <c r="H34" s="18">
        <f t="shared" si="0"/>
        <v>32500</v>
      </c>
      <c r="I34" s="18">
        <f t="shared" si="4"/>
        <v>33021.045956584043</v>
      </c>
      <c r="J34" s="18">
        <f t="shared" si="5"/>
        <v>31978.954043415964</v>
      </c>
    </row>
    <row r="35" spans="1:14" x14ac:dyDescent="0.25">
      <c r="A35" s="17" t="s">
        <v>282</v>
      </c>
      <c r="B35" s="168">
        <v>13000</v>
      </c>
      <c r="C35" s="18">
        <f t="shared" ref="C35:C51" si="9">C34*((B35/B34)+(B$1/4))</f>
        <v>13268.947096681099</v>
      </c>
      <c r="D35" s="18">
        <f t="shared" si="6"/>
        <v>12733.804157300323</v>
      </c>
      <c r="E35" s="168">
        <v>22000</v>
      </c>
      <c r="F35" s="18">
        <f t="shared" si="7"/>
        <v>22825.274703948744</v>
      </c>
      <c r="G35" s="18">
        <f t="shared" si="8"/>
        <v>21189.903406224508</v>
      </c>
      <c r="H35" s="18">
        <f t="shared" si="0"/>
        <v>35000</v>
      </c>
      <c r="I35" s="18">
        <f t="shared" si="4"/>
        <v>36094.221800629843</v>
      </c>
      <c r="J35" s="18">
        <f t="shared" si="5"/>
        <v>33923.707563524833</v>
      </c>
    </row>
    <row r="36" spans="1:14" x14ac:dyDescent="0.25">
      <c r="A36" s="17" t="s">
        <v>283</v>
      </c>
      <c r="B36" s="12">
        <f>B32*(1+B$75)</f>
        <v>15609.524691920733</v>
      </c>
      <c r="C36" s="50">
        <f t="shared" si="9"/>
        <v>16076.041856980895</v>
      </c>
      <c r="D36" s="50">
        <f t="shared" si="6"/>
        <v>15152.101842186199</v>
      </c>
      <c r="E36" s="12">
        <f>E32*(1+E$75)</f>
        <v>26990.081879350844</v>
      </c>
      <c r="F36" s="50">
        <f t="shared" si="7"/>
        <v>28442.286046360972</v>
      </c>
      <c r="G36" s="50">
        <f t="shared" si="8"/>
        <v>25588.004706813423</v>
      </c>
      <c r="H36" s="50">
        <f t="shared" si="0"/>
        <v>42599.606571271579</v>
      </c>
      <c r="I36" s="50">
        <f t="shared" si="4"/>
        <v>44518.327903341866</v>
      </c>
      <c r="J36" s="50">
        <f t="shared" si="5"/>
        <v>40740.106548999625</v>
      </c>
    </row>
    <row r="37" spans="1:14" x14ac:dyDescent="0.25">
      <c r="A37" s="17" t="s">
        <v>284</v>
      </c>
      <c r="B37" s="12">
        <f>B33*(1+B$75)</f>
        <v>15580.34801025359</v>
      </c>
      <c r="C37" s="50">
        <f t="shared" si="9"/>
        <v>16219.952421380958</v>
      </c>
      <c r="D37" s="50">
        <f t="shared" si="6"/>
        <v>14959.818893151616</v>
      </c>
      <c r="E37" s="12">
        <f>E33*(1+E$75)</f>
        <v>27367.528102508641</v>
      </c>
      <c r="F37" s="50">
        <f t="shared" si="7"/>
        <v>29387.994111955417</v>
      </c>
      <c r="G37" s="50">
        <f t="shared" si="8"/>
        <v>25452.879096170149</v>
      </c>
      <c r="H37" s="50">
        <f t="shared" si="0"/>
        <v>42947.876112762227</v>
      </c>
      <c r="I37" s="50">
        <f t="shared" si="4"/>
        <v>45607.946533336377</v>
      </c>
      <c r="J37" s="50">
        <f t="shared" si="5"/>
        <v>40412.697989321765</v>
      </c>
    </row>
    <row r="38" spans="1:14" x14ac:dyDescent="0.25">
      <c r="A38" s="17" t="s">
        <v>285</v>
      </c>
      <c r="B38" s="12">
        <f>B34*(1+B$75)</f>
        <v>15914.553636622668</v>
      </c>
      <c r="C38" s="50">
        <f t="shared" si="9"/>
        <v>16743.394356857887</v>
      </c>
      <c r="D38" s="50">
        <f t="shared" si="6"/>
        <v>15118.833319860882</v>
      </c>
      <c r="E38" s="12">
        <f>E34*(1+E$75)</f>
        <v>27438.466577073759</v>
      </c>
      <c r="F38" s="50">
        <f t="shared" si="7"/>
        <v>30030.342566577005</v>
      </c>
      <c r="G38" s="50">
        <f t="shared" si="8"/>
        <v>25028.493618979555</v>
      </c>
      <c r="H38" s="50">
        <f t="shared" si="0"/>
        <v>43353.020213696429</v>
      </c>
      <c r="I38" s="50">
        <f t="shared" si="4"/>
        <v>46773.736923434888</v>
      </c>
      <c r="J38" s="50">
        <f t="shared" si="5"/>
        <v>40147.326938840437</v>
      </c>
    </row>
    <row r="39" spans="1:14" x14ac:dyDescent="0.25">
      <c r="A39" s="17" t="s">
        <v>286</v>
      </c>
      <c r="B39" s="12">
        <f>B35*(1+B$75)</f>
        <v>17240.766439674557</v>
      </c>
      <c r="C39" s="50">
        <f t="shared" si="9"/>
        <v>18319.857898364698</v>
      </c>
      <c r="D39" s="50">
        <f t="shared" si="6"/>
        <v>16215.134832658665</v>
      </c>
      <c r="E39" s="12">
        <f>E35*(1+E$75)</f>
        <v>29446.15925344501</v>
      </c>
      <c r="F39" s="50">
        <f t="shared" si="7"/>
        <v>32806.232630870574</v>
      </c>
      <c r="G39" s="50">
        <f t="shared" si="8"/>
        <v>26377.661733171441</v>
      </c>
      <c r="H39" s="50">
        <f t="shared" si="0"/>
        <v>46686.92569311957</v>
      </c>
      <c r="I39" s="50">
        <f t="shared" si="4"/>
        <v>51126.090529235269</v>
      </c>
      <c r="J39" s="50">
        <f t="shared" si="5"/>
        <v>42592.796565830104</v>
      </c>
    </row>
    <row r="40" spans="1:14" x14ac:dyDescent="0.25">
      <c r="A40" s="17" t="s">
        <v>673</v>
      </c>
      <c r="B40" s="12">
        <f>B36*(1+B$76)</f>
        <v>19701.139327704826</v>
      </c>
      <c r="C40" s="18">
        <f t="shared" si="9"/>
        <v>21132.463996552618</v>
      </c>
      <c r="D40" s="18">
        <f t="shared" si="6"/>
        <v>18353.678849152526</v>
      </c>
      <c r="E40" s="12">
        <f>E36*(1+E$76)</f>
        <v>35012.945324741362</v>
      </c>
      <c r="F40" s="18">
        <f t="shared" si="7"/>
        <v>39640.26607855317</v>
      </c>
      <c r="G40" s="18">
        <f t="shared" si="8"/>
        <v>30856.172023209252</v>
      </c>
      <c r="H40" s="18">
        <f t="shared" ref="H40:J43" si="10">SUM(B40,E40)</f>
        <v>54714.084652446189</v>
      </c>
      <c r="I40" s="18">
        <f t="shared" si="10"/>
        <v>60772.730075105792</v>
      </c>
      <c r="J40" s="18">
        <f t="shared" si="10"/>
        <v>49209.850872361778</v>
      </c>
    </row>
    <row r="41" spans="1:14" x14ac:dyDescent="0.25">
      <c r="A41" s="17" t="s">
        <v>674</v>
      </c>
      <c r="B41" s="12">
        <f>B37*(1+B$76)</f>
        <v>19664.31476821379</v>
      </c>
      <c r="C41" s="18">
        <f t="shared" si="9"/>
        <v>21321.638971833447</v>
      </c>
      <c r="D41" s="18">
        <f t="shared" si="6"/>
        <v>18120.767301203246</v>
      </c>
      <c r="E41" s="12">
        <f>E37*(1+E$76)</f>
        <v>35502.588299280265</v>
      </c>
      <c r="F41" s="18">
        <f t="shared" si="7"/>
        <v>40958.307789113693</v>
      </c>
      <c r="G41" s="18">
        <f t="shared" si="8"/>
        <v>30693.226176726741</v>
      </c>
      <c r="H41" s="18">
        <f t="shared" si="10"/>
        <v>55166.903067494059</v>
      </c>
      <c r="I41" s="18">
        <f t="shared" si="10"/>
        <v>62279.946760947139</v>
      </c>
      <c r="J41" s="18">
        <f t="shared" si="10"/>
        <v>48813.993477929987</v>
      </c>
    </row>
    <row r="42" spans="1:14" x14ac:dyDescent="0.25">
      <c r="A42" s="17" t="s">
        <v>675</v>
      </c>
      <c r="B42" s="12">
        <f>B38*(1+B$76)</f>
        <v>20086.123358747485</v>
      </c>
      <c r="C42" s="18">
        <f t="shared" si="9"/>
        <v>22009.719903331428</v>
      </c>
      <c r="D42" s="18">
        <f t="shared" si="6"/>
        <v>18313.380824435928</v>
      </c>
      <c r="E42" s="12">
        <f>E38*(1+E$76)</f>
        <v>35594.613397331908</v>
      </c>
      <c r="F42" s="18">
        <f t="shared" si="7"/>
        <v>41853.554521912971</v>
      </c>
      <c r="G42" s="18">
        <f t="shared" si="8"/>
        <v>30181.466411227797</v>
      </c>
      <c r="H42" s="18">
        <f t="shared" si="10"/>
        <v>55680.736756079394</v>
      </c>
      <c r="I42" s="18">
        <f t="shared" si="10"/>
        <v>63863.274425244395</v>
      </c>
      <c r="J42" s="18">
        <f t="shared" si="10"/>
        <v>48494.847235663721</v>
      </c>
    </row>
    <row r="43" spans="1:14" x14ac:dyDescent="0.25">
      <c r="A43" s="17" t="s">
        <v>676</v>
      </c>
      <c r="B43" s="12">
        <f>B39*(1+B$76)</f>
        <v>21759.966971976442</v>
      </c>
      <c r="C43" s="18">
        <f t="shared" si="9"/>
        <v>24082.030944143004</v>
      </c>
      <c r="D43" s="18">
        <f t="shared" si="6"/>
        <v>19641.326352871434</v>
      </c>
      <c r="E43" s="12">
        <f>E39*(1+E$76)</f>
        <v>38199.097304453753</v>
      </c>
      <c r="F43" s="18">
        <f t="shared" si="7"/>
        <v>45722.337100572382</v>
      </c>
      <c r="G43" s="18">
        <f t="shared" si="8"/>
        <v>31808.406999082559</v>
      </c>
      <c r="H43" s="18">
        <f t="shared" si="10"/>
        <v>59959.064276430196</v>
      </c>
      <c r="I43" s="18">
        <f t="shared" si="10"/>
        <v>69804.368044715389</v>
      </c>
      <c r="J43" s="18">
        <f t="shared" si="10"/>
        <v>51449.733351953997</v>
      </c>
    </row>
    <row r="44" spans="1:14" x14ac:dyDescent="0.25">
      <c r="A44" s="17" t="s">
        <v>677</v>
      </c>
      <c r="B44" s="12">
        <f>B40*(1+B$77)</f>
        <v>24390.662473289129</v>
      </c>
      <c r="C44" s="18">
        <f t="shared" si="9"/>
        <v>27254.047205689916</v>
      </c>
      <c r="D44" s="18">
        <f t="shared" si="6"/>
        <v>21803.347159952165</v>
      </c>
      <c r="E44" s="12">
        <f>E40*(1+E$77)</f>
        <v>44853.080846049881</v>
      </c>
      <c r="F44" s="18">
        <f t="shared" si="7"/>
        <v>54567.67127533906</v>
      </c>
      <c r="G44" s="18">
        <f t="shared" si="8"/>
        <v>36736.379218444992</v>
      </c>
      <c r="H44" s="18">
        <f t="shared" ref="H44:H51" si="11">SUM(B44,E44)</f>
        <v>69243.743319339002</v>
      </c>
      <c r="I44" s="18">
        <f t="shared" ref="I44:I51" si="12">SUM(C44,F44)</f>
        <v>81821.718481028976</v>
      </c>
      <c r="J44" s="18">
        <f t="shared" ref="J44:J51" si="13">SUM(D44,G44)</f>
        <v>58539.726378397158</v>
      </c>
    </row>
    <row r="45" spans="1:14" x14ac:dyDescent="0.25">
      <c r="A45" s="17" t="s">
        <v>678</v>
      </c>
      <c r="B45" s="12">
        <f>B41*(1+B$77)</f>
        <v>24345.07244997457</v>
      </c>
      <c r="C45" s="18">
        <f t="shared" si="9"/>
        <v>27498.021770477058</v>
      </c>
      <c r="D45" s="18">
        <f t="shared" si="6"/>
        <v>21526.658688979249</v>
      </c>
      <c r="E45" s="12">
        <f>E41*(1+E$77)</f>
        <v>45480.334443797758</v>
      </c>
      <c r="F45" s="18">
        <f t="shared" si="7"/>
        <v>56382.050286986632</v>
      </c>
      <c r="G45" s="18">
        <f t="shared" si="8"/>
        <v>36542.381064560264</v>
      </c>
      <c r="H45" s="18">
        <f t="shared" si="11"/>
        <v>69825.406893772335</v>
      </c>
      <c r="I45" s="18">
        <f t="shared" si="12"/>
        <v>83880.072057463694</v>
      </c>
      <c r="J45" s="18">
        <f t="shared" si="13"/>
        <v>58069.039753539517</v>
      </c>
    </row>
    <row r="46" spans="1:14" x14ac:dyDescent="0.25">
      <c r="A46" s="17" t="s">
        <v>679</v>
      </c>
      <c r="B46" s="12">
        <f>B42*(1+B$77)</f>
        <v>24867.285444304973</v>
      </c>
      <c r="C46" s="18">
        <f t="shared" si="9"/>
        <v>28385.423740802915</v>
      </c>
      <c r="D46" s="18">
        <f t="shared" si="6"/>
        <v>21755.474914285362</v>
      </c>
      <c r="E46" s="12">
        <f>E42*(1+E$77)</f>
        <v>45598.222531317755</v>
      </c>
      <c r="F46" s="18">
        <f t="shared" si="7"/>
        <v>57614.421667362978</v>
      </c>
      <c r="G46" s="18">
        <f t="shared" si="8"/>
        <v>35933.096127985154</v>
      </c>
      <c r="H46" s="18">
        <f t="shared" si="11"/>
        <v>70465.507975622721</v>
      </c>
      <c r="I46" s="18">
        <f t="shared" si="12"/>
        <v>85999.845408165886</v>
      </c>
      <c r="J46" s="18">
        <f t="shared" si="13"/>
        <v>57688.571042270516</v>
      </c>
    </row>
    <row r="47" spans="1:14" x14ac:dyDescent="0.25">
      <c r="A47" s="17" t="s">
        <v>680</v>
      </c>
      <c r="B47" s="12">
        <f>B43*(1+B$77)</f>
        <v>26939.559231330386</v>
      </c>
      <c r="C47" s="18">
        <f t="shared" si="9"/>
        <v>31058.035081362377</v>
      </c>
      <c r="D47" s="18">
        <f t="shared" si="6"/>
        <v>23333.014632831895</v>
      </c>
      <c r="E47" s="12">
        <f>E43*(1+E$77)</f>
        <v>48934.677838487347</v>
      </c>
      <c r="F47" s="18">
        <f t="shared" si="7"/>
        <v>62940.078552957501</v>
      </c>
      <c r="G47" s="18">
        <f t="shared" si="8"/>
        <v>37870.07996241402</v>
      </c>
      <c r="H47" s="18">
        <f t="shared" si="11"/>
        <v>75874.237069817726</v>
      </c>
      <c r="I47" s="18">
        <f t="shared" si="12"/>
        <v>93998.113634319874</v>
      </c>
      <c r="J47" s="18">
        <f t="shared" si="13"/>
        <v>61203.094595245915</v>
      </c>
    </row>
    <row r="48" spans="1:14" x14ac:dyDescent="0.25">
      <c r="A48" s="17" t="s">
        <v>681</v>
      </c>
      <c r="B48" s="12">
        <f>B44*(1+B$78)</f>
        <v>29608.879808473728</v>
      </c>
      <c r="C48" s="18">
        <f t="shared" si="9"/>
        <v>34471.516786635846</v>
      </c>
      <c r="D48" s="18">
        <f t="shared" si="6"/>
        <v>25392.49169717063</v>
      </c>
      <c r="E48" s="12">
        <f>E44*(1+E$78)</f>
        <v>56731.669329416422</v>
      </c>
      <c r="F48" s="18">
        <f t="shared" si="7"/>
        <v>74181.184805734214</v>
      </c>
      <c r="G48" s="18">
        <f t="shared" si="8"/>
        <v>43174.51327532166</v>
      </c>
      <c r="H48" s="18">
        <f t="shared" si="11"/>
        <v>86340.54913789015</v>
      </c>
      <c r="I48" s="18">
        <f t="shared" si="12"/>
        <v>108652.70159237005</v>
      </c>
      <c r="J48" s="18">
        <f t="shared" si="13"/>
        <v>68567.004972492286</v>
      </c>
    </row>
    <row r="49" spans="1:10" x14ac:dyDescent="0.25">
      <c r="A49" s="17" t="s">
        <v>682</v>
      </c>
      <c r="B49" s="12">
        <f>B45*(1+B$78)</f>
        <v>29553.53610789714</v>
      </c>
      <c r="C49" s="18">
        <f t="shared" si="9"/>
        <v>34780.101168327841</v>
      </c>
      <c r="D49" s="18">
        <f t="shared" si="6"/>
        <v>25070.256324301485</v>
      </c>
      <c r="E49" s="12">
        <f>E45*(1+E$78)</f>
        <v>57525.040554355444</v>
      </c>
      <c r="F49" s="18">
        <f t="shared" si="7"/>
        <v>76647.7145590664</v>
      </c>
      <c r="G49" s="18">
        <f t="shared" si="8"/>
        <v>42946.516503498307</v>
      </c>
      <c r="H49" s="18">
        <f t="shared" si="11"/>
        <v>87078.576662252584</v>
      </c>
      <c r="I49" s="18">
        <f t="shared" si="12"/>
        <v>111427.81572739425</v>
      </c>
      <c r="J49" s="18">
        <f t="shared" si="13"/>
        <v>68016.772827799796</v>
      </c>
    </row>
    <row r="50" spans="1:10" x14ac:dyDescent="0.25">
      <c r="A50" s="17" t="s">
        <v>683</v>
      </c>
      <c r="B50" s="12">
        <f>B46*(1+B$78)</f>
        <v>30187.473041774403</v>
      </c>
      <c r="C50" s="18">
        <f t="shared" si="9"/>
        <v>35902.506647621027</v>
      </c>
      <c r="D50" s="18">
        <f t="shared" si="6"/>
        <v>25336.738991326823</v>
      </c>
      <c r="E50" s="12">
        <f>E46*(1+E$78)</f>
        <v>57674.149330673776</v>
      </c>
      <c r="F50" s="18">
        <f t="shared" si="7"/>
        <v>78323.042953707103</v>
      </c>
      <c r="G50" s="18">
        <f t="shared" si="8"/>
        <v>42230.45299527407</v>
      </c>
      <c r="H50" s="18">
        <f t="shared" si="11"/>
        <v>87861.622372448182</v>
      </c>
      <c r="I50" s="18">
        <f t="shared" si="12"/>
        <v>114225.54960132812</v>
      </c>
      <c r="J50" s="18">
        <f t="shared" si="13"/>
        <v>67567.191986600898</v>
      </c>
    </row>
    <row r="51" spans="1:10" x14ac:dyDescent="0.25">
      <c r="A51" s="17" t="s">
        <v>684</v>
      </c>
      <c r="B51" s="12">
        <f>B47*(1+B$78)</f>
        <v>32703.095795255602</v>
      </c>
      <c r="C51" s="18">
        <f t="shared" si="9"/>
        <v>39282.884101103045</v>
      </c>
      <c r="D51" s="18">
        <f t="shared" si="6"/>
        <v>27173.964437093546</v>
      </c>
      <c r="E51" s="12">
        <f>E47*(1+E$78)</f>
        <v>61894.209037796245</v>
      </c>
      <c r="F51" s="18">
        <f t="shared" si="7"/>
        <v>85562.925624323485</v>
      </c>
      <c r="G51" s="18">
        <f t="shared" si="8"/>
        <v>44506.897654568187</v>
      </c>
      <c r="H51" s="18">
        <f t="shared" si="11"/>
        <v>94597.30483305185</v>
      </c>
      <c r="I51" s="18">
        <f t="shared" si="12"/>
        <v>124845.80972542653</v>
      </c>
      <c r="J51" s="18">
        <f t="shared" si="13"/>
        <v>71680.862091661736</v>
      </c>
    </row>
    <row r="52" spans="1:10" x14ac:dyDescent="0.25">
      <c r="A52" s="17" t="s">
        <v>685</v>
      </c>
      <c r="B52" s="12">
        <f>B48*(1+B$79)</f>
        <v>35230.225852868243</v>
      </c>
      <c r="C52" s="18">
        <f>C51*((B52/B51)+(B$1/4))</f>
        <v>42743.548010387043</v>
      </c>
      <c r="D52" s="18">
        <f>D51*((B52/B51)-(B$1/4))</f>
        <v>28979.781019840342</v>
      </c>
      <c r="E52" s="12">
        <f>E48*(1+E$79)</f>
        <v>70836.511264123765</v>
      </c>
      <c r="F52" s="18">
        <f>F51*((E52/E51)+(E$1/4))</f>
        <v>99573.225702828684</v>
      </c>
      <c r="G52" s="18">
        <f>G51*((E52/E51)-(E$1/4))</f>
        <v>50079.68455118651</v>
      </c>
      <c r="H52" s="18">
        <f t="shared" ref="H52:J55" si="14">SUM(B52,E52)</f>
        <v>106066.73711699201</v>
      </c>
      <c r="I52" s="18">
        <f t="shared" si="14"/>
        <v>142316.77371321572</v>
      </c>
      <c r="J52" s="18">
        <f t="shared" si="14"/>
        <v>79059.465571026856</v>
      </c>
    </row>
    <row r="53" spans="1:10" x14ac:dyDescent="0.25">
      <c r="A53" s="17" t="s">
        <v>686</v>
      </c>
      <c r="B53" s="12">
        <f>B49*(1+B$79)</f>
        <v>35164.374963423623</v>
      </c>
      <c r="C53" s="18">
        <f>C52*((B53/B52)+(B$1/4))</f>
        <v>43126.182502966738</v>
      </c>
      <c r="D53" s="18">
        <f>D52*((B53/B52)-(B$1/4))</f>
        <v>28612.022288087559</v>
      </c>
      <c r="E53" s="12">
        <f>E49*(1+E$79)</f>
        <v>71827.133439996949</v>
      </c>
      <c r="F53" s="18">
        <f>F52*((E53/E52)+(E$1/4))</f>
        <v>102884.04265020513</v>
      </c>
      <c r="G53" s="18">
        <f>G52*((E53/E52)-(E$1/4))</f>
        <v>49815.22282260163</v>
      </c>
      <c r="H53" s="18">
        <f t="shared" si="14"/>
        <v>106991.50840342056</v>
      </c>
      <c r="I53" s="18">
        <f t="shared" si="14"/>
        <v>146010.22515317186</v>
      </c>
      <c r="J53" s="18">
        <f t="shared" si="14"/>
        <v>78427.245110689197</v>
      </c>
    </row>
    <row r="54" spans="1:10" x14ac:dyDescent="0.25">
      <c r="A54" s="17" t="s">
        <v>687</v>
      </c>
      <c r="B54" s="12">
        <f>B50*(1+B$79)</f>
        <v>35918.666969789199</v>
      </c>
      <c r="C54" s="18">
        <f>C53*((B54/B53)+(B$1/4))</f>
        <v>44517.928412734473</v>
      </c>
      <c r="D54" s="18">
        <f>D53*((B54/B53)-(B$1/4))</f>
        <v>28916.151927198083</v>
      </c>
      <c r="E54" s="12">
        <f>E50*(1+E$79)</f>
        <v>72013.31420354759</v>
      </c>
      <c r="F54" s="18">
        <f>F53*((E54/E53)+(E$1/4))</f>
        <v>105132.83191938139</v>
      </c>
      <c r="G54" s="18">
        <f>G53*((E54/E53)-(E$1/4))</f>
        <v>48984.634776783794</v>
      </c>
      <c r="H54" s="18">
        <f t="shared" si="14"/>
        <v>107931.9811733368</v>
      </c>
      <c r="I54" s="18">
        <f t="shared" si="14"/>
        <v>149650.76033211587</v>
      </c>
      <c r="J54" s="18">
        <f t="shared" si="14"/>
        <v>77900.786703981881</v>
      </c>
    </row>
    <row r="55" spans="1:10" x14ac:dyDescent="0.25">
      <c r="A55" s="17" t="s">
        <v>688</v>
      </c>
      <c r="B55" s="12">
        <f>B51*(1+B$79)</f>
        <v>38911.88921727163</v>
      </c>
      <c r="C55" s="18">
        <f>C54*((B55/B54)+(B$1/4))</f>
        <v>48709.485368886613</v>
      </c>
      <c r="D55" s="18">
        <f>D54*((B55/B54)-(B$1/4))</f>
        <v>31012.928869664534</v>
      </c>
      <c r="E55" s="12">
        <f>E51*(1+E$79)</f>
        <v>77282.581096490088</v>
      </c>
      <c r="F55" s="18">
        <f>F54*((E55/E54)+(E$1/4))</f>
        <v>114850.9089912315</v>
      </c>
      <c r="G55" s="18">
        <f>G54*((E55/E54)-(E$1/4))</f>
        <v>51625.165538733258</v>
      </c>
      <c r="H55" s="18">
        <f t="shared" si="14"/>
        <v>116194.47031376172</v>
      </c>
      <c r="I55" s="18">
        <f t="shared" si="14"/>
        <v>163560.39436011811</v>
      </c>
      <c r="J55" s="18">
        <f t="shared" si="14"/>
        <v>82638.094408397796</v>
      </c>
    </row>
    <row r="56" spans="1:10" x14ac:dyDescent="0.25">
      <c r="A56" s="120" t="s">
        <v>735</v>
      </c>
      <c r="B56" s="121">
        <f>B52*(1+B$80)</f>
        <v>41070.112450310262</v>
      </c>
      <c r="C56" s="119">
        <f t="shared" ref="C56:C63" si="15">C55*((B56/B55)+(B$1/4))</f>
        <v>51938.21258108686</v>
      </c>
      <c r="D56" s="119">
        <f t="shared" ref="D56:D63" si="16">D55*((B56/B55)-(B$1/4))</f>
        <v>32397.449622311706</v>
      </c>
      <c r="E56" s="121">
        <f>E52*(1+E$80)</f>
        <v>87299.927734054116</v>
      </c>
      <c r="F56" s="119">
        <f t="shared" ref="F56:F63" si="17">F55*((E56/E55)+(E$1/4))</f>
        <v>131950.5057444011</v>
      </c>
      <c r="G56" s="119">
        <f t="shared" ref="G56:G63" si="18">G55*((E56/E55)-(E$1/4))</f>
        <v>57322.223309287328</v>
      </c>
      <c r="H56" s="119">
        <f t="shared" ref="H56:H63" si="19">SUM(B56,E56)</f>
        <v>128370.04018436438</v>
      </c>
      <c r="I56" s="119">
        <f t="shared" ref="I56:I63" si="20">SUM(C56,F56)</f>
        <v>183888.71832548798</v>
      </c>
      <c r="J56" s="119">
        <f t="shared" ref="J56:J63" si="21">SUM(D56,G56)</f>
        <v>89719.672931599038</v>
      </c>
    </row>
    <row r="57" spans="1:10" x14ac:dyDescent="0.25">
      <c r="A57" s="120" t="s">
        <v>736</v>
      </c>
      <c r="B57" s="121">
        <f>B53*(1+B$80)</f>
        <v>40993.345884982569</v>
      </c>
      <c r="C57" s="119">
        <f t="shared" si="15"/>
        <v>52403.156474177609</v>
      </c>
      <c r="D57" s="119">
        <f t="shared" si="16"/>
        <v>31986.320049697988</v>
      </c>
      <c r="E57" s="121">
        <f>E53*(1+E$80)</f>
        <v>88520.78464558415</v>
      </c>
      <c r="F57" s="119">
        <f t="shared" si="17"/>
        <v>136337.86959196042</v>
      </c>
      <c r="G57" s="119">
        <f t="shared" si="18"/>
        <v>57019.515047472938</v>
      </c>
      <c r="H57" s="119">
        <f t="shared" si="19"/>
        <v>129514.13053056672</v>
      </c>
      <c r="I57" s="119">
        <f t="shared" si="20"/>
        <v>188741.02606613803</v>
      </c>
      <c r="J57" s="119">
        <f t="shared" si="21"/>
        <v>89005.83509717093</v>
      </c>
    </row>
    <row r="58" spans="1:10" x14ac:dyDescent="0.25">
      <c r="A58" s="120" t="s">
        <v>737</v>
      </c>
      <c r="B58" s="121">
        <f>B54*(1+B$80)</f>
        <v>41872.671996917845</v>
      </c>
      <c r="C58" s="119">
        <f t="shared" si="15"/>
        <v>54094.284101271369</v>
      </c>
      <c r="D58" s="119">
        <f t="shared" si="16"/>
        <v>32326.316568477381</v>
      </c>
      <c r="E58" s="121">
        <f>E54*(1+E$80)</f>
        <v>88750.236476474558</v>
      </c>
      <c r="F58" s="119">
        <f t="shared" si="17"/>
        <v>139317.87630848444</v>
      </c>
      <c r="G58" s="119">
        <f t="shared" si="18"/>
        <v>56068.807113365823</v>
      </c>
      <c r="H58" s="119">
        <f t="shared" si="19"/>
        <v>130622.9084733924</v>
      </c>
      <c r="I58" s="119">
        <f t="shared" si="20"/>
        <v>193412.1604097558</v>
      </c>
      <c r="J58" s="119">
        <f t="shared" si="21"/>
        <v>88395.123681843208</v>
      </c>
    </row>
    <row r="59" spans="1:10" x14ac:dyDescent="0.25">
      <c r="A59" s="120" t="s">
        <v>738</v>
      </c>
      <c r="B59" s="121">
        <f>B55*(1+B$80)</f>
        <v>45362.061329994329</v>
      </c>
      <c r="C59" s="119">
        <f t="shared" si="15"/>
        <v>59187.496676452531</v>
      </c>
      <c r="D59" s="119">
        <f t="shared" si="16"/>
        <v>34670.372423015229</v>
      </c>
      <c r="E59" s="121">
        <f>E55*(1+E$80)</f>
        <v>95244.156218655611</v>
      </c>
      <c r="F59" s="119">
        <f t="shared" si="17"/>
        <v>152195.88819815312</v>
      </c>
      <c r="G59" s="119">
        <f t="shared" si="18"/>
        <v>59091.212213318147</v>
      </c>
      <c r="H59" s="119">
        <f t="shared" si="19"/>
        <v>140606.21754864993</v>
      </c>
      <c r="I59" s="119">
        <f t="shared" si="20"/>
        <v>211383.38487460563</v>
      </c>
      <c r="J59" s="119">
        <f t="shared" si="21"/>
        <v>93761.584636333369</v>
      </c>
    </row>
    <row r="60" spans="1:10" x14ac:dyDescent="0.25">
      <c r="A60" s="120" t="s">
        <v>739</v>
      </c>
      <c r="B60" s="121">
        <f>B56*(1+B$81)</f>
        <v>46888.666226136345</v>
      </c>
      <c r="C60" s="119">
        <f t="shared" si="15"/>
        <v>61819.849095750913</v>
      </c>
      <c r="D60" s="119">
        <f t="shared" si="16"/>
        <v>35461.992612779475</v>
      </c>
      <c r="E60" s="121">
        <f>E56*(1+E$81)</f>
        <v>106174.58889598853</v>
      </c>
      <c r="F60" s="119">
        <f t="shared" si="17"/>
        <v>172594.35076235197</v>
      </c>
      <c r="G60" s="119">
        <f t="shared" si="18"/>
        <v>64734.233545195137</v>
      </c>
      <c r="H60" s="119">
        <f t="shared" si="19"/>
        <v>153063.25512212489</v>
      </c>
      <c r="I60" s="119">
        <f t="shared" si="20"/>
        <v>234414.19985810289</v>
      </c>
      <c r="J60" s="119">
        <f t="shared" si="21"/>
        <v>100196.22615797461</v>
      </c>
    </row>
    <row r="61" spans="1:10" x14ac:dyDescent="0.25">
      <c r="A61" s="120" t="s">
        <v>740</v>
      </c>
      <c r="B61" s="121">
        <f>B57*(1+B$81)</f>
        <v>46801.023859358509</v>
      </c>
      <c r="C61" s="119">
        <f t="shared" si="15"/>
        <v>62373.252069794107</v>
      </c>
      <c r="D61" s="119">
        <f t="shared" si="16"/>
        <v>35011.973428032223</v>
      </c>
      <c r="E61" s="121">
        <f>E57*(1+E$81)</f>
        <v>107659.40090038569</v>
      </c>
      <c r="F61" s="119">
        <f t="shared" si="17"/>
        <v>178333.12539270119</v>
      </c>
      <c r="G61" s="119">
        <f t="shared" si="18"/>
        <v>64392.383802022705</v>
      </c>
      <c r="H61" s="119">
        <f t="shared" si="19"/>
        <v>154460.4247597442</v>
      </c>
      <c r="I61" s="119">
        <f t="shared" si="20"/>
        <v>240706.37746249529</v>
      </c>
      <c r="J61" s="119">
        <f t="shared" si="21"/>
        <v>99404.357230054928</v>
      </c>
    </row>
    <row r="62" spans="1:10" x14ac:dyDescent="0.25">
      <c r="A62" s="120" t="s">
        <v>741</v>
      </c>
      <c r="B62" s="121">
        <f>B58*(1+B$81)</f>
        <v>47804.927333359054</v>
      </c>
      <c r="C62" s="119">
        <f t="shared" si="15"/>
        <v>64386.129477644339</v>
      </c>
      <c r="D62" s="119">
        <f t="shared" si="16"/>
        <v>35384.130933573098</v>
      </c>
      <c r="E62" s="121">
        <f>E58*(1+E$81)</f>
        <v>107938.46131255964</v>
      </c>
      <c r="F62" s="119">
        <f t="shared" si="17"/>
        <v>182231.04394636111</v>
      </c>
      <c r="G62" s="119">
        <f t="shared" si="18"/>
        <v>63318.7452394063</v>
      </c>
      <c r="H62" s="119">
        <f t="shared" si="19"/>
        <v>155743.38864591869</v>
      </c>
      <c r="I62" s="119">
        <f t="shared" si="20"/>
        <v>246617.17342400545</v>
      </c>
      <c r="J62" s="119">
        <f t="shared" si="21"/>
        <v>98702.876172979391</v>
      </c>
    </row>
    <row r="63" spans="1:10" x14ac:dyDescent="0.25">
      <c r="A63" s="120" t="s">
        <v>742</v>
      </c>
      <c r="B63" s="121">
        <f>B59*(1+B$81)</f>
        <v>51788.671277805639</v>
      </c>
      <c r="C63" s="119">
        <f t="shared" si="15"/>
        <v>70448.364143858795</v>
      </c>
      <c r="D63" s="119">
        <f t="shared" si="16"/>
        <v>37949.915968093737</v>
      </c>
      <c r="E63" s="121">
        <f>E59*(1+E$81)</f>
        <v>115836.39750616155</v>
      </c>
      <c r="F63" s="119">
        <f t="shared" si="17"/>
        <v>199075.78500034928</v>
      </c>
      <c r="G63" s="119">
        <f t="shared" si="18"/>
        <v>66731.960329701004</v>
      </c>
      <c r="H63" s="119">
        <f t="shared" si="19"/>
        <v>167625.06878396717</v>
      </c>
      <c r="I63" s="119">
        <f t="shared" si="20"/>
        <v>269524.14914420806</v>
      </c>
      <c r="J63" s="119">
        <f t="shared" si="21"/>
        <v>104681.87629779475</v>
      </c>
    </row>
    <row r="64" spans="1:10" x14ac:dyDescent="0.25">
      <c r="A64" s="22"/>
      <c r="B64" s="23"/>
      <c r="C64" s="23"/>
      <c r="D64" s="23"/>
      <c r="E64" s="23"/>
      <c r="F64" s="23"/>
      <c r="G64" s="23"/>
      <c r="H64" s="23"/>
      <c r="I64" s="23"/>
      <c r="J64" s="23"/>
    </row>
    <row r="66" spans="1:10" x14ac:dyDescent="0.25">
      <c r="A66" s="4" t="s">
        <v>249</v>
      </c>
    </row>
    <row r="67" spans="1:10" x14ac:dyDescent="0.25">
      <c r="A67" s="4">
        <v>2013</v>
      </c>
    </row>
    <row r="68" spans="1:10" x14ac:dyDescent="0.25">
      <c r="A68" s="4">
        <v>2014</v>
      </c>
      <c r="B68" s="7">
        <f>AVERAGE(B8:B11)/AVERAGE(B4:B7)-1</f>
        <v>0.77407487556805887</v>
      </c>
      <c r="C68" s="7"/>
      <c r="D68" s="7"/>
      <c r="E68" s="7">
        <f>AVERAGE(E8:E11)/AVERAGE(E4:E7)-1</f>
        <v>0.55348066298342546</v>
      </c>
      <c r="F68" s="7"/>
      <c r="G68" s="7"/>
      <c r="H68" s="7">
        <f>AVERAGE(H8:H11)/AVERAGE(H4:H7)-1</f>
        <v>0.62804476629361417</v>
      </c>
      <c r="I68" s="7"/>
      <c r="J68" s="7"/>
    </row>
    <row r="69" spans="1:10" x14ac:dyDescent="0.25">
      <c r="A69" s="80">
        <v>2015</v>
      </c>
      <c r="B69" s="81">
        <f>AVERAGE(B12:B15)/AVERAGE(B8:B11)-1</f>
        <v>0.41912661624786529</v>
      </c>
      <c r="C69" s="81"/>
      <c r="D69" s="81"/>
      <c r="E69" s="81">
        <f>AVERAGE(E12:E15)/AVERAGE(E8:E11)-1</f>
        <v>0.45622021480901909</v>
      </c>
      <c r="F69" s="81"/>
      <c r="G69" s="81"/>
      <c r="H69" s="81">
        <f>AVERAGE(H12:H15)/AVERAGE(H8:H11)-1</f>
        <v>0.44255739767264224</v>
      </c>
      <c r="I69" s="7"/>
      <c r="J69" s="7"/>
    </row>
    <row r="70" spans="1:10" x14ac:dyDescent="0.25">
      <c r="A70" s="80">
        <v>2016</v>
      </c>
      <c r="B70" s="81">
        <f>AVERAGE(B16:B19)/AVERAGE(B12:B15)-1</f>
        <v>0.423757950833763</v>
      </c>
      <c r="C70" s="81"/>
      <c r="D70" s="81"/>
      <c r="E70" s="81">
        <f>AVERAGE(E16:E19)/AVERAGE(E12:E15)-1</f>
        <v>0.36633615005128717</v>
      </c>
      <c r="F70" s="81"/>
      <c r="G70" s="81"/>
      <c r="H70" s="81">
        <f>AVERAGE(H16:H19)/AVERAGE(H12:H15)-1</f>
        <v>0.38714299062509738</v>
      </c>
      <c r="I70" s="7"/>
      <c r="J70" s="7"/>
    </row>
    <row r="71" spans="1:10" x14ac:dyDescent="0.25">
      <c r="A71" s="80">
        <v>2017</v>
      </c>
      <c r="B71" s="81">
        <f>AVERAGE(B20:B23)/AVERAGE(B16:B19)-1</f>
        <v>0.36663849311760455</v>
      </c>
      <c r="C71" s="81"/>
      <c r="D71" s="81"/>
      <c r="E71" s="81">
        <f>AVERAGE(E20:E23)/AVERAGE(E16:E19)-1</f>
        <v>0.29735816680370353</v>
      </c>
      <c r="F71" s="81"/>
      <c r="G71" s="81"/>
      <c r="H71" s="81">
        <f>AVERAGE(H20:H23)/AVERAGE(H16:H19)-1</f>
        <v>0.32312459303500463</v>
      </c>
      <c r="I71" s="7"/>
      <c r="J71" s="7"/>
    </row>
    <row r="72" spans="1:10" x14ac:dyDescent="0.25">
      <c r="A72" s="80">
        <v>2018</v>
      </c>
      <c r="B72" s="81">
        <f>AVERAGE(B24:B27)/AVERAGE(B20:B23)-1</f>
        <v>0.38556345805539594</v>
      </c>
      <c r="C72" s="81"/>
      <c r="D72" s="81"/>
      <c r="E72" s="81">
        <f>AVERAGE(E24:E27)/AVERAGE(E20:E23)-1</f>
        <v>0.2764872833484886</v>
      </c>
      <c r="F72" s="81"/>
      <c r="G72" s="81"/>
      <c r="H72" s="81">
        <f>AVERAGE(H24:H27)/AVERAGE(H20:H23)-1</f>
        <v>0.31838854194949762</v>
      </c>
      <c r="I72" s="7"/>
      <c r="J72" s="7"/>
    </row>
    <row r="73" spans="1:10" x14ac:dyDescent="0.25">
      <c r="A73" s="117">
        <v>2019</v>
      </c>
      <c r="B73" s="81">
        <f>AVERAGE(B28:B31)/AVERAGE(B24:B27)-1</f>
        <v>0.317774589510601</v>
      </c>
      <c r="C73" s="81"/>
      <c r="D73" s="81"/>
      <c r="E73" s="81">
        <f>AVERAGE(E28:E31)/AVERAGE(E24:E27)-1</f>
        <v>0.42009713977334062</v>
      </c>
      <c r="F73" s="81"/>
      <c r="G73" s="81"/>
      <c r="H73" s="81">
        <f>AVERAGE(H28:H30)/AVERAGE(H24:H26)-1</f>
        <v>0.39169843896122569</v>
      </c>
      <c r="I73" s="7"/>
      <c r="J73" s="7"/>
    </row>
    <row r="74" spans="1:10" x14ac:dyDescent="0.25">
      <c r="A74" s="4">
        <v>2020</v>
      </c>
      <c r="B74" s="79">
        <f>AVERAGE(B32:B35)/AVERAGE(B28:B31)-1</f>
        <v>0.17386044711119708</v>
      </c>
      <c r="C74"/>
      <c r="D74" s="7"/>
      <c r="E74" s="79">
        <f>AVERAGE(E32:E35)/AVERAGE(E28:E31)-1</f>
        <v>0.26336910588879103</v>
      </c>
      <c r="F74"/>
      <c r="G74" s="7"/>
      <c r="H74" s="79">
        <f>AVERAGE(H32:H35)/AVERAGE(H28:H31)-1</f>
        <v>0.22883175563397384</v>
      </c>
      <c r="I74" s="79" t="s">
        <v>894</v>
      </c>
    </row>
    <row r="75" spans="1:10" x14ac:dyDescent="0.25">
      <c r="A75" s="4">
        <v>2021</v>
      </c>
      <c r="B75" s="7">
        <f>TREND(B$69:B$73,A$69:A$73,A75)+C75</f>
        <v>0.32621280305188888</v>
      </c>
      <c r="C75" s="169">
        <v>0.04</v>
      </c>
      <c r="D75" s="7"/>
      <c r="E75" s="7">
        <f>TREND(E$69:E$73,A$69:A$73,A75)+F75</f>
        <v>0.33846178424750034</v>
      </c>
      <c r="F75" s="169">
        <v>0.04</v>
      </c>
      <c r="G75" s="7"/>
      <c r="H75" s="7">
        <f>AVERAGE(H36:H39)/AVERAGE(H32:H35)-1</f>
        <v>0.33394688589872978</v>
      </c>
      <c r="I75" s="7"/>
      <c r="J75" s="7"/>
    </row>
    <row r="76" spans="1:10" x14ac:dyDescent="0.25">
      <c r="A76" s="4">
        <v>2022</v>
      </c>
      <c r="B76" s="7">
        <f t="shared" ref="B76:B81" si="22">TREND(B$69:B$73,A$69:A$73,A76)+C76</f>
        <v>0.262122948426601</v>
      </c>
      <c r="C76" s="169"/>
      <c r="D76" s="7"/>
      <c r="E76" s="7">
        <f t="shared" ref="E76:E81" si="23">TREND(E$69:E$73,A$69:A$73,A76)+F76</f>
        <v>0.2972522825700844</v>
      </c>
      <c r="F76" s="169">
        <v>1.4999999999999999E-2</v>
      </c>
      <c r="G76" s="7"/>
      <c r="H76" s="7">
        <f>AVERAGE(H40:H43)/AVERAGE(H36:H39)-1</f>
        <v>0.28437890207933814</v>
      </c>
    </row>
    <row r="77" spans="1:10" x14ac:dyDescent="0.25">
      <c r="A77" s="4">
        <v>2023</v>
      </c>
      <c r="B77" s="7">
        <f t="shared" si="22"/>
        <v>0.2380330938013131</v>
      </c>
      <c r="C77" s="170"/>
      <c r="E77" s="7">
        <f t="shared" si="23"/>
        <v>0.28104278089267554</v>
      </c>
      <c r="F77" s="169">
        <v>1.4999999999999999E-2</v>
      </c>
      <c r="H77" s="7">
        <f>AVERAGE(H44:H47)/AVERAGE(H40:H43)-1</f>
        <v>0.26555470490057598</v>
      </c>
    </row>
    <row r="78" spans="1:10" x14ac:dyDescent="0.25">
      <c r="A78" s="4">
        <v>2024</v>
      </c>
      <c r="B78" s="7">
        <f t="shared" si="22"/>
        <v>0.2139432391760252</v>
      </c>
      <c r="C78" s="170"/>
      <c r="E78" s="7">
        <f t="shared" si="23"/>
        <v>0.26483327921525956</v>
      </c>
      <c r="F78" s="169">
        <v>1.4999999999999999E-2</v>
      </c>
      <c r="H78" s="7">
        <f>AVERAGE(H48:H51)/AVERAGE(H44:H47)-1</f>
        <v>0.24690596164934875</v>
      </c>
    </row>
    <row r="79" spans="1:10" x14ac:dyDescent="0.25">
      <c r="A79" s="4">
        <v>2025</v>
      </c>
      <c r="B79" s="7">
        <f t="shared" si="22"/>
        <v>0.1898533845507302</v>
      </c>
      <c r="C79" s="170"/>
      <c r="E79" s="7">
        <f t="shared" si="23"/>
        <v>0.24862377753784359</v>
      </c>
      <c r="F79" s="169">
        <v>1.4999999999999999E-2</v>
      </c>
      <c r="H79" s="7">
        <f>AVERAGE(H52:H55)/AVERAGE(H48:H51)-1</f>
        <v>0.22846771054066406</v>
      </c>
    </row>
    <row r="80" spans="1:10" x14ac:dyDescent="0.25">
      <c r="A80" s="4">
        <v>2026</v>
      </c>
      <c r="B80" s="7">
        <f t="shared" si="22"/>
        <v>0.1657635299254423</v>
      </c>
      <c r="C80" s="170"/>
      <c r="E80" s="7">
        <f t="shared" si="23"/>
        <v>0.23241427586042762</v>
      </c>
      <c r="F80" s="169">
        <v>1.4999999999999999E-2</v>
      </c>
      <c r="H80" s="7">
        <f>AVERAGE(H56:H59)/AVERAGE(H52:H55)-1</f>
        <v>0.21027405661429821</v>
      </c>
      <c r="I80" s="7"/>
      <c r="J80" s="7"/>
    </row>
    <row r="81" spans="1:8" x14ac:dyDescent="0.25">
      <c r="A81" s="4">
        <v>2027</v>
      </c>
      <c r="B81" s="7">
        <f t="shared" si="22"/>
        <v>0.1416736753001544</v>
      </c>
      <c r="C81" s="170"/>
      <c r="E81" s="7">
        <f t="shared" si="23"/>
        <v>0.21620477418301165</v>
      </c>
      <c r="F81" s="169">
        <v>1.4999999999999999E-2</v>
      </c>
      <c r="H81" s="7">
        <f>AVERAGE(H60:H63)/AVERAGE(H56:H59)-1</f>
        <v>0.19235736694286243</v>
      </c>
    </row>
    <row r="85" spans="1:8" x14ac:dyDescent="0.25">
      <c r="A85"/>
      <c r="B85">
        <v>2016</v>
      </c>
      <c r="C85">
        <v>2017</v>
      </c>
      <c r="D85">
        <v>2018</v>
      </c>
      <c r="E85" s="4">
        <v>2019</v>
      </c>
    </row>
    <row r="86" spans="1:8" x14ac:dyDescent="0.25">
      <c r="A86" t="s">
        <v>690</v>
      </c>
      <c r="B86" s="11">
        <v>41254921</v>
      </c>
      <c r="C86" s="11">
        <v>50421830</v>
      </c>
      <c r="D86" s="11">
        <v>68100000</v>
      </c>
      <c r="E86" s="11">
        <v>86851000</v>
      </c>
    </row>
    <row r="87" spans="1:8" x14ac:dyDescent="0.25">
      <c r="A87" t="s">
        <v>694</v>
      </c>
      <c r="B87" s="26">
        <f>B86*3.6/116.09/1000000</f>
        <v>1.279332548884486</v>
      </c>
      <c r="C87" s="26">
        <f>C86*3.6/116.09/1000000</f>
        <v>1.5636022740976827</v>
      </c>
      <c r="D87" s="26">
        <f>D86*3.6/116.09/1000000</f>
        <v>2.1118098027392538</v>
      </c>
      <c r="E87" s="26">
        <f>E86*ED_eon_T2/ED_gas_T2/1000000</f>
        <v>2.6411190795975776</v>
      </c>
    </row>
    <row r="88" spans="1:8" x14ac:dyDescent="0.25">
      <c r="A88" t="s">
        <v>695</v>
      </c>
      <c r="B88" s="26">
        <f>B87+SUM(Forecast_Main!D85:G85)/1000000</f>
        <v>1.3264875488844861</v>
      </c>
      <c r="C88" s="26">
        <f>C87+SUM(Forecast_Main!H85:K85)/1000000</f>
        <v>1.6431522740976827</v>
      </c>
      <c r="D88" s="26">
        <f>D87+SUM(Forecast_Main!L85:O85)/1000000</f>
        <v>2.2355978027392536</v>
      </c>
      <c r="E88" s="26">
        <f>E87+SUM(Forecast_Main!P85:S85)/1000000</f>
        <v>2.8779460795975775</v>
      </c>
    </row>
    <row r="89" spans="1:8" x14ac:dyDescent="0.25">
      <c r="A89"/>
      <c r="B89"/>
      <c r="C89"/>
      <c r="D89"/>
    </row>
    <row r="90" spans="1:8" x14ac:dyDescent="0.25">
      <c r="A90"/>
      <c r="B90" t="s">
        <v>691</v>
      </c>
      <c r="C90" t="s">
        <v>692</v>
      </c>
      <c r="D90" t="s">
        <v>693</v>
      </c>
    </row>
    <row r="91" spans="1:8" x14ac:dyDescent="0.25">
      <c r="A91">
        <v>2016</v>
      </c>
      <c r="B91" s="11">
        <f>B86*(B88/B87)</f>
        <v>42775538.763888896</v>
      </c>
      <c r="C91" s="11">
        <f>AVERAGE(H16:H19)</f>
        <v>11134.25</v>
      </c>
      <c r="D91" s="11">
        <f>B91/C91</f>
        <v>3841.7979445305159</v>
      </c>
    </row>
    <row r="92" spans="1:8" x14ac:dyDescent="0.25">
      <c r="A92">
        <v>2017</v>
      </c>
      <c r="B92" s="11">
        <f>C86*(C88/C87)</f>
        <v>52987096.527777784</v>
      </c>
      <c r="C92" s="11">
        <f>AVERAGE(H20:H23)</f>
        <v>14732</v>
      </c>
      <c r="D92" s="11">
        <f>B92/C92</f>
        <v>3596.7347629498904</v>
      </c>
    </row>
    <row r="93" spans="1:8" x14ac:dyDescent="0.25">
      <c r="A93">
        <v>2018</v>
      </c>
      <c r="B93" s="11">
        <f>D86*(D88/D87)</f>
        <v>72091819.144444436</v>
      </c>
      <c r="C93" s="11">
        <f>AVERAGE(H24:H27)</f>
        <v>19422.5</v>
      </c>
      <c r="D93" s="11">
        <f>B93/C93</f>
        <v>3711.7682659000866</v>
      </c>
    </row>
    <row r="94" spans="1:8" x14ac:dyDescent="0.25">
      <c r="A94">
        <v>2019</v>
      </c>
      <c r="B94" s="11">
        <f>E86*E88/E87</f>
        <v>94638858.539166659</v>
      </c>
      <c r="C94" s="11">
        <f>AVERAGE(H28:H31)</f>
        <v>26779.5</v>
      </c>
      <c r="D94" s="11">
        <f>B94/C94</f>
        <v>3534.0039410432105</v>
      </c>
    </row>
    <row r="95" spans="1:8" x14ac:dyDescent="0.25">
      <c r="A95">
        <v>2020</v>
      </c>
      <c r="B95" s="11">
        <f>C95*D95</f>
        <v>116295234.68987945</v>
      </c>
      <c r="C95" s="11">
        <f>AVERAGE(H32:H35)</f>
        <v>32907.5</v>
      </c>
      <c r="D95" s="11">
        <f>D94</f>
        <v>3534.0039410432105</v>
      </c>
    </row>
    <row r="96" spans="1:8" x14ac:dyDescent="0.25">
      <c r="A96">
        <v>2021</v>
      </c>
      <c r="B96"/>
      <c r="C96" s="11">
        <f>AVERAGE(H36:H39)</f>
        <v>43896.85714771245</v>
      </c>
      <c r="D96"/>
    </row>
    <row r="97" spans="1:4" x14ac:dyDescent="0.25">
      <c r="A97">
        <v>2022</v>
      </c>
      <c r="B97"/>
      <c r="C97" s="11">
        <f>AVERAGE(H40:H43)</f>
        <v>56380.197188112463</v>
      </c>
      <c r="D97"/>
    </row>
  </sheetData>
  <mergeCells count="1">
    <mergeCell ref="L2:N2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8"/>
  <sheetViews>
    <sheetView zoomScale="85" zoomScaleNormal="85" workbookViewId="0">
      <pane xSplit="4" ySplit="6" topLeftCell="E40" activePane="bottomRight" state="frozen"/>
      <selection pane="topRight" activeCell="E1" sqref="E1"/>
      <selection pane="bottomLeft" activeCell="A7" sqref="A7"/>
      <selection pane="bottomRight" activeCell="A3" sqref="A3"/>
    </sheetView>
  </sheetViews>
  <sheetFormatPr defaultRowHeight="15" x14ac:dyDescent="0.25"/>
  <cols>
    <col min="1" max="1" width="47.28515625" customWidth="1"/>
    <col min="2" max="2" width="90.5703125" bestFit="1" customWidth="1"/>
    <col min="3" max="3" width="26.5703125" customWidth="1"/>
    <col min="4" max="4" width="15.85546875" customWidth="1"/>
    <col min="5" max="16" width="8.5703125" customWidth="1"/>
  </cols>
  <sheetData>
    <row r="1" spans="1:42" x14ac:dyDescent="0.25">
      <c r="A1" t="s">
        <v>712</v>
      </c>
    </row>
    <row r="2" spans="1:42" x14ac:dyDescent="0.25">
      <c r="A2" s="96" t="s">
        <v>713</v>
      </c>
    </row>
    <row r="3" spans="1:42" x14ac:dyDescent="0.25">
      <c r="A3" t="s">
        <v>714</v>
      </c>
    </row>
    <row r="4" spans="1:42" x14ac:dyDescent="0.25">
      <c r="A4" t="s">
        <v>219</v>
      </c>
    </row>
    <row r="5" spans="1:42" x14ac:dyDescent="0.25">
      <c r="B5" t="s">
        <v>218</v>
      </c>
      <c r="C5" t="s">
        <v>217</v>
      </c>
      <c r="D5" t="s">
        <v>9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  <c r="L5">
        <v>2021</v>
      </c>
      <c r="M5">
        <v>2022</v>
      </c>
      <c r="N5">
        <v>2023</v>
      </c>
      <c r="O5">
        <v>2024</v>
      </c>
      <c r="P5">
        <v>2025</v>
      </c>
      <c r="Q5">
        <v>2026</v>
      </c>
      <c r="R5">
        <v>2027</v>
      </c>
      <c r="S5">
        <v>2028</v>
      </c>
      <c r="T5">
        <v>2029</v>
      </c>
      <c r="U5">
        <v>2030</v>
      </c>
      <c r="V5">
        <v>2031</v>
      </c>
      <c r="W5">
        <v>2032</v>
      </c>
      <c r="X5">
        <v>2033</v>
      </c>
      <c r="Y5">
        <v>2034</v>
      </c>
      <c r="Z5">
        <v>2035</v>
      </c>
      <c r="AA5">
        <v>2036</v>
      </c>
      <c r="AB5">
        <v>2037</v>
      </c>
      <c r="AC5">
        <v>2038</v>
      </c>
      <c r="AD5">
        <v>2039</v>
      </c>
      <c r="AE5">
        <v>2040</v>
      </c>
      <c r="AF5">
        <v>2041</v>
      </c>
      <c r="AG5">
        <v>2042</v>
      </c>
      <c r="AH5">
        <v>2043</v>
      </c>
      <c r="AI5">
        <v>2044</v>
      </c>
      <c r="AJ5">
        <v>2045</v>
      </c>
      <c r="AK5">
        <v>2046</v>
      </c>
      <c r="AL5">
        <v>2047</v>
      </c>
      <c r="AM5">
        <v>2048</v>
      </c>
      <c r="AN5">
        <v>2049</v>
      </c>
      <c r="AO5">
        <v>2050</v>
      </c>
      <c r="AP5" t="s">
        <v>439</v>
      </c>
    </row>
    <row r="6" spans="1:42" x14ac:dyDescent="0.25">
      <c r="A6" t="s">
        <v>216</v>
      </c>
      <c r="C6" t="s">
        <v>438</v>
      </c>
    </row>
    <row r="7" spans="1:42" x14ac:dyDescent="0.25">
      <c r="A7" t="s">
        <v>11</v>
      </c>
      <c r="B7" t="s">
        <v>215</v>
      </c>
      <c r="C7" t="s">
        <v>437</v>
      </c>
      <c r="D7" t="s">
        <v>45</v>
      </c>
      <c r="H7">
        <v>2.7188E-2</v>
      </c>
      <c r="I7">
        <v>3.0984000000000001E-2</v>
      </c>
      <c r="J7">
        <v>3.7754999999999997E-2</v>
      </c>
      <c r="K7">
        <v>3.5247000000000001E-2</v>
      </c>
      <c r="L7">
        <v>3.3917999999999997E-2</v>
      </c>
      <c r="M7">
        <v>3.3425000000000003E-2</v>
      </c>
      <c r="N7">
        <v>3.2897000000000003E-2</v>
      </c>
      <c r="O7">
        <v>3.2383000000000002E-2</v>
      </c>
      <c r="P7">
        <v>3.1874E-2</v>
      </c>
      <c r="Q7">
        <v>3.1364999999999997E-2</v>
      </c>
      <c r="R7">
        <v>3.0901000000000001E-2</v>
      </c>
      <c r="S7">
        <v>3.0509999999999999E-2</v>
      </c>
      <c r="T7">
        <v>3.0197000000000002E-2</v>
      </c>
      <c r="U7">
        <v>2.9789E-2</v>
      </c>
      <c r="V7">
        <v>2.9471000000000001E-2</v>
      </c>
      <c r="W7">
        <v>2.9235000000000001E-2</v>
      </c>
      <c r="X7">
        <v>2.9028999999999999E-2</v>
      </c>
      <c r="Y7">
        <v>2.8830000000000001E-2</v>
      </c>
      <c r="Z7">
        <v>2.8656000000000001E-2</v>
      </c>
      <c r="AA7">
        <v>2.8494999999999999E-2</v>
      </c>
      <c r="AB7">
        <v>2.8334999999999999E-2</v>
      </c>
      <c r="AC7">
        <v>2.8185000000000002E-2</v>
      </c>
      <c r="AD7">
        <v>2.8042000000000001E-2</v>
      </c>
      <c r="AE7">
        <v>2.7907999999999999E-2</v>
      </c>
      <c r="AF7">
        <v>2.7798E-2</v>
      </c>
      <c r="AG7">
        <v>2.7685000000000001E-2</v>
      </c>
      <c r="AH7">
        <v>2.7588000000000001E-2</v>
      </c>
      <c r="AI7">
        <v>2.7507E-2</v>
      </c>
      <c r="AJ7">
        <v>2.7438000000000001E-2</v>
      </c>
      <c r="AK7">
        <v>2.7390000000000001E-2</v>
      </c>
      <c r="AL7">
        <v>2.7345999999999999E-2</v>
      </c>
      <c r="AM7">
        <v>2.7314000000000001E-2</v>
      </c>
      <c r="AN7">
        <v>2.7288E-2</v>
      </c>
      <c r="AO7">
        <v>2.7278E-2</v>
      </c>
      <c r="AP7" s="8">
        <v>-0.01</v>
      </c>
    </row>
    <row r="8" spans="1:42" x14ac:dyDescent="0.25">
      <c r="A8" t="s">
        <v>94</v>
      </c>
      <c r="B8" t="s">
        <v>214</v>
      </c>
      <c r="C8" t="s">
        <v>436</v>
      </c>
      <c r="D8" t="s">
        <v>45</v>
      </c>
      <c r="H8">
        <v>4.803E-3</v>
      </c>
      <c r="I8">
        <v>9.5560000000000003E-3</v>
      </c>
      <c r="J8">
        <v>1.7166000000000001E-2</v>
      </c>
      <c r="K8">
        <v>1.5197E-2</v>
      </c>
      <c r="L8">
        <v>1.4408000000000001E-2</v>
      </c>
      <c r="M8">
        <v>1.4097999999999999E-2</v>
      </c>
      <c r="N8">
        <v>1.3783E-2</v>
      </c>
      <c r="O8">
        <v>1.3476999999999999E-2</v>
      </c>
      <c r="P8">
        <v>1.3192000000000001E-2</v>
      </c>
      <c r="Q8">
        <v>1.2921999999999999E-2</v>
      </c>
      <c r="R8">
        <v>1.2678999999999999E-2</v>
      </c>
      <c r="S8">
        <v>1.2447E-2</v>
      </c>
      <c r="T8">
        <v>1.2231000000000001E-2</v>
      </c>
      <c r="U8">
        <v>1.2024E-2</v>
      </c>
      <c r="V8">
        <v>1.1821999999999999E-2</v>
      </c>
      <c r="W8">
        <v>1.1629E-2</v>
      </c>
      <c r="X8">
        <v>1.1435000000000001E-2</v>
      </c>
      <c r="Y8">
        <v>1.1244000000000001E-2</v>
      </c>
      <c r="Z8">
        <v>1.1062000000000001E-2</v>
      </c>
      <c r="AA8">
        <v>1.0884E-2</v>
      </c>
      <c r="AB8">
        <v>1.0711999999999999E-2</v>
      </c>
      <c r="AC8">
        <v>1.0547000000000001E-2</v>
      </c>
      <c r="AD8">
        <v>1.0385E-2</v>
      </c>
      <c r="AE8">
        <v>1.0227999999999999E-2</v>
      </c>
      <c r="AF8">
        <v>1.0078E-2</v>
      </c>
      <c r="AG8">
        <v>9.9249999999999998E-3</v>
      </c>
      <c r="AH8">
        <v>9.7780000000000002E-3</v>
      </c>
      <c r="AI8">
        <v>9.6369999999999997E-3</v>
      </c>
      <c r="AJ8">
        <v>9.4940000000000007E-3</v>
      </c>
      <c r="AK8">
        <v>9.3629999999999998E-3</v>
      </c>
      <c r="AL8">
        <v>9.2280000000000001E-3</v>
      </c>
      <c r="AM8">
        <v>9.0989999999999994E-3</v>
      </c>
      <c r="AN8">
        <v>8.9709999999999998E-3</v>
      </c>
      <c r="AO8">
        <v>8.8509999999999995E-3</v>
      </c>
      <c r="AP8" s="8">
        <v>-2.5000000000000001E-2</v>
      </c>
    </row>
    <row r="9" spans="1:42" x14ac:dyDescent="0.25">
      <c r="A9" t="s">
        <v>86</v>
      </c>
      <c r="B9" t="s">
        <v>213</v>
      </c>
      <c r="C9" t="s">
        <v>435</v>
      </c>
      <c r="D9" t="s">
        <v>45</v>
      </c>
      <c r="H9">
        <v>3.1990999999999999E-2</v>
      </c>
      <c r="I9">
        <v>4.054E-2</v>
      </c>
      <c r="J9">
        <v>5.4920999999999998E-2</v>
      </c>
      <c r="K9">
        <v>5.0444999999999997E-2</v>
      </c>
      <c r="L9">
        <v>4.8326000000000001E-2</v>
      </c>
      <c r="M9">
        <v>4.7522000000000002E-2</v>
      </c>
      <c r="N9">
        <v>4.6679999999999999E-2</v>
      </c>
      <c r="O9">
        <v>4.5860999999999999E-2</v>
      </c>
      <c r="P9">
        <v>4.5066000000000002E-2</v>
      </c>
      <c r="Q9">
        <v>4.4287E-2</v>
      </c>
      <c r="R9">
        <v>4.3581000000000002E-2</v>
      </c>
      <c r="S9">
        <v>4.2957000000000002E-2</v>
      </c>
      <c r="T9">
        <v>4.2428E-2</v>
      </c>
      <c r="U9">
        <v>4.1813000000000003E-2</v>
      </c>
      <c r="V9">
        <v>4.1293000000000003E-2</v>
      </c>
      <c r="W9">
        <v>4.0863999999999998E-2</v>
      </c>
      <c r="X9">
        <v>4.0464E-2</v>
      </c>
      <c r="Y9">
        <v>4.0073999999999999E-2</v>
      </c>
      <c r="Z9">
        <v>3.9718000000000003E-2</v>
      </c>
      <c r="AA9">
        <v>3.9379999999999998E-2</v>
      </c>
      <c r="AB9">
        <v>3.9046999999999998E-2</v>
      </c>
      <c r="AC9">
        <v>3.8732000000000003E-2</v>
      </c>
      <c r="AD9">
        <v>3.8427000000000003E-2</v>
      </c>
      <c r="AE9">
        <v>3.8136999999999997E-2</v>
      </c>
      <c r="AF9">
        <v>3.7876E-2</v>
      </c>
      <c r="AG9">
        <v>3.7609999999999998E-2</v>
      </c>
      <c r="AH9">
        <v>3.7366000000000003E-2</v>
      </c>
      <c r="AI9">
        <v>3.7144000000000003E-2</v>
      </c>
      <c r="AJ9">
        <v>3.6932E-2</v>
      </c>
      <c r="AK9">
        <v>3.6752E-2</v>
      </c>
      <c r="AL9">
        <v>3.6575000000000003E-2</v>
      </c>
      <c r="AM9">
        <v>3.6412E-2</v>
      </c>
      <c r="AN9">
        <v>3.6257999999999999E-2</v>
      </c>
      <c r="AO9">
        <v>3.6129000000000001E-2</v>
      </c>
      <c r="AP9" s="8">
        <v>-1.2999999999999999E-2</v>
      </c>
    </row>
    <row r="10" spans="1:42" x14ac:dyDescent="0.25">
      <c r="A10" t="s">
        <v>10</v>
      </c>
      <c r="B10" t="s">
        <v>212</v>
      </c>
      <c r="C10" t="s">
        <v>434</v>
      </c>
      <c r="D10" t="s">
        <v>45</v>
      </c>
      <c r="H10">
        <v>0.61254799999999998</v>
      </c>
      <c r="I10">
        <v>0.61928000000000005</v>
      </c>
      <c r="J10">
        <v>0.68108400000000002</v>
      </c>
      <c r="K10">
        <v>0.63770899999999997</v>
      </c>
      <c r="L10">
        <v>0.62323099999999998</v>
      </c>
      <c r="M10">
        <v>0.62471699999999997</v>
      </c>
      <c r="N10">
        <v>0.62678699999999998</v>
      </c>
      <c r="O10">
        <v>0.62911300000000003</v>
      </c>
      <c r="P10">
        <v>0.63137299999999996</v>
      </c>
      <c r="Q10">
        <v>0.631776</v>
      </c>
      <c r="R10">
        <v>0.63105100000000003</v>
      </c>
      <c r="S10">
        <v>0.63016899999999998</v>
      </c>
      <c r="T10">
        <v>0.629857</v>
      </c>
      <c r="U10">
        <v>0.62304499999999996</v>
      </c>
      <c r="V10">
        <v>0.61855599999999999</v>
      </c>
      <c r="W10">
        <v>0.61658299999999999</v>
      </c>
      <c r="X10">
        <v>0.61556999999999995</v>
      </c>
      <c r="Y10">
        <v>0.61469499999999999</v>
      </c>
      <c r="Z10">
        <v>0.61438700000000002</v>
      </c>
      <c r="AA10">
        <v>0.61429</v>
      </c>
      <c r="AB10">
        <v>0.61388299999999996</v>
      </c>
      <c r="AC10">
        <v>0.61347399999999996</v>
      </c>
      <c r="AD10">
        <v>0.61298200000000003</v>
      </c>
      <c r="AE10">
        <v>0.61242600000000003</v>
      </c>
      <c r="AF10">
        <v>0.61202500000000004</v>
      </c>
      <c r="AG10">
        <v>0.61151900000000003</v>
      </c>
      <c r="AH10">
        <v>0.61114999999999997</v>
      </c>
      <c r="AI10">
        <v>0.61086300000000004</v>
      </c>
      <c r="AJ10">
        <v>0.61057899999999998</v>
      </c>
      <c r="AK10">
        <v>0.61051200000000005</v>
      </c>
      <c r="AL10">
        <v>0.61030300000000004</v>
      </c>
      <c r="AM10">
        <v>0.61021999999999998</v>
      </c>
      <c r="AN10">
        <v>0.61000900000000002</v>
      </c>
      <c r="AO10">
        <v>0.60990800000000001</v>
      </c>
      <c r="AP10" s="8">
        <v>0</v>
      </c>
    </row>
    <row r="11" spans="1:42" x14ac:dyDescent="0.25">
      <c r="A11" t="s">
        <v>59</v>
      </c>
      <c r="B11" t="s">
        <v>211</v>
      </c>
      <c r="C11" t="s">
        <v>433</v>
      </c>
      <c r="D11" t="s">
        <v>45</v>
      </c>
      <c r="H11">
        <v>6.4128000000000004E-2</v>
      </c>
      <c r="I11">
        <v>6.8844000000000002E-2</v>
      </c>
      <c r="J11">
        <v>9.0633000000000005E-2</v>
      </c>
      <c r="K11">
        <v>8.022E-2</v>
      </c>
      <c r="L11">
        <v>7.4163999999999994E-2</v>
      </c>
      <c r="M11">
        <v>7.2816000000000006E-2</v>
      </c>
      <c r="N11">
        <v>7.1688000000000002E-2</v>
      </c>
      <c r="O11">
        <v>7.0706000000000005E-2</v>
      </c>
      <c r="P11">
        <v>6.9597000000000006E-2</v>
      </c>
      <c r="Q11">
        <v>6.8384E-2</v>
      </c>
      <c r="R11">
        <v>6.6852999999999996E-2</v>
      </c>
      <c r="S11">
        <v>6.5411999999999998E-2</v>
      </c>
      <c r="T11">
        <v>6.3959000000000002E-2</v>
      </c>
      <c r="U11">
        <v>6.2352999999999999E-2</v>
      </c>
      <c r="V11">
        <v>6.0822000000000001E-2</v>
      </c>
      <c r="W11">
        <v>5.9291000000000003E-2</v>
      </c>
      <c r="X11">
        <v>5.7877999999999999E-2</v>
      </c>
      <c r="Y11">
        <v>5.6412999999999998E-2</v>
      </c>
      <c r="Z11">
        <v>5.4975000000000003E-2</v>
      </c>
      <c r="AA11">
        <v>5.3545000000000002E-2</v>
      </c>
      <c r="AB11">
        <v>5.2076999999999998E-2</v>
      </c>
      <c r="AC11">
        <v>5.0701000000000003E-2</v>
      </c>
      <c r="AD11">
        <v>4.9395000000000001E-2</v>
      </c>
      <c r="AE11">
        <v>4.8027E-2</v>
      </c>
      <c r="AF11">
        <v>4.6753999999999997E-2</v>
      </c>
      <c r="AG11">
        <v>4.5608999999999997E-2</v>
      </c>
      <c r="AH11">
        <v>4.4517000000000001E-2</v>
      </c>
      <c r="AI11">
        <v>4.3458999999999998E-2</v>
      </c>
      <c r="AJ11">
        <v>4.2507000000000003E-2</v>
      </c>
      <c r="AK11">
        <v>4.1530999999999998E-2</v>
      </c>
      <c r="AL11">
        <v>4.0606000000000003E-2</v>
      </c>
      <c r="AM11">
        <v>3.9726999999999998E-2</v>
      </c>
      <c r="AN11">
        <v>3.8825999999999999E-2</v>
      </c>
      <c r="AO11">
        <v>3.7897E-2</v>
      </c>
      <c r="AP11" s="8">
        <v>-1.2999999999999999E-2</v>
      </c>
    </row>
    <row r="12" spans="1:42" x14ac:dyDescent="0.25">
      <c r="A12" t="s">
        <v>8</v>
      </c>
      <c r="B12" t="s">
        <v>210</v>
      </c>
      <c r="C12" t="s">
        <v>432</v>
      </c>
      <c r="D12" t="s">
        <v>45</v>
      </c>
      <c r="H12">
        <v>0.51865300000000003</v>
      </c>
      <c r="I12">
        <v>0.51068800000000003</v>
      </c>
      <c r="J12">
        <v>0.50126199999999999</v>
      </c>
      <c r="K12">
        <v>0.49627500000000002</v>
      </c>
      <c r="L12">
        <v>0.49713099999999999</v>
      </c>
      <c r="M12">
        <v>0.4945</v>
      </c>
      <c r="N12">
        <v>0.48905199999999999</v>
      </c>
      <c r="O12">
        <v>0.48379299999999997</v>
      </c>
      <c r="P12">
        <v>0.477991</v>
      </c>
      <c r="Q12">
        <v>0.47255799999999998</v>
      </c>
      <c r="R12">
        <v>0.46838200000000002</v>
      </c>
      <c r="S12">
        <v>0.46571200000000001</v>
      </c>
      <c r="T12">
        <v>0.46420899999999998</v>
      </c>
      <c r="U12">
        <v>0.461704</v>
      </c>
      <c r="V12">
        <v>0.45965</v>
      </c>
      <c r="W12">
        <v>0.45860699999999999</v>
      </c>
      <c r="X12">
        <v>0.45860899999999999</v>
      </c>
      <c r="Y12">
        <v>0.45912700000000001</v>
      </c>
      <c r="Z12">
        <v>0.460339</v>
      </c>
      <c r="AA12">
        <v>0.46202100000000002</v>
      </c>
      <c r="AB12">
        <v>0.46389900000000001</v>
      </c>
      <c r="AC12">
        <v>0.46582099999999999</v>
      </c>
      <c r="AD12">
        <v>0.46778900000000001</v>
      </c>
      <c r="AE12">
        <v>0.46979700000000002</v>
      </c>
      <c r="AF12">
        <v>0.471831</v>
      </c>
      <c r="AG12">
        <v>0.47337899999999999</v>
      </c>
      <c r="AH12">
        <v>0.475161</v>
      </c>
      <c r="AI12">
        <v>0.47701199999999999</v>
      </c>
      <c r="AJ12">
        <v>0.479134</v>
      </c>
      <c r="AK12">
        <v>0.48128700000000002</v>
      </c>
      <c r="AL12">
        <v>0.48321700000000001</v>
      </c>
      <c r="AM12">
        <v>0.48558000000000001</v>
      </c>
      <c r="AN12">
        <v>0.487956</v>
      </c>
      <c r="AO12">
        <v>0.49044700000000002</v>
      </c>
      <c r="AP12" s="8">
        <v>-8.0000000000000002E-3</v>
      </c>
    </row>
    <row r="13" spans="1:42" x14ac:dyDescent="0.25">
      <c r="A13" t="s">
        <v>120</v>
      </c>
      <c r="B13" t="s">
        <v>209</v>
      </c>
      <c r="C13" t="s">
        <v>431</v>
      </c>
      <c r="D13" t="s">
        <v>45</v>
      </c>
      <c r="H13">
        <v>1.22732</v>
      </c>
      <c r="I13">
        <v>1.2393529999999999</v>
      </c>
      <c r="J13">
        <v>1.3279000000000001</v>
      </c>
      <c r="K13">
        <v>1.2646489999999999</v>
      </c>
      <c r="L13">
        <v>1.2428520000000001</v>
      </c>
      <c r="M13">
        <v>1.239555</v>
      </c>
      <c r="N13">
        <v>1.2342070000000001</v>
      </c>
      <c r="O13">
        <v>1.2294719999999999</v>
      </c>
      <c r="P13">
        <v>1.224027</v>
      </c>
      <c r="Q13">
        <v>1.2170049999999999</v>
      </c>
      <c r="R13">
        <v>1.2098660000000001</v>
      </c>
      <c r="S13">
        <v>1.2042489999999999</v>
      </c>
      <c r="T13">
        <v>1.200453</v>
      </c>
      <c r="U13">
        <v>1.1889149999999999</v>
      </c>
      <c r="V13">
        <v>1.180321</v>
      </c>
      <c r="W13">
        <v>1.1753439999999999</v>
      </c>
      <c r="X13">
        <v>1.1725209999999999</v>
      </c>
      <c r="Y13">
        <v>1.170309</v>
      </c>
      <c r="Z13">
        <v>1.169419</v>
      </c>
      <c r="AA13">
        <v>1.169235</v>
      </c>
      <c r="AB13">
        <v>1.168906</v>
      </c>
      <c r="AC13">
        <v>1.168728</v>
      </c>
      <c r="AD13">
        <v>1.168593</v>
      </c>
      <c r="AE13">
        <v>1.1683870000000001</v>
      </c>
      <c r="AF13">
        <v>1.1684859999999999</v>
      </c>
      <c r="AG13">
        <v>1.1681159999999999</v>
      </c>
      <c r="AH13">
        <v>1.168194</v>
      </c>
      <c r="AI13">
        <v>1.1684779999999999</v>
      </c>
      <c r="AJ13">
        <v>1.1691510000000001</v>
      </c>
      <c r="AK13">
        <v>1.1700820000000001</v>
      </c>
      <c r="AL13">
        <v>1.170701</v>
      </c>
      <c r="AM13">
        <v>1.17194</v>
      </c>
      <c r="AN13">
        <v>1.1730499999999999</v>
      </c>
      <c r="AO13">
        <v>1.17438</v>
      </c>
      <c r="AP13" s="8">
        <v>-4.0000000000000001E-3</v>
      </c>
    </row>
    <row r="14" spans="1:42" x14ac:dyDescent="0.25">
      <c r="A14" t="s">
        <v>118</v>
      </c>
      <c r="B14" t="s">
        <v>208</v>
      </c>
      <c r="C14" t="s">
        <v>430</v>
      </c>
      <c r="D14" t="s">
        <v>45</v>
      </c>
      <c r="H14">
        <v>0.78537800000000002</v>
      </c>
      <c r="I14">
        <v>0.79279900000000003</v>
      </c>
      <c r="J14">
        <v>0.74478</v>
      </c>
      <c r="K14">
        <v>0.73391799999999996</v>
      </c>
      <c r="L14">
        <v>0.72373500000000002</v>
      </c>
      <c r="M14">
        <v>0.69701599999999997</v>
      </c>
      <c r="N14">
        <v>0.66046499999999997</v>
      </c>
      <c r="O14">
        <v>0.62486699999999995</v>
      </c>
      <c r="P14">
        <v>0.59427300000000005</v>
      </c>
      <c r="Q14">
        <v>0.54892700000000005</v>
      </c>
      <c r="R14">
        <v>0.52857699999999996</v>
      </c>
      <c r="S14">
        <v>0.52987399999999996</v>
      </c>
      <c r="T14">
        <v>0.52481199999999995</v>
      </c>
      <c r="U14">
        <v>0.51116799999999996</v>
      </c>
      <c r="V14">
        <v>0.50161100000000003</v>
      </c>
      <c r="W14">
        <v>0.49537900000000001</v>
      </c>
      <c r="X14">
        <v>0.49685699999999999</v>
      </c>
      <c r="Y14">
        <v>0.49941999999999998</v>
      </c>
      <c r="Z14">
        <v>0.49645800000000001</v>
      </c>
      <c r="AA14">
        <v>0.499388</v>
      </c>
      <c r="AB14">
        <v>0.49969200000000003</v>
      </c>
      <c r="AC14">
        <v>0.50099400000000005</v>
      </c>
      <c r="AD14">
        <v>0.50788</v>
      </c>
      <c r="AE14">
        <v>0.50453300000000001</v>
      </c>
      <c r="AF14">
        <v>0.51061199999999995</v>
      </c>
      <c r="AG14">
        <v>0.51083999999999996</v>
      </c>
      <c r="AH14">
        <v>0.51055700000000004</v>
      </c>
      <c r="AI14">
        <v>0.50934100000000004</v>
      </c>
      <c r="AJ14">
        <v>0.52012700000000001</v>
      </c>
      <c r="AK14">
        <v>0.53315599999999996</v>
      </c>
      <c r="AL14">
        <v>0.54512499999999997</v>
      </c>
      <c r="AM14">
        <v>0.54753399999999997</v>
      </c>
      <c r="AN14">
        <v>0.55376800000000004</v>
      </c>
      <c r="AO14">
        <v>0.56049099999999996</v>
      </c>
      <c r="AP14" s="8">
        <v>-0.01</v>
      </c>
    </row>
    <row r="15" spans="1:42" x14ac:dyDescent="0.25">
      <c r="A15" t="s">
        <v>32</v>
      </c>
      <c r="B15" t="s">
        <v>207</v>
      </c>
      <c r="C15" t="s">
        <v>429</v>
      </c>
      <c r="D15" t="s">
        <v>45</v>
      </c>
      <c r="H15">
        <v>2.0126970000000002</v>
      </c>
      <c r="I15">
        <v>2.0321509999999998</v>
      </c>
      <c r="J15">
        <v>2.0726800000000001</v>
      </c>
      <c r="K15">
        <v>1.998567</v>
      </c>
      <c r="L15">
        <v>1.966588</v>
      </c>
      <c r="M15">
        <v>1.936572</v>
      </c>
      <c r="N15">
        <v>1.8946719999999999</v>
      </c>
      <c r="O15">
        <v>1.854339</v>
      </c>
      <c r="P15">
        <v>1.8183</v>
      </c>
      <c r="Q15">
        <v>1.7659320000000001</v>
      </c>
      <c r="R15">
        <v>1.738443</v>
      </c>
      <c r="S15">
        <v>1.7341230000000001</v>
      </c>
      <c r="T15">
        <v>1.725265</v>
      </c>
      <c r="U15">
        <v>1.700083</v>
      </c>
      <c r="V15">
        <v>1.681932</v>
      </c>
      <c r="W15">
        <v>1.670723</v>
      </c>
      <c r="X15">
        <v>1.669378</v>
      </c>
      <c r="Y15">
        <v>1.669729</v>
      </c>
      <c r="Z15">
        <v>1.6658759999999999</v>
      </c>
      <c r="AA15">
        <v>1.6686240000000001</v>
      </c>
      <c r="AB15">
        <v>1.668598</v>
      </c>
      <c r="AC15">
        <v>1.6697219999999999</v>
      </c>
      <c r="AD15">
        <v>1.676474</v>
      </c>
      <c r="AE15">
        <v>1.67292</v>
      </c>
      <c r="AF15">
        <v>1.679098</v>
      </c>
      <c r="AG15">
        <v>1.678957</v>
      </c>
      <c r="AH15">
        <v>1.6787510000000001</v>
      </c>
      <c r="AI15">
        <v>1.6778189999999999</v>
      </c>
      <c r="AJ15">
        <v>1.6892780000000001</v>
      </c>
      <c r="AK15">
        <v>1.703238</v>
      </c>
      <c r="AL15">
        <v>1.7158260000000001</v>
      </c>
      <c r="AM15">
        <v>1.7194739999999999</v>
      </c>
      <c r="AN15">
        <v>1.726818</v>
      </c>
      <c r="AO15">
        <v>1.7348710000000001</v>
      </c>
      <c r="AP15" s="8">
        <v>-6.0000000000000001E-3</v>
      </c>
    </row>
    <row r="16" spans="1:42" x14ac:dyDescent="0.25">
      <c r="A16" t="s">
        <v>206</v>
      </c>
      <c r="C16" t="s">
        <v>428</v>
      </c>
    </row>
    <row r="17" spans="1:42" x14ac:dyDescent="0.25">
      <c r="A17" t="s">
        <v>11</v>
      </c>
      <c r="B17" t="s">
        <v>205</v>
      </c>
      <c r="C17" t="s">
        <v>427</v>
      </c>
      <c r="D17" t="s">
        <v>45</v>
      </c>
      <c r="H17">
        <v>1.9130000000000001E-2</v>
      </c>
      <c r="I17">
        <v>1.7760999999999999E-2</v>
      </c>
      <c r="J17">
        <v>2.3542E-2</v>
      </c>
      <c r="K17">
        <v>2.2676999999999999E-2</v>
      </c>
      <c r="L17">
        <v>2.1691999999999999E-2</v>
      </c>
      <c r="M17">
        <v>2.0678999999999999E-2</v>
      </c>
      <c r="N17">
        <v>2.0774000000000001E-2</v>
      </c>
      <c r="O17">
        <v>2.0865000000000002E-2</v>
      </c>
      <c r="P17">
        <v>2.094E-2</v>
      </c>
      <c r="Q17">
        <v>2.1017000000000001E-2</v>
      </c>
      <c r="R17">
        <v>2.112E-2</v>
      </c>
      <c r="S17">
        <v>2.1235E-2</v>
      </c>
      <c r="T17">
        <v>2.1360000000000001E-2</v>
      </c>
      <c r="U17">
        <v>2.1388000000000001E-2</v>
      </c>
      <c r="V17">
        <v>2.1520999999999998E-2</v>
      </c>
      <c r="W17">
        <v>2.1649999999999999E-2</v>
      </c>
      <c r="X17">
        <v>2.1752000000000001E-2</v>
      </c>
      <c r="Y17">
        <v>2.1870000000000001E-2</v>
      </c>
      <c r="Z17">
        <v>2.1985999999999999E-2</v>
      </c>
      <c r="AA17">
        <v>2.2100000000000002E-2</v>
      </c>
      <c r="AB17">
        <v>2.2211000000000002E-2</v>
      </c>
      <c r="AC17">
        <v>2.2322999999999999E-2</v>
      </c>
      <c r="AD17">
        <v>2.2436000000000001E-2</v>
      </c>
      <c r="AE17">
        <v>2.2553E-2</v>
      </c>
      <c r="AF17">
        <v>2.2672000000000001E-2</v>
      </c>
      <c r="AG17">
        <v>2.2783000000000001E-2</v>
      </c>
      <c r="AH17">
        <v>2.2898999999999999E-2</v>
      </c>
      <c r="AI17">
        <v>2.3016000000000002E-2</v>
      </c>
      <c r="AJ17">
        <v>2.3133000000000001E-2</v>
      </c>
      <c r="AK17">
        <v>2.3251000000000001E-2</v>
      </c>
      <c r="AL17">
        <v>2.3365E-2</v>
      </c>
      <c r="AM17">
        <v>2.3477000000000001E-2</v>
      </c>
      <c r="AN17">
        <v>2.3595000000000001E-2</v>
      </c>
      <c r="AO17">
        <v>2.3713999999999999E-2</v>
      </c>
      <c r="AP17" s="8">
        <v>7.0000000000000001E-3</v>
      </c>
    </row>
    <row r="18" spans="1:42" x14ac:dyDescent="0.25">
      <c r="A18" t="s">
        <v>2</v>
      </c>
      <c r="B18" t="s">
        <v>204</v>
      </c>
      <c r="C18" t="s">
        <v>426</v>
      </c>
      <c r="D18" t="s">
        <v>45</v>
      </c>
      <c r="H18">
        <v>6.6919999999999993E-2</v>
      </c>
      <c r="I18">
        <v>6.6022999999999998E-2</v>
      </c>
      <c r="J18">
        <v>6.6027000000000002E-2</v>
      </c>
      <c r="K18">
        <v>6.6294000000000006E-2</v>
      </c>
      <c r="L18">
        <v>6.6526000000000002E-2</v>
      </c>
      <c r="M18">
        <v>6.6769999999999996E-2</v>
      </c>
      <c r="N18">
        <v>6.6817000000000001E-2</v>
      </c>
      <c r="O18">
        <v>6.6872000000000001E-2</v>
      </c>
      <c r="P18">
        <v>6.6917000000000004E-2</v>
      </c>
      <c r="Q18">
        <v>6.6959000000000005E-2</v>
      </c>
      <c r="R18">
        <v>6.7020999999999997E-2</v>
      </c>
      <c r="S18">
        <v>6.7072999999999994E-2</v>
      </c>
      <c r="T18">
        <v>6.7132999999999998E-2</v>
      </c>
      <c r="U18">
        <v>6.6910999999999998E-2</v>
      </c>
      <c r="V18">
        <v>6.6974000000000006E-2</v>
      </c>
      <c r="W18">
        <v>6.7040000000000002E-2</v>
      </c>
      <c r="X18">
        <v>6.7055000000000003E-2</v>
      </c>
      <c r="Y18">
        <v>6.7114999999999994E-2</v>
      </c>
      <c r="Z18">
        <v>6.7170999999999995E-2</v>
      </c>
      <c r="AA18">
        <v>6.7226999999999995E-2</v>
      </c>
      <c r="AB18">
        <v>6.7288000000000001E-2</v>
      </c>
      <c r="AC18">
        <v>6.7339999999999997E-2</v>
      </c>
      <c r="AD18">
        <v>6.7392999999999995E-2</v>
      </c>
      <c r="AE18">
        <v>6.7452999999999999E-2</v>
      </c>
      <c r="AF18">
        <v>6.7510000000000001E-2</v>
      </c>
      <c r="AG18">
        <v>6.7556000000000005E-2</v>
      </c>
      <c r="AH18">
        <v>6.7611000000000004E-2</v>
      </c>
      <c r="AI18">
        <v>6.7669000000000007E-2</v>
      </c>
      <c r="AJ18">
        <v>6.7727999999999997E-2</v>
      </c>
      <c r="AK18">
        <v>6.7780000000000007E-2</v>
      </c>
      <c r="AL18">
        <v>6.7835000000000006E-2</v>
      </c>
      <c r="AM18">
        <v>6.7886000000000002E-2</v>
      </c>
      <c r="AN18">
        <v>6.7942000000000002E-2</v>
      </c>
      <c r="AO18">
        <v>6.7997000000000002E-2</v>
      </c>
      <c r="AP18" s="8">
        <v>0</v>
      </c>
    </row>
    <row r="19" spans="1:42" x14ac:dyDescent="0.25">
      <c r="A19" t="s">
        <v>24</v>
      </c>
      <c r="B19" t="s">
        <v>203</v>
      </c>
      <c r="C19" t="s">
        <v>425</v>
      </c>
      <c r="D19" t="s">
        <v>45</v>
      </c>
      <c r="H19">
        <v>6.3E-5</v>
      </c>
      <c r="I19">
        <v>0</v>
      </c>
      <c r="J19">
        <v>9.2999999999999997E-5</v>
      </c>
      <c r="K19">
        <v>9.3999999999999994E-5</v>
      </c>
      <c r="L19">
        <v>1.3200000000000001E-4</v>
      </c>
      <c r="M19">
        <v>1.08E-4</v>
      </c>
      <c r="N19">
        <v>1.08E-4</v>
      </c>
      <c r="O19">
        <v>1.01E-4</v>
      </c>
      <c r="P19">
        <v>1.01E-4</v>
      </c>
      <c r="Q19">
        <v>9.2E-5</v>
      </c>
      <c r="R19">
        <v>9.1000000000000003E-5</v>
      </c>
      <c r="S19">
        <v>8.1000000000000004E-5</v>
      </c>
      <c r="T19">
        <v>7.7000000000000001E-5</v>
      </c>
      <c r="U19">
        <v>2.6999999999999999E-5</v>
      </c>
      <c r="V19">
        <v>2.1999999999999999E-5</v>
      </c>
      <c r="W19">
        <v>2.0000000000000002E-5</v>
      </c>
      <c r="X19">
        <v>9.0000000000000002E-6</v>
      </c>
      <c r="Y19">
        <v>6.0000000000000002E-6</v>
      </c>
      <c r="Z19">
        <v>1.9999999999999999E-6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 t="s">
        <v>0</v>
      </c>
    </row>
    <row r="20" spans="1:42" x14ac:dyDescent="0.25">
      <c r="A20" t="s">
        <v>94</v>
      </c>
      <c r="B20" t="s">
        <v>202</v>
      </c>
      <c r="C20" t="s">
        <v>424</v>
      </c>
      <c r="D20" t="s">
        <v>45</v>
      </c>
      <c r="H20">
        <v>3.8406000000000003E-2</v>
      </c>
      <c r="I20">
        <v>3.8477999999999998E-2</v>
      </c>
      <c r="J20">
        <v>3.7568999999999998E-2</v>
      </c>
      <c r="K20">
        <v>4.0215000000000001E-2</v>
      </c>
      <c r="L20">
        <v>4.0618000000000001E-2</v>
      </c>
      <c r="M20">
        <v>4.1017999999999999E-2</v>
      </c>
      <c r="N20">
        <v>4.1273999999999998E-2</v>
      </c>
      <c r="O20">
        <v>4.1494000000000003E-2</v>
      </c>
      <c r="P20">
        <v>4.1761E-2</v>
      </c>
      <c r="Q20">
        <v>4.1811000000000001E-2</v>
      </c>
      <c r="R20">
        <v>4.1797000000000001E-2</v>
      </c>
      <c r="S20">
        <v>4.1696999999999998E-2</v>
      </c>
      <c r="T20">
        <v>4.1609E-2</v>
      </c>
      <c r="U20">
        <v>4.0994999999999997E-2</v>
      </c>
      <c r="V20">
        <v>4.0545999999999999E-2</v>
      </c>
      <c r="W20">
        <v>4.0325E-2</v>
      </c>
      <c r="X20">
        <v>4.0164999999999999E-2</v>
      </c>
      <c r="Y20">
        <v>4.0044999999999997E-2</v>
      </c>
      <c r="Z20">
        <v>3.9958E-2</v>
      </c>
      <c r="AA20">
        <v>3.9885999999999998E-2</v>
      </c>
      <c r="AB20">
        <v>3.9838999999999999E-2</v>
      </c>
      <c r="AC20">
        <v>3.9792000000000001E-2</v>
      </c>
      <c r="AD20">
        <v>3.9738999999999997E-2</v>
      </c>
      <c r="AE20">
        <v>3.9718000000000003E-2</v>
      </c>
      <c r="AF20">
        <v>3.9691999999999998E-2</v>
      </c>
      <c r="AG20">
        <v>3.9623999999999999E-2</v>
      </c>
      <c r="AH20">
        <v>3.9560999999999999E-2</v>
      </c>
      <c r="AI20">
        <v>3.9510000000000003E-2</v>
      </c>
      <c r="AJ20">
        <v>3.9427999999999998E-2</v>
      </c>
      <c r="AK20">
        <v>3.9392999999999997E-2</v>
      </c>
      <c r="AL20">
        <v>3.9336000000000003E-2</v>
      </c>
      <c r="AM20">
        <v>3.9281999999999997E-2</v>
      </c>
      <c r="AN20">
        <v>3.9232999999999997E-2</v>
      </c>
      <c r="AO20">
        <v>3.9190000000000003E-2</v>
      </c>
      <c r="AP20" s="8">
        <v>1E-3</v>
      </c>
    </row>
    <row r="21" spans="1:42" x14ac:dyDescent="0.25">
      <c r="A21" t="s">
        <v>92</v>
      </c>
      <c r="B21" t="s">
        <v>201</v>
      </c>
      <c r="C21" t="s">
        <v>423</v>
      </c>
      <c r="D21" t="s">
        <v>45</v>
      </c>
      <c r="H21">
        <v>6.0000000000000002E-6</v>
      </c>
      <c r="I21">
        <v>0</v>
      </c>
      <c r="J21">
        <v>0</v>
      </c>
      <c r="K21">
        <v>5.62E-4</v>
      </c>
      <c r="L21">
        <v>4.3100000000000001E-4</v>
      </c>
      <c r="M21">
        <v>3.5399999999999999E-4</v>
      </c>
      <c r="N21">
        <v>2.63E-4</v>
      </c>
      <c r="O21">
        <v>1.7899999999999999E-4</v>
      </c>
      <c r="P21">
        <v>1.18E-4</v>
      </c>
      <c r="Q21">
        <v>1.18E-4</v>
      </c>
      <c r="R21">
        <v>1.12E-4</v>
      </c>
      <c r="S21">
        <v>1.15E-4</v>
      </c>
      <c r="T21">
        <v>1.02E-4</v>
      </c>
      <c r="U21">
        <v>9.7E-5</v>
      </c>
      <c r="V21">
        <v>9.2999999999999997E-5</v>
      </c>
      <c r="W21">
        <v>9.1000000000000003E-5</v>
      </c>
      <c r="X21">
        <v>8.6000000000000003E-5</v>
      </c>
      <c r="Y21">
        <v>8.3999999999999995E-5</v>
      </c>
      <c r="Z21">
        <v>8.2999999999999998E-5</v>
      </c>
      <c r="AA21">
        <v>8.1000000000000004E-5</v>
      </c>
      <c r="AB21">
        <v>7.8999999999999996E-5</v>
      </c>
      <c r="AC21">
        <v>7.7999999999999999E-5</v>
      </c>
      <c r="AD21">
        <v>7.3999999999999996E-5</v>
      </c>
      <c r="AE21">
        <v>7.3999999999999996E-5</v>
      </c>
      <c r="AF21">
        <v>7.2999999999999999E-5</v>
      </c>
      <c r="AG21">
        <v>6.7000000000000002E-5</v>
      </c>
      <c r="AH21">
        <v>6.7000000000000002E-5</v>
      </c>
      <c r="AI21">
        <v>6.7000000000000002E-5</v>
      </c>
      <c r="AJ21">
        <v>6.6000000000000005E-5</v>
      </c>
      <c r="AK21">
        <v>6.7000000000000002E-5</v>
      </c>
      <c r="AL21">
        <v>6.4999999999999994E-5</v>
      </c>
      <c r="AM21">
        <v>6.2000000000000003E-5</v>
      </c>
      <c r="AN21">
        <v>6.0999999999999999E-5</v>
      </c>
      <c r="AO21">
        <v>6.0999999999999999E-5</v>
      </c>
      <c r="AP21" t="s">
        <v>0</v>
      </c>
    </row>
    <row r="22" spans="1:42" x14ac:dyDescent="0.25">
      <c r="A22" t="s">
        <v>86</v>
      </c>
      <c r="B22" t="s">
        <v>200</v>
      </c>
      <c r="C22" t="s">
        <v>422</v>
      </c>
      <c r="D22" t="s">
        <v>45</v>
      </c>
      <c r="H22">
        <v>0.124526</v>
      </c>
      <c r="I22">
        <v>0.12226099999999999</v>
      </c>
      <c r="J22">
        <v>0.12723000000000001</v>
      </c>
      <c r="K22">
        <v>0.12984200000000001</v>
      </c>
      <c r="L22">
        <v>0.12939899999999999</v>
      </c>
      <c r="M22">
        <v>0.12892899999999999</v>
      </c>
      <c r="N22">
        <v>0.12923599999999999</v>
      </c>
      <c r="O22">
        <v>0.12951099999999999</v>
      </c>
      <c r="P22">
        <v>0.12983700000000001</v>
      </c>
      <c r="Q22">
        <v>0.129997</v>
      </c>
      <c r="R22">
        <v>0.13014100000000001</v>
      </c>
      <c r="S22">
        <v>0.13020200000000001</v>
      </c>
      <c r="T22">
        <v>0.13028200000000001</v>
      </c>
      <c r="U22">
        <v>0.12941800000000001</v>
      </c>
      <c r="V22">
        <v>0.12915599999999999</v>
      </c>
      <c r="W22">
        <v>0.12912599999999999</v>
      </c>
      <c r="X22">
        <v>0.12906699999999999</v>
      </c>
      <c r="Y22">
        <v>0.12911900000000001</v>
      </c>
      <c r="Z22">
        <v>0.12919900000000001</v>
      </c>
      <c r="AA22">
        <v>0.12929299999999999</v>
      </c>
      <c r="AB22">
        <v>0.129417</v>
      </c>
      <c r="AC22">
        <v>0.12953200000000001</v>
      </c>
      <c r="AD22">
        <v>0.12964300000000001</v>
      </c>
      <c r="AE22">
        <v>0.129798</v>
      </c>
      <c r="AF22">
        <v>0.12994700000000001</v>
      </c>
      <c r="AG22">
        <v>0.13002900000000001</v>
      </c>
      <c r="AH22">
        <v>0.130138</v>
      </c>
      <c r="AI22">
        <v>0.13026199999999999</v>
      </c>
      <c r="AJ22">
        <v>0.130355</v>
      </c>
      <c r="AK22">
        <v>0.130492</v>
      </c>
      <c r="AL22">
        <v>0.13060099999999999</v>
      </c>
      <c r="AM22">
        <v>0.13070799999999999</v>
      </c>
      <c r="AN22">
        <v>0.130831</v>
      </c>
      <c r="AO22">
        <v>0.130962</v>
      </c>
      <c r="AP22" s="8">
        <v>2E-3</v>
      </c>
    </row>
    <row r="23" spans="1:42" x14ac:dyDescent="0.25">
      <c r="A23" t="s">
        <v>10</v>
      </c>
      <c r="B23" t="s">
        <v>199</v>
      </c>
      <c r="C23" t="s">
        <v>421</v>
      </c>
      <c r="D23" t="s">
        <v>45</v>
      </c>
      <c r="H23">
        <v>0.35290100000000002</v>
      </c>
      <c r="I23">
        <v>0.36779499999999998</v>
      </c>
      <c r="J23">
        <v>0.40032899999999999</v>
      </c>
      <c r="K23">
        <v>0.386021</v>
      </c>
      <c r="L23">
        <v>0.38554899999999998</v>
      </c>
      <c r="M23">
        <v>0.38823800000000003</v>
      </c>
      <c r="N23">
        <v>0.38965499999999997</v>
      </c>
      <c r="O23">
        <v>0.39071899999999998</v>
      </c>
      <c r="P23">
        <v>0.39127499999999998</v>
      </c>
      <c r="Q23">
        <v>0.39167400000000002</v>
      </c>
      <c r="R23">
        <v>0.39232400000000001</v>
      </c>
      <c r="S23">
        <v>0.39339200000000002</v>
      </c>
      <c r="T23">
        <v>0.39499299999999998</v>
      </c>
      <c r="U23">
        <v>0.38878400000000002</v>
      </c>
      <c r="V23">
        <v>0.38564700000000002</v>
      </c>
      <c r="W23">
        <v>0.38561899999999999</v>
      </c>
      <c r="X23">
        <v>0.38656200000000002</v>
      </c>
      <c r="Y23">
        <v>0.38764500000000002</v>
      </c>
      <c r="Z23">
        <v>0.38919700000000002</v>
      </c>
      <c r="AA23">
        <v>0.39112200000000003</v>
      </c>
      <c r="AB23">
        <v>0.39287300000000003</v>
      </c>
      <c r="AC23">
        <v>0.39466000000000001</v>
      </c>
      <c r="AD23">
        <v>0.39651199999999998</v>
      </c>
      <c r="AE23">
        <v>0.39846700000000002</v>
      </c>
      <c r="AF23">
        <v>0.40053499999999997</v>
      </c>
      <c r="AG23">
        <v>0.40263300000000002</v>
      </c>
      <c r="AH23">
        <v>0.40473199999999998</v>
      </c>
      <c r="AI23">
        <v>0.40678700000000001</v>
      </c>
      <c r="AJ23">
        <v>0.40879500000000002</v>
      </c>
      <c r="AK23">
        <v>0.41083900000000001</v>
      </c>
      <c r="AL23">
        <v>0.41272999999999999</v>
      </c>
      <c r="AM23">
        <v>0.41467199999999999</v>
      </c>
      <c r="AN23">
        <v>0.416549</v>
      </c>
      <c r="AO23">
        <v>0.418466</v>
      </c>
      <c r="AP23" s="8">
        <v>1.0999999999999999E-2</v>
      </c>
    </row>
    <row r="24" spans="1:42" x14ac:dyDescent="0.25">
      <c r="A24" t="s">
        <v>198</v>
      </c>
      <c r="B24" t="s">
        <v>197</v>
      </c>
      <c r="C24" t="s">
        <v>420</v>
      </c>
      <c r="D24" t="s">
        <v>45</v>
      </c>
      <c r="H24">
        <v>5.9779999999999998E-3</v>
      </c>
      <c r="I24">
        <v>5.3010000000000002E-3</v>
      </c>
      <c r="J24">
        <v>5.6959999999999997E-3</v>
      </c>
      <c r="K24">
        <v>4.5739999999999999E-3</v>
      </c>
      <c r="L24">
        <v>4.5739999999999999E-3</v>
      </c>
      <c r="M24">
        <v>4.5739999999999999E-3</v>
      </c>
      <c r="N24">
        <v>4.5739999999999999E-3</v>
      </c>
      <c r="O24">
        <v>4.5739999999999999E-3</v>
      </c>
      <c r="P24">
        <v>4.5739999999999999E-3</v>
      </c>
      <c r="Q24">
        <v>4.5739999999999999E-3</v>
      </c>
      <c r="R24">
        <v>4.5739999999999999E-3</v>
      </c>
      <c r="S24">
        <v>4.5739999999999999E-3</v>
      </c>
      <c r="T24">
        <v>4.5739999999999999E-3</v>
      </c>
      <c r="U24">
        <v>4.5739999999999999E-3</v>
      </c>
      <c r="V24">
        <v>4.5739999999999999E-3</v>
      </c>
      <c r="W24">
        <v>4.5739999999999999E-3</v>
      </c>
      <c r="X24">
        <v>4.5739999999999999E-3</v>
      </c>
      <c r="Y24">
        <v>4.5739999999999999E-3</v>
      </c>
      <c r="Z24">
        <v>4.5739999999999999E-3</v>
      </c>
      <c r="AA24">
        <v>4.5739999999999999E-3</v>
      </c>
      <c r="AB24">
        <v>4.5739999999999999E-3</v>
      </c>
      <c r="AC24">
        <v>4.5739999999999999E-3</v>
      </c>
      <c r="AD24">
        <v>4.5739999999999999E-3</v>
      </c>
      <c r="AE24">
        <v>4.5739999999999999E-3</v>
      </c>
      <c r="AF24">
        <v>4.5739999999999999E-3</v>
      </c>
      <c r="AG24">
        <v>4.5739999999999999E-3</v>
      </c>
      <c r="AH24">
        <v>4.5739999999999999E-3</v>
      </c>
      <c r="AI24">
        <v>4.5739999999999999E-3</v>
      </c>
      <c r="AJ24">
        <v>4.5739999999999999E-3</v>
      </c>
      <c r="AK24">
        <v>4.5739999999999999E-3</v>
      </c>
      <c r="AL24">
        <v>4.5739999999999999E-3</v>
      </c>
      <c r="AM24">
        <v>4.5739999999999999E-3</v>
      </c>
      <c r="AN24">
        <v>4.5739999999999999E-3</v>
      </c>
      <c r="AO24">
        <v>4.5739999999999999E-3</v>
      </c>
      <c r="AP24" s="8">
        <v>0</v>
      </c>
    </row>
    <row r="25" spans="1:42" x14ac:dyDescent="0.25">
      <c r="A25" t="s">
        <v>59</v>
      </c>
      <c r="B25" t="s">
        <v>196</v>
      </c>
      <c r="C25" t="s">
        <v>419</v>
      </c>
      <c r="D25" t="s">
        <v>45</v>
      </c>
      <c r="H25">
        <v>3.0356999999999999E-2</v>
      </c>
      <c r="I25">
        <v>3.0356999999999999E-2</v>
      </c>
      <c r="J25">
        <v>3.0058999999999999E-2</v>
      </c>
      <c r="K25">
        <v>3.0058999999999999E-2</v>
      </c>
      <c r="L25">
        <v>3.0058999999999999E-2</v>
      </c>
      <c r="M25">
        <v>3.0058999999999999E-2</v>
      </c>
      <c r="N25">
        <v>3.0058999999999999E-2</v>
      </c>
      <c r="O25">
        <v>3.0058999999999999E-2</v>
      </c>
      <c r="P25">
        <v>3.0058999999999999E-2</v>
      </c>
      <c r="Q25">
        <v>3.0058999999999999E-2</v>
      </c>
      <c r="R25">
        <v>3.0058999999999999E-2</v>
      </c>
      <c r="S25">
        <v>3.0058999999999999E-2</v>
      </c>
      <c r="T25">
        <v>3.0058999999999999E-2</v>
      </c>
      <c r="U25">
        <v>3.0058999999999999E-2</v>
      </c>
      <c r="V25">
        <v>3.0058999999999999E-2</v>
      </c>
      <c r="W25">
        <v>3.0058999999999999E-2</v>
      </c>
      <c r="X25">
        <v>3.0058999999999999E-2</v>
      </c>
      <c r="Y25">
        <v>3.0058999999999999E-2</v>
      </c>
      <c r="Z25">
        <v>3.0058999999999999E-2</v>
      </c>
      <c r="AA25">
        <v>3.0058999999999999E-2</v>
      </c>
      <c r="AB25">
        <v>3.0058999999999999E-2</v>
      </c>
      <c r="AC25">
        <v>3.0058999999999999E-2</v>
      </c>
      <c r="AD25">
        <v>3.0058999999999999E-2</v>
      </c>
      <c r="AE25">
        <v>3.0058999999999999E-2</v>
      </c>
      <c r="AF25">
        <v>3.0058999999999999E-2</v>
      </c>
      <c r="AG25">
        <v>3.0058999999999999E-2</v>
      </c>
      <c r="AH25">
        <v>3.0058999999999999E-2</v>
      </c>
      <c r="AI25">
        <v>3.0058999999999999E-2</v>
      </c>
      <c r="AJ25">
        <v>3.0058999999999999E-2</v>
      </c>
      <c r="AK25">
        <v>3.0058999999999999E-2</v>
      </c>
      <c r="AL25">
        <v>3.0058999999999999E-2</v>
      </c>
      <c r="AM25">
        <v>3.0058999999999999E-2</v>
      </c>
      <c r="AN25">
        <v>3.0058999999999999E-2</v>
      </c>
      <c r="AO25">
        <v>3.0058999999999999E-2</v>
      </c>
      <c r="AP25" s="8">
        <v>0</v>
      </c>
    </row>
    <row r="26" spans="1:42" x14ac:dyDescent="0.25">
      <c r="A26" t="s">
        <v>8</v>
      </c>
      <c r="B26" t="s">
        <v>195</v>
      </c>
      <c r="C26" t="s">
        <v>418</v>
      </c>
      <c r="D26" t="s">
        <v>45</v>
      </c>
      <c r="H26">
        <v>0.57441699999999996</v>
      </c>
      <c r="I26">
        <v>0.57111699999999999</v>
      </c>
      <c r="J26">
        <v>0.55896599999999996</v>
      </c>
      <c r="K26">
        <v>0.55798300000000001</v>
      </c>
      <c r="L26">
        <v>0.56730000000000003</v>
      </c>
      <c r="M26">
        <v>0.56742700000000001</v>
      </c>
      <c r="N26">
        <v>0.56647000000000003</v>
      </c>
      <c r="O26">
        <v>0.56640699999999999</v>
      </c>
      <c r="P26">
        <v>0.56428999999999996</v>
      </c>
      <c r="Q26">
        <v>0.56218800000000002</v>
      </c>
      <c r="R26">
        <v>0.56187399999999998</v>
      </c>
      <c r="S26">
        <v>0.56298599999999999</v>
      </c>
      <c r="T26">
        <v>0.56476000000000004</v>
      </c>
      <c r="U26">
        <v>0.56379900000000005</v>
      </c>
      <c r="V26">
        <v>0.56423299999999998</v>
      </c>
      <c r="W26">
        <v>0.56634200000000001</v>
      </c>
      <c r="X26">
        <v>0.56922099999999998</v>
      </c>
      <c r="Y26">
        <v>0.57250999999999996</v>
      </c>
      <c r="Z26">
        <v>0.57686800000000005</v>
      </c>
      <c r="AA26">
        <v>0.58166899999999999</v>
      </c>
      <c r="AB26">
        <v>0.58690200000000003</v>
      </c>
      <c r="AC26">
        <v>0.59255400000000003</v>
      </c>
      <c r="AD26">
        <v>0.59877400000000003</v>
      </c>
      <c r="AE26">
        <v>0.60496899999999998</v>
      </c>
      <c r="AF26">
        <v>0.61190299999999997</v>
      </c>
      <c r="AG26">
        <v>0.61871500000000001</v>
      </c>
      <c r="AH26">
        <v>0.62645099999999998</v>
      </c>
      <c r="AI26">
        <v>0.63469500000000001</v>
      </c>
      <c r="AJ26">
        <v>0.64339199999999996</v>
      </c>
      <c r="AK26">
        <v>0.65210699999999999</v>
      </c>
      <c r="AL26">
        <v>0.661609</v>
      </c>
      <c r="AM26">
        <v>0.67197200000000001</v>
      </c>
      <c r="AN26">
        <v>0.68288000000000004</v>
      </c>
      <c r="AO26">
        <v>0.69464099999999995</v>
      </c>
      <c r="AP26" s="8">
        <v>3.0000000000000001E-3</v>
      </c>
    </row>
    <row r="27" spans="1:42" x14ac:dyDescent="0.25">
      <c r="A27" t="s">
        <v>120</v>
      </c>
      <c r="B27" t="s">
        <v>194</v>
      </c>
      <c r="C27" t="s">
        <v>417</v>
      </c>
      <c r="D27" t="s">
        <v>45</v>
      </c>
      <c r="H27">
        <v>1.088179</v>
      </c>
      <c r="I27">
        <v>1.096832</v>
      </c>
      <c r="J27">
        <v>1.1222799999999999</v>
      </c>
      <c r="K27">
        <v>1.1084780000000001</v>
      </c>
      <c r="L27">
        <v>1.1168800000000001</v>
      </c>
      <c r="M27">
        <v>1.119227</v>
      </c>
      <c r="N27">
        <v>1.1199939999999999</v>
      </c>
      <c r="O27">
        <v>1.1212690000000001</v>
      </c>
      <c r="P27">
        <v>1.120034</v>
      </c>
      <c r="Q27">
        <v>1.1184909999999999</v>
      </c>
      <c r="R27">
        <v>1.1189720000000001</v>
      </c>
      <c r="S27">
        <v>1.121213</v>
      </c>
      <c r="T27">
        <v>1.1246670000000001</v>
      </c>
      <c r="U27">
        <v>1.1166339999999999</v>
      </c>
      <c r="V27">
        <v>1.1136680000000001</v>
      </c>
      <c r="W27">
        <v>1.115718</v>
      </c>
      <c r="X27">
        <v>1.119483</v>
      </c>
      <c r="Y27">
        <v>1.1239060000000001</v>
      </c>
      <c r="Z27">
        <v>1.129896</v>
      </c>
      <c r="AA27">
        <v>1.1367160000000001</v>
      </c>
      <c r="AB27">
        <v>1.143824</v>
      </c>
      <c r="AC27">
        <v>1.1513800000000001</v>
      </c>
      <c r="AD27">
        <v>1.1595610000000001</v>
      </c>
      <c r="AE27">
        <v>1.1678660000000001</v>
      </c>
      <c r="AF27">
        <v>1.1770179999999999</v>
      </c>
      <c r="AG27">
        <v>1.18601</v>
      </c>
      <c r="AH27">
        <v>1.195953</v>
      </c>
      <c r="AI27">
        <v>1.2063759999999999</v>
      </c>
      <c r="AJ27">
        <v>1.2171749999999999</v>
      </c>
      <c r="AK27">
        <v>1.22807</v>
      </c>
      <c r="AL27">
        <v>1.2395719999999999</v>
      </c>
      <c r="AM27">
        <v>1.251984</v>
      </c>
      <c r="AN27">
        <v>1.264893</v>
      </c>
      <c r="AO27">
        <v>1.278702</v>
      </c>
      <c r="AP27" s="8">
        <v>6.0000000000000001E-3</v>
      </c>
    </row>
    <row r="28" spans="1:42" x14ac:dyDescent="0.25">
      <c r="A28" t="s">
        <v>118</v>
      </c>
      <c r="B28" t="s">
        <v>193</v>
      </c>
      <c r="C28" t="s">
        <v>416</v>
      </c>
      <c r="D28" t="s">
        <v>45</v>
      </c>
      <c r="H28">
        <v>0.86982000000000004</v>
      </c>
      <c r="I28">
        <v>0.88661000000000001</v>
      </c>
      <c r="J28">
        <v>0.83051799999999998</v>
      </c>
      <c r="K28">
        <v>0.82517600000000002</v>
      </c>
      <c r="L28">
        <v>0.82588899999999998</v>
      </c>
      <c r="M28">
        <v>0.79981000000000002</v>
      </c>
      <c r="N28">
        <v>0.76501699999999995</v>
      </c>
      <c r="O28">
        <v>0.731572</v>
      </c>
      <c r="P28">
        <v>0.70156499999999999</v>
      </c>
      <c r="Q28">
        <v>0.65304099999999998</v>
      </c>
      <c r="R28">
        <v>0.63408500000000001</v>
      </c>
      <c r="S28">
        <v>0.64054999999999995</v>
      </c>
      <c r="T28">
        <v>0.63848899999999997</v>
      </c>
      <c r="U28">
        <v>0.62420100000000001</v>
      </c>
      <c r="V28">
        <v>0.61574099999999998</v>
      </c>
      <c r="W28">
        <v>0.61175199999999996</v>
      </c>
      <c r="X28">
        <v>0.61669399999999996</v>
      </c>
      <c r="Y28">
        <v>0.62275400000000003</v>
      </c>
      <c r="Z28">
        <v>0.62212900000000004</v>
      </c>
      <c r="AA28">
        <v>0.62871299999999997</v>
      </c>
      <c r="AB28">
        <v>0.63218600000000003</v>
      </c>
      <c r="AC28">
        <v>0.63729599999999997</v>
      </c>
      <c r="AD28">
        <v>0.65009099999999997</v>
      </c>
      <c r="AE28">
        <v>0.649698</v>
      </c>
      <c r="AF28">
        <v>0.66219799999999995</v>
      </c>
      <c r="AG28">
        <v>0.66767900000000002</v>
      </c>
      <c r="AH28">
        <v>0.67311799999999999</v>
      </c>
      <c r="AI28">
        <v>0.67771000000000003</v>
      </c>
      <c r="AJ28">
        <v>0.69843699999999997</v>
      </c>
      <c r="AK28">
        <v>0.72238599999999997</v>
      </c>
      <c r="AL28">
        <v>0.74637200000000004</v>
      </c>
      <c r="AM28">
        <v>0.75770700000000002</v>
      </c>
      <c r="AN28">
        <v>0.77498199999999995</v>
      </c>
      <c r="AO28">
        <v>0.793848</v>
      </c>
      <c r="AP28" s="8">
        <v>1E-3</v>
      </c>
    </row>
    <row r="29" spans="1:42" x14ac:dyDescent="0.25">
      <c r="A29" t="s">
        <v>32</v>
      </c>
      <c r="B29" t="s">
        <v>192</v>
      </c>
      <c r="C29" t="s">
        <v>415</v>
      </c>
      <c r="D29" t="s">
        <v>45</v>
      </c>
      <c r="H29">
        <v>1.958</v>
      </c>
      <c r="I29">
        <v>1.9834419999999999</v>
      </c>
      <c r="J29">
        <v>1.952798</v>
      </c>
      <c r="K29">
        <v>1.9336530000000001</v>
      </c>
      <c r="L29">
        <v>1.942769</v>
      </c>
      <c r="M29">
        <v>1.9190370000000001</v>
      </c>
      <c r="N29">
        <v>1.885011</v>
      </c>
      <c r="O29">
        <v>1.852841</v>
      </c>
      <c r="P29">
        <v>1.821599</v>
      </c>
      <c r="Q29">
        <v>1.771533</v>
      </c>
      <c r="R29">
        <v>1.7530570000000001</v>
      </c>
      <c r="S29">
        <v>1.761763</v>
      </c>
      <c r="T29">
        <v>1.7631559999999999</v>
      </c>
      <c r="U29">
        <v>1.740834</v>
      </c>
      <c r="V29">
        <v>1.729409</v>
      </c>
      <c r="W29">
        <v>1.7274700000000001</v>
      </c>
      <c r="X29">
        <v>1.7361770000000001</v>
      </c>
      <c r="Y29">
        <v>1.7466600000000001</v>
      </c>
      <c r="Z29">
        <v>1.7520260000000001</v>
      </c>
      <c r="AA29">
        <v>1.7654300000000001</v>
      </c>
      <c r="AB29">
        <v>1.7760100000000001</v>
      </c>
      <c r="AC29">
        <v>1.7886759999999999</v>
      </c>
      <c r="AD29">
        <v>1.8096509999999999</v>
      </c>
      <c r="AE29">
        <v>1.817564</v>
      </c>
      <c r="AF29">
        <v>1.839216</v>
      </c>
      <c r="AG29">
        <v>1.853688</v>
      </c>
      <c r="AH29">
        <v>1.8690709999999999</v>
      </c>
      <c r="AI29">
        <v>1.8840870000000001</v>
      </c>
      <c r="AJ29">
        <v>1.9156120000000001</v>
      </c>
      <c r="AK29">
        <v>1.950456</v>
      </c>
      <c r="AL29">
        <v>1.9859450000000001</v>
      </c>
      <c r="AM29">
        <v>2.0096910000000001</v>
      </c>
      <c r="AN29">
        <v>2.0398740000000002</v>
      </c>
      <c r="AO29">
        <v>2.0725500000000001</v>
      </c>
      <c r="AP29" s="8">
        <v>4.0000000000000001E-3</v>
      </c>
    </row>
    <row r="30" spans="1:42" x14ac:dyDescent="0.25">
      <c r="A30" t="s">
        <v>191</v>
      </c>
      <c r="C30" t="s">
        <v>414</v>
      </c>
    </row>
    <row r="31" spans="1:42" x14ac:dyDescent="0.25">
      <c r="A31" t="s">
        <v>102</v>
      </c>
      <c r="B31" t="s">
        <v>190</v>
      </c>
      <c r="C31" t="s">
        <v>413</v>
      </c>
      <c r="D31" t="s">
        <v>45</v>
      </c>
      <c r="H31">
        <v>3.6222999999999998E-2</v>
      </c>
      <c r="I31">
        <v>4.2604999999999997E-2</v>
      </c>
      <c r="J31">
        <v>4.1168999999999997E-2</v>
      </c>
      <c r="K31">
        <v>4.1569000000000002E-2</v>
      </c>
      <c r="L31">
        <v>2.1066999999999999E-2</v>
      </c>
      <c r="M31">
        <v>2.0771000000000001E-2</v>
      </c>
      <c r="N31">
        <v>2.0659E-2</v>
      </c>
      <c r="O31">
        <v>2.0622000000000001E-2</v>
      </c>
      <c r="P31">
        <v>2.0643999999999999E-2</v>
      </c>
      <c r="Q31">
        <v>2.0768999999999999E-2</v>
      </c>
      <c r="R31">
        <v>2.0877E-2</v>
      </c>
      <c r="S31">
        <v>2.1033E-2</v>
      </c>
      <c r="T31">
        <v>2.1131E-2</v>
      </c>
      <c r="U31">
        <v>2.1378000000000001E-2</v>
      </c>
      <c r="V31">
        <v>2.1579000000000001E-2</v>
      </c>
      <c r="W31">
        <v>2.1738E-2</v>
      </c>
      <c r="X31">
        <v>2.1891000000000001E-2</v>
      </c>
      <c r="Y31">
        <v>2.2082999999999998E-2</v>
      </c>
      <c r="Z31">
        <v>2.2256000000000001E-2</v>
      </c>
      <c r="AA31">
        <v>2.2381000000000002E-2</v>
      </c>
      <c r="AB31">
        <v>2.2495999999999999E-2</v>
      </c>
      <c r="AC31">
        <v>2.2605E-2</v>
      </c>
      <c r="AD31">
        <v>2.2700000000000001E-2</v>
      </c>
      <c r="AE31">
        <v>2.2863999999999999E-2</v>
      </c>
      <c r="AF31">
        <v>2.3052E-2</v>
      </c>
      <c r="AG31">
        <v>2.317E-2</v>
      </c>
      <c r="AH31">
        <v>2.3345999999999999E-2</v>
      </c>
      <c r="AI31">
        <v>2.3556000000000001E-2</v>
      </c>
      <c r="AJ31">
        <v>2.3778000000000001E-2</v>
      </c>
      <c r="AK31">
        <v>2.4014000000000001E-2</v>
      </c>
      <c r="AL31">
        <v>2.4225E-2</v>
      </c>
      <c r="AM31">
        <v>2.4417999999999999E-2</v>
      </c>
      <c r="AN31">
        <v>2.4625999999999999E-2</v>
      </c>
      <c r="AO31">
        <v>2.4826999999999998E-2</v>
      </c>
      <c r="AP31" s="8">
        <v>-1.4999999999999999E-2</v>
      </c>
    </row>
    <row r="32" spans="1:42" x14ac:dyDescent="0.25">
      <c r="A32" t="s">
        <v>2</v>
      </c>
      <c r="B32" t="s">
        <v>189</v>
      </c>
      <c r="C32" t="s">
        <v>412</v>
      </c>
      <c r="D32" t="s">
        <v>45</v>
      </c>
      <c r="H32">
        <v>3.9670999999999998E-2</v>
      </c>
      <c r="I32">
        <v>3.9092000000000002E-2</v>
      </c>
      <c r="J32">
        <v>4.0122999999999999E-2</v>
      </c>
      <c r="K32">
        <v>4.0201000000000001E-2</v>
      </c>
      <c r="L32">
        <v>4.1084000000000002E-2</v>
      </c>
      <c r="M32">
        <v>4.1977E-2</v>
      </c>
      <c r="N32">
        <v>4.2520000000000002E-2</v>
      </c>
      <c r="O32">
        <v>4.3172000000000002E-2</v>
      </c>
      <c r="P32">
        <v>4.3834999999999999E-2</v>
      </c>
      <c r="Q32">
        <v>4.4420000000000001E-2</v>
      </c>
      <c r="R32">
        <v>4.4886000000000002E-2</v>
      </c>
      <c r="S32">
        <v>4.5428000000000003E-2</v>
      </c>
      <c r="T32">
        <v>4.5961000000000002E-2</v>
      </c>
      <c r="U32">
        <v>4.6537000000000002E-2</v>
      </c>
      <c r="V32">
        <v>4.7136999999999998E-2</v>
      </c>
      <c r="W32">
        <v>4.7604E-2</v>
      </c>
      <c r="X32">
        <v>4.8069000000000001E-2</v>
      </c>
      <c r="Y32">
        <v>4.8592999999999997E-2</v>
      </c>
      <c r="Z32">
        <v>4.9077999999999997E-2</v>
      </c>
      <c r="AA32">
        <v>4.9507000000000002E-2</v>
      </c>
      <c r="AB32">
        <v>4.9889000000000003E-2</v>
      </c>
      <c r="AC32">
        <v>5.0271000000000003E-2</v>
      </c>
      <c r="AD32">
        <v>5.0645000000000003E-2</v>
      </c>
      <c r="AE32">
        <v>5.1145000000000003E-2</v>
      </c>
      <c r="AF32">
        <v>5.1666999999999998E-2</v>
      </c>
      <c r="AG32">
        <v>5.2116000000000003E-2</v>
      </c>
      <c r="AH32">
        <v>5.2615000000000002E-2</v>
      </c>
      <c r="AI32">
        <v>5.3136000000000003E-2</v>
      </c>
      <c r="AJ32">
        <v>5.3685999999999998E-2</v>
      </c>
      <c r="AK32">
        <v>5.4239000000000002E-2</v>
      </c>
      <c r="AL32">
        <v>5.4787000000000002E-2</v>
      </c>
      <c r="AM32">
        <v>5.5320000000000001E-2</v>
      </c>
      <c r="AN32">
        <v>5.5863999999999997E-2</v>
      </c>
      <c r="AO32">
        <v>5.6367E-2</v>
      </c>
      <c r="AP32" s="8">
        <v>7.0000000000000001E-3</v>
      </c>
    </row>
    <row r="33" spans="1:42" x14ac:dyDescent="0.25">
      <c r="A33" t="s">
        <v>94</v>
      </c>
      <c r="B33" t="s">
        <v>188</v>
      </c>
      <c r="C33" t="s">
        <v>411</v>
      </c>
      <c r="D33" t="s">
        <v>45</v>
      </c>
      <c r="H33">
        <v>0.13319300000000001</v>
      </c>
      <c r="I33">
        <v>0.13950399999999999</v>
      </c>
      <c r="J33">
        <v>0.131635</v>
      </c>
      <c r="K33">
        <v>0.13295999999999999</v>
      </c>
      <c r="L33">
        <v>0.134297</v>
      </c>
      <c r="M33">
        <v>0.13569100000000001</v>
      </c>
      <c r="N33">
        <v>0.13695299999999999</v>
      </c>
      <c r="O33">
        <v>0.13855899999999999</v>
      </c>
      <c r="P33">
        <v>0.14018600000000001</v>
      </c>
      <c r="Q33">
        <v>0.14165700000000001</v>
      </c>
      <c r="R33">
        <v>0.142981</v>
      </c>
      <c r="S33">
        <v>0.144651</v>
      </c>
      <c r="T33">
        <v>0.146233</v>
      </c>
      <c r="U33">
        <v>0.148121</v>
      </c>
      <c r="V33">
        <v>0.15029799999999999</v>
      </c>
      <c r="W33">
        <v>0.15207000000000001</v>
      </c>
      <c r="X33">
        <v>0.153919</v>
      </c>
      <c r="Y33">
        <v>0.156084</v>
      </c>
      <c r="Z33">
        <v>0.15820400000000001</v>
      </c>
      <c r="AA33">
        <v>0.16010099999999999</v>
      </c>
      <c r="AB33">
        <v>0.16181699999999999</v>
      </c>
      <c r="AC33">
        <v>0.16362499999999999</v>
      </c>
      <c r="AD33">
        <v>0.16543099999999999</v>
      </c>
      <c r="AE33">
        <v>0.167659</v>
      </c>
      <c r="AF33">
        <v>0.169959</v>
      </c>
      <c r="AG33">
        <v>0.17216899999999999</v>
      </c>
      <c r="AH33">
        <v>0.17446500000000001</v>
      </c>
      <c r="AI33">
        <v>0.17696200000000001</v>
      </c>
      <c r="AJ33">
        <v>0.179589</v>
      </c>
      <c r="AK33">
        <v>0.182398</v>
      </c>
      <c r="AL33">
        <v>0.18504799999999999</v>
      </c>
      <c r="AM33">
        <v>0.18765899999999999</v>
      </c>
      <c r="AN33">
        <v>0.190472</v>
      </c>
      <c r="AO33">
        <v>0.19292000000000001</v>
      </c>
      <c r="AP33" s="8">
        <v>1.0999999999999999E-2</v>
      </c>
    </row>
    <row r="34" spans="1:42" x14ac:dyDescent="0.25">
      <c r="A34" t="s">
        <v>92</v>
      </c>
      <c r="B34" t="s">
        <v>187</v>
      </c>
      <c r="C34" t="s">
        <v>410</v>
      </c>
      <c r="D34" t="s">
        <v>45</v>
      </c>
      <c r="H34">
        <v>3.3909999999999999E-3</v>
      </c>
      <c r="I34">
        <v>3.2929999999999999E-3</v>
      </c>
      <c r="J34">
        <v>3.4970000000000001E-3</v>
      </c>
      <c r="K34">
        <v>3.1819999999999999E-3</v>
      </c>
      <c r="L34">
        <v>1.964E-3</v>
      </c>
      <c r="M34">
        <v>2.1849999999999999E-3</v>
      </c>
      <c r="N34">
        <v>2.2959999999999999E-3</v>
      </c>
      <c r="O34">
        <v>2.4090000000000001E-3</v>
      </c>
      <c r="P34">
        <v>2.5209999999999998E-3</v>
      </c>
      <c r="Q34">
        <v>2.6350000000000002E-3</v>
      </c>
      <c r="R34">
        <v>2.6870000000000002E-3</v>
      </c>
      <c r="S34">
        <v>2.7339999999999999E-3</v>
      </c>
      <c r="T34">
        <v>2.7829999999999999E-3</v>
      </c>
      <c r="U34">
        <v>2.8310000000000002E-3</v>
      </c>
      <c r="V34">
        <v>2.833E-3</v>
      </c>
      <c r="W34">
        <v>2.8419999999999999E-3</v>
      </c>
      <c r="X34">
        <v>2.8470000000000001E-3</v>
      </c>
      <c r="Y34">
        <v>2.856E-3</v>
      </c>
      <c r="Z34">
        <v>2.8549999999999999E-3</v>
      </c>
      <c r="AA34">
        <v>2.849E-3</v>
      </c>
      <c r="AB34">
        <v>2.8379999999999998E-3</v>
      </c>
      <c r="AC34">
        <v>2.8310000000000002E-3</v>
      </c>
      <c r="AD34">
        <v>2.8240000000000001E-3</v>
      </c>
      <c r="AE34">
        <v>2.8310000000000002E-3</v>
      </c>
      <c r="AF34">
        <v>2.8319999999999999E-3</v>
      </c>
      <c r="AG34">
        <v>2.8319999999999999E-3</v>
      </c>
      <c r="AH34">
        <v>2.8289999999999999E-3</v>
      </c>
      <c r="AI34">
        <v>2.8189999999999999E-3</v>
      </c>
      <c r="AJ34">
        <v>2.8059999999999999E-3</v>
      </c>
      <c r="AK34">
        <v>2.7899999999999999E-3</v>
      </c>
      <c r="AL34">
        <v>2.7810000000000001E-3</v>
      </c>
      <c r="AM34">
        <v>2.7729999999999999E-3</v>
      </c>
      <c r="AN34">
        <v>2.7659999999999998E-3</v>
      </c>
      <c r="AO34">
        <v>2.7439999999999999E-3</v>
      </c>
      <c r="AP34" s="8">
        <v>-4.0000000000000001E-3</v>
      </c>
    </row>
    <row r="35" spans="1:42" x14ac:dyDescent="0.25">
      <c r="A35" t="s">
        <v>90</v>
      </c>
      <c r="B35" t="s">
        <v>186</v>
      </c>
      <c r="C35" t="s">
        <v>409</v>
      </c>
      <c r="D35" t="s">
        <v>45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 t="s">
        <v>0</v>
      </c>
    </row>
    <row r="36" spans="1:42" x14ac:dyDescent="0.25">
      <c r="A36" t="s">
        <v>88</v>
      </c>
      <c r="B36" t="s">
        <v>185</v>
      </c>
      <c r="C36" t="s">
        <v>408</v>
      </c>
      <c r="D36" t="s">
        <v>45</v>
      </c>
      <c r="H36">
        <v>0.52827999999999997</v>
      </c>
      <c r="I36">
        <v>0.51832699999999998</v>
      </c>
      <c r="J36">
        <v>0.52617199999999997</v>
      </c>
      <c r="K36">
        <v>0.50844699999999998</v>
      </c>
      <c r="L36">
        <v>0.41408499999999998</v>
      </c>
      <c r="M36">
        <v>0.41705700000000001</v>
      </c>
      <c r="N36">
        <v>0.420483</v>
      </c>
      <c r="O36">
        <v>0.41219600000000001</v>
      </c>
      <c r="P36">
        <v>0.405719</v>
      </c>
      <c r="Q36">
        <v>0.41574</v>
      </c>
      <c r="R36">
        <v>0.40118799999999999</v>
      </c>
      <c r="S36">
        <v>0.41361900000000001</v>
      </c>
      <c r="T36">
        <v>0.41522100000000001</v>
      </c>
      <c r="U36">
        <v>0.40565400000000001</v>
      </c>
      <c r="V36">
        <v>0.40265899999999999</v>
      </c>
      <c r="W36">
        <v>0.411136</v>
      </c>
      <c r="X36">
        <v>0.36873899999999998</v>
      </c>
      <c r="Y36">
        <v>0.409078</v>
      </c>
      <c r="Z36">
        <v>0.41316999999999998</v>
      </c>
      <c r="AA36">
        <v>0.389934</v>
      </c>
      <c r="AB36">
        <v>0.395565</v>
      </c>
      <c r="AC36">
        <v>0.39745399999999997</v>
      </c>
      <c r="AD36">
        <v>0.40237099999999998</v>
      </c>
      <c r="AE36">
        <v>0.39495599999999997</v>
      </c>
      <c r="AF36">
        <v>0.40130900000000003</v>
      </c>
      <c r="AG36">
        <v>0.40343099999999998</v>
      </c>
      <c r="AH36">
        <v>0.41076200000000002</v>
      </c>
      <c r="AI36">
        <v>0.414885</v>
      </c>
      <c r="AJ36">
        <v>0.43943700000000002</v>
      </c>
      <c r="AK36">
        <v>0.43103200000000003</v>
      </c>
      <c r="AL36">
        <v>0.45519799999999999</v>
      </c>
      <c r="AM36">
        <v>0.47545900000000002</v>
      </c>
      <c r="AN36">
        <v>0.48143399999999997</v>
      </c>
      <c r="AO36">
        <v>0.47492200000000001</v>
      </c>
      <c r="AP36" s="8">
        <v>-5.0000000000000001E-3</v>
      </c>
    </row>
    <row r="37" spans="1:42" x14ac:dyDescent="0.25">
      <c r="A37" t="s">
        <v>86</v>
      </c>
      <c r="B37" t="s">
        <v>184</v>
      </c>
      <c r="C37" t="s">
        <v>407</v>
      </c>
      <c r="D37" t="s">
        <v>45</v>
      </c>
      <c r="H37">
        <v>0.74075800000000003</v>
      </c>
      <c r="I37">
        <v>0.74282099999999995</v>
      </c>
      <c r="J37">
        <v>0.74259600000000003</v>
      </c>
      <c r="K37">
        <v>0.72636000000000001</v>
      </c>
      <c r="L37">
        <v>0.61249799999999999</v>
      </c>
      <c r="M37">
        <v>0.61768100000000004</v>
      </c>
      <c r="N37">
        <v>0.62291099999999999</v>
      </c>
      <c r="O37">
        <v>0.61695699999999998</v>
      </c>
      <c r="P37">
        <v>0.612904</v>
      </c>
      <c r="Q37">
        <v>0.62522100000000003</v>
      </c>
      <c r="R37">
        <v>0.61261900000000002</v>
      </c>
      <c r="S37">
        <v>0.62746400000000002</v>
      </c>
      <c r="T37">
        <v>0.63132999999999995</v>
      </c>
      <c r="U37">
        <v>0.62452099999999999</v>
      </c>
      <c r="V37">
        <v>0.62450499999999998</v>
      </c>
      <c r="W37">
        <v>0.63538899999999998</v>
      </c>
      <c r="X37">
        <v>0.59546600000000005</v>
      </c>
      <c r="Y37">
        <v>0.63869299999999996</v>
      </c>
      <c r="Z37">
        <v>0.64556199999999997</v>
      </c>
      <c r="AA37">
        <v>0.62477199999999999</v>
      </c>
      <c r="AB37">
        <v>0.63260499999999997</v>
      </c>
      <c r="AC37">
        <v>0.63678599999999996</v>
      </c>
      <c r="AD37">
        <v>0.64397099999999996</v>
      </c>
      <c r="AE37">
        <v>0.63945399999999997</v>
      </c>
      <c r="AF37">
        <v>0.64881900000000003</v>
      </c>
      <c r="AG37">
        <v>0.65371800000000002</v>
      </c>
      <c r="AH37">
        <v>0.664018</v>
      </c>
      <c r="AI37">
        <v>0.67135800000000001</v>
      </c>
      <c r="AJ37">
        <v>0.69929600000000003</v>
      </c>
      <c r="AK37">
        <v>0.69447400000000004</v>
      </c>
      <c r="AL37">
        <v>0.72203899999999999</v>
      </c>
      <c r="AM37">
        <v>0.74563000000000001</v>
      </c>
      <c r="AN37">
        <v>0.755162</v>
      </c>
      <c r="AO37">
        <v>0.75178100000000003</v>
      </c>
      <c r="AP37" s="8">
        <v>-1E-3</v>
      </c>
    </row>
    <row r="38" spans="1:42" x14ac:dyDescent="0.25">
      <c r="A38" t="s">
        <v>10</v>
      </c>
      <c r="B38" t="s">
        <v>183</v>
      </c>
      <c r="C38" t="s">
        <v>406</v>
      </c>
      <c r="D38" t="s">
        <v>45</v>
      </c>
      <c r="H38">
        <v>1.003134</v>
      </c>
      <c r="I38">
        <v>1.0704050000000001</v>
      </c>
      <c r="J38">
        <v>1.008513</v>
      </c>
      <c r="K38">
        <v>1.057277</v>
      </c>
      <c r="L38">
        <v>1.1826779999999999</v>
      </c>
      <c r="M38">
        <v>1.1822349999999999</v>
      </c>
      <c r="N38">
        <v>1.1862870000000001</v>
      </c>
      <c r="O38">
        <v>1.1898850000000001</v>
      </c>
      <c r="P38">
        <v>1.1884650000000001</v>
      </c>
      <c r="Q38">
        <v>1.1886350000000001</v>
      </c>
      <c r="R38">
        <v>1.193047</v>
      </c>
      <c r="S38">
        <v>1.180153</v>
      </c>
      <c r="T38">
        <v>1.183727</v>
      </c>
      <c r="U38">
        <v>1.0931690000000001</v>
      </c>
      <c r="V38">
        <v>1.1024620000000001</v>
      </c>
      <c r="W38">
        <v>1.1195409999999999</v>
      </c>
      <c r="X38">
        <v>1.1255919999999999</v>
      </c>
      <c r="Y38">
        <v>1.1281289999999999</v>
      </c>
      <c r="Z38">
        <v>1.1436029999999999</v>
      </c>
      <c r="AA38">
        <v>1.158582</v>
      </c>
      <c r="AB38">
        <v>1.157292</v>
      </c>
      <c r="AC38">
        <v>1.168326</v>
      </c>
      <c r="AD38">
        <v>1.179719</v>
      </c>
      <c r="AE38">
        <v>1.188256</v>
      </c>
      <c r="AF38">
        <v>1.200993</v>
      </c>
      <c r="AG38">
        <v>1.2208950000000001</v>
      </c>
      <c r="AH38">
        <v>1.237293</v>
      </c>
      <c r="AI38">
        <v>1.2547459999999999</v>
      </c>
      <c r="AJ38">
        <v>1.2862229999999999</v>
      </c>
      <c r="AK38">
        <v>1.297078</v>
      </c>
      <c r="AL38">
        <v>1.3325149999999999</v>
      </c>
      <c r="AM38">
        <v>1.3634109999999999</v>
      </c>
      <c r="AN38">
        <v>1.3889339999999999</v>
      </c>
      <c r="AO38">
        <v>1.406406</v>
      </c>
      <c r="AP38" s="8">
        <v>8.9999999999999993E-3</v>
      </c>
    </row>
    <row r="39" spans="1:42" x14ac:dyDescent="0.25">
      <c r="A39" t="s">
        <v>83</v>
      </c>
      <c r="B39" t="s">
        <v>182</v>
      </c>
      <c r="C39" t="s">
        <v>405</v>
      </c>
      <c r="D39" t="s">
        <v>45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 t="s">
        <v>0</v>
      </c>
    </row>
    <row r="40" spans="1:42" x14ac:dyDescent="0.25">
      <c r="A40" t="s">
        <v>81</v>
      </c>
      <c r="B40" t="s">
        <v>181</v>
      </c>
      <c r="C40" t="s">
        <v>404</v>
      </c>
      <c r="D40" t="s">
        <v>45</v>
      </c>
      <c r="H40">
        <v>0.283586</v>
      </c>
      <c r="I40">
        <v>0.29477799999999998</v>
      </c>
      <c r="J40">
        <v>0.29870200000000002</v>
      </c>
      <c r="K40">
        <v>0.28575099999999998</v>
      </c>
      <c r="L40">
        <v>0.29113499999999998</v>
      </c>
      <c r="M40">
        <v>0.28687499999999999</v>
      </c>
      <c r="N40">
        <v>0.29264000000000001</v>
      </c>
      <c r="O40">
        <v>0.294622</v>
      </c>
      <c r="P40">
        <v>0.29584100000000002</v>
      </c>
      <c r="Q40">
        <v>0.29971999999999999</v>
      </c>
      <c r="R40">
        <v>0.30315799999999998</v>
      </c>
      <c r="S40">
        <v>0.29817700000000003</v>
      </c>
      <c r="T40">
        <v>0.29558899999999999</v>
      </c>
      <c r="U40">
        <v>0.29330699999999998</v>
      </c>
      <c r="V40">
        <v>0.29701699999999998</v>
      </c>
      <c r="W40">
        <v>0.30740600000000001</v>
      </c>
      <c r="X40">
        <v>0.31137300000000001</v>
      </c>
      <c r="Y40">
        <v>0.31187599999999999</v>
      </c>
      <c r="Z40">
        <v>0.30714900000000001</v>
      </c>
      <c r="AA40">
        <v>0.30302299999999999</v>
      </c>
      <c r="AB40">
        <v>0.29835</v>
      </c>
      <c r="AC40">
        <v>0.30352400000000002</v>
      </c>
      <c r="AD40">
        <v>0.306473</v>
      </c>
      <c r="AE40">
        <v>0.33588800000000002</v>
      </c>
      <c r="AF40">
        <v>0.337426</v>
      </c>
      <c r="AG40">
        <v>0.33607599999999999</v>
      </c>
      <c r="AH40">
        <v>0.334453</v>
      </c>
      <c r="AI40">
        <v>0.328739</v>
      </c>
      <c r="AJ40">
        <v>0.32385900000000001</v>
      </c>
      <c r="AK40">
        <v>0.327513</v>
      </c>
      <c r="AL40">
        <v>0.32184000000000001</v>
      </c>
      <c r="AM40">
        <v>0.31018600000000002</v>
      </c>
      <c r="AN40">
        <v>0.30153200000000002</v>
      </c>
      <c r="AO40">
        <v>0.29543900000000001</v>
      </c>
      <c r="AP40" s="8">
        <v>0</v>
      </c>
    </row>
    <row r="41" spans="1:42" x14ac:dyDescent="0.25">
      <c r="A41" t="s">
        <v>79</v>
      </c>
      <c r="B41" t="s">
        <v>180</v>
      </c>
      <c r="C41" t="s">
        <v>403</v>
      </c>
      <c r="D41" t="s">
        <v>45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 t="s">
        <v>0</v>
      </c>
    </row>
    <row r="42" spans="1:42" x14ac:dyDescent="0.25">
      <c r="A42" t="s">
        <v>75</v>
      </c>
      <c r="B42" t="s">
        <v>179</v>
      </c>
      <c r="C42" t="s">
        <v>402</v>
      </c>
      <c r="D42" t="s">
        <v>45</v>
      </c>
      <c r="H42">
        <v>1.286721</v>
      </c>
      <c r="I42">
        <v>1.365183</v>
      </c>
      <c r="J42">
        <v>1.3072140000000001</v>
      </c>
      <c r="K42">
        <v>1.3430280000000001</v>
      </c>
      <c r="L42">
        <v>1.473813</v>
      </c>
      <c r="M42">
        <v>1.4691099999999999</v>
      </c>
      <c r="N42">
        <v>1.4789270000000001</v>
      </c>
      <c r="O42">
        <v>1.484507</v>
      </c>
      <c r="P42">
        <v>1.4843059999999999</v>
      </c>
      <c r="Q42">
        <v>1.4883550000000001</v>
      </c>
      <c r="R42">
        <v>1.496205</v>
      </c>
      <c r="S42">
        <v>1.4783299999999999</v>
      </c>
      <c r="T42">
        <v>1.4793160000000001</v>
      </c>
      <c r="U42">
        <v>1.386476</v>
      </c>
      <c r="V42">
        <v>1.3994789999999999</v>
      </c>
      <c r="W42">
        <v>1.426947</v>
      </c>
      <c r="X42">
        <v>1.436965</v>
      </c>
      <c r="Y42">
        <v>1.440005</v>
      </c>
      <c r="Z42">
        <v>1.450752</v>
      </c>
      <c r="AA42">
        <v>1.461605</v>
      </c>
      <c r="AB42">
        <v>1.4556420000000001</v>
      </c>
      <c r="AC42">
        <v>1.4718500000000001</v>
      </c>
      <c r="AD42">
        <v>1.486192</v>
      </c>
      <c r="AE42">
        <v>1.5241450000000001</v>
      </c>
      <c r="AF42">
        <v>1.538419</v>
      </c>
      <c r="AG42">
        <v>1.5569710000000001</v>
      </c>
      <c r="AH42">
        <v>1.5717460000000001</v>
      </c>
      <c r="AI42">
        <v>1.583485</v>
      </c>
      <c r="AJ42">
        <v>1.610082</v>
      </c>
      <c r="AK42">
        <v>1.6245909999999999</v>
      </c>
      <c r="AL42">
        <v>1.654355</v>
      </c>
      <c r="AM42">
        <v>1.673597</v>
      </c>
      <c r="AN42">
        <v>1.6904669999999999</v>
      </c>
      <c r="AO42">
        <v>1.7018450000000001</v>
      </c>
      <c r="AP42" s="8">
        <v>7.0000000000000001E-3</v>
      </c>
    </row>
    <row r="43" spans="1:42" x14ac:dyDescent="0.25">
      <c r="A43" t="s">
        <v>73</v>
      </c>
      <c r="B43" t="s">
        <v>178</v>
      </c>
      <c r="C43" t="s">
        <v>401</v>
      </c>
      <c r="D43" t="s">
        <v>45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 t="s">
        <v>0</v>
      </c>
    </row>
    <row r="44" spans="1:42" x14ac:dyDescent="0.25">
      <c r="A44" t="s">
        <v>177</v>
      </c>
      <c r="B44" t="s">
        <v>176</v>
      </c>
      <c r="C44" t="s">
        <v>400</v>
      </c>
      <c r="D44" t="s">
        <v>45</v>
      </c>
      <c r="H44">
        <v>3.2236000000000001E-2</v>
      </c>
      <c r="I44">
        <v>2.9430000000000001E-2</v>
      </c>
      <c r="J44">
        <v>3.0235000000000001E-2</v>
      </c>
      <c r="K44">
        <v>2.7562E-2</v>
      </c>
      <c r="L44">
        <v>2.8823999999999999E-2</v>
      </c>
      <c r="M44">
        <v>2.9994E-2</v>
      </c>
      <c r="N44">
        <v>3.0505000000000001E-2</v>
      </c>
      <c r="O44">
        <v>3.0995999999999999E-2</v>
      </c>
      <c r="P44">
        <v>3.1459000000000001E-2</v>
      </c>
      <c r="Q44">
        <v>3.1898999999999997E-2</v>
      </c>
      <c r="R44">
        <v>3.1891000000000003E-2</v>
      </c>
      <c r="S44">
        <v>3.1911000000000002E-2</v>
      </c>
      <c r="T44">
        <v>3.1938000000000001E-2</v>
      </c>
      <c r="U44">
        <v>3.1924000000000001E-2</v>
      </c>
      <c r="V44">
        <v>3.1614999999999997E-2</v>
      </c>
      <c r="W44">
        <v>3.1308000000000002E-2</v>
      </c>
      <c r="X44">
        <v>3.1021E-2</v>
      </c>
      <c r="Y44">
        <v>3.0792E-2</v>
      </c>
      <c r="Z44">
        <v>3.0491999999999998E-2</v>
      </c>
      <c r="AA44">
        <v>3.0473E-2</v>
      </c>
      <c r="AB44">
        <v>3.0474999999999999E-2</v>
      </c>
      <c r="AC44">
        <v>3.0529000000000001E-2</v>
      </c>
      <c r="AD44">
        <v>3.0571000000000001E-2</v>
      </c>
      <c r="AE44">
        <v>3.0661999999999998E-2</v>
      </c>
      <c r="AF44">
        <v>3.0780999999999999E-2</v>
      </c>
      <c r="AG44">
        <v>3.0901000000000001E-2</v>
      </c>
      <c r="AH44">
        <v>3.1047000000000002E-2</v>
      </c>
      <c r="AI44">
        <v>3.1220999999999999E-2</v>
      </c>
      <c r="AJ44">
        <v>3.1417E-2</v>
      </c>
      <c r="AK44">
        <v>3.1632E-2</v>
      </c>
      <c r="AL44">
        <v>3.1864999999999997E-2</v>
      </c>
      <c r="AM44">
        <v>3.2081999999999999E-2</v>
      </c>
      <c r="AN44">
        <v>3.2294999999999997E-2</v>
      </c>
      <c r="AO44">
        <v>3.252E-2</v>
      </c>
      <c r="AP44" s="8">
        <v>1E-3</v>
      </c>
    </row>
    <row r="45" spans="1:42" x14ac:dyDescent="0.25">
      <c r="A45" t="s">
        <v>69</v>
      </c>
      <c r="B45" t="s">
        <v>175</v>
      </c>
      <c r="C45" t="s">
        <v>399</v>
      </c>
      <c r="D45" t="s">
        <v>45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 t="s">
        <v>0</v>
      </c>
    </row>
    <row r="46" spans="1:42" x14ac:dyDescent="0.25">
      <c r="A46" t="s">
        <v>67</v>
      </c>
      <c r="B46" t="s">
        <v>174</v>
      </c>
      <c r="C46" t="s">
        <v>398</v>
      </c>
      <c r="D46" t="s">
        <v>45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 t="s">
        <v>0</v>
      </c>
    </row>
    <row r="47" spans="1:42" x14ac:dyDescent="0.25">
      <c r="A47" t="s">
        <v>65</v>
      </c>
      <c r="B47" t="s">
        <v>173</v>
      </c>
      <c r="C47" t="s">
        <v>397</v>
      </c>
      <c r="D47" t="s">
        <v>45</v>
      </c>
      <c r="H47">
        <v>3.2236000000000001E-2</v>
      </c>
      <c r="I47">
        <v>2.9430000000000001E-2</v>
      </c>
      <c r="J47">
        <v>3.0235000000000001E-2</v>
      </c>
      <c r="K47">
        <v>2.7562E-2</v>
      </c>
      <c r="L47">
        <v>2.8823999999999999E-2</v>
      </c>
      <c r="M47">
        <v>2.9994E-2</v>
      </c>
      <c r="N47">
        <v>3.0505000000000001E-2</v>
      </c>
      <c r="O47">
        <v>3.0995999999999999E-2</v>
      </c>
      <c r="P47">
        <v>3.1459000000000001E-2</v>
      </c>
      <c r="Q47">
        <v>3.1898999999999997E-2</v>
      </c>
      <c r="R47">
        <v>3.1891000000000003E-2</v>
      </c>
      <c r="S47">
        <v>3.1911000000000002E-2</v>
      </c>
      <c r="T47">
        <v>3.1938000000000001E-2</v>
      </c>
      <c r="U47">
        <v>3.1924000000000001E-2</v>
      </c>
      <c r="V47">
        <v>3.1614999999999997E-2</v>
      </c>
      <c r="W47">
        <v>3.1308000000000002E-2</v>
      </c>
      <c r="X47">
        <v>3.1021E-2</v>
      </c>
      <c r="Y47">
        <v>3.0792E-2</v>
      </c>
      <c r="Z47">
        <v>3.0491999999999998E-2</v>
      </c>
      <c r="AA47">
        <v>3.0473E-2</v>
      </c>
      <c r="AB47">
        <v>3.0474999999999999E-2</v>
      </c>
      <c r="AC47">
        <v>3.0529000000000001E-2</v>
      </c>
      <c r="AD47">
        <v>3.0571000000000001E-2</v>
      </c>
      <c r="AE47">
        <v>3.0661999999999998E-2</v>
      </c>
      <c r="AF47">
        <v>3.0780999999999999E-2</v>
      </c>
      <c r="AG47">
        <v>3.0901000000000001E-2</v>
      </c>
      <c r="AH47">
        <v>3.1047000000000002E-2</v>
      </c>
      <c r="AI47">
        <v>3.1220999999999999E-2</v>
      </c>
      <c r="AJ47">
        <v>3.1417E-2</v>
      </c>
      <c r="AK47">
        <v>3.1632E-2</v>
      </c>
      <c r="AL47">
        <v>3.1864999999999997E-2</v>
      </c>
      <c r="AM47">
        <v>3.2081999999999999E-2</v>
      </c>
      <c r="AN47">
        <v>3.2294999999999997E-2</v>
      </c>
      <c r="AO47">
        <v>3.252E-2</v>
      </c>
      <c r="AP47" s="8">
        <v>1E-3</v>
      </c>
    </row>
    <row r="48" spans="1:42" x14ac:dyDescent="0.25">
      <c r="A48" t="s">
        <v>61</v>
      </c>
      <c r="B48" t="s">
        <v>172</v>
      </c>
      <c r="C48" t="s">
        <v>396</v>
      </c>
      <c r="D48" t="s">
        <v>45</v>
      </c>
      <c r="H48">
        <v>0.111349</v>
      </c>
      <c r="I48">
        <v>0.11107400000000001</v>
      </c>
      <c r="J48">
        <v>0.128689</v>
      </c>
      <c r="K48">
        <v>0.126806</v>
      </c>
      <c r="L48">
        <v>0.12398000000000001</v>
      </c>
      <c r="M48">
        <v>0.12221899999999999</v>
      </c>
      <c r="N48">
        <v>0.118682</v>
      </c>
      <c r="O48">
        <v>0.114547</v>
      </c>
      <c r="P48">
        <v>0.110081</v>
      </c>
      <c r="Q48">
        <v>0.10752399999999999</v>
      </c>
      <c r="R48">
        <v>0.10560899999999999</v>
      </c>
      <c r="S48">
        <v>0.105255</v>
      </c>
      <c r="T48">
        <v>0.10385999999999999</v>
      </c>
      <c r="U48">
        <v>0.102212</v>
      </c>
      <c r="V48">
        <v>0.101061</v>
      </c>
      <c r="W48">
        <v>9.9858000000000002E-2</v>
      </c>
      <c r="X48">
        <v>9.8739999999999994E-2</v>
      </c>
      <c r="Y48">
        <v>9.7673999999999997E-2</v>
      </c>
      <c r="Z48">
        <v>9.6507999999999997E-2</v>
      </c>
      <c r="AA48">
        <v>9.6804000000000001E-2</v>
      </c>
      <c r="AB48">
        <v>9.7110000000000002E-2</v>
      </c>
      <c r="AC48">
        <v>9.7434000000000007E-2</v>
      </c>
      <c r="AD48">
        <v>9.7902000000000003E-2</v>
      </c>
      <c r="AE48">
        <v>9.8548999999999998E-2</v>
      </c>
      <c r="AF48">
        <v>9.9237000000000006E-2</v>
      </c>
      <c r="AG48">
        <v>0.100188</v>
      </c>
      <c r="AH48">
        <v>0.100975</v>
      </c>
      <c r="AI48">
        <v>0.102372</v>
      </c>
      <c r="AJ48">
        <v>0.103662</v>
      </c>
      <c r="AK48">
        <v>0.103967</v>
      </c>
      <c r="AL48">
        <v>0.10491399999999999</v>
      </c>
      <c r="AM48">
        <v>0.105794</v>
      </c>
      <c r="AN48">
        <v>0.106737</v>
      </c>
      <c r="AO48">
        <v>0.107921</v>
      </c>
      <c r="AP48" s="8">
        <v>-5.0000000000000001E-3</v>
      </c>
    </row>
    <row r="49" spans="1:42" x14ac:dyDescent="0.25">
      <c r="A49" t="s">
        <v>59</v>
      </c>
      <c r="B49" t="s">
        <v>171</v>
      </c>
      <c r="C49" t="s">
        <v>395</v>
      </c>
      <c r="D49" t="s">
        <v>45</v>
      </c>
      <c r="H49">
        <v>0.15648899999999999</v>
      </c>
      <c r="I49">
        <v>0.15682399999999999</v>
      </c>
      <c r="J49">
        <v>0.140981</v>
      </c>
      <c r="K49">
        <v>0.13406199999999999</v>
      </c>
      <c r="L49">
        <v>0.13820299999999999</v>
      </c>
      <c r="M49">
        <v>0.142786</v>
      </c>
      <c r="N49">
        <v>0.14568900000000001</v>
      </c>
      <c r="O49">
        <v>0.14931700000000001</v>
      </c>
      <c r="P49">
        <v>0.153253</v>
      </c>
      <c r="Q49">
        <v>0.15703700000000001</v>
      </c>
      <c r="R49">
        <v>0.15953999999999999</v>
      </c>
      <c r="S49">
        <v>0.16209999999999999</v>
      </c>
      <c r="T49">
        <v>0.16473299999999999</v>
      </c>
      <c r="U49">
        <v>0.16756599999999999</v>
      </c>
      <c r="V49">
        <v>0.169654</v>
      </c>
      <c r="W49">
        <v>0.17102300000000001</v>
      </c>
      <c r="X49">
        <v>0.17230500000000001</v>
      </c>
      <c r="Y49">
        <v>0.17439199999999999</v>
      </c>
      <c r="Z49">
        <v>0.17660699999999999</v>
      </c>
      <c r="AA49">
        <v>0.17826600000000001</v>
      </c>
      <c r="AB49">
        <v>0.17943899999999999</v>
      </c>
      <c r="AC49">
        <v>0.181088</v>
      </c>
      <c r="AD49">
        <v>0.182424</v>
      </c>
      <c r="AE49">
        <v>0.18424199999999999</v>
      </c>
      <c r="AF49">
        <v>0.186302</v>
      </c>
      <c r="AG49">
        <v>0.18806899999999999</v>
      </c>
      <c r="AH49">
        <v>0.19028600000000001</v>
      </c>
      <c r="AI49">
        <v>0.19295300000000001</v>
      </c>
      <c r="AJ49">
        <v>0.195824</v>
      </c>
      <c r="AK49">
        <v>0.19873499999999999</v>
      </c>
      <c r="AL49">
        <v>0.20158699999999999</v>
      </c>
      <c r="AM49">
        <v>0.20404800000000001</v>
      </c>
      <c r="AN49">
        <v>0.20650499999999999</v>
      </c>
      <c r="AO49">
        <v>0.20889199999999999</v>
      </c>
      <c r="AP49" s="8">
        <v>1.6E-2</v>
      </c>
    </row>
    <row r="50" spans="1:42" x14ac:dyDescent="0.25">
      <c r="A50" t="s">
        <v>8</v>
      </c>
      <c r="B50" t="s">
        <v>170</v>
      </c>
      <c r="C50" t="s">
        <v>394</v>
      </c>
      <c r="D50" t="s">
        <v>45</v>
      </c>
      <c r="H50">
        <v>0.314608</v>
      </c>
      <c r="I50">
        <v>0.31359199999999998</v>
      </c>
      <c r="J50">
        <v>0.303346</v>
      </c>
      <c r="K50">
        <v>0.30236099999999999</v>
      </c>
      <c r="L50">
        <v>0.314274</v>
      </c>
      <c r="M50">
        <v>0.322023</v>
      </c>
      <c r="N50">
        <v>0.32700099999999999</v>
      </c>
      <c r="O50">
        <v>0.331791</v>
      </c>
      <c r="P50">
        <v>0.33499699999999999</v>
      </c>
      <c r="Q50">
        <v>0.340283</v>
      </c>
      <c r="R50">
        <v>0.34202100000000002</v>
      </c>
      <c r="S50">
        <v>0.34493699999999999</v>
      </c>
      <c r="T50">
        <v>0.34827200000000003</v>
      </c>
      <c r="U50">
        <v>0.34507199999999999</v>
      </c>
      <c r="V50">
        <v>0.34726400000000002</v>
      </c>
      <c r="W50">
        <v>0.35037400000000002</v>
      </c>
      <c r="X50">
        <v>0.353879</v>
      </c>
      <c r="Y50">
        <v>0.356825</v>
      </c>
      <c r="Z50">
        <v>0.36010399999999998</v>
      </c>
      <c r="AA50">
        <v>0.36347400000000002</v>
      </c>
      <c r="AB50">
        <v>0.36772100000000002</v>
      </c>
      <c r="AC50">
        <v>0.37119600000000003</v>
      </c>
      <c r="AD50">
        <v>0.37491999999999998</v>
      </c>
      <c r="AE50">
        <v>0.380805</v>
      </c>
      <c r="AF50">
        <v>0.38542399999999999</v>
      </c>
      <c r="AG50">
        <v>0.38892900000000002</v>
      </c>
      <c r="AH50">
        <v>0.39386900000000002</v>
      </c>
      <c r="AI50">
        <v>0.39865299999999998</v>
      </c>
      <c r="AJ50">
        <v>0.40371699999999999</v>
      </c>
      <c r="AK50">
        <v>0.40868199999999999</v>
      </c>
      <c r="AL50">
        <v>0.41444399999999998</v>
      </c>
      <c r="AM50">
        <v>0.42214499999999999</v>
      </c>
      <c r="AN50">
        <v>0.42790899999999998</v>
      </c>
      <c r="AO50">
        <v>0.43173099999999998</v>
      </c>
      <c r="AP50" s="8">
        <v>1.0999999999999999E-2</v>
      </c>
    </row>
    <row r="51" spans="1:42" x14ac:dyDescent="0.25">
      <c r="A51" t="s">
        <v>120</v>
      </c>
      <c r="B51" t="s">
        <v>169</v>
      </c>
      <c r="C51" t="s">
        <v>393</v>
      </c>
      <c r="D51" t="s">
        <v>45</v>
      </c>
      <c r="H51">
        <v>2.6421610000000002</v>
      </c>
      <c r="I51">
        <v>2.7189239999999999</v>
      </c>
      <c r="J51">
        <v>2.6530619999999998</v>
      </c>
      <c r="K51">
        <v>2.6601789999999998</v>
      </c>
      <c r="L51">
        <v>2.691592</v>
      </c>
      <c r="M51">
        <v>2.7038120000000001</v>
      </c>
      <c r="N51">
        <v>2.7237140000000002</v>
      </c>
      <c r="O51">
        <v>2.7281149999999998</v>
      </c>
      <c r="P51">
        <v>2.7269990000000002</v>
      </c>
      <c r="Q51">
        <v>2.7503190000000002</v>
      </c>
      <c r="R51">
        <v>2.7478850000000001</v>
      </c>
      <c r="S51">
        <v>2.7499959999999999</v>
      </c>
      <c r="T51">
        <v>2.7594500000000002</v>
      </c>
      <c r="U51">
        <v>2.6577709999999999</v>
      </c>
      <c r="V51">
        <v>2.6735790000000001</v>
      </c>
      <c r="W51">
        <v>2.7149000000000001</v>
      </c>
      <c r="X51">
        <v>2.6883759999999999</v>
      </c>
      <c r="Y51">
        <v>2.738381</v>
      </c>
      <c r="Z51">
        <v>2.7600259999999999</v>
      </c>
      <c r="AA51">
        <v>2.7553939999999999</v>
      </c>
      <c r="AB51">
        <v>2.7629929999999998</v>
      </c>
      <c r="AC51">
        <v>2.7888820000000001</v>
      </c>
      <c r="AD51">
        <v>2.8159800000000001</v>
      </c>
      <c r="AE51">
        <v>2.8578570000000001</v>
      </c>
      <c r="AF51">
        <v>2.8889809999999998</v>
      </c>
      <c r="AG51">
        <v>2.9187750000000001</v>
      </c>
      <c r="AH51">
        <v>2.9519410000000001</v>
      </c>
      <c r="AI51">
        <v>2.9800420000000001</v>
      </c>
      <c r="AJ51">
        <v>3.0439980000000002</v>
      </c>
      <c r="AK51">
        <v>3.0620810000000001</v>
      </c>
      <c r="AL51">
        <v>3.1292040000000001</v>
      </c>
      <c r="AM51">
        <v>3.1832950000000002</v>
      </c>
      <c r="AN51">
        <v>3.219074</v>
      </c>
      <c r="AO51">
        <v>3.2346889999999999</v>
      </c>
      <c r="AP51" s="8">
        <v>6.0000000000000001E-3</v>
      </c>
    </row>
    <row r="52" spans="1:42" x14ac:dyDescent="0.25">
      <c r="A52" t="s">
        <v>118</v>
      </c>
      <c r="B52" t="s">
        <v>168</v>
      </c>
      <c r="C52" t="s">
        <v>392</v>
      </c>
      <c r="D52" t="s">
        <v>45</v>
      </c>
      <c r="H52">
        <v>0.47639999999999999</v>
      </c>
      <c r="I52">
        <v>0.48682399999999998</v>
      </c>
      <c r="J52">
        <v>0.450714</v>
      </c>
      <c r="K52">
        <v>0.44714799999999999</v>
      </c>
      <c r="L52">
        <v>0.45752700000000002</v>
      </c>
      <c r="M52">
        <v>0.45390399999999997</v>
      </c>
      <c r="N52">
        <v>0.44161400000000001</v>
      </c>
      <c r="O52">
        <v>0.42854100000000001</v>
      </c>
      <c r="P52">
        <v>0.41649199999999997</v>
      </c>
      <c r="Q52">
        <v>0.39527499999999999</v>
      </c>
      <c r="R52">
        <v>0.38597700000000001</v>
      </c>
      <c r="S52">
        <v>0.39245999999999998</v>
      </c>
      <c r="T52">
        <v>0.39373799999999998</v>
      </c>
      <c r="U52">
        <v>0.38204100000000002</v>
      </c>
      <c r="V52">
        <v>0.37896600000000003</v>
      </c>
      <c r="W52">
        <v>0.37846800000000003</v>
      </c>
      <c r="X52">
        <v>0.38339299999999998</v>
      </c>
      <c r="Y52">
        <v>0.38813999999999999</v>
      </c>
      <c r="Z52">
        <v>0.38835799999999998</v>
      </c>
      <c r="AA52">
        <v>0.39287100000000003</v>
      </c>
      <c r="AB52">
        <v>0.396094</v>
      </c>
      <c r="AC52">
        <v>0.39922400000000002</v>
      </c>
      <c r="AD52">
        <v>0.40705200000000002</v>
      </c>
      <c r="AE52">
        <v>0.40896100000000002</v>
      </c>
      <c r="AF52">
        <v>0.417103</v>
      </c>
      <c r="AG52">
        <v>0.41970800000000003</v>
      </c>
      <c r="AH52">
        <v>0.42320999999999998</v>
      </c>
      <c r="AI52">
        <v>0.42567100000000002</v>
      </c>
      <c r="AJ52">
        <v>0.43825700000000001</v>
      </c>
      <c r="AK52">
        <v>0.45272699999999999</v>
      </c>
      <c r="AL52">
        <v>0.46754099999999998</v>
      </c>
      <c r="AM52">
        <v>0.47600399999999998</v>
      </c>
      <c r="AN52">
        <v>0.485622</v>
      </c>
      <c r="AO52">
        <v>0.49338900000000002</v>
      </c>
      <c r="AP52" s="8">
        <v>8.9999999999999993E-3</v>
      </c>
    </row>
    <row r="53" spans="1:42" x14ac:dyDescent="0.25">
      <c r="A53" t="s">
        <v>32</v>
      </c>
      <c r="B53" t="s">
        <v>167</v>
      </c>
      <c r="C53" t="s">
        <v>391</v>
      </c>
      <c r="D53" t="s">
        <v>45</v>
      </c>
      <c r="H53">
        <v>3.1185610000000001</v>
      </c>
      <c r="I53">
        <v>3.2057479999999998</v>
      </c>
      <c r="J53">
        <v>3.1037759999999999</v>
      </c>
      <c r="K53">
        <v>3.1073270000000002</v>
      </c>
      <c r="L53">
        <v>3.1491189999999998</v>
      </c>
      <c r="M53">
        <v>3.1577160000000002</v>
      </c>
      <c r="N53">
        <v>3.1653280000000001</v>
      </c>
      <c r="O53">
        <v>3.1566559999999999</v>
      </c>
      <c r="P53">
        <v>3.143491</v>
      </c>
      <c r="Q53">
        <v>3.1455950000000001</v>
      </c>
      <c r="R53">
        <v>3.1338620000000001</v>
      </c>
      <c r="S53">
        <v>3.1424560000000001</v>
      </c>
      <c r="T53">
        <v>3.1531880000000001</v>
      </c>
      <c r="U53">
        <v>3.039812</v>
      </c>
      <c r="V53">
        <v>3.0525449999999998</v>
      </c>
      <c r="W53">
        <v>3.0933679999999999</v>
      </c>
      <c r="X53">
        <v>3.0717690000000002</v>
      </c>
      <c r="Y53">
        <v>3.1265209999999999</v>
      </c>
      <c r="Z53">
        <v>3.1483840000000001</v>
      </c>
      <c r="AA53">
        <v>3.148266</v>
      </c>
      <c r="AB53">
        <v>3.1590859999999998</v>
      </c>
      <c r="AC53">
        <v>3.1881059999999999</v>
      </c>
      <c r="AD53">
        <v>3.223033</v>
      </c>
      <c r="AE53">
        <v>3.2668180000000002</v>
      </c>
      <c r="AF53">
        <v>3.3060839999999998</v>
      </c>
      <c r="AG53">
        <v>3.3384839999999998</v>
      </c>
      <c r="AH53">
        <v>3.3751519999999999</v>
      </c>
      <c r="AI53">
        <v>3.405713</v>
      </c>
      <c r="AJ53">
        <v>3.482256</v>
      </c>
      <c r="AK53">
        <v>3.5148069999999998</v>
      </c>
      <c r="AL53">
        <v>3.5967449999999999</v>
      </c>
      <c r="AM53">
        <v>3.6593</v>
      </c>
      <c r="AN53">
        <v>3.7046960000000002</v>
      </c>
      <c r="AO53">
        <v>3.7280790000000001</v>
      </c>
      <c r="AP53" s="8">
        <v>6.0000000000000001E-3</v>
      </c>
    </row>
    <row r="54" spans="1:42" x14ac:dyDescent="0.25">
      <c r="A54" t="s">
        <v>166</v>
      </c>
      <c r="C54" t="s">
        <v>390</v>
      </c>
    </row>
    <row r="55" spans="1:42" x14ac:dyDescent="0.25">
      <c r="A55" t="s">
        <v>11</v>
      </c>
      <c r="B55" t="s">
        <v>165</v>
      </c>
      <c r="C55" t="s">
        <v>389</v>
      </c>
      <c r="D55" t="s">
        <v>45</v>
      </c>
      <c r="H55">
        <v>1.771E-3</v>
      </c>
      <c r="I55">
        <v>1.9090000000000001E-3</v>
      </c>
      <c r="J55">
        <v>1.8699999999999999E-3</v>
      </c>
      <c r="K55">
        <v>1.8829999999999999E-3</v>
      </c>
      <c r="L55">
        <v>1.8619999999999999E-3</v>
      </c>
      <c r="M55">
        <v>1.8339999999999999E-3</v>
      </c>
      <c r="N55">
        <v>1.8090000000000001E-3</v>
      </c>
      <c r="O55">
        <v>1.7769999999999999E-3</v>
      </c>
      <c r="P55">
        <v>1.7459999999999999E-3</v>
      </c>
      <c r="Q55">
        <v>1.7260000000000001E-3</v>
      </c>
      <c r="R55">
        <v>1.714E-3</v>
      </c>
      <c r="S55">
        <v>1.7080000000000001E-3</v>
      </c>
      <c r="T55">
        <v>1.704E-3</v>
      </c>
      <c r="U55">
        <v>1.7149999999999999E-3</v>
      </c>
      <c r="V55">
        <v>1.7110000000000001E-3</v>
      </c>
      <c r="W55">
        <v>1.7129999999999999E-3</v>
      </c>
      <c r="X55">
        <v>1.7210000000000001E-3</v>
      </c>
      <c r="Y55">
        <v>1.7309999999999999E-3</v>
      </c>
      <c r="Z55">
        <v>1.743E-3</v>
      </c>
      <c r="AA55">
        <v>1.7619999999999999E-3</v>
      </c>
      <c r="AB55">
        <v>1.7819999999999999E-3</v>
      </c>
      <c r="AC55">
        <v>1.805E-3</v>
      </c>
      <c r="AD55">
        <v>1.83E-3</v>
      </c>
      <c r="AE55">
        <v>1.8550000000000001E-3</v>
      </c>
      <c r="AF55">
        <v>1.885E-3</v>
      </c>
      <c r="AG55">
        <v>1.915E-3</v>
      </c>
      <c r="AH55">
        <v>1.9469999999999999E-3</v>
      </c>
      <c r="AI55">
        <v>1.98E-3</v>
      </c>
      <c r="AJ55">
        <v>2.0140000000000002E-3</v>
      </c>
      <c r="AK55">
        <v>2.0500000000000002E-3</v>
      </c>
      <c r="AL55">
        <v>2.0869999999999999E-3</v>
      </c>
      <c r="AM55">
        <v>2.127E-3</v>
      </c>
      <c r="AN55">
        <v>2.1679999999999998E-3</v>
      </c>
      <c r="AO55">
        <v>2.2130000000000001E-3</v>
      </c>
      <c r="AP55" s="8">
        <v>5.0000000000000001E-3</v>
      </c>
    </row>
    <row r="56" spans="1:42" s="102" customFormat="1" x14ac:dyDescent="0.25">
      <c r="A56" s="102" t="s">
        <v>2</v>
      </c>
      <c r="B56" s="102" t="s">
        <v>164</v>
      </c>
      <c r="C56" s="102" t="s">
        <v>388</v>
      </c>
      <c r="D56" s="102" t="s">
        <v>45</v>
      </c>
      <c r="E56" s="102">
        <v>2.4129999999999998</v>
      </c>
      <c r="F56" s="102">
        <v>2.4449999999999998</v>
      </c>
      <c r="G56" s="102">
        <v>2.3620000000000001</v>
      </c>
      <c r="H56" s="102">
        <v>2.372144</v>
      </c>
      <c r="I56" s="102">
        <v>2.3702369999999999</v>
      </c>
      <c r="J56" s="102">
        <v>2.3698419999999998</v>
      </c>
      <c r="K56" s="102">
        <v>2.3626390000000002</v>
      </c>
      <c r="L56" s="102">
        <v>2.3345590000000001</v>
      </c>
      <c r="M56" s="102">
        <v>2.283652</v>
      </c>
      <c r="N56" s="102">
        <v>2.204142</v>
      </c>
      <c r="O56" s="102">
        <v>2.1002230000000002</v>
      </c>
      <c r="P56" s="102">
        <v>1.990604</v>
      </c>
      <c r="Q56" s="102">
        <v>1.9292640000000001</v>
      </c>
      <c r="R56" s="102">
        <v>1.8784780000000001</v>
      </c>
      <c r="S56" s="102">
        <v>1.8315269999999999</v>
      </c>
      <c r="T56" s="102">
        <v>1.7873859999999999</v>
      </c>
      <c r="U56" s="102">
        <v>1.7457309999999999</v>
      </c>
      <c r="V56" s="102">
        <v>1.708021</v>
      </c>
      <c r="W56" s="102">
        <v>1.6698489999999999</v>
      </c>
      <c r="X56" s="102">
        <v>1.6331800000000001</v>
      </c>
      <c r="Y56" s="102">
        <v>1.59771</v>
      </c>
      <c r="Z56" s="102">
        <v>1.562559</v>
      </c>
      <c r="AA56" s="102">
        <v>1.5515099999999999</v>
      </c>
      <c r="AB56" s="102">
        <v>1.541971</v>
      </c>
      <c r="AC56" s="102">
        <v>1.5340800000000001</v>
      </c>
      <c r="AD56" s="102">
        <v>1.528241</v>
      </c>
      <c r="AE56" s="102">
        <v>1.5248200000000001</v>
      </c>
      <c r="AF56" s="102">
        <v>1.5226109999999999</v>
      </c>
      <c r="AG56" s="102">
        <v>1.5221260000000001</v>
      </c>
      <c r="AH56" s="102">
        <v>1.5231749999999999</v>
      </c>
      <c r="AI56" s="102">
        <v>1.525461</v>
      </c>
      <c r="AJ56" s="102">
        <v>1.528273</v>
      </c>
      <c r="AK56" s="102">
        <v>1.5329349999999999</v>
      </c>
      <c r="AL56" s="102">
        <v>1.5392140000000001</v>
      </c>
      <c r="AM56" s="102">
        <v>1.5454460000000001</v>
      </c>
      <c r="AN56" s="102">
        <v>1.5529919999999999</v>
      </c>
      <c r="AO56" s="102">
        <v>1.560659</v>
      </c>
      <c r="AP56" s="105">
        <v>-1.7000000000000001E-2</v>
      </c>
    </row>
    <row r="57" spans="1:42" x14ac:dyDescent="0.25">
      <c r="A57" t="s">
        <v>99</v>
      </c>
      <c r="B57" t="s">
        <v>163</v>
      </c>
      <c r="C57" t="s">
        <v>387</v>
      </c>
      <c r="D57" t="s">
        <v>45</v>
      </c>
      <c r="H57">
        <v>1.3619999999999999E-3</v>
      </c>
      <c r="I57">
        <v>8.8000000000000005E-3</v>
      </c>
      <c r="J57">
        <v>2.7130000000000001E-3</v>
      </c>
      <c r="K57">
        <v>4.1609999999999998E-3</v>
      </c>
      <c r="L57">
        <v>6.3530000000000001E-3</v>
      </c>
      <c r="M57">
        <v>7.8820000000000001E-3</v>
      </c>
      <c r="N57">
        <v>7.7510000000000001E-3</v>
      </c>
      <c r="O57">
        <v>8.6029999999999995E-3</v>
      </c>
      <c r="P57">
        <v>8.2480000000000001E-3</v>
      </c>
      <c r="Q57">
        <v>8.6960000000000006E-3</v>
      </c>
      <c r="R57">
        <v>8.9549999999999994E-3</v>
      </c>
      <c r="S57">
        <v>8.5850000000000006E-3</v>
      </c>
      <c r="T57">
        <v>8.6809999999999995E-3</v>
      </c>
      <c r="U57">
        <v>1.1644E-2</v>
      </c>
      <c r="V57">
        <v>1.0817E-2</v>
      </c>
      <c r="W57">
        <v>1.0972000000000001E-2</v>
      </c>
      <c r="X57">
        <v>1.0838E-2</v>
      </c>
      <c r="Y57">
        <v>1.0076999999999999E-2</v>
      </c>
      <c r="Z57">
        <v>9.7920000000000004E-3</v>
      </c>
      <c r="AA57">
        <v>9.6439999999999998E-3</v>
      </c>
      <c r="AB57">
        <v>9.7590000000000003E-3</v>
      </c>
      <c r="AC57">
        <v>9.6989999999999993E-3</v>
      </c>
      <c r="AD57">
        <v>8.9940000000000003E-3</v>
      </c>
      <c r="AE57">
        <v>8.1569999999999993E-3</v>
      </c>
      <c r="AF57">
        <v>8.0759999999999998E-3</v>
      </c>
      <c r="AG57">
        <v>7.6210000000000002E-3</v>
      </c>
      <c r="AH57">
        <v>7.3119999999999999E-3</v>
      </c>
      <c r="AI57">
        <v>7.0029999999999997E-3</v>
      </c>
      <c r="AJ57">
        <v>6.8640000000000003E-3</v>
      </c>
      <c r="AK57">
        <v>6.3340000000000002E-3</v>
      </c>
      <c r="AL57">
        <v>4.8659999999999997E-3</v>
      </c>
      <c r="AM57">
        <v>4.2440000000000004E-3</v>
      </c>
      <c r="AN57">
        <v>3.4610000000000001E-3</v>
      </c>
      <c r="AO57">
        <v>3.4610000000000001E-3</v>
      </c>
      <c r="AP57" s="8">
        <v>3.9E-2</v>
      </c>
    </row>
    <row r="58" spans="1:42" x14ac:dyDescent="0.25">
      <c r="A58" t="s">
        <v>97</v>
      </c>
      <c r="B58" t="s">
        <v>162</v>
      </c>
      <c r="C58" t="s">
        <v>386</v>
      </c>
      <c r="D58" t="s">
        <v>45</v>
      </c>
      <c r="H58">
        <v>0.86832500000000001</v>
      </c>
      <c r="I58">
        <v>0.87951000000000001</v>
      </c>
      <c r="J58">
        <v>0.88004499999999997</v>
      </c>
      <c r="K58">
        <v>0.88896500000000001</v>
      </c>
      <c r="L58">
        <v>0.895285</v>
      </c>
      <c r="M58">
        <v>0.89939999999999998</v>
      </c>
      <c r="N58">
        <v>0.90052699999999997</v>
      </c>
      <c r="O58">
        <v>0.90567699999999995</v>
      </c>
      <c r="P58">
        <v>0.91344999999999998</v>
      </c>
      <c r="Q58">
        <v>0.92100800000000005</v>
      </c>
      <c r="R58">
        <v>0.92910999999999999</v>
      </c>
      <c r="S58">
        <v>0.93794200000000005</v>
      </c>
      <c r="T58">
        <v>0.94659099999999996</v>
      </c>
      <c r="U58">
        <v>0.95571600000000001</v>
      </c>
      <c r="V58">
        <v>0.96462599999999998</v>
      </c>
      <c r="W58">
        <v>0.97395200000000004</v>
      </c>
      <c r="X58">
        <v>0.98299700000000001</v>
      </c>
      <c r="Y58">
        <v>0.99187999999999998</v>
      </c>
      <c r="Z58">
        <v>1.0003899999999999</v>
      </c>
      <c r="AA58">
        <v>1.0088330000000001</v>
      </c>
      <c r="AB58">
        <v>1.0175289999999999</v>
      </c>
      <c r="AC58">
        <v>1.026011</v>
      </c>
      <c r="AD58">
        <v>1.0347759999999999</v>
      </c>
      <c r="AE58">
        <v>1.044446</v>
      </c>
      <c r="AF58">
        <v>1.0543130000000001</v>
      </c>
      <c r="AG58">
        <v>1.0641050000000001</v>
      </c>
      <c r="AH58">
        <v>1.0744180000000001</v>
      </c>
      <c r="AI58">
        <v>1.0851150000000001</v>
      </c>
      <c r="AJ58">
        <v>1.0965689999999999</v>
      </c>
      <c r="AK58">
        <v>1.1084560000000001</v>
      </c>
      <c r="AL58">
        <v>1.1206609999999999</v>
      </c>
      <c r="AM58">
        <v>1.1328229999999999</v>
      </c>
      <c r="AN58">
        <v>1.1451579999999999</v>
      </c>
      <c r="AO58">
        <v>1.1577109999999999</v>
      </c>
      <c r="AP58" s="8">
        <v>0.01</v>
      </c>
    </row>
    <row r="59" spans="1:42" s="102" customFormat="1" x14ac:dyDescent="0.25">
      <c r="A59" s="102" t="s">
        <v>94</v>
      </c>
      <c r="B59" s="102" t="s">
        <v>161</v>
      </c>
      <c r="C59" s="102" t="s">
        <v>385</v>
      </c>
      <c r="D59" s="102" t="s">
        <v>45</v>
      </c>
      <c r="E59" s="102">
        <v>0.755</v>
      </c>
      <c r="F59" s="102">
        <v>0.76200000000000001</v>
      </c>
      <c r="G59" s="102">
        <v>0.748</v>
      </c>
      <c r="H59" s="102">
        <v>0.76253400000000005</v>
      </c>
      <c r="I59" s="102">
        <v>0.77178500000000005</v>
      </c>
      <c r="J59" s="102">
        <v>0.80837499999999995</v>
      </c>
      <c r="K59" s="102">
        <v>0.81907700000000006</v>
      </c>
      <c r="L59" s="102">
        <v>0.84656699999999996</v>
      </c>
      <c r="M59" s="102">
        <v>0.86580999999999997</v>
      </c>
      <c r="N59" s="102">
        <v>0.84173200000000004</v>
      </c>
      <c r="O59" s="102">
        <v>0.83561300000000005</v>
      </c>
      <c r="P59" s="102">
        <v>0.83003400000000005</v>
      </c>
      <c r="Q59" s="102">
        <v>0.83219299999999996</v>
      </c>
      <c r="R59" s="102">
        <v>0.82772000000000001</v>
      </c>
      <c r="S59" s="102">
        <v>0.83011000000000001</v>
      </c>
      <c r="T59" s="102">
        <v>0.82362400000000002</v>
      </c>
      <c r="U59" s="102">
        <v>0.81416699999999997</v>
      </c>
      <c r="V59" s="102">
        <v>0.80933900000000003</v>
      </c>
      <c r="W59" s="102">
        <v>0.80400899999999997</v>
      </c>
      <c r="X59" s="102">
        <v>0.79895700000000003</v>
      </c>
      <c r="Y59" s="102">
        <v>0.79607300000000003</v>
      </c>
      <c r="Z59" s="102">
        <v>0.79430299999999998</v>
      </c>
      <c r="AA59" s="102">
        <v>0.797373</v>
      </c>
      <c r="AB59" s="102">
        <v>0.79547699999999999</v>
      </c>
      <c r="AC59" s="102">
        <v>0.79592300000000005</v>
      </c>
      <c r="AD59" s="102">
        <v>0.79530500000000004</v>
      </c>
      <c r="AE59" s="102">
        <v>0.79625199999999996</v>
      </c>
      <c r="AF59" s="102">
        <v>0.79629399999999995</v>
      </c>
      <c r="AG59" s="102">
        <v>0.79996999999999996</v>
      </c>
      <c r="AH59" s="102">
        <v>0.80291599999999996</v>
      </c>
      <c r="AI59" s="102">
        <v>0.80816100000000002</v>
      </c>
      <c r="AJ59" s="102">
        <v>0.81167800000000001</v>
      </c>
      <c r="AK59" s="102">
        <v>0.81663399999999997</v>
      </c>
      <c r="AL59" s="102">
        <v>0.82206599999999996</v>
      </c>
      <c r="AM59" s="102">
        <v>0.82602500000000001</v>
      </c>
      <c r="AN59" s="102">
        <v>0.82998099999999997</v>
      </c>
      <c r="AO59" s="102">
        <v>0.83268699999999995</v>
      </c>
      <c r="AP59" s="105">
        <v>3.0000000000000001E-3</v>
      </c>
    </row>
    <row r="60" spans="1:42" s="102" customFormat="1" x14ac:dyDescent="0.25">
      <c r="A60" s="102" t="s">
        <v>92</v>
      </c>
      <c r="B60" s="102" t="s">
        <v>160</v>
      </c>
      <c r="C60" s="102" t="s">
        <v>384</v>
      </c>
      <c r="D60" s="102" t="s">
        <v>45</v>
      </c>
      <c r="E60" s="102">
        <v>0.158</v>
      </c>
      <c r="F60" s="102">
        <v>0.13300000000000001</v>
      </c>
      <c r="G60" s="102">
        <v>0.26600000000000001</v>
      </c>
      <c r="H60" s="102">
        <v>0.29300700000000002</v>
      </c>
      <c r="I60" s="102">
        <v>0.27204600000000001</v>
      </c>
      <c r="J60" s="102">
        <v>0.21701000000000001</v>
      </c>
      <c r="K60" s="102">
        <v>0.20400399999999999</v>
      </c>
      <c r="L60" s="102">
        <v>0.21405199999999999</v>
      </c>
      <c r="M60" s="102">
        <v>0.17504500000000001</v>
      </c>
      <c r="N60" s="102">
        <v>0.22265799999999999</v>
      </c>
      <c r="O60" s="102">
        <v>0.22702800000000001</v>
      </c>
      <c r="P60" s="102">
        <v>0.229515</v>
      </c>
      <c r="Q60" s="102">
        <v>0.21804999999999999</v>
      </c>
      <c r="R60" s="102">
        <v>0.213502</v>
      </c>
      <c r="S60" s="102">
        <v>0.196271</v>
      </c>
      <c r="T60" s="102">
        <v>0.19492200000000001</v>
      </c>
      <c r="U60" s="102">
        <v>0.212698</v>
      </c>
      <c r="V60" s="102">
        <v>0.21091799999999999</v>
      </c>
      <c r="W60" s="102">
        <v>0.20985400000000001</v>
      </c>
      <c r="X60" s="102">
        <v>0.20777000000000001</v>
      </c>
      <c r="Y60" s="102">
        <v>0.20658000000000001</v>
      </c>
      <c r="Z60" s="102">
        <v>0.203761</v>
      </c>
      <c r="AA60" s="102">
        <v>0.18708</v>
      </c>
      <c r="AB60" s="102">
        <v>0.185335</v>
      </c>
      <c r="AC60" s="102">
        <v>0.18020700000000001</v>
      </c>
      <c r="AD60" s="102">
        <v>0.17753099999999999</v>
      </c>
      <c r="AE60" s="102">
        <v>0.173011</v>
      </c>
      <c r="AF60" s="102">
        <v>0.17671799999999999</v>
      </c>
      <c r="AG60" s="102">
        <v>0.16774700000000001</v>
      </c>
      <c r="AH60" s="102">
        <v>0.16606799999999999</v>
      </c>
      <c r="AI60" s="102">
        <v>0.15937899999999999</v>
      </c>
      <c r="AJ60" s="102">
        <v>0.16454199999999999</v>
      </c>
      <c r="AK60" s="102">
        <v>0.155559</v>
      </c>
      <c r="AL60" s="102">
        <v>0.15382199999999999</v>
      </c>
      <c r="AM60" s="102">
        <v>0.152395</v>
      </c>
      <c r="AN60" s="102">
        <v>0.150369</v>
      </c>
      <c r="AO60" s="102">
        <v>0.148198</v>
      </c>
      <c r="AP60" s="105">
        <v>-8.9999999999999993E-3</v>
      </c>
    </row>
    <row r="61" spans="1:42" x14ac:dyDescent="0.25">
      <c r="A61" t="s">
        <v>88</v>
      </c>
      <c r="B61" t="s">
        <v>159</v>
      </c>
      <c r="C61" t="s">
        <v>383</v>
      </c>
      <c r="D61" t="s">
        <v>45</v>
      </c>
      <c r="H61">
        <v>2.5968000000000001E-2</v>
      </c>
      <c r="I61">
        <v>2.5838E-2</v>
      </c>
      <c r="J61">
        <v>2.5433000000000001E-2</v>
      </c>
      <c r="K61">
        <v>2.5350999999999999E-2</v>
      </c>
      <c r="L61">
        <v>2.5277999999999998E-2</v>
      </c>
      <c r="M61">
        <v>2.5201000000000001E-2</v>
      </c>
      <c r="N61">
        <v>2.5132000000000002E-2</v>
      </c>
      <c r="O61">
        <v>2.5078E-2</v>
      </c>
      <c r="P61">
        <v>2.5016E-2</v>
      </c>
      <c r="Q61">
        <v>2.4955999999999999E-2</v>
      </c>
      <c r="R61">
        <v>2.4905E-2</v>
      </c>
      <c r="S61">
        <v>2.4854999999999999E-2</v>
      </c>
      <c r="T61">
        <v>2.4813000000000002E-2</v>
      </c>
      <c r="U61">
        <v>2.4781000000000001E-2</v>
      </c>
      <c r="V61">
        <v>2.4745E-2</v>
      </c>
      <c r="W61">
        <v>2.4712999999999999E-2</v>
      </c>
      <c r="X61">
        <v>2.4688000000000002E-2</v>
      </c>
      <c r="Y61">
        <v>2.4674999999999999E-2</v>
      </c>
      <c r="Z61">
        <v>2.4667999999999999E-2</v>
      </c>
      <c r="AA61">
        <v>2.4667999999999999E-2</v>
      </c>
      <c r="AB61">
        <v>2.4674999999999999E-2</v>
      </c>
      <c r="AC61">
        <v>2.4683E-2</v>
      </c>
      <c r="AD61">
        <v>2.4694000000000001E-2</v>
      </c>
      <c r="AE61">
        <v>2.4715000000000001E-2</v>
      </c>
      <c r="AF61">
        <v>2.4736000000000001E-2</v>
      </c>
      <c r="AG61">
        <v>2.4764000000000001E-2</v>
      </c>
      <c r="AH61">
        <v>2.4788999999999999E-2</v>
      </c>
      <c r="AI61">
        <v>2.4813000000000002E-2</v>
      </c>
      <c r="AJ61">
        <v>2.4844999999999999E-2</v>
      </c>
      <c r="AK61">
        <v>2.4881E-2</v>
      </c>
      <c r="AL61">
        <v>2.4908E-2</v>
      </c>
      <c r="AM61">
        <v>2.4929E-2</v>
      </c>
      <c r="AN61">
        <v>2.4948000000000001E-2</v>
      </c>
      <c r="AO61">
        <v>2.4967E-2</v>
      </c>
      <c r="AP61" s="8">
        <v>-1E-3</v>
      </c>
    </row>
    <row r="62" spans="1:42" x14ac:dyDescent="0.25">
      <c r="A62" t="s">
        <v>86</v>
      </c>
      <c r="B62" t="s">
        <v>158</v>
      </c>
      <c r="C62" t="s">
        <v>382</v>
      </c>
      <c r="D62" t="s">
        <v>45</v>
      </c>
      <c r="H62">
        <v>4.3237500000000004</v>
      </c>
      <c r="I62">
        <v>4.3213249999999999</v>
      </c>
      <c r="J62">
        <v>4.302575</v>
      </c>
      <c r="K62">
        <v>4.3019189999999998</v>
      </c>
      <c r="L62">
        <v>4.3176030000000001</v>
      </c>
      <c r="M62">
        <v>4.2509430000000004</v>
      </c>
      <c r="N62">
        <v>4.196002</v>
      </c>
      <c r="O62">
        <v>4.0953970000000002</v>
      </c>
      <c r="P62">
        <v>3.9903629999999999</v>
      </c>
      <c r="Q62">
        <v>3.9271980000000002</v>
      </c>
      <c r="R62">
        <v>3.8754270000000002</v>
      </c>
      <c r="S62">
        <v>3.8224140000000002</v>
      </c>
      <c r="T62">
        <v>3.7790400000000002</v>
      </c>
      <c r="U62">
        <v>3.754807</v>
      </c>
      <c r="V62">
        <v>3.71936</v>
      </c>
      <c r="W62">
        <v>3.684088</v>
      </c>
      <c r="X62">
        <v>3.6493120000000001</v>
      </c>
      <c r="Y62">
        <v>3.6186509999999998</v>
      </c>
      <c r="Z62">
        <v>3.5874250000000001</v>
      </c>
      <c r="AA62">
        <v>3.5712250000000001</v>
      </c>
      <c r="AB62">
        <v>3.5667680000000002</v>
      </c>
      <c r="AC62">
        <v>3.5627089999999999</v>
      </c>
      <c r="AD62">
        <v>3.5623749999999998</v>
      </c>
      <c r="AE62">
        <v>3.565099</v>
      </c>
      <c r="AF62">
        <v>3.5765570000000002</v>
      </c>
      <c r="AG62">
        <v>3.5806279999999999</v>
      </c>
      <c r="AH62">
        <v>3.5933130000000002</v>
      </c>
      <c r="AI62">
        <v>3.604908</v>
      </c>
      <c r="AJ62">
        <v>3.6279210000000002</v>
      </c>
      <c r="AK62">
        <v>3.640514</v>
      </c>
      <c r="AL62">
        <v>3.6627589999999999</v>
      </c>
      <c r="AM62">
        <v>3.683745</v>
      </c>
      <c r="AN62">
        <v>3.705616</v>
      </c>
      <c r="AO62">
        <v>3.7264349999999999</v>
      </c>
      <c r="AP62" s="8">
        <v>-5.0000000000000001E-3</v>
      </c>
    </row>
    <row r="63" spans="1:42" x14ac:dyDescent="0.25">
      <c r="A63" t="s">
        <v>77</v>
      </c>
      <c r="B63" t="s">
        <v>157</v>
      </c>
      <c r="C63" t="s">
        <v>381</v>
      </c>
      <c r="D63" t="s">
        <v>45</v>
      </c>
      <c r="H63">
        <v>4.1980999999999997E-2</v>
      </c>
      <c r="I63">
        <v>4.3070999999999998E-2</v>
      </c>
      <c r="J63">
        <v>4.4200999999999997E-2</v>
      </c>
      <c r="K63">
        <v>4.1947999999999999E-2</v>
      </c>
      <c r="L63">
        <v>4.2523999999999999E-2</v>
      </c>
      <c r="M63">
        <v>4.1401E-2</v>
      </c>
      <c r="N63">
        <v>4.0808999999999998E-2</v>
      </c>
      <c r="O63">
        <v>4.0957E-2</v>
      </c>
      <c r="P63">
        <v>4.1325000000000001E-2</v>
      </c>
      <c r="Q63">
        <v>4.2004E-2</v>
      </c>
      <c r="R63">
        <v>4.1831E-2</v>
      </c>
      <c r="S63">
        <v>4.165E-2</v>
      </c>
      <c r="T63">
        <v>4.1692E-2</v>
      </c>
      <c r="U63">
        <v>4.0488000000000003E-2</v>
      </c>
      <c r="V63">
        <v>4.0613999999999997E-2</v>
      </c>
      <c r="W63">
        <v>4.0683999999999998E-2</v>
      </c>
      <c r="X63">
        <v>4.0663999999999999E-2</v>
      </c>
      <c r="Y63">
        <v>4.0799000000000002E-2</v>
      </c>
      <c r="Z63">
        <v>4.1098999999999997E-2</v>
      </c>
      <c r="AA63">
        <v>4.1730000000000003E-2</v>
      </c>
      <c r="AB63">
        <v>4.2153000000000003E-2</v>
      </c>
      <c r="AC63">
        <v>4.2575000000000002E-2</v>
      </c>
      <c r="AD63">
        <v>4.3076000000000003E-2</v>
      </c>
      <c r="AE63">
        <v>4.3477000000000002E-2</v>
      </c>
      <c r="AF63">
        <v>4.3816000000000001E-2</v>
      </c>
      <c r="AG63">
        <v>4.4327999999999999E-2</v>
      </c>
      <c r="AH63">
        <v>4.4757999999999999E-2</v>
      </c>
      <c r="AI63">
        <v>4.5303999999999997E-2</v>
      </c>
      <c r="AJ63">
        <v>4.5620000000000001E-2</v>
      </c>
      <c r="AK63">
        <v>4.6193999999999999E-2</v>
      </c>
      <c r="AL63">
        <v>4.6677000000000003E-2</v>
      </c>
      <c r="AM63">
        <v>4.7162999999999997E-2</v>
      </c>
      <c r="AN63">
        <v>4.7857999999999998E-2</v>
      </c>
      <c r="AO63">
        <v>4.8430000000000001E-2</v>
      </c>
      <c r="AP63" s="8">
        <v>5.0000000000000001E-3</v>
      </c>
    </row>
    <row r="64" spans="1:42" s="102" customFormat="1" x14ac:dyDescent="0.25">
      <c r="A64" s="102" t="s">
        <v>156</v>
      </c>
      <c r="B64" s="102" t="s">
        <v>155</v>
      </c>
      <c r="C64" s="102" t="s">
        <v>380</v>
      </c>
      <c r="D64" s="102" t="s">
        <v>45</v>
      </c>
      <c r="E64" s="102">
        <v>8.9999999999999993E-3</v>
      </c>
      <c r="F64" s="102">
        <v>0.01</v>
      </c>
      <c r="G64" s="102">
        <v>1.7999999999999999E-2</v>
      </c>
      <c r="H64" s="102">
        <v>1.8214999999999999E-2</v>
      </c>
      <c r="I64" s="102">
        <v>2.1329999999999998E-2</v>
      </c>
      <c r="J64" s="102">
        <v>2.5381999999999998E-2</v>
      </c>
      <c r="K64" s="102">
        <v>2.6960000000000001E-2</v>
      </c>
      <c r="L64" s="102">
        <v>3.841E-2</v>
      </c>
      <c r="M64" s="102">
        <v>3.9149999999999997E-2</v>
      </c>
      <c r="N64" s="102">
        <v>3.6124999999999997E-2</v>
      </c>
      <c r="O64" s="102">
        <v>3.7779E-2</v>
      </c>
      <c r="P64" s="102">
        <v>3.8123999999999998E-2</v>
      </c>
      <c r="Q64" s="102">
        <v>3.9389E-2</v>
      </c>
      <c r="R64" s="102">
        <v>4.0613000000000003E-2</v>
      </c>
      <c r="S64" s="102">
        <v>4.3605999999999999E-2</v>
      </c>
      <c r="T64" s="102">
        <v>4.5887999999999998E-2</v>
      </c>
      <c r="U64" s="102">
        <v>4.3089000000000002E-2</v>
      </c>
      <c r="V64" s="102">
        <v>4.5505999999999998E-2</v>
      </c>
      <c r="W64" s="102">
        <v>4.7608999999999999E-2</v>
      </c>
      <c r="X64" s="102">
        <v>4.9652000000000002E-2</v>
      </c>
      <c r="Y64" s="102">
        <v>5.1418999999999999E-2</v>
      </c>
      <c r="Z64" s="102">
        <v>5.4174E-2</v>
      </c>
      <c r="AA64" s="102">
        <v>5.9333999999999998E-2</v>
      </c>
      <c r="AB64" s="102">
        <v>6.1934999999999997E-2</v>
      </c>
      <c r="AC64" s="102">
        <v>6.5244999999999997E-2</v>
      </c>
      <c r="AD64" s="102">
        <v>6.8645999999999999E-2</v>
      </c>
      <c r="AE64" s="102">
        <v>7.2289999999999993E-2</v>
      </c>
      <c r="AF64" s="102">
        <v>7.4626999999999999E-2</v>
      </c>
      <c r="AG64" s="102">
        <v>7.9865000000000005E-2</v>
      </c>
      <c r="AH64" s="102">
        <v>8.3127999999999994E-2</v>
      </c>
      <c r="AI64" s="102">
        <v>8.7429000000000007E-2</v>
      </c>
      <c r="AJ64" s="102">
        <v>8.9161000000000004E-2</v>
      </c>
      <c r="AK64" s="102">
        <v>9.4173999999999994E-2</v>
      </c>
      <c r="AL64" s="102">
        <v>9.6915000000000001E-2</v>
      </c>
      <c r="AM64" s="102">
        <v>0.100313</v>
      </c>
      <c r="AN64" s="102">
        <v>0.103991</v>
      </c>
      <c r="AO64" s="102">
        <v>0.10799</v>
      </c>
      <c r="AP64" s="105">
        <v>4.8000000000000001E-2</v>
      </c>
    </row>
    <row r="65" spans="1:42" x14ac:dyDescent="0.25">
      <c r="A65" t="s">
        <v>22</v>
      </c>
      <c r="B65" t="s">
        <v>154</v>
      </c>
      <c r="C65" t="s">
        <v>379</v>
      </c>
      <c r="D65" t="s">
        <v>45</v>
      </c>
      <c r="H65">
        <v>9.2999999999999997E-5</v>
      </c>
      <c r="I65">
        <v>1.92E-4</v>
      </c>
      <c r="J65">
        <v>9.8999999999999994E-5</v>
      </c>
      <c r="K65">
        <v>1.13E-4</v>
      </c>
      <c r="L65">
        <v>1.21E-4</v>
      </c>
      <c r="M65">
        <v>1.2799999999999999E-4</v>
      </c>
      <c r="N65">
        <v>1.34E-4</v>
      </c>
      <c r="O65">
        <v>1.3799999999999999E-4</v>
      </c>
      <c r="P65">
        <v>1.4300000000000001E-4</v>
      </c>
      <c r="Q65">
        <v>1.4899999999999999E-4</v>
      </c>
      <c r="R65">
        <v>1.56E-4</v>
      </c>
      <c r="S65">
        <v>1.63E-4</v>
      </c>
      <c r="T65">
        <v>1.7100000000000001E-4</v>
      </c>
      <c r="U65">
        <v>1.7799999999999999E-4</v>
      </c>
      <c r="V65">
        <v>1.8599999999999999E-4</v>
      </c>
      <c r="W65">
        <v>1.94E-4</v>
      </c>
      <c r="X65">
        <v>2.02E-4</v>
      </c>
      <c r="Y65">
        <v>2.1100000000000001E-4</v>
      </c>
      <c r="Z65">
        <v>2.2100000000000001E-4</v>
      </c>
      <c r="AA65">
        <v>2.33E-4</v>
      </c>
      <c r="AB65">
        <v>2.4600000000000002E-4</v>
      </c>
      <c r="AC65">
        <v>2.5999999999999998E-4</v>
      </c>
      <c r="AD65">
        <v>2.7500000000000002E-4</v>
      </c>
      <c r="AE65">
        <v>2.92E-4</v>
      </c>
      <c r="AF65">
        <v>3.1100000000000002E-4</v>
      </c>
      <c r="AG65">
        <v>3.3E-4</v>
      </c>
      <c r="AH65">
        <v>3.5E-4</v>
      </c>
      <c r="AI65">
        <v>3.6999999999999999E-4</v>
      </c>
      <c r="AJ65">
        <v>3.9100000000000002E-4</v>
      </c>
      <c r="AK65">
        <v>4.1300000000000001E-4</v>
      </c>
      <c r="AL65">
        <v>4.3600000000000003E-4</v>
      </c>
      <c r="AM65">
        <v>4.6000000000000001E-4</v>
      </c>
      <c r="AN65">
        <v>4.86E-4</v>
      </c>
      <c r="AO65">
        <v>5.1199999999999998E-4</v>
      </c>
      <c r="AP65" s="8">
        <v>0.11</v>
      </c>
    </row>
    <row r="66" spans="1:42" s="102" customFormat="1" x14ac:dyDescent="0.25">
      <c r="A66" s="102" t="s">
        <v>8</v>
      </c>
      <c r="B66" s="102" t="s">
        <v>153</v>
      </c>
      <c r="C66" s="102" t="s">
        <v>378</v>
      </c>
      <c r="D66" s="102" t="s">
        <v>45</v>
      </c>
      <c r="E66" s="102">
        <v>3.0000000000000001E-3</v>
      </c>
      <c r="F66" s="102">
        <v>4.0000000000000001E-3</v>
      </c>
      <c r="G66" s="102">
        <v>5.0000000000000001E-3</v>
      </c>
      <c r="H66" s="102">
        <v>8.6390000000000008E-3</v>
      </c>
      <c r="I66" s="102">
        <v>9.9109999999999997E-3</v>
      </c>
      <c r="J66" s="102">
        <v>1.0625000000000001E-2</v>
      </c>
      <c r="K66" s="102">
        <v>1.1868999999999999E-2</v>
      </c>
      <c r="L66" s="102">
        <v>1.345E-2</v>
      </c>
      <c r="M66" s="102">
        <v>1.4968E-2</v>
      </c>
      <c r="N66" s="102">
        <v>1.6292999999999998E-2</v>
      </c>
      <c r="O66" s="102">
        <v>1.7496999999999999E-2</v>
      </c>
      <c r="P66" s="102">
        <v>1.8689999999999998E-2</v>
      </c>
      <c r="Q66" s="102">
        <v>2.0154999999999999E-2</v>
      </c>
      <c r="R66" s="102">
        <v>2.1687000000000001E-2</v>
      </c>
      <c r="S66" s="102">
        <v>2.3289000000000001E-2</v>
      </c>
      <c r="T66" s="102">
        <v>2.5024000000000001E-2</v>
      </c>
      <c r="U66" s="102">
        <v>2.7123000000000001E-2</v>
      </c>
      <c r="V66" s="102">
        <v>2.9666000000000001E-2</v>
      </c>
      <c r="W66" s="102">
        <v>3.2715000000000001E-2</v>
      </c>
      <c r="X66" s="102">
        <v>3.6831999999999997E-2</v>
      </c>
      <c r="Y66" s="102">
        <v>4.0273000000000003E-2</v>
      </c>
      <c r="Z66" s="102">
        <v>4.2091999999999997E-2</v>
      </c>
      <c r="AA66" s="102">
        <v>4.4406000000000001E-2</v>
      </c>
      <c r="AB66" s="102">
        <v>4.6788000000000003E-2</v>
      </c>
      <c r="AC66" s="102">
        <v>4.9228000000000001E-2</v>
      </c>
      <c r="AD66" s="102">
        <v>5.1720000000000002E-2</v>
      </c>
      <c r="AE66" s="102">
        <v>5.4261999999999998E-2</v>
      </c>
      <c r="AF66" s="102">
        <v>5.6785000000000002E-2</v>
      </c>
      <c r="AG66" s="102">
        <v>5.9297999999999997E-2</v>
      </c>
      <c r="AH66" s="102">
        <v>6.1830999999999997E-2</v>
      </c>
      <c r="AI66" s="102">
        <v>6.4328999999999997E-2</v>
      </c>
      <c r="AJ66" s="102">
        <v>6.6763000000000003E-2</v>
      </c>
      <c r="AK66" s="102">
        <v>6.9191000000000003E-2</v>
      </c>
      <c r="AL66" s="102">
        <v>7.1639999999999995E-2</v>
      </c>
      <c r="AM66" s="102">
        <v>7.4027999999999997E-2</v>
      </c>
      <c r="AN66" s="102">
        <v>7.6434000000000002E-2</v>
      </c>
      <c r="AO66" s="102">
        <v>7.8868999999999995E-2</v>
      </c>
      <c r="AP66" s="105">
        <v>7.2999999999999995E-2</v>
      </c>
    </row>
    <row r="67" spans="1:42" x14ac:dyDescent="0.25">
      <c r="A67" t="s">
        <v>120</v>
      </c>
      <c r="B67" t="s">
        <v>152</v>
      </c>
      <c r="C67" t="s">
        <v>377</v>
      </c>
      <c r="D67" t="s">
        <v>45</v>
      </c>
      <c r="H67">
        <v>4.3926769999999999</v>
      </c>
      <c r="I67">
        <v>4.395829</v>
      </c>
      <c r="J67">
        <v>4.3828820000000004</v>
      </c>
      <c r="K67">
        <v>4.3828100000000001</v>
      </c>
      <c r="L67">
        <v>4.4121090000000001</v>
      </c>
      <c r="M67">
        <v>4.3465910000000001</v>
      </c>
      <c r="N67">
        <v>4.2893619999999997</v>
      </c>
      <c r="O67">
        <v>4.1917689999999999</v>
      </c>
      <c r="P67">
        <v>4.0886449999999996</v>
      </c>
      <c r="Q67">
        <v>4.0288950000000003</v>
      </c>
      <c r="R67">
        <v>3.979714</v>
      </c>
      <c r="S67">
        <v>3.9311229999999999</v>
      </c>
      <c r="T67">
        <v>3.891813</v>
      </c>
      <c r="U67">
        <v>3.865685</v>
      </c>
      <c r="V67">
        <v>3.8353320000000002</v>
      </c>
      <c r="W67">
        <v>3.8052890000000001</v>
      </c>
      <c r="X67">
        <v>3.776662</v>
      </c>
      <c r="Y67">
        <v>3.7513540000000001</v>
      </c>
      <c r="Z67">
        <v>3.7250109999999999</v>
      </c>
      <c r="AA67">
        <v>3.7169289999999999</v>
      </c>
      <c r="AB67">
        <v>3.7178909999999998</v>
      </c>
      <c r="AC67">
        <v>3.7200169999999999</v>
      </c>
      <c r="AD67">
        <v>3.7260930000000001</v>
      </c>
      <c r="AE67">
        <v>3.7354210000000001</v>
      </c>
      <c r="AF67">
        <v>3.7520950000000002</v>
      </c>
      <c r="AG67">
        <v>3.7644489999999999</v>
      </c>
      <c r="AH67">
        <v>3.7833800000000002</v>
      </c>
      <c r="AI67">
        <v>3.8023410000000002</v>
      </c>
      <c r="AJ67">
        <v>3.8298559999999999</v>
      </c>
      <c r="AK67">
        <v>3.8504860000000001</v>
      </c>
      <c r="AL67">
        <v>3.878428</v>
      </c>
      <c r="AM67">
        <v>3.9057089999999999</v>
      </c>
      <c r="AN67">
        <v>3.9343849999999998</v>
      </c>
      <c r="AO67">
        <v>3.9622359999999999</v>
      </c>
      <c r="AP67" s="8">
        <v>-4.0000000000000001E-3</v>
      </c>
    </row>
    <row r="68" spans="1:42" x14ac:dyDescent="0.25">
      <c r="A68" t="s">
        <v>118</v>
      </c>
      <c r="B68" t="s">
        <v>151</v>
      </c>
      <c r="C68" t="s">
        <v>376</v>
      </c>
      <c r="D68" t="s">
        <v>45</v>
      </c>
      <c r="H68">
        <v>1.3082E-2</v>
      </c>
      <c r="I68">
        <v>1.5386E-2</v>
      </c>
      <c r="J68">
        <v>1.5786999999999999E-2</v>
      </c>
      <c r="K68">
        <v>1.7552999999999999E-2</v>
      </c>
      <c r="L68">
        <v>1.9581000000000001E-2</v>
      </c>
      <c r="M68">
        <v>2.1099E-2</v>
      </c>
      <c r="N68">
        <v>2.2003000000000002E-2</v>
      </c>
      <c r="O68">
        <v>2.2599000000000001E-2</v>
      </c>
      <c r="P68">
        <v>2.3236E-2</v>
      </c>
      <c r="Q68">
        <v>2.3411999999999999E-2</v>
      </c>
      <c r="R68">
        <v>2.4473999999999999E-2</v>
      </c>
      <c r="S68">
        <v>2.6497E-2</v>
      </c>
      <c r="T68">
        <v>2.8289999999999999E-2</v>
      </c>
      <c r="U68">
        <v>3.0027999999999999E-2</v>
      </c>
      <c r="V68">
        <v>3.2375000000000001E-2</v>
      </c>
      <c r="W68">
        <v>3.5338000000000001E-2</v>
      </c>
      <c r="X68">
        <v>3.9903000000000001E-2</v>
      </c>
      <c r="Y68">
        <v>4.3808E-2</v>
      </c>
      <c r="Z68">
        <v>4.5394999999999998E-2</v>
      </c>
      <c r="AA68">
        <v>4.7996999999999998E-2</v>
      </c>
      <c r="AB68">
        <v>5.0397999999999998E-2</v>
      </c>
      <c r="AC68">
        <v>5.2944999999999999E-2</v>
      </c>
      <c r="AD68">
        <v>5.6153000000000002E-2</v>
      </c>
      <c r="AE68">
        <v>5.8273999999999999E-2</v>
      </c>
      <c r="AF68">
        <v>6.1452E-2</v>
      </c>
      <c r="AG68">
        <v>6.3991000000000006E-2</v>
      </c>
      <c r="AH68">
        <v>6.6436999999999996E-2</v>
      </c>
      <c r="AI68">
        <v>6.8689E-2</v>
      </c>
      <c r="AJ68">
        <v>7.2474999999999998E-2</v>
      </c>
      <c r="AK68">
        <v>7.6647999999999994E-2</v>
      </c>
      <c r="AL68">
        <v>8.0818000000000001E-2</v>
      </c>
      <c r="AM68">
        <v>8.3472000000000005E-2</v>
      </c>
      <c r="AN68">
        <v>8.6743000000000001E-2</v>
      </c>
      <c r="AO68">
        <v>9.0132000000000004E-2</v>
      </c>
      <c r="AP68" s="8">
        <v>7.0999999999999994E-2</v>
      </c>
    </row>
    <row r="69" spans="1:42" x14ac:dyDescent="0.25">
      <c r="A69" t="s">
        <v>32</v>
      </c>
      <c r="B69" t="s">
        <v>150</v>
      </c>
      <c r="C69" t="s">
        <v>375</v>
      </c>
      <c r="D69" t="s">
        <v>45</v>
      </c>
      <c r="H69">
        <v>4.4057579999999996</v>
      </c>
      <c r="I69">
        <v>4.4112140000000002</v>
      </c>
      <c r="J69">
        <v>4.3986689999999999</v>
      </c>
      <c r="K69">
        <v>4.4003620000000003</v>
      </c>
      <c r="L69">
        <v>4.4316899999999997</v>
      </c>
      <c r="M69">
        <v>4.3676899999999996</v>
      </c>
      <c r="N69">
        <v>4.3113659999999996</v>
      </c>
      <c r="O69">
        <v>4.2143670000000002</v>
      </c>
      <c r="P69">
        <v>4.1118810000000003</v>
      </c>
      <c r="Q69">
        <v>4.052308</v>
      </c>
      <c r="R69">
        <v>4.0041880000000001</v>
      </c>
      <c r="S69">
        <v>3.9576199999999999</v>
      </c>
      <c r="T69">
        <v>3.9201039999999998</v>
      </c>
      <c r="U69">
        <v>3.8957139999999999</v>
      </c>
      <c r="V69">
        <v>3.8677069999999998</v>
      </c>
      <c r="W69">
        <v>3.840627</v>
      </c>
      <c r="X69">
        <v>3.8165659999999999</v>
      </c>
      <c r="Y69">
        <v>3.7951619999999999</v>
      </c>
      <c r="Z69">
        <v>3.7704059999999999</v>
      </c>
      <c r="AA69">
        <v>3.764926</v>
      </c>
      <c r="AB69">
        <v>3.7682890000000002</v>
      </c>
      <c r="AC69">
        <v>3.7729620000000001</v>
      </c>
      <c r="AD69">
        <v>3.7822460000000002</v>
      </c>
      <c r="AE69">
        <v>3.793695</v>
      </c>
      <c r="AF69">
        <v>3.8135479999999999</v>
      </c>
      <c r="AG69">
        <v>3.8284400000000001</v>
      </c>
      <c r="AH69">
        <v>3.8498169999999998</v>
      </c>
      <c r="AI69">
        <v>3.8710300000000002</v>
      </c>
      <c r="AJ69">
        <v>3.9023310000000002</v>
      </c>
      <c r="AK69">
        <v>3.9271340000000001</v>
      </c>
      <c r="AL69">
        <v>3.9592459999999998</v>
      </c>
      <c r="AM69">
        <v>3.989182</v>
      </c>
      <c r="AN69">
        <v>4.0211269999999999</v>
      </c>
      <c r="AO69">
        <v>4.0523680000000004</v>
      </c>
      <c r="AP69" s="8">
        <v>-3.0000000000000001E-3</v>
      </c>
    </row>
    <row r="70" spans="1:42" x14ac:dyDescent="0.25">
      <c r="A70" t="s">
        <v>149</v>
      </c>
      <c r="C70" t="s">
        <v>374</v>
      </c>
    </row>
    <row r="71" spans="1:42" x14ac:dyDescent="0.25">
      <c r="A71" t="s">
        <v>32</v>
      </c>
      <c r="B71" t="s">
        <v>148</v>
      </c>
      <c r="C71" t="s">
        <v>373</v>
      </c>
      <c r="D71" t="s">
        <v>45</v>
      </c>
      <c r="H71">
        <v>0.10760500000000001</v>
      </c>
      <c r="I71">
        <v>0.15043400000000001</v>
      </c>
      <c r="J71">
        <v>0.119398</v>
      </c>
      <c r="K71">
        <v>0.14685699999999999</v>
      </c>
      <c r="L71">
        <v>0.14388699999999999</v>
      </c>
      <c r="M71">
        <v>0.14147899999999999</v>
      </c>
      <c r="N71">
        <v>0.14252200000000001</v>
      </c>
      <c r="O71">
        <v>0.14349700000000001</v>
      </c>
      <c r="P71">
        <v>0.14494000000000001</v>
      </c>
      <c r="Q71">
        <v>0.14613499999999999</v>
      </c>
      <c r="R71">
        <v>0.14774899999999999</v>
      </c>
      <c r="S71">
        <v>0.14921899999999999</v>
      </c>
      <c r="T71">
        <v>0.15104200000000001</v>
      </c>
      <c r="U71">
        <v>0.153083</v>
      </c>
      <c r="V71">
        <v>0.15490399999999999</v>
      </c>
      <c r="W71">
        <v>0.15682299999999999</v>
      </c>
      <c r="X71">
        <v>0.15868099999999999</v>
      </c>
      <c r="Y71">
        <v>0.16041900000000001</v>
      </c>
      <c r="Z71">
        <v>0.16203699999999999</v>
      </c>
      <c r="AA71">
        <v>0.163497</v>
      </c>
      <c r="AB71">
        <v>0.16522300000000001</v>
      </c>
      <c r="AC71">
        <v>0.16681199999999999</v>
      </c>
      <c r="AD71">
        <v>0.16850799999999999</v>
      </c>
      <c r="AE71">
        <v>0.170318</v>
      </c>
      <c r="AF71">
        <v>0.172205</v>
      </c>
      <c r="AG71">
        <v>0.173927</v>
      </c>
      <c r="AH71">
        <v>0.175785</v>
      </c>
      <c r="AI71">
        <v>0.17762</v>
      </c>
      <c r="AJ71">
        <v>0.179676</v>
      </c>
      <c r="AK71">
        <v>0.181759</v>
      </c>
      <c r="AL71">
        <v>0.18389</v>
      </c>
      <c r="AM71">
        <v>0.18607299999999999</v>
      </c>
      <c r="AN71">
        <v>0.18829399999999999</v>
      </c>
      <c r="AO71">
        <v>0.190608</v>
      </c>
      <c r="AP71" s="8">
        <v>8.9999999999999993E-3</v>
      </c>
    </row>
    <row r="72" spans="1:42" x14ac:dyDescent="0.25">
      <c r="A72" t="s">
        <v>147</v>
      </c>
      <c r="B72" t="s">
        <v>146</v>
      </c>
      <c r="D72" t="s">
        <v>372</v>
      </c>
    </row>
    <row r="73" spans="1:42" x14ac:dyDescent="0.25">
      <c r="A73" t="s">
        <v>102</v>
      </c>
      <c r="B73" t="s">
        <v>145</v>
      </c>
      <c r="C73" t="s">
        <v>371</v>
      </c>
      <c r="D73" t="s">
        <v>45</v>
      </c>
      <c r="H73">
        <v>8.4312999999999999E-2</v>
      </c>
      <c r="I73">
        <v>9.3257999999999994E-2</v>
      </c>
      <c r="J73">
        <v>0.104336</v>
      </c>
      <c r="K73">
        <v>0.10137699999999999</v>
      </c>
      <c r="L73">
        <v>7.8538999999999998E-2</v>
      </c>
      <c r="M73">
        <v>7.6707999999999998E-2</v>
      </c>
      <c r="N73">
        <v>7.6138999999999998E-2</v>
      </c>
      <c r="O73">
        <v>7.5647000000000006E-2</v>
      </c>
      <c r="P73">
        <v>7.5203000000000006E-2</v>
      </c>
      <c r="Q73">
        <v>7.4878E-2</v>
      </c>
      <c r="R73">
        <v>7.4611999999999998E-2</v>
      </c>
      <c r="S73">
        <v>7.4485999999999997E-2</v>
      </c>
      <c r="T73">
        <v>7.4392E-2</v>
      </c>
      <c r="U73">
        <v>7.4270000000000003E-2</v>
      </c>
      <c r="V73">
        <v>7.4282000000000001E-2</v>
      </c>
      <c r="W73">
        <v>7.4334999999999998E-2</v>
      </c>
      <c r="X73">
        <v>7.4392E-2</v>
      </c>
      <c r="Y73">
        <v>7.4513999999999997E-2</v>
      </c>
      <c r="Z73">
        <v>7.4640999999999999E-2</v>
      </c>
      <c r="AA73">
        <v>7.4737999999999999E-2</v>
      </c>
      <c r="AB73">
        <v>7.4824000000000002E-2</v>
      </c>
      <c r="AC73">
        <v>7.4917999999999998E-2</v>
      </c>
      <c r="AD73">
        <v>7.5008000000000005E-2</v>
      </c>
      <c r="AE73">
        <v>7.5180999999999998E-2</v>
      </c>
      <c r="AF73">
        <v>7.5406000000000001E-2</v>
      </c>
      <c r="AG73">
        <v>7.5552999999999995E-2</v>
      </c>
      <c r="AH73">
        <v>7.5781000000000001E-2</v>
      </c>
      <c r="AI73">
        <v>7.6059000000000002E-2</v>
      </c>
      <c r="AJ73">
        <v>7.6363E-2</v>
      </c>
      <c r="AK73">
        <v>7.6704999999999995E-2</v>
      </c>
      <c r="AL73">
        <v>7.7022999999999994E-2</v>
      </c>
      <c r="AM73">
        <v>7.7336000000000002E-2</v>
      </c>
      <c r="AN73">
        <v>7.7676999999999996E-2</v>
      </c>
      <c r="AO73">
        <v>7.8032000000000004E-2</v>
      </c>
      <c r="AP73" s="8">
        <v>-8.0000000000000002E-3</v>
      </c>
    </row>
    <row r="74" spans="1:42" x14ac:dyDescent="0.25">
      <c r="A74" t="s">
        <v>2</v>
      </c>
      <c r="B74" t="s">
        <v>144</v>
      </c>
      <c r="C74" t="s">
        <v>370</v>
      </c>
      <c r="D74" t="s">
        <v>45</v>
      </c>
      <c r="H74">
        <v>2.4627849999999998</v>
      </c>
      <c r="I74">
        <v>2.4661580000000001</v>
      </c>
      <c r="J74">
        <v>2.471797</v>
      </c>
      <c r="K74">
        <v>2.4790359999999998</v>
      </c>
      <c r="L74">
        <v>2.4501369999999998</v>
      </c>
      <c r="M74">
        <v>2.3984209999999999</v>
      </c>
      <c r="N74">
        <v>2.3192910000000002</v>
      </c>
      <c r="O74">
        <v>2.215802</v>
      </c>
      <c r="P74">
        <v>2.1066009999999999</v>
      </c>
      <c r="Q74">
        <v>2.0457239999999999</v>
      </c>
      <c r="R74">
        <v>1.995331</v>
      </c>
      <c r="S74">
        <v>1.9488510000000001</v>
      </c>
      <c r="T74">
        <v>1.905186</v>
      </c>
      <c r="U74">
        <v>1.863767</v>
      </c>
      <c r="V74">
        <v>1.826622</v>
      </c>
      <c r="W74">
        <v>1.7888809999999999</v>
      </c>
      <c r="X74">
        <v>1.752597</v>
      </c>
      <c r="Y74">
        <v>1.717619</v>
      </c>
      <c r="Z74">
        <v>1.6829160000000001</v>
      </c>
      <c r="AA74">
        <v>1.672323</v>
      </c>
      <c r="AB74">
        <v>1.663203</v>
      </c>
      <c r="AC74">
        <v>1.655724</v>
      </c>
      <c r="AD74">
        <v>1.650298</v>
      </c>
      <c r="AE74">
        <v>1.6474310000000001</v>
      </c>
      <c r="AF74">
        <v>1.6457949999999999</v>
      </c>
      <c r="AG74">
        <v>1.645805</v>
      </c>
      <c r="AH74">
        <v>1.6474120000000001</v>
      </c>
      <c r="AI74">
        <v>1.6502829999999999</v>
      </c>
      <c r="AJ74">
        <v>1.653713</v>
      </c>
      <c r="AK74">
        <v>1.6589929999999999</v>
      </c>
      <c r="AL74">
        <v>1.665896</v>
      </c>
      <c r="AM74">
        <v>1.672731</v>
      </c>
      <c r="AN74">
        <v>1.680898</v>
      </c>
      <c r="AO74">
        <v>1.6891430000000001</v>
      </c>
      <c r="AP74" s="8">
        <v>-1.4999999999999999E-2</v>
      </c>
    </row>
    <row r="75" spans="1:42" x14ac:dyDescent="0.25">
      <c r="A75" t="s">
        <v>99</v>
      </c>
      <c r="B75" t="s">
        <v>143</v>
      </c>
      <c r="C75" t="s">
        <v>369</v>
      </c>
      <c r="D75" t="s">
        <v>45</v>
      </c>
      <c r="H75">
        <v>1.3619999999999999E-3</v>
      </c>
      <c r="I75">
        <v>8.8000000000000005E-3</v>
      </c>
      <c r="J75">
        <v>2.7130000000000001E-3</v>
      </c>
      <c r="K75">
        <v>4.1609999999999998E-3</v>
      </c>
      <c r="L75">
        <v>6.3530000000000001E-3</v>
      </c>
      <c r="M75">
        <v>7.8820000000000001E-3</v>
      </c>
      <c r="N75">
        <v>7.7510000000000001E-3</v>
      </c>
      <c r="O75">
        <v>8.6029999999999995E-3</v>
      </c>
      <c r="P75">
        <v>8.2480000000000001E-3</v>
      </c>
      <c r="Q75">
        <v>8.6960000000000006E-3</v>
      </c>
      <c r="R75">
        <v>8.9549999999999994E-3</v>
      </c>
      <c r="S75">
        <v>8.5850000000000006E-3</v>
      </c>
      <c r="T75">
        <v>8.6809999999999995E-3</v>
      </c>
      <c r="U75">
        <v>1.1644E-2</v>
      </c>
      <c r="V75">
        <v>1.0817E-2</v>
      </c>
      <c r="W75">
        <v>1.0972000000000001E-2</v>
      </c>
      <c r="X75">
        <v>1.0838E-2</v>
      </c>
      <c r="Y75">
        <v>1.0076999999999999E-2</v>
      </c>
      <c r="Z75">
        <v>9.7920000000000004E-3</v>
      </c>
      <c r="AA75">
        <v>9.6439999999999998E-3</v>
      </c>
      <c r="AB75">
        <v>9.7590000000000003E-3</v>
      </c>
      <c r="AC75">
        <v>9.6989999999999993E-3</v>
      </c>
      <c r="AD75">
        <v>8.9940000000000003E-3</v>
      </c>
      <c r="AE75">
        <v>8.1569999999999993E-3</v>
      </c>
      <c r="AF75">
        <v>8.0759999999999998E-3</v>
      </c>
      <c r="AG75">
        <v>7.6210000000000002E-3</v>
      </c>
      <c r="AH75">
        <v>7.3119999999999999E-3</v>
      </c>
      <c r="AI75">
        <v>7.0029999999999997E-3</v>
      </c>
      <c r="AJ75">
        <v>6.8640000000000003E-3</v>
      </c>
      <c r="AK75">
        <v>6.3340000000000002E-3</v>
      </c>
      <c r="AL75">
        <v>4.8659999999999997E-3</v>
      </c>
      <c r="AM75">
        <v>4.2440000000000004E-3</v>
      </c>
      <c r="AN75">
        <v>3.4610000000000001E-3</v>
      </c>
      <c r="AO75">
        <v>3.4610000000000001E-3</v>
      </c>
      <c r="AP75" s="8">
        <v>3.9E-2</v>
      </c>
    </row>
    <row r="76" spans="1:42" x14ac:dyDescent="0.25">
      <c r="A76" t="s">
        <v>97</v>
      </c>
      <c r="B76" t="s">
        <v>142</v>
      </c>
      <c r="C76" t="s">
        <v>368</v>
      </c>
      <c r="D76" t="s">
        <v>45</v>
      </c>
      <c r="H76">
        <v>1.037347</v>
      </c>
      <c r="I76">
        <v>1.0670120000000001</v>
      </c>
      <c r="J76">
        <v>1.065018</v>
      </c>
      <c r="K76">
        <v>1.0858699999999999</v>
      </c>
      <c r="L76">
        <v>1.0804009999999999</v>
      </c>
      <c r="M76">
        <v>1.0721179999999999</v>
      </c>
      <c r="N76">
        <v>1.073461</v>
      </c>
      <c r="O76">
        <v>1.079599</v>
      </c>
      <c r="P76">
        <v>1.088865</v>
      </c>
      <c r="Q76">
        <v>1.0978749999999999</v>
      </c>
      <c r="R76">
        <v>1.107532</v>
      </c>
      <c r="S76">
        <v>1.118061</v>
      </c>
      <c r="T76">
        <v>1.128371</v>
      </c>
      <c r="U76">
        <v>1.139248</v>
      </c>
      <c r="V76">
        <v>1.1498679999999999</v>
      </c>
      <c r="W76">
        <v>1.1609860000000001</v>
      </c>
      <c r="X76">
        <v>1.1717679999999999</v>
      </c>
      <c r="Y76">
        <v>1.1823570000000001</v>
      </c>
      <c r="Z76">
        <v>1.192501</v>
      </c>
      <c r="AA76">
        <v>1.2025650000000001</v>
      </c>
      <c r="AB76">
        <v>1.212931</v>
      </c>
      <c r="AC76">
        <v>1.223042</v>
      </c>
      <c r="AD76">
        <v>1.23349</v>
      </c>
      <c r="AE76">
        <v>1.245017</v>
      </c>
      <c r="AF76">
        <v>1.2567790000000001</v>
      </c>
      <c r="AG76">
        <v>1.268451</v>
      </c>
      <c r="AH76">
        <v>1.280745</v>
      </c>
      <c r="AI76">
        <v>1.293496</v>
      </c>
      <c r="AJ76">
        <v>1.30715</v>
      </c>
      <c r="AK76">
        <v>1.3213200000000001</v>
      </c>
      <c r="AL76">
        <v>1.335869</v>
      </c>
      <c r="AM76">
        <v>1.350366</v>
      </c>
      <c r="AN76">
        <v>1.36507</v>
      </c>
      <c r="AO76">
        <v>1.3800330000000001</v>
      </c>
      <c r="AP76" s="8">
        <v>8.9999999999999993E-3</v>
      </c>
    </row>
    <row r="77" spans="1:42" x14ac:dyDescent="0.25">
      <c r="A77" t="s">
        <v>24</v>
      </c>
      <c r="B77" t="s">
        <v>141</v>
      </c>
      <c r="C77" t="s">
        <v>367</v>
      </c>
      <c r="D77" t="s">
        <v>45</v>
      </c>
      <c r="H77">
        <v>6.3E-5</v>
      </c>
      <c r="I77">
        <v>0</v>
      </c>
      <c r="J77">
        <v>9.2999999999999997E-5</v>
      </c>
      <c r="K77">
        <v>9.3999999999999994E-5</v>
      </c>
      <c r="L77">
        <v>1.3200000000000001E-4</v>
      </c>
      <c r="M77">
        <v>1.08E-4</v>
      </c>
      <c r="N77">
        <v>1.08E-4</v>
      </c>
      <c r="O77">
        <v>1.01E-4</v>
      </c>
      <c r="P77">
        <v>1.01E-4</v>
      </c>
      <c r="Q77">
        <v>9.2E-5</v>
      </c>
      <c r="R77">
        <v>9.1000000000000003E-5</v>
      </c>
      <c r="S77">
        <v>8.1000000000000004E-5</v>
      </c>
      <c r="T77">
        <v>7.7000000000000001E-5</v>
      </c>
      <c r="U77">
        <v>2.6999999999999999E-5</v>
      </c>
      <c r="V77">
        <v>2.1999999999999999E-5</v>
      </c>
      <c r="W77">
        <v>2.0000000000000002E-5</v>
      </c>
      <c r="X77">
        <v>9.0000000000000002E-6</v>
      </c>
      <c r="Y77">
        <v>6.0000000000000002E-6</v>
      </c>
      <c r="Z77">
        <v>1.9999999999999999E-6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 t="s">
        <v>0</v>
      </c>
    </row>
    <row r="78" spans="1:42" x14ac:dyDescent="0.25">
      <c r="A78" t="s">
        <v>94</v>
      </c>
      <c r="B78" t="s">
        <v>140</v>
      </c>
      <c r="C78" t="s">
        <v>366</v>
      </c>
      <c r="D78" t="s">
        <v>45</v>
      </c>
      <c r="H78">
        <v>0.89347100000000002</v>
      </c>
      <c r="I78">
        <v>0.93144800000000005</v>
      </c>
      <c r="J78">
        <v>0.933365</v>
      </c>
      <c r="K78">
        <v>0.94749899999999998</v>
      </c>
      <c r="L78">
        <v>0.98669300000000004</v>
      </c>
      <c r="M78">
        <v>1.019358</v>
      </c>
      <c r="N78">
        <v>0.99751900000000004</v>
      </c>
      <c r="O78">
        <v>0.99318300000000004</v>
      </c>
      <c r="P78">
        <v>0.989452</v>
      </c>
      <c r="Q78">
        <v>0.99277000000000004</v>
      </c>
      <c r="R78">
        <v>0.98955700000000002</v>
      </c>
      <c r="S78">
        <v>0.99318200000000001</v>
      </c>
      <c r="T78">
        <v>0.98825300000000005</v>
      </c>
      <c r="U78">
        <v>0.98026999999999997</v>
      </c>
      <c r="V78">
        <v>0.97717600000000004</v>
      </c>
      <c r="W78">
        <v>0.97343100000000005</v>
      </c>
      <c r="X78">
        <v>0.97009299999999998</v>
      </c>
      <c r="Y78">
        <v>0.96918700000000002</v>
      </c>
      <c r="Z78">
        <v>0.96934399999999998</v>
      </c>
      <c r="AA78">
        <v>0.97392999999999996</v>
      </c>
      <c r="AB78">
        <v>0.97361299999999995</v>
      </c>
      <c r="AC78">
        <v>0.97563500000000003</v>
      </c>
      <c r="AD78">
        <v>0.976634</v>
      </c>
      <c r="AE78">
        <v>0.97958999999999996</v>
      </c>
      <c r="AF78">
        <v>0.98175599999999996</v>
      </c>
      <c r="AG78">
        <v>0.98726100000000006</v>
      </c>
      <c r="AH78">
        <v>0.99216700000000002</v>
      </c>
      <c r="AI78">
        <v>0.99948999999999999</v>
      </c>
      <c r="AJ78">
        <v>1.0052589999999999</v>
      </c>
      <c r="AK78">
        <v>1.0126440000000001</v>
      </c>
      <c r="AL78">
        <v>1.0203009999999999</v>
      </c>
      <c r="AM78">
        <v>1.026518</v>
      </c>
      <c r="AN78">
        <v>1.0329379999999999</v>
      </c>
      <c r="AO78">
        <v>1.0378130000000001</v>
      </c>
      <c r="AP78" s="8">
        <v>3.0000000000000001E-3</v>
      </c>
    </row>
    <row r="79" spans="1:42" x14ac:dyDescent="0.25">
      <c r="A79" t="s">
        <v>92</v>
      </c>
      <c r="B79" t="s">
        <v>139</v>
      </c>
      <c r="C79" t="s">
        <v>365</v>
      </c>
      <c r="D79" t="s">
        <v>45</v>
      </c>
      <c r="H79">
        <v>0.296404</v>
      </c>
      <c r="I79">
        <v>0.27533800000000003</v>
      </c>
      <c r="J79">
        <v>0.22050700000000001</v>
      </c>
      <c r="K79">
        <v>0.20774899999999999</v>
      </c>
      <c r="L79">
        <v>0.216447</v>
      </c>
      <c r="M79">
        <v>0.17758399999999999</v>
      </c>
      <c r="N79">
        <v>0.225217</v>
      </c>
      <c r="O79">
        <v>0.22961500000000001</v>
      </c>
      <c r="P79">
        <v>0.232154</v>
      </c>
      <c r="Q79">
        <v>0.220804</v>
      </c>
      <c r="R79">
        <v>0.21630099999999999</v>
      </c>
      <c r="S79">
        <v>0.19912099999999999</v>
      </c>
      <c r="T79">
        <v>0.19780700000000001</v>
      </c>
      <c r="U79">
        <v>0.21562600000000001</v>
      </c>
      <c r="V79">
        <v>0.21384400000000001</v>
      </c>
      <c r="W79">
        <v>0.212787</v>
      </c>
      <c r="X79">
        <v>0.210703</v>
      </c>
      <c r="Y79">
        <v>0.20952000000000001</v>
      </c>
      <c r="Z79">
        <v>0.20669799999999999</v>
      </c>
      <c r="AA79">
        <v>0.19000900000000001</v>
      </c>
      <c r="AB79">
        <v>0.188251</v>
      </c>
      <c r="AC79">
        <v>0.183116</v>
      </c>
      <c r="AD79">
        <v>0.18042900000000001</v>
      </c>
      <c r="AE79">
        <v>0.17591499999999999</v>
      </c>
      <c r="AF79">
        <v>0.179623</v>
      </c>
      <c r="AG79">
        <v>0.17064599999999999</v>
      </c>
      <c r="AH79">
        <v>0.168965</v>
      </c>
      <c r="AI79">
        <v>0.16226599999999999</v>
      </c>
      <c r="AJ79">
        <v>0.16741400000000001</v>
      </c>
      <c r="AK79">
        <v>0.158416</v>
      </c>
      <c r="AL79">
        <v>0.156669</v>
      </c>
      <c r="AM79">
        <v>0.15522900000000001</v>
      </c>
      <c r="AN79">
        <v>0.153195</v>
      </c>
      <c r="AO79">
        <v>0.151004</v>
      </c>
      <c r="AP79" s="8">
        <v>-8.9999999999999993E-3</v>
      </c>
    </row>
    <row r="80" spans="1:42" x14ac:dyDescent="0.25">
      <c r="A80" t="s">
        <v>90</v>
      </c>
      <c r="B80" t="s">
        <v>138</v>
      </c>
      <c r="C80" t="s">
        <v>364</v>
      </c>
      <c r="D80" t="s">
        <v>45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 t="s">
        <v>0</v>
      </c>
    </row>
    <row r="81" spans="1:42" x14ac:dyDescent="0.25">
      <c r="A81" t="s">
        <v>88</v>
      </c>
      <c r="B81" t="s">
        <v>137</v>
      </c>
      <c r="C81" t="s">
        <v>363</v>
      </c>
      <c r="D81" t="s">
        <v>45</v>
      </c>
      <c r="H81">
        <v>0.55424799999999996</v>
      </c>
      <c r="I81">
        <v>0.54416500000000001</v>
      </c>
      <c r="J81">
        <v>0.55160500000000001</v>
      </c>
      <c r="K81">
        <v>0.53379799999999999</v>
      </c>
      <c r="L81">
        <v>0.439363</v>
      </c>
      <c r="M81">
        <v>0.44225799999999998</v>
      </c>
      <c r="N81">
        <v>0.44561499999999998</v>
      </c>
      <c r="O81">
        <v>0.43727500000000002</v>
      </c>
      <c r="P81">
        <v>0.43073400000000001</v>
      </c>
      <c r="Q81">
        <v>0.44069599999999998</v>
      </c>
      <c r="R81">
        <v>0.426093</v>
      </c>
      <c r="S81">
        <v>0.43847399999999997</v>
      </c>
      <c r="T81">
        <v>0.44003399999999998</v>
      </c>
      <c r="U81">
        <v>0.43043599999999999</v>
      </c>
      <c r="V81">
        <v>0.42740400000000001</v>
      </c>
      <c r="W81">
        <v>0.43584899999999999</v>
      </c>
      <c r="X81">
        <v>0.393428</v>
      </c>
      <c r="Y81">
        <v>0.433753</v>
      </c>
      <c r="Z81">
        <v>0.437838</v>
      </c>
      <c r="AA81">
        <v>0.41460200000000003</v>
      </c>
      <c r="AB81">
        <v>0.42024</v>
      </c>
      <c r="AC81">
        <v>0.42213699999999998</v>
      </c>
      <c r="AD81">
        <v>0.42706499999999997</v>
      </c>
      <c r="AE81">
        <v>0.41967100000000002</v>
      </c>
      <c r="AF81">
        <v>0.42604500000000001</v>
      </c>
      <c r="AG81">
        <v>0.42819600000000002</v>
      </c>
      <c r="AH81">
        <v>0.43555100000000002</v>
      </c>
      <c r="AI81">
        <v>0.43969799999999998</v>
      </c>
      <c r="AJ81">
        <v>0.46428199999999997</v>
      </c>
      <c r="AK81">
        <v>0.45591300000000001</v>
      </c>
      <c r="AL81">
        <v>0.48010700000000001</v>
      </c>
      <c r="AM81">
        <v>0.50038700000000003</v>
      </c>
      <c r="AN81">
        <v>0.506382</v>
      </c>
      <c r="AO81">
        <v>0.49988900000000003</v>
      </c>
      <c r="AP81" s="8">
        <v>-5.0000000000000001E-3</v>
      </c>
    </row>
    <row r="82" spans="1:42" x14ac:dyDescent="0.25">
      <c r="A82" t="s">
        <v>86</v>
      </c>
      <c r="B82" t="s">
        <v>136</v>
      </c>
      <c r="C82" t="s">
        <v>362</v>
      </c>
      <c r="D82" t="s">
        <v>45</v>
      </c>
      <c r="H82">
        <v>5.3286300000000004</v>
      </c>
      <c r="I82">
        <v>5.3773809999999997</v>
      </c>
      <c r="J82">
        <v>5.3467209999999996</v>
      </c>
      <c r="K82">
        <v>5.3554219999999999</v>
      </c>
      <c r="L82">
        <v>5.2517120000000004</v>
      </c>
      <c r="M82">
        <v>5.1865540000000001</v>
      </c>
      <c r="N82">
        <v>5.1373490000000004</v>
      </c>
      <c r="O82">
        <v>5.0312229999999998</v>
      </c>
      <c r="P82">
        <v>4.9231100000000003</v>
      </c>
      <c r="Q82">
        <v>4.8728379999999998</v>
      </c>
      <c r="R82">
        <v>4.8095160000000003</v>
      </c>
      <c r="S82">
        <v>4.7722550000000004</v>
      </c>
      <c r="T82">
        <v>4.734121</v>
      </c>
      <c r="U82">
        <v>4.7036420000000003</v>
      </c>
      <c r="V82">
        <v>4.6692179999999999</v>
      </c>
      <c r="W82">
        <v>4.6462899999999996</v>
      </c>
      <c r="X82">
        <v>4.5729899999999999</v>
      </c>
      <c r="Y82">
        <v>4.5869549999999997</v>
      </c>
      <c r="Z82">
        <v>4.5639409999999998</v>
      </c>
      <c r="AA82">
        <v>4.5281669999999998</v>
      </c>
      <c r="AB82">
        <v>4.533061</v>
      </c>
      <c r="AC82">
        <v>4.5345719999999998</v>
      </c>
      <c r="AD82">
        <v>4.5429250000000003</v>
      </c>
      <c r="AE82">
        <v>4.5428059999999997</v>
      </c>
      <c r="AF82">
        <v>4.565404</v>
      </c>
      <c r="AG82">
        <v>4.5759119999999998</v>
      </c>
      <c r="AH82">
        <v>4.6006200000000002</v>
      </c>
      <c r="AI82">
        <v>4.6212929999999997</v>
      </c>
      <c r="AJ82">
        <v>4.6741809999999999</v>
      </c>
      <c r="AK82">
        <v>4.6839909999999998</v>
      </c>
      <c r="AL82">
        <v>4.7358640000000003</v>
      </c>
      <c r="AM82">
        <v>4.7825670000000002</v>
      </c>
      <c r="AN82">
        <v>4.81616</v>
      </c>
      <c r="AO82">
        <v>4.835915</v>
      </c>
      <c r="AP82" s="8">
        <v>-4.0000000000000001E-3</v>
      </c>
    </row>
    <row r="83" spans="1:42" x14ac:dyDescent="0.25">
      <c r="A83" t="s">
        <v>10</v>
      </c>
      <c r="B83" t="s">
        <v>135</v>
      </c>
      <c r="C83" t="s">
        <v>361</v>
      </c>
      <c r="D83" t="s">
        <v>45</v>
      </c>
      <c r="H83">
        <v>1.9867980000000001</v>
      </c>
      <c r="I83">
        <v>2.078811</v>
      </c>
      <c r="J83">
        <v>2.1153080000000002</v>
      </c>
      <c r="K83">
        <v>2.1079659999999998</v>
      </c>
      <c r="L83">
        <v>2.2298680000000002</v>
      </c>
      <c r="M83">
        <v>2.2343410000000001</v>
      </c>
      <c r="N83">
        <v>2.2388539999999999</v>
      </c>
      <c r="O83">
        <v>2.2474949999999998</v>
      </c>
      <c r="P83">
        <v>2.2492380000000001</v>
      </c>
      <c r="Q83">
        <v>2.251474</v>
      </c>
      <c r="R83">
        <v>2.2570350000000001</v>
      </c>
      <c r="S83">
        <v>2.2473200000000002</v>
      </c>
      <c r="T83">
        <v>2.2544650000000002</v>
      </c>
      <c r="U83">
        <v>2.1480869999999999</v>
      </c>
      <c r="V83">
        <v>2.1521710000000001</v>
      </c>
      <c r="W83">
        <v>2.1693509999999998</v>
      </c>
      <c r="X83">
        <v>2.1773760000000002</v>
      </c>
      <c r="Y83">
        <v>2.181889</v>
      </c>
      <c r="Z83">
        <v>2.2013600000000002</v>
      </c>
      <c r="AA83">
        <v>2.2233269999999998</v>
      </c>
      <c r="AB83">
        <v>2.2259829999999998</v>
      </c>
      <c r="AC83">
        <v>2.2417060000000002</v>
      </c>
      <c r="AD83">
        <v>2.2578589999999998</v>
      </c>
      <c r="AE83">
        <v>2.271439</v>
      </c>
      <c r="AF83">
        <v>2.2881800000000001</v>
      </c>
      <c r="AG83">
        <v>2.3149109999999999</v>
      </c>
      <c r="AH83">
        <v>2.336303</v>
      </c>
      <c r="AI83">
        <v>2.3598249999999998</v>
      </c>
      <c r="AJ83">
        <v>2.3947569999999998</v>
      </c>
      <c r="AK83">
        <v>2.4126020000000001</v>
      </c>
      <c r="AL83">
        <v>2.4524629999999998</v>
      </c>
      <c r="AM83">
        <v>2.4886159999999999</v>
      </c>
      <c r="AN83">
        <v>2.5194839999999998</v>
      </c>
      <c r="AO83">
        <v>2.54277</v>
      </c>
      <c r="AP83" s="8">
        <v>8.0000000000000002E-3</v>
      </c>
    </row>
    <row r="84" spans="1:42" x14ac:dyDescent="0.25">
      <c r="A84" t="s">
        <v>83</v>
      </c>
      <c r="B84" t="s">
        <v>134</v>
      </c>
      <c r="C84" t="s">
        <v>360</v>
      </c>
      <c r="D84" t="s">
        <v>45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 t="s">
        <v>0</v>
      </c>
    </row>
    <row r="85" spans="1:42" x14ac:dyDescent="0.25">
      <c r="A85" t="s">
        <v>81</v>
      </c>
      <c r="B85" t="s">
        <v>133</v>
      </c>
      <c r="C85" t="s">
        <v>359</v>
      </c>
      <c r="D85" t="s">
        <v>45</v>
      </c>
      <c r="H85">
        <v>0.283586</v>
      </c>
      <c r="I85">
        <v>0.29477799999999998</v>
      </c>
      <c r="J85">
        <v>0.29870200000000002</v>
      </c>
      <c r="K85">
        <v>0.28575099999999998</v>
      </c>
      <c r="L85">
        <v>0.29113499999999998</v>
      </c>
      <c r="M85">
        <v>0.28687499999999999</v>
      </c>
      <c r="N85">
        <v>0.29264000000000001</v>
      </c>
      <c r="O85">
        <v>0.294622</v>
      </c>
      <c r="P85">
        <v>0.29584100000000002</v>
      </c>
      <c r="Q85">
        <v>0.29971999999999999</v>
      </c>
      <c r="R85">
        <v>0.30315799999999998</v>
      </c>
      <c r="S85">
        <v>0.29817700000000003</v>
      </c>
      <c r="T85">
        <v>0.29558899999999999</v>
      </c>
      <c r="U85">
        <v>0.29330699999999998</v>
      </c>
      <c r="V85">
        <v>0.29701699999999998</v>
      </c>
      <c r="W85">
        <v>0.30740600000000001</v>
      </c>
      <c r="X85">
        <v>0.31137300000000001</v>
      </c>
      <c r="Y85">
        <v>0.31187599999999999</v>
      </c>
      <c r="Z85">
        <v>0.30714900000000001</v>
      </c>
      <c r="AA85">
        <v>0.30302299999999999</v>
      </c>
      <c r="AB85">
        <v>0.29835</v>
      </c>
      <c r="AC85">
        <v>0.30352400000000002</v>
      </c>
      <c r="AD85">
        <v>0.306473</v>
      </c>
      <c r="AE85">
        <v>0.33588800000000002</v>
      </c>
      <c r="AF85">
        <v>0.337426</v>
      </c>
      <c r="AG85">
        <v>0.33607599999999999</v>
      </c>
      <c r="AH85">
        <v>0.334453</v>
      </c>
      <c r="AI85">
        <v>0.328739</v>
      </c>
      <c r="AJ85">
        <v>0.32385900000000001</v>
      </c>
      <c r="AK85">
        <v>0.327513</v>
      </c>
      <c r="AL85">
        <v>0.32184000000000001</v>
      </c>
      <c r="AM85">
        <v>0.31018600000000002</v>
      </c>
      <c r="AN85">
        <v>0.30153200000000002</v>
      </c>
      <c r="AO85">
        <v>0.29543900000000001</v>
      </c>
      <c r="AP85" s="8">
        <v>0</v>
      </c>
    </row>
    <row r="86" spans="1:42" x14ac:dyDescent="0.25">
      <c r="A86" t="s">
        <v>79</v>
      </c>
      <c r="B86" t="s">
        <v>132</v>
      </c>
      <c r="C86" t="s">
        <v>358</v>
      </c>
      <c r="D86" t="s">
        <v>45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 t="s">
        <v>0</v>
      </c>
    </row>
    <row r="87" spans="1:42" x14ac:dyDescent="0.25">
      <c r="A87" t="s">
        <v>77</v>
      </c>
      <c r="B87" t="s">
        <v>131</v>
      </c>
      <c r="C87" t="s">
        <v>357</v>
      </c>
      <c r="D87" t="s">
        <v>45</v>
      </c>
      <c r="H87">
        <v>4.1980999999999997E-2</v>
      </c>
      <c r="I87">
        <v>4.3070999999999998E-2</v>
      </c>
      <c r="J87">
        <v>4.4200999999999997E-2</v>
      </c>
      <c r="K87">
        <v>4.1947999999999999E-2</v>
      </c>
      <c r="L87">
        <v>4.2523999999999999E-2</v>
      </c>
      <c r="M87">
        <v>4.1401E-2</v>
      </c>
      <c r="N87">
        <v>4.0808999999999998E-2</v>
      </c>
      <c r="O87">
        <v>4.0957E-2</v>
      </c>
      <c r="P87">
        <v>4.1325000000000001E-2</v>
      </c>
      <c r="Q87">
        <v>4.2004E-2</v>
      </c>
      <c r="R87">
        <v>4.1831E-2</v>
      </c>
      <c r="S87">
        <v>4.165E-2</v>
      </c>
      <c r="T87">
        <v>4.1692E-2</v>
      </c>
      <c r="U87">
        <v>4.0488000000000003E-2</v>
      </c>
      <c r="V87">
        <v>4.0613999999999997E-2</v>
      </c>
      <c r="W87">
        <v>4.0683999999999998E-2</v>
      </c>
      <c r="X87">
        <v>4.0663999999999999E-2</v>
      </c>
      <c r="Y87">
        <v>4.0799000000000002E-2</v>
      </c>
      <c r="Z87">
        <v>4.1098999999999997E-2</v>
      </c>
      <c r="AA87">
        <v>4.1730000000000003E-2</v>
      </c>
      <c r="AB87">
        <v>4.2153000000000003E-2</v>
      </c>
      <c r="AC87">
        <v>4.2575000000000002E-2</v>
      </c>
      <c r="AD87">
        <v>4.3076000000000003E-2</v>
      </c>
      <c r="AE87">
        <v>4.3477000000000002E-2</v>
      </c>
      <c r="AF87">
        <v>4.3816000000000001E-2</v>
      </c>
      <c r="AG87">
        <v>4.4327999999999999E-2</v>
      </c>
      <c r="AH87">
        <v>4.4757999999999999E-2</v>
      </c>
      <c r="AI87">
        <v>4.5303999999999997E-2</v>
      </c>
      <c r="AJ87">
        <v>4.5620000000000001E-2</v>
      </c>
      <c r="AK87">
        <v>4.6193999999999999E-2</v>
      </c>
      <c r="AL87">
        <v>4.6677000000000003E-2</v>
      </c>
      <c r="AM87">
        <v>4.7162999999999997E-2</v>
      </c>
      <c r="AN87">
        <v>4.7857999999999998E-2</v>
      </c>
      <c r="AO87">
        <v>4.8430000000000001E-2</v>
      </c>
      <c r="AP87" s="8">
        <v>5.0000000000000001E-3</v>
      </c>
    </row>
    <row r="88" spans="1:42" x14ac:dyDescent="0.25">
      <c r="A88" t="s">
        <v>75</v>
      </c>
      <c r="B88" t="s">
        <v>130</v>
      </c>
      <c r="C88" t="s">
        <v>356</v>
      </c>
      <c r="D88" t="s">
        <v>45</v>
      </c>
      <c r="H88">
        <v>2.3123649999999998</v>
      </c>
      <c r="I88">
        <v>2.4166609999999999</v>
      </c>
      <c r="J88">
        <v>2.4582099999999998</v>
      </c>
      <c r="K88">
        <v>2.4356650000000002</v>
      </c>
      <c r="L88">
        <v>2.5635279999999998</v>
      </c>
      <c r="M88">
        <v>2.5626159999999998</v>
      </c>
      <c r="N88">
        <v>2.5723039999999999</v>
      </c>
      <c r="O88">
        <v>2.5830739999999999</v>
      </c>
      <c r="P88">
        <v>2.5864039999999999</v>
      </c>
      <c r="Q88">
        <v>2.5931980000000001</v>
      </c>
      <c r="R88">
        <v>2.6020240000000001</v>
      </c>
      <c r="S88">
        <v>2.5871469999999999</v>
      </c>
      <c r="T88">
        <v>2.591745</v>
      </c>
      <c r="U88">
        <v>2.4818820000000001</v>
      </c>
      <c r="V88">
        <v>2.4898020000000001</v>
      </c>
      <c r="W88">
        <v>2.5174409999999998</v>
      </c>
      <c r="X88">
        <v>2.5294129999999999</v>
      </c>
      <c r="Y88">
        <v>2.534564</v>
      </c>
      <c r="Z88">
        <v>2.5496089999999998</v>
      </c>
      <c r="AA88">
        <v>2.5680800000000001</v>
      </c>
      <c r="AB88">
        <v>2.5664850000000001</v>
      </c>
      <c r="AC88">
        <v>2.5878040000000002</v>
      </c>
      <c r="AD88">
        <v>2.6074069999999998</v>
      </c>
      <c r="AE88">
        <v>2.6508050000000001</v>
      </c>
      <c r="AF88">
        <v>2.669422</v>
      </c>
      <c r="AG88">
        <v>2.6953149999999999</v>
      </c>
      <c r="AH88">
        <v>2.7155130000000001</v>
      </c>
      <c r="AI88">
        <v>2.7338680000000002</v>
      </c>
      <c r="AJ88">
        <v>2.7642370000000001</v>
      </c>
      <c r="AK88">
        <v>2.7863090000000001</v>
      </c>
      <c r="AL88">
        <v>2.82098</v>
      </c>
      <c r="AM88">
        <v>2.8459660000000002</v>
      </c>
      <c r="AN88">
        <v>2.8688750000000001</v>
      </c>
      <c r="AO88">
        <v>2.8866390000000002</v>
      </c>
      <c r="AP88" s="8">
        <v>7.0000000000000001E-3</v>
      </c>
    </row>
    <row r="89" spans="1:42" x14ac:dyDescent="0.25">
      <c r="A89" t="s">
        <v>73</v>
      </c>
      <c r="B89" t="s">
        <v>129</v>
      </c>
      <c r="C89" t="s">
        <v>355</v>
      </c>
      <c r="D89" t="s">
        <v>45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 t="s">
        <v>0</v>
      </c>
    </row>
    <row r="90" spans="1:42" x14ac:dyDescent="0.25">
      <c r="A90" t="s">
        <v>71</v>
      </c>
      <c r="B90" t="s">
        <v>128</v>
      </c>
      <c r="C90" t="s">
        <v>354</v>
      </c>
      <c r="D90" t="s">
        <v>45</v>
      </c>
      <c r="H90">
        <v>3.8213999999999998E-2</v>
      </c>
      <c r="I90">
        <v>3.4730999999999998E-2</v>
      </c>
      <c r="J90">
        <v>3.5930999999999998E-2</v>
      </c>
      <c r="K90">
        <v>3.2135999999999998E-2</v>
      </c>
      <c r="L90">
        <v>3.3397999999999997E-2</v>
      </c>
      <c r="M90">
        <v>3.4567000000000001E-2</v>
      </c>
      <c r="N90">
        <v>3.5077999999999998E-2</v>
      </c>
      <c r="O90">
        <v>3.5569999999999997E-2</v>
      </c>
      <c r="P90">
        <v>3.6032000000000002E-2</v>
      </c>
      <c r="Q90">
        <v>3.6472999999999998E-2</v>
      </c>
      <c r="R90">
        <v>3.6464999999999997E-2</v>
      </c>
      <c r="S90">
        <v>3.6484999999999997E-2</v>
      </c>
      <c r="T90">
        <v>3.6512000000000003E-2</v>
      </c>
      <c r="U90">
        <v>3.6498000000000003E-2</v>
      </c>
      <c r="V90">
        <v>3.6188999999999999E-2</v>
      </c>
      <c r="W90">
        <v>3.5881000000000003E-2</v>
      </c>
      <c r="X90">
        <v>3.5595000000000002E-2</v>
      </c>
      <c r="Y90">
        <v>3.5365000000000001E-2</v>
      </c>
      <c r="Z90">
        <v>3.5066E-2</v>
      </c>
      <c r="AA90">
        <v>3.5047000000000002E-2</v>
      </c>
      <c r="AB90">
        <v>3.5048999999999997E-2</v>
      </c>
      <c r="AC90">
        <v>3.5103000000000002E-2</v>
      </c>
      <c r="AD90">
        <v>3.5145000000000003E-2</v>
      </c>
      <c r="AE90">
        <v>3.5236000000000003E-2</v>
      </c>
      <c r="AF90">
        <v>3.5354999999999998E-2</v>
      </c>
      <c r="AG90">
        <v>3.5473999999999999E-2</v>
      </c>
      <c r="AH90">
        <v>3.5621E-2</v>
      </c>
      <c r="AI90">
        <v>3.5795E-2</v>
      </c>
      <c r="AJ90">
        <v>3.5991000000000002E-2</v>
      </c>
      <c r="AK90">
        <v>3.6206000000000002E-2</v>
      </c>
      <c r="AL90">
        <v>3.6438999999999999E-2</v>
      </c>
      <c r="AM90">
        <v>3.6655E-2</v>
      </c>
      <c r="AN90">
        <v>3.6867999999999998E-2</v>
      </c>
      <c r="AO90">
        <v>3.7094000000000002E-2</v>
      </c>
      <c r="AP90" s="8">
        <v>1E-3</v>
      </c>
    </row>
    <row r="91" spans="1:42" x14ac:dyDescent="0.25">
      <c r="A91" t="s">
        <v>69</v>
      </c>
      <c r="B91" t="s">
        <v>127</v>
      </c>
      <c r="C91" t="s">
        <v>353</v>
      </c>
      <c r="D91" t="s">
        <v>45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 t="s">
        <v>0</v>
      </c>
    </row>
    <row r="92" spans="1:42" x14ac:dyDescent="0.25">
      <c r="A92" t="s">
        <v>67</v>
      </c>
      <c r="B92" t="s">
        <v>126</v>
      </c>
      <c r="C92" t="s">
        <v>352</v>
      </c>
      <c r="D92" t="s">
        <v>45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 t="s">
        <v>0</v>
      </c>
    </row>
    <row r="93" spans="1:42" x14ac:dyDescent="0.25">
      <c r="A93" t="s">
        <v>65</v>
      </c>
      <c r="B93" t="s">
        <v>125</v>
      </c>
      <c r="C93" t="s">
        <v>351</v>
      </c>
      <c r="D93" t="s">
        <v>45</v>
      </c>
      <c r="H93">
        <v>3.8213999999999998E-2</v>
      </c>
      <c r="I93">
        <v>3.4730999999999998E-2</v>
      </c>
      <c r="J93">
        <v>3.5930999999999998E-2</v>
      </c>
      <c r="K93">
        <v>3.2135999999999998E-2</v>
      </c>
      <c r="L93">
        <v>3.3397999999999997E-2</v>
      </c>
      <c r="M93">
        <v>3.4567000000000001E-2</v>
      </c>
      <c r="N93">
        <v>3.5077999999999998E-2</v>
      </c>
      <c r="O93">
        <v>3.5569999999999997E-2</v>
      </c>
      <c r="P93">
        <v>3.6032000000000002E-2</v>
      </c>
      <c r="Q93">
        <v>3.6472999999999998E-2</v>
      </c>
      <c r="R93">
        <v>3.6464999999999997E-2</v>
      </c>
      <c r="S93">
        <v>3.6484999999999997E-2</v>
      </c>
      <c r="T93">
        <v>3.6512000000000003E-2</v>
      </c>
      <c r="U93">
        <v>3.6498000000000003E-2</v>
      </c>
      <c r="V93">
        <v>3.6188999999999999E-2</v>
      </c>
      <c r="W93">
        <v>3.5881000000000003E-2</v>
      </c>
      <c r="X93">
        <v>3.5595000000000002E-2</v>
      </c>
      <c r="Y93">
        <v>3.5365000000000001E-2</v>
      </c>
      <c r="Z93">
        <v>3.5066E-2</v>
      </c>
      <c r="AA93">
        <v>3.5047000000000002E-2</v>
      </c>
      <c r="AB93">
        <v>3.5048999999999997E-2</v>
      </c>
      <c r="AC93">
        <v>3.5103000000000002E-2</v>
      </c>
      <c r="AD93">
        <v>3.5145000000000003E-2</v>
      </c>
      <c r="AE93">
        <v>3.5236000000000003E-2</v>
      </c>
      <c r="AF93">
        <v>3.5354999999999998E-2</v>
      </c>
      <c r="AG93">
        <v>3.5473999999999999E-2</v>
      </c>
      <c r="AH93">
        <v>3.5621E-2</v>
      </c>
      <c r="AI93">
        <v>3.5795E-2</v>
      </c>
      <c r="AJ93">
        <v>3.5991000000000002E-2</v>
      </c>
      <c r="AK93">
        <v>3.6206000000000002E-2</v>
      </c>
      <c r="AL93">
        <v>3.6438999999999999E-2</v>
      </c>
      <c r="AM93">
        <v>3.6655E-2</v>
      </c>
      <c r="AN93">
        <v>3.6867999999999998E-2</v>
      </c>
      <c r="AO93">
        <v>3.7094000000000002E-2</v>
      </c>
      <c r="AP93" s="8">
        <v>1E-3</v>
      </c>
    </row>
    <row r="94" spans="1:42" x14ac:dyDescent="0.25">
      <c r="A94" t="s">
        <v>61</v>
      </c>
      <c r="B94" t="s">
        <v>124</v>
      </c>
      <c r="C94" t="s">
        <v>350</v>
      </c>
      <c r="D94" t="s">
        <v>45</v>
      </c>
      <c r="H94">
        <v>0.111349</v>
      </c>
      <c r="I94">
        <v>0.11107400000000001</v>
      </c>
      <c r="J94">
        <v>0.128689</v>
      </c>
      <c r="K94">
        <v>0.126806</v>
      </c>
      <c r="L94">
        <v>0.12398000000000001</v>
      </c>
      <c r="M94">
        <v>0.12221899999999999</v>
      </c>
      <c r="N94">
        <v>0.118682</v>
      </c>
      <c r="O94">
        <v>0.114547</v>
      </c>
      <c r="P94">
        <v>0.110081</v>
      </c>
      <c r="Q94">
        <v>0.10752399999999999</v>
      </c>
      <c r="R94">
        <v>0.10560899999999999</v>
      </c>
      <c r="S94">
        <v>0.105255</v>
      </c>
      <c r="T94">
        <v>0.10385999999999999</v>
      </c>
      <c r="U94">
        <v>0.102212</v>
      </c>
      <c r="V94">
        <v>0.101061</v>
      </c>
      <c r="W94">
        <v>9.9858000000000002E-2</v>
      </c>
      <c r="X94">
        <v>9.8739999999999994E-2</v>
      </c>
      <c r="Y94">
        <v>9.7673999999999997E-2</v>
      </c>
      <c r="Z94">
        <v>9.6507999999999997E-2</v>
      </c>
      <c r="AA94">
        <v>9.6804000000000001E-2</v>
      </c>
      <c r="AB94">
        <v>9.7110000000000002E-2</v>
      </c>
      <c r="AC94">
        <v>9.7434000000000007E-2</v>
      </c>
      <c r="AD94">
        <v>9.7902000000000003E-2</v>
      </c>
      <c r="AE94">
        <v>9.8548999999999998E-2</v>
      </c>
      <c r="AF94">
        <v>9.9237000000000006E-2</v>
      </c>
      <c r="AG94">
        <v>0.100188</v>
      </c>
      <c r="AH94">
        <v>0.100975</v>
      </c>
      <c r="AI94">
        <v>0.102372</v>
      </c>
      <c r="AJ94">
        <v>0.103662</v>
      </c>
      <c r="AK94">
        <v>0.103967</v>
      </c>
      <c r="AL94">
        <v>0.10491399999999999</v>
      </c>
      <c r="AM94">
        <v>0.105794</v>
      </c>
      <c r="AN94">
        <v>0.106737</v>
      </c>
      <c r="AO94">
        <v>0.107921</v>
      </c>
      <c r="AP94" s="8">
        <v>-5.0000000000000001E-3</v>
      </c>
    </row>
    <row r="95" spans="1:42" x14ac:dyDescent="0.25">
      <c r="A95" t="s">
        <v>59</v>
      </c>
      <c r="B95" t="s">
        <v>123</v>
      </c>
      <c r="C95" t="s">
        <v>349</v>
      </c>
      <c r="D95" t="s">
        <v>45</v>
      </c>
      <c r="H95">
        <v>0.25097399999999997</v>
      </c>
      <c r="I95">
        <v>0.256025</v>
      </c>
      <c r="J95">
        <v>0.26167200000000002</v>
      </c>
      <c r="K95">
        <v>0.244341</v>
      </c>
      <c r="L95">
        <v>0.242426</v>
      </c>
      <c r="M95">
        <v>0.24565999999999999</v>
      </c>
      <c r="N95">
        <v>0.24743499999999999</v>
      </c>
      <c r="O95">
        <v>0.250081</v>
      </c>
      <c r="P95">
        <v>0.25290800000000002</v>
      </c>
      <c r="Q95">
        <v>0.25547900000000001</v>
      </c>
      <c r="R95">
        <v>0.25645099999999998</v>
      </c>
      <c r="S95">
        <v>0.25757000000000002</v>
      </c>
      <c r="T95">
        <v>0.25875100000000001</v>
      </c>
      <c r="U95">
        <v>0.25997799999999999</v>
      </c>
      <c r="V95">
        <v>0.26053399999999999</v>
      </c>
      <c r="W95">
        <v>0.26037300000000002</v>
      </c>
      <c r="X95">
        <v>0.260241</v>
      </c>
      <c r="Y95">
        <v>0.26086399999999998</v>
      </c>
      <c r="Z95">
        <v>0.26164100000000001</v>
      </c>
      <c r="AA95">
        <v>0.26186999999999999</v>
      </c>
      <c r="AB95">
        <v>0.261575</v>
      </c>
      <c r="AC95">
        <v>0.261847</v>
      </c>
      <c r="AD95">
        <v>0.261878</v>
      </c>
      <c r="AE95">
        <v>0.26232800000000001</v>
      </c>
      <c r="AF95">
        <v>0.26311400000000001</v>
      </c>
      <c r="AG95">
        <v>0.26373600000000003</v>
      </c>
      <c r="AH95">
        <v>0.26486199999999999</v>
      </c>
      <c r="AI95">
        <v>0.26646999999999998</v>
      </c>
      <c r="AJ95">
        <v>0.26838899999999999</v>
      </c>
      <c r="AK95">
        <v>0.27032499999999998</v>
      </c>
      <c r="AL95">
        <v>0.27225100000000002</v>
      </c>
      <c r="AM95">
        <v>0.27383299999999999</v>
      </c>
      <c r="AN95">
        <v>0.27539000000000002</v>
      </c>
      <c r="AO95">
        <v>0.27684700000000001</v>
      </c>
      <c r="AP95" s="8">
        <v>8.0000000000000002E-3</v>
      </c>
    </row>
    <row r="96" spans="1:42" x14ac:dyDescent="0.25">
      <c r="A96" t="s">
        <v>22</v>
      </c>
      <c r="B96" t="s">
        <v>122</v>
      </c>
      <c r="C96" t="s">
        <v>348</v>
      </c>
      <c r="D96" t="s">
        <v>45</v>
      </c>
      <c r="H96">
        <v>9.2999999999999997E-5</v>
      </c>
      <c r="I96">
        <v>1.92E-4</v>
      </c>
      <c r="J96">
        <v>9.8999999999999994E-5</v>
      </c>
      <c r="K96">
        <v>1.13E-4</v>
      </c>
      <c r="L96">
        <v>1.21E-4</v>
      </c>
      <c r="M96">
        <v>1.2799999999999999E-4</v>
      </c>
      <c r="N96">
        <v>1.34E-4</v>
      </c>
      <c r="O96">
        <v>1.3799999999999999E-4</v>
      </c>
      <c r="P96">
        <v>1.4300000000000001E-4</v>
      </c>
      <c r="Q96">
        <v>1.4899999999999999E-4</v>
      </c>
      <c r="R96">
        <v>1.56E-4</v>
      </c>
      <c r="S96">
        <v>1.63E-4</v>
      </c>
      <c r="T96">
        <v>1.7100000000000001E-4</v>
      </c>
      <c r="U96">
        <v>1.7799999999999999E-4</v>
      </c>
      <c r="V96">
        <v>1.8599999999999999E-4</v>
      </c>
      <c r="W96">
        <v>1.94E-4</v>
      </c>
      <c r="X96">
        <v>2.02E-4</v>
      </c>
      <c r="Y96">
        <v>2.1100000000000001E-4</v>
      </c>
      <c r="Z96">
        <v>2.2100000000000001E-4</v>
      </c>
      <c r="AA96">
        <v>2.33E-4</v>
      </c>
      <c r="AB96">
        <v>2.4600000000000002E-4</v>
      </c>
      <c r="AC96">
        <v>2.5999999999999998E-4</v>
      </c>
      <c r="AD96">
        <v>2.7500000000000002E-4</v>
      </c>
      <c r="AE96">
        <v>2.92E-4</v>
      </c>
      <c r="AF96">
        <v>3.1100000000000002E-4</v>
      </c>
      <c r="AG96">
        <v>3.3E-4</v>
      </c>
      <c r="AH96">
        <v>3.5E-4</v>
      </c>
      <c r="AI96">
        <v>3.6999999999999999E-4</v>
      </c>
      <c r="AJ96">
        <v>3.9100000000000002E-4</v>
      </c>
      <c r="AK96">
        <v>4.1300000000000001E-4</v>
      </c>
      <c r="AL96">
        <v>4.3600000000000003E-4</v>
      </c>
      <c r="AM96">
        <v>4.6000000000000001E-4</v>
      </c>
      <c r="AN96">
        <v>4.86E-4</v>
      </c>
      <c r="AO96">
        <v>5.1199999999999998E-4</v>
      </c>
      <c r="AP96" s="8">
        <v>0.11</v>
      </c>
    </row>
    <row r="97" spans="1:42" x14ac:dyDescent="0.25">
      <c r="A97" t="s">
        <v>8</v>
      </c>
      <c r="B97" t="s">
        <v>121</v>
      </c>
      <c r="C97" t="s">
        <v>347</v>
      </c>
      <c r="D97" t="s">
        <v>45</v>
      </c>
      <c r="H97">
        <v>1.416317</v>
      </c>
      <c r="I97">
        <v>1.405308</v>
      </c>
      <c r="J97">
        <v>1.3741989999999999</v>
      </c>
      <c r="K97">
        <v>1.3684879999999999</v>
      </c>
      <c r="L97">
        <v>1.3921559999999999</v>
      </c>
      <c r="M97">
        <v>1.398919</v>
      </c>
      <c r="N97">
        <v>1.3988160000000001</v>
      </c>
      <c r="O97">
        <v>1.3994880000000001</v>
      </c>
      <c r="P97">
        <v>1.395967</v>
      </c>
      <c r="Q97">
        <v>1.3951849999999999</v>
      </c>
      <c r="R97">
        <v>1.393964</v>
      </c>
      <c r="S97">
        <v>1.3969229999999999</v>
      </c>
      <c r="T97">
        <v>1.4022650000000001</v>
      </c>
      <c r="U97">
        <v>1.3976980000000001</v>
      </c>
      <c r="V97">
        <v>1.4008130000000001</v>
      </c>
      <c r="W97">
        <v>1.408037</v>
      </c>
      <c r="X97">
        <v>1.4185410000000001</v>
      </c>
      <c r="Y97">
        <v>1.4287350000000001</v>
      </c>
      <c r="Z97">
        <v>1.4394039999999999</v>
      </c>
      <c r="AA97">
        <v>1.45157</v>
      </c>
      <c r="AB97">
        <v>1.4653099999999999</v>
      </c>
      <c r="AC97">
        <v>1.478799</v>
      </c>
      <c r="AD97">
        <v>1.4932030000000001</v>
      </c>
      <c r="AE97">
        <v>1.509833</v>
      </c>
      <c r="AF97">
        <v>1.5259419999999999</v>
      </c>
      <c r="AG97">
        <v>1.5403210000000001</v>
      </c>
      <c r="AH97">
        <v>1.5573109999999999</v>
      </c>
      <c r="AI97">
        <v>1.5746899999999999</v>
      </c>
      <c r="AJ97">
        <v>1.5930059999999999</v>
      </c>
      <c r="AK97">
        <v>1.611267</v>
      </c>
      <c r="AL97">
        <v>1.630911</v>
      </c>
      <c r="AM97">
        <v>1.6537249999999999</v>
      </c>
      <c r="AN97">
        <v>1.675179</v>
      </c>
      <c r="AO97">
        <v>1.6956880000000001</v>
      </c>
      <c r="AP97" s="8">
        <v>3.0000000000000001E-3</v>
      </c>
    </row>
    <row r="98" spans="1:42" x14ac:dyDescent="0.25">
      <c r="A98" t="s">
        <v>120</v>
      </c>
      <c r="B98" t="s">
        <v>119</v>
      </c>
      <c r="C98" t="s">
        <v>346</v>
      </c>
      <c r="D98" t="s">
        <v>45</v>
      </c>
      <c r="H98">
        <v>9.4579419999999992</v>
      </c>
      <c r="I98">
        <v>9.6013710000000003</v>
      </c>
      <c r="J98">
        <v>9.6055220000000006</v>
      </c>
      <c r="K98">
        <v>9.5629729999999995</v>
      </c>
      <c r="L98">
        <v>9.6073210000000007</v>
      </c>
      <c r="M98">
        <v>9.5506639999999994</v>
      </c>
      <c r="N98">
        <v>9.509798</v>
      </c>
      <c r="O98">
        <v>9.4141209999999997</v>
      </c>
      <c r="P98">
        <v>9.304646</v>
      </c>
      <c r="Q98">
        <v>9.2608470000000001</v>
      </c>
      <c r="R98">
        <v>9.2041850000000007</v>
      </c>
      <c r="S98">
        <v>9.155799</v>
      </c>
      <c r="T98">
        <v>9.1274250000000006</v>
      </c>
      <c r="U98">
        <v>8.9820879999999992</v>
      </c>
      <c r="V98">
        <v>8.9578050000000005</v>
      </c>
      <c r="W98">
        <v>8.9680739999999997</v>
      </c>
      <c r="X98">
        <v>8.9157229999999998</v>
      </c>
      <c r="Y98">
        <v>8.944369</v>
      </c>
      <c r="Z98">
        <v>8.9463889999999999</v>
      </c>
      <c r="AA98">
        <v>8.9417720000000003</v>
      </c>
      <c r="AB98">
        <v>8.9588359999999998</v>
      </c>
      <c r="AC98">
        <v>8.9958189999999991</v>
      </c>
      <c r="AD98">
        <v>9.0387350000000009</v>
      </c>
      <c r="AE98">
        <v>9.09985</v>
      </c>
      <c r="AF98">
        <v>9.158785</v>
      </c>
      <c r="AG98">
        <v>9.2112770000000008</v>
      </c>
      <c r="AH98">
        <v>9.2752520000000001</v>
      </c>
      <c r="AI98">
        <v>9.3348580000000005</v>
      </c>
      <c r="AJ98">
        <v>9.4398569999999999</v>
      </c>
      <c r="AK98">
        <v>9.4924780000000002</v>
      </c>
      <c r="AL98">
        <v>9.6017949999999992</v>
      </c>
      <c r="AM98">
        <v>9.6990010000000009</v>
      </c>
      <c r="AN98">
        <v>9.7796959999999995</v>
      </c>
      <c r="AO98">
        <v>9.8406140000000004</v>
      </c>
      <c r="AP98" s="8">
        <v>1E-3</v>
      </c>
    </row>
    <row r="99" spans="1:42" x14ac:dyDescent="0.25">
      <c r="A99" t="s">
        <v>118</v>
      </c>
      <c r="B99" t="s">
        <v>117</v>
      </c>
      <c r="C99" t="s">
        <v>345</v>
      </c>
      <c r="D99" t="s">
        <v>45</v>
      </c>
      <c r="H99">
        <v>2.1446800000000001</v>
      </c>
      <c r="I99">
        <v>2.1816170000000001</v>
      </c>
      <c r="J99">
        <v>2.0417990000000001</v>
      </c>
      <c r="K99">
        <v>2.0237940000000001</v>
      </c>
      <c r="L99">
        <v>2.0267330000000001</v>
      </c>
      <c r="M99">
        <v>1.9718279999999999</v>
      </c>
      <c r="N99">
        <v>1.8890990000000001</v>
      </c>
      <c r="O99">
        <v>1.807579</v>
      </c>
      <c r="P99">
        <v>1.7355670000000001</v>
      </c>
      <c r="Q99">
        <v>1.620655</v>
      </c>
      <c r="R99">
        <v>1.573113</v>
      </c>
      <c r="S99">
        <v>1.5893809999999999</v>
      </c>
      <c r="T99">
        <v>1.5853299999999999</v>
      </c>
      <c r="U99">
        <v>1.5474380000000001</v>
      </c>
      <c r="V99">
        <v>1.5286930000000001</v>
      </c>
      <c r="W99">
        <v>1.520937</v>
      </c>
      <c r="X99">
        <v>1.5368470000000001</v>
      </c>
      <c r="Y99">
        <v>1.5541229999999999</v>
      </c>
      <c r="Z99">
        <v>1.5523400000000001</v>
      </c>
      <c r="AA99">
        <v>1.56897</v>
      </c>
      <c r="AB99">
        <v>1.5783700000000001</v>
      </c>
      <c r="AC99">
        <v>1.5904590000000001</v>
      </c>
      <c r="AD99">
        <v>1.621176</v>
      </c>
      <c r="AE99">
        <v>1.6214660000000001</v>
      </c>
      <c r="AF99">
        <v>1.6513659999999999</v>
      </c>
      <c r="AG99">
        <v>1.662218</v>
      </c>
      <c r="AH99">
        <v>1.673322</v>
      </c>
      <c r="AI99">
        <v>1.6814119999999999</v>
      </c>
      <c r="AJ99">
        <v>1.729295</v>
      </c>
      <c r="AK99">
        <v>1.7849170000000001</v>
      </c>
      <c r="AL99">
        <v>1.8398570000000001</v>
      </c>
      <c r="AM99">
        <v>1.864717</v>
      </c>
      <c r="AN99">
        <v>1.901114</v>
      </c>
      <c r="AO99">
        <v>1.9378610000000001</v>
      </c>
      <c r="AP99" s="8">
        <v>1E-3</v>
      </c>
    </row>
    <row r="100" spans="1:42" x14ac:dyDescent="0.25">
      <c r="A100" t="s">
        <v>32</v>
      </c>
      <c r="B100" t="s">
        <v>116</v>
      </c>
      <c r="C100" t="s">
        <v>344</v>
      </c>
      <c r="D100" t="s">
        <v>45</v>
      </c>
      <c r="H100">
        <v>11.602620999999999</v>
      </c>
      <c r="I100">
        <v>11.782988</v>
      </c>
      <c r="J100">
        <v>11.647321</v>
      </c>
      <c r="K100">
        <v>11.586767</v>
      </c>
      <c r="L100">
        <v>11.634054000000001</v>
      </c>
      <c r="M100">
        <v>11.522492</v>
      </c>
      <c r="N100">
        <v>11.398897</v>
      </c>
      <c r="O100">
        <v>11.2217</v>
      </c>
      <c r="P100">
        <v>11.040213</v>
      </c>
      <c r="Q100">
        <v>10.881501999999999</v>
      </c>
      <c r="R100">
        <v>10.777297000000001</v>
      </c>
      <c r="S100">
        <v>10.74518</v>
      </c>
      <c r="T100">
        <v>10.712755</v>
      </c>
      <c r="U100">
        <v>10.529526000000001</v>
      </c>
      <c r="V100">
        <v>10.486497999999999</v>
      </c>
      <c r="W100">
        <v>10.489011</v>
      </c>
      <c r="X100">
        <v>10.45257</v>
      </c>
      <c r="Y100">
        <v>10.498492000000001</v>
      </c>
      <c r="Z100">
        <v>10.49873</v>
      </c>
      <c r="AA100">
        <v>10.510743</v>
      </c>
      <c r="AB100">
        <v>10.537205999999999</v>
      </c>
      <c r="AC100">
        <v>10.586278</v>
      </c>
      <c r="AD100">
        <v>10.659912</v>
      </c>
      <c r="AE100">
        <v>10.721315000000001</v>
      </c>
      <c r="AF100">
        <v>10.81015</v>
      </c>
      <c r="AG100">
        <v>10.873495</v>
      </c>
      <c r="AH100">
        <v>10.948574000000001</v>
      </c>
      <c r="AI100">
        <v>11.01627</v>
      </c>
      <c r="AJ100">
        <v>11.169152</v>
      </c>
      <c r="AK100">
        <v>11.277395</v>
      </c>
      <c r="AL100">
        <v>11.441651999999999</v>
      </c>
      <c r="AM100">
        <v>11.563719000000001</v>
      </c>
      <c r="AN100">
        <v>11.680811</v>
      </c>
      <c r="AO100">
        <v>11.778475</v>
      </c>
      <c r="AP100" s="8">
        <v>1E-3</v>
      </c>
    </row>
    <row r="101" spans="1:42" x14ac:dyDescent="0.25">
      <c r="A101" t="s">
        <v>115</v>
      </c>
      <c r="C101" t="s">
        <v>343</v>
      </c>
    </row>
    <row r="102" spans="1:42" x14ac:dyDescent="0.25">
      <c r="A102" t="s">
        <v>94</v>
      </c>
      <c r="B102" t="s">
        <v>114</v>
      </c>
      <c r="C102" t="s">
        <v>342</v>
      </c>
      <c r="D102" t="s">
        <v>45</v>
      </c>
      <c r="H102">
        <v>1.772E-2</v>
      </c>
      <c r="I102">
        <v>1.7597000000000002E-2</v>
      </c>
      <c r="J102">
        <v>1.7128999999999998E-2</v>
      </c>
      <c r="K102">
        <v>1.6296000000000001E-2</v>
      </c>
      <c r="L102">
        <v>1.6226999999999998E-2</v>
      </c>
      <c r="M102">
        <v>1.6053999999999999E-2</v>
      </c>
      <c r="N102">
        <v>1.5882E-2</v>
      </c>
      <c r="O102">
        <v>1.5613E-2</v>
      </c>
      <c r="P102">
        <v>1.5442000000000001E-2</v>
      </c>
      <c r="Q102">
        <v>1.5117E-2</v>
      </c>
      <c r="R102">
        <v>1.495E-2</v>
      </c>
      <c r="S102">
        <v>1.4857E-2</v>
      </c>
      <c r="T102">
        <v>1.4754E-2</v>
      </c>
      <c r="U102">
        <v>1.4546E-2</v>
      </c>
      <c r="V102">
        <v>1.4492E-2</v>
      </c>
      <c r="W102">
        <v>1.4441000000000001E-2</v>
      </c>
      <c r="X102">
        <v>1.4338999999999999E-2</v>
      </c>
      <c r="Y102">
        <v>1.4303E-2</v>
      </c>
      <c r="Z102">
        <v>1.4269E-2</v>
      </c>
      <c r="AA102">
        <v>1.4151E-2</v>
      </c>
      <c r="AB102">
        <v>1.4E-2</v>
      </c>
      <c r="AC102">
        <v>1.3901999999999999E-2</v>
      </c>
      <c r="AD102">
        <v>1.3792E-2</v>
      </c>
      <c r="AE102">
        <v>1.3679E-2</v>
      </c>
      <c r="AF102">
        <v>1.3224E-2</v>
      </c>
      <c r="AG102">
        <v>1.2725999999999999E-2</v>
      </c>
      <c r="AH102">
        <v>1.2236E-2</v>
      </c>
      <c r="AI102">
        <v>1.1727E-2</v>
      </c>
      <c r="AJ102">
        <v>1.1216E-2</v>
      </c>
      <c r="AK102">
        <v>1.1341E-2</v>
      </c>
      <c r="AL102">
        <v>1.1472E-2</v>
      </c>
      <c r="AM102">
        <v>1.163E-2</v>
      </c>
      <c r="AN102">
        <v>1.1771999999999999E-2</v>
      </c>
      <c r="AO102">
        <v>1.2E-2</v>
      </c>
      <c r="AP102" s="8">
        <v>-1.4E-2</v>
      </c>
    </row>
    <row r="103" spans="1:42" x14ac:dyDescent="0.25">
      <c r="A103" t="s">
        <v>92</v>
      </c>
      <c r="B103" t="s">
        <v>113</v>
      </c>
      <c r="C103" t="s">
        <v>341</v>
      </c>
      <c r="D103" t="s">
        <v>45</v>
      </c>
      <c r="H103">
        <v>5.6840000000000002E-2</v>
      </c>
      <c r="I103">
        <v>3.9690999999999997E-2</v>
      </c>
      <c r="J103">
        <v>3.7597999999999999E-2</v>
      </c>
      <c r="K103">
        <v>3.5056999999999998E-2</v>
      </c>
      <c r="L103">
        <v>3.4876999999999998E-2</v>
      </c>
      <c r="M103">
        <v>3.4261E-2</v>
      </c>
      <c r="N103">
        <v>3.3477E-2</v>
      </c>
      <c r="O103">
        <v>3.2705999999999999E-2</v>
      </c>
      <c r="P103">
        <v>3.1842000000000002E-2</v>
      </c>
      <c r="Q103">
        <v>3.1036000000000001E-2</v>
      </c>
      <c r="R103">
        <v>3.0228999999999999E-2</v>
      </c>
      <c r="S103">
        <v>2.9506999999999999E-2</v>
      </c>
      <c r="T103">
        <v>2.8835E-2</v>
      </c>
      <c r="U103">
        <v>2.7951E-2</v>
      </c>
      <c r="V103">
        <v>2.7584000000000001E-2</v>
      </c>
      <c r="W103">
        <v>2.7290999999999999E-2</v>
      </c>
      <c r="X103">
        <v>2.7059E-2</v>
      </c>
      <c r="Y103">
        <v>2.6814000000000001E-2</v>
      </c>
      <c r="Z103">
        <v>2.6572999999999999E-2</v>
      </c>
      <c r="AA103">
        <v>2.5812999999999999E-2</v>
      </c>
      <c r="AB103">
        <v>2.5072000000000001E-2</v>
      </c>
      <c r="AC103">
        <v>2.4303000000000002E-2</v>
      </c>
      <c r="AD103">
        <v>2.3529000000000001E-2</v>
      </c>
      <c r="AE103">
        <v>2.2772000000000001E-2</v>
      </c>
      <c r="AF103">
        <v>2.0326E-2</v>
      </c>
      <c r="AG103">
        <v>1.7794999999999998E-2</v>
      </c>
      <c r="AH103">
        <v>1.5247E-2</v>
      </c>
      <c r="AI103">
        <v>1.2635E-2</v>
      </c>
      <c r="AJ103">
        <v>9.9799999999999993E-3</v>
      </c>
      <c r="AK103">
        <v>1.0090999999999999E-2</v>
      </c>
      <c r="AL103">
        <v>1.0215999999999999E-2</v>
      </c>
      <c r="AM103">
        <v>1.0357E-2</v>
      </c>
      <c r="AN103">
        <v>1.0489999999999999E-2</v>
      </c>
      <c r="AO103">
        <v>1.0621E-2</v>
      </c>
      <c r="AP103" s="8">
        <v>-4.3999999999999997E-2</v>
      </c>
    </row>
    <row r="104" spans="1:42" x14ac:dyDescent="0.25">
      <c r="A104" t="s">
        <v>86</v>
      </c>
      <c r="B104" t="s">
        <v>112</v>
      </c>
      <c r="C104" t="s">
        <v>340</v>
      </c>
      <c r="D104" t="s">
        <v>45</v>
      </c>
      <c r="H104">
        <v>7.4560000000000001E-2</v>
      </c>
      <c r="I104">
        <v>5.7287999999999999E-2</v>
      </c>
      <c r="J104">
        <v>5.4725999999999997E-2</v>
      </c>
      <c r="K104">
        <v>5.1352000000000002E-2</v>
      </c>
      <c r="L104">
        <v>5.1103999999999997E-2</v>
      </c>
      <c r="M104">
        <v>5.0314999999999999E-2</v>
      </c>
      <c r="N104">
        <v>4.9359E-2</v>
      </c>
      <c r="O104">
        <v>4.8320000000000002E-2</v>
      </c>
      <c r="P104">
        <v>4.7284E-2</v>
      </c>
      <c r="Q104">
        <v>4.6153E-2</v>
      </c>
      <c r="R104">
        <v>4.5178000000000003E-2</v>
      </c>
      <c r="S104">
        <v>4.4364000000000001E-2</v>
      </c>
      <c r="T104">
        <v>4.3589000000000003E-2</v>
      </c>
      <c r="U104">
        <v>4.2497E-2</v>
      </c>
      <c r="V104">
        <v>4.2076000000000002E-2</v>
      </c>
      <c r="W104">
        <v>4.1731999999999998E-2</v>
      </c>
      <c r="X104">
        <v>4.1397000000000003E-2</v>
      </c>
      <c r="Y104">
        <v>4.1116E-2</v>
      </c>
      <c r="Z104">
        <v>4.0842999999999997E-2</v>
      </c>
      <c r="AA104">
        <v>3.9962999999999999E-2</v>
      </c>
      <c r="AB104">
        <v>3.9071000000000002E-2</v>
      </c>
      <c r="AC104">
        <v>3.8205999999999997E-2</v>
      </c>
      <c r="AD104">
        <v>3.7321E-2</v>
      </c>
      <c r="AE104">
        <v>3.6450999999999997E-2</v>
      </c>
      <c r="AF104">
        <v>3.3550000000000003E-2</v>
      </c>
      <c r="AG104">
        <v>3.0521E-2</v>
      </c>
      <c r="AH104">
        <v>2.7483E-2</v>
      </c>
      <c r="AI104">
        <v>2.4362000000000002E-2</v>
      </c>
      <c r="AJ104">
        <v>2.1196E-2</v>
      </c>
      <c r="AK104">
        <v>2.1432E-2</v>
      </c>
      <c r="AL104">
        <v>2.1687999999999999E-2</v>
      </c>
      <c r="AM104">
        <v>2.1987E-2</v>
      </c>
      <c r="AN104">
        <v>2.2262000000000001E-2</v>
      </c>
      <c r="AO104">
        <v>2.2620999999999999E-2</v>
      </c>
      <c r="AP104" s="8">
        <v>-3.1E-2</v>
      </c>
    </row>
    <row r="105" spans="1:42" x14ac:dyDescent="0.25">
      <c r="A105" t="s">
        <v>10</v>
      </c>
      <c r="B105" t="s">
        <v>111</v>
      </c>
      <c r="C105" t="s">
        <v>339</v>
      </c>
      <c r="D105" t="s">
        <v>45</v>
      </c>
      <c r="H105">
        <v>0.84089999999999998</v>
      </c>
      <c r="I105">
        <v>0.87354200000000004</v>
      </c>
      <c r="J105">
        <v>0.83400300000000005</v>
      </c>
      <c r="K105">
        <v>0.73592500000000005</v>
      </c>
      <c r="L105">
        <v>0.790238</v>
      </c>
      <c r="M105">
        <v>0.77329700000000001</v>
      </c>
      <c r="N105">
        <v>0.72329900000000003</v>
      </c>
      <c r="O105">
        <v>0.66938699999999995</v>
      </c>
      <c r="P105">
        <v>0.69303300000000001</v>
      </c>
      <c r="Q105">
        <v>0.74800699999999998</v>
      </c>
      <c r="R105">
        <v>0.69330099999999995</v>
      </c>
      <c r="S105">
        <v>0.69889599999999996</v>
      </c>
      <c r="T105">
        <v>0.65649299999999999</v>
      </c>
      <c r="U105">
        <v>0.58150900000000005</v>
      </c>
      <c r="V105">
        <v>0.55499799999999999</v>
      </c>
      <c r="W105">
        <v>0.54058499999999998</v>
      </c>
      <c r="X105">
        <v>0.54008299999999998</v>
      </c>
      <c r="Y105">
        <v>0.54901999999999995</v>
      </c>
      <c r="Z105">
        <v>0.54795099999999997</v>
      </c>
      <c r="AA105">
        <v>0.55518800000000001</v>
      </c>
      <c r="AB105">
        <v>0.54962800000000001</v>
      </c>
      <c r="AC105">
        <v>0.54758399999999996</v>
      </c>
      <c r="AD105">
        <v>0.56743200000000005</v>
      </c>
      <c r="AE105">
        <v>0.55697300000000005</v>
      </c>
      <c r="AF105">
        <v>0.56365100000000001</v>
      </c>
      <c r="AG105">
        <v>0.53064100000000003</v>
      </c>
      <c r="AH105">
        <v>0.52889600000000003</v>
      </c>
      <c r="AI105">
        <v>0.53172900000000001</v>
      </c>
      <c r="AJ105">
        <v>0.53484399999999999</v>
      </c>
      <c r="AK105">
        <v>0.54242599999999996</v>
      </c>
      <c r="AL105">
        <v>0.54967699999999997</v>
      </c>
      <c r="AM105">
        <v>0.55855999999999995</v>
      </c>
      <c r="AN105">
        <v>0.56771899999999997</v>
      </c>
      <c r="AO105">
        <v>0.56447899999999995</v>
      </c>
      <c r="AP105" s="8">
        <v>-0.01</v>
      </c>
    </row>
    <row r="106" spans="1:42" x14ac:dyDescent="0.25">
      <c r="A106" t="s">
        <v>110</v>
      </c>
      <c r="B106" t="s">
        <v>109</v>
      </c>
      <c r="C106" t="s">
        <v>338</v>
      </c>
      <c r="D106" t="s">
        <v>45</v>
      </c>
      <c r="H106">
        <v>0.10199999999999999</v>
      </c>
      <c r="I106">
        <v>0.13295299999999999</v>
      </c>
      <c r="J106">
        <v>0.10713</v>
      </c>
      <c r="K106">
        <v>0.11367099999999999</v>
      </c>
      <c r="L106">
        <v>5.4925000000000002E-2</v>
      </c>
      <c r="M106">
        <v>5.1463000000000002E-2</v>
      </c>
      <c r="N106">
        <v>5.1935000000000002E-2</v>
      </c>
      <c r="O106">
        <v>5.2464999999999998E-2</v>
      </c>
      <c r="P106">
        <v>5.5495999999999997E-2</v>
      </c>
      <c r="Q106">
        <v>1.8754E-2</v>
      </c>
      <c r="R106">
        <v>1.8532E-2</v>
      </c>
      <c r="S106">
        <v>1.8366E-2</v>
      </c>
      <c r="T106">
        <v>1.823E-2</v>
      </c>
      <c r="U106">
        <v>1.7961999999999999E-2</v>
      </c>
      <c r="V106">
        <v>1.789E-2</v>
      </c>
      <c r="W106">
        <v>1.7868999999999999E-2</v>
      </c>
      <c r="X106">
        <v>1.7885999999999999E-2</v>
      </c>
      <c r="Y106">
        <v>1.7899000000000002E-2</v>
      </c>
      <c r="Z106">
        <v>1.7919000000000001E-2</v>
      </c>
      <c r="AA106">
        <v>1.7808999999999998E-2</v>
      </c>
      <c r="AB106">
        <v>1.7721000000000001E-2</v>
      </c>
      <c r="AC106">
        <v>1.7621000000000001E-2</v>
      </c>
      <c r="AD106">
        <v>1.7527000000000001E-2</v>
      </c>
      <c r="AE106">
        <v>1.7454000000000001E-2</v>
      </c>
      <c r="AF106">
        <v>1.6933E-2</v>
      </c>
      <c r="AG106">
        <v>1.6376999999999999E-2</v>
      </c>
      <c r="AH106">
        <v>1.5837E-2</v>
      </c>
      <c r="AI106">
        <v>1.5283E-2</v>
      </c>
      <c r="AJ106">
        <v>1.4723E-2</v>
      </c>
      <c r="AK106">
        <v>1.4892000000000001E-2</v>
      </c>
      <c r="AL106">
        <v>1.5076000000000001E-2</v>
      </c>
      <c r="AM106">
        <v>1.5285999999999999E-2</v>
      </c>
      <c r="AN106">
        <v>1.5481999999999999E-2</v>
      </c>
      <c r="AO106">
        <v>1.5675000000000001E-2</v>
      </c>
      <c r="AP106" s="8">
        <v>-7.0999999999999994E-2</v>
      </c>
    </row>
    <row r="107" spans="1:42" x14ac:dyDescent="0.25">
      <c r="A107" t="s">
        <v>63</v>
      </c>
      <c r="B107" t="s">
        <v>108</v>
      </c>
      <c r="C107" t="s">
        <v>337</v>
      </c>
      <c r="D107" t="s">
        <v>45</v>
      </c>
      <c r="H107">
        <v>0.28512100000000001</v>
      </c>
      <c r="I107">
        <v>0.28783300000000001</v>
      </c>
      <c r="J107">
        <v>0.28642200000000001</v>
      </c>
      <c r="K107">
        <v>0.28597699999999998</v>
      </c>
      <c r="L107">
        <v>0.28554000000000002</v>
      </c>
      <c r="M107">
        <v>0.28510200000000002</v>
      </c>
      <c r="N107">
        <v>0.28510200000000002</v>
      </c>
      <c r="O107">
        <v>0.28510200000000002</v>
      </c>
      <c r="P107">
        <v>0.19065199999999999</v>
      </c>
      <c r="Q107">
        <v>9.5815999999999998E-2</v>
      </c>
      <c r="R107">
        <v>9.5815999999999998E-2</v>
      </c>
      <c r="S107">
        <v>9.5815999999999998E-2</v>
      </c>
      <c r="T107">
        <v>9.5815999999999998E-2</v>
      </c>
      <c r="U107">
        <v>9.5815999999999998E-2</v>
      </c>
      <c r="V107">
        <v>9.5815999999999998E-2</v>
      </c>
      <c r="W107">
        <v>9.5815999999999998E-2</v>
      </c>
      <c r="X107">
        <v>9.5815999999999998E-2</v>
      </c>
      <c r="Y107">
        <v>9.5815999999999998E-2</v>
      </c>
      <c r="Z107">
        <v>9.5815999999999998E-2</v>
      </c>
      <c r="AA107">
        <v>9.5815999999999998E-2</v>
      </c>
      <c r="AB107">
        <v>9.5815999999999998E-2</v>
      </c>
      <c r="AC107">
        <v>9.5815999999999998E-2</v>
      </c>
      <c r="AD107">
        <v>9.5815999999999998E-2</v>
      </c>
      <c r="AE107">
        <v>9.5815999999999998E-2</v>
      </c>
      <c r="AF107">
        <v>9.5815999999999998E-2</v>
      </c>
      <c r="AG107">
        <v>9.5815999999999998E-2</v>
      </c>
      <c r="AH107">
        <v>9.5815999999999998E-2</v>
      </c>
      <c r="AI107">
        <v>9.5815999999999998E-2</v>
      </c>
      <c r="AJ107">
        <v>9.5815999999999998E-2</v>
      </c>
      <c r="AK107">
        <v>9.5815999999999998E-2</v>
      </c>
      <c r="AL107">
        <v>9.5815999999999998E-2</v>
      </c>
      <c r="AM107">
        <v>9.5815999999999998E-2</v>
      </c>
      <c r="AN107">
        <v>9.5815999999999998E-2</v>
      </c>
      <c r="AO107">
        <v>9.5815999999999998E-2</v>
      </c>
      <c r="AP107" s="8">
        <v>-3.2000000000000001E-2</v>
      </c>
    </row>
    <row r="108" spans="1:42" x14ac:dyDescent="0.25">
      <c r="A108" t="s">
        <v>59</v>
      </c>
      <c r="B108" t="s">
        <v>107</v>
      </c>
      <c r="C108" t="s">
        <v>336</v>
      </c>
      <c r="D108" t="s">
        <v>45</v>
      </c>
      <c r="H108">
        <v>2.237088</v>
      </c>
      <c r="I108">
        <v>2.2146520000000001</v>
      </c>
      <c r="J108">
        <v>2.1159949999999998</v>
      </c>
      <c r="K108">
        <v>2.1845270000000001</v>
      </c>
      <c r="L108">
        <v>2.2174</v>
      </c>
      <c r="M108">
        <v>2.1920410000000001</v>
      </c>
      <c r="N108">
        <v>2.1601620000000001</v>
      </c>
      <c r="O108">
        <v>2.1331669999999998</v>
      </c>
      <c r="P108">
        <v>2.1273200000000001</v>
      </c>
      <c r="Q108">
        <v>2.089013</v>
      </c>
      <c r="R108">
        <v>2.0951810000000002</v>
      </c>
      <c r="S108">
        <v>2.1093060000000001</v>
      </c>
      <c r="T108">
        <v>2.154134</v>
      </c>
      <c r="U108">
        <v>2.1873580000000001</v>
      </c>
      <c r="V108">
        <v>2.1993429999999998</v>
      </c>
      <c r="W108">
        <v>2.2130070000000002</v>
      </c>
      <c r="X108">
        <v>2.24024</v>
      </c>
      <c r="Y108">
        <v>2.2583769999999999</v>
      </c>
      <c r="Z108">
        <v>2.2687300000000001</v>
      </c>
      <c r="AA108">
        <v>2.2916349999999999</v>
      </c>
      <c r="AB108">
        <v>2.321402</v>
      </c>
      <c r="AC108">
        <v>2.3500860000000001</v>
      </c>
      <c r="AD108">
        <v>2.3762660000000002</v>
      </c>
      <c r="AE108">
        <v>2.404639</v>
      </c>
      <c r="AF108">
        <v>2.4472700000000001</v>
      </c>
      <c r="AG108">
        <v>2.5092020000000002</v>
      </c>
      <c r="AH108">
        <v>2.5427240000000002</v>
      </c>
      <c r="AI108">
        <v>2.5691440000000001</v>
      </c>
      <c r="AJ108">
        <v>2.6360260000000002</v>
      </c>
      <c r="AK108">
        <v>2.7022529999999998</v>
      </c>
      <c r="AL108">
        <v>2.769307</v>
      </c>
      <c r="AM108">
        <v>2.807788</v>
      </c>
      <c r="AN108">
        <v>2.856115</v>
      </c>
      <c r="AO108">
        <v>2.9161679999999999</v>
      </c>
      <c r="AP108" s="8">
        <v>0.01</v>
      </c>
    </row>
    <row r="109" spans="1:42" x14ac:dyDescent="0.25">
      <c r="A109" t="s">
        <v>56</v>
      </c>
      <c r="B109" t="s">
        <v>106</v>
      </c>
      <c r="C109" t="s">
        <v>335</v>
      </c>
      <c r="D109" t="s">
        <v>45</v>
      </c>
      <c r="H109">
        <v>5.5599999999999998E-3</v>
      </c>
      <c r="I109">
        <v>5.5599999999999998E-3</v>
      </c>
      <c r="J109">
        <v>5.2700000000000004E-3</v>
      </c>
      <c r="K109">
        <v>5.2700000000000004E-3</v>
      </c>
      <c r="L109">
        <v>5.2700000000000004E-3</v>
      </c>
      <c r="M109">
        <v>5.2700000000000004E-3</v>
      </c>
      <c r="N109">
        <v>5.2700000000000004E-3</v>
      </c>
      <c r="O109">
        <v>5.2700000000000004E-3</v>
      </c>
      <c r="P109">
        <v>5.2700000000000004E-3</v>
      </c>
      <c r="Q109">
        <v>5.2700000000000004E-3</v>
      </c>
      <c r="R109">
        <v>5.2700000000000004E-3</v>
      </c>
      <c r="S109">
        <v>5.2700000000000004E-3</v>
      </c>
      <c r="T109">
        <v>5.2700000000000004E-3</v>
      </c>
      <c r="U109">
        <v>5.2700000000000004E-3</v>
      </c>
      <c r="V109">
        <v>5.2700000000000004E-3</v>
      </c>
      <c r="W109">
        <v>5.2700000000000004E-3</v>
      </c>
      <c r="X109">
        <v>5.2700000000000004E-3</v>
      </c>
      <c r="Y109">
        <v>5.2700000000000004E-3</v>
      </c>
      <c r="Z109">
        <v>5.2700000000000004E-3</v>
      </c>
      <c r="AA109">
        <v>5.2700000000000004E-3</v>
      </c>
      <c r="AB109">
        <v>5.2700000000000004E-3</v>
      </c>
      <c r="AC109">
        <v>5.2700000000000004E-3</v>
      </c>
      <c r="AD109">
        <v>5.2700000000000004E-3</v>
      </c>
      <c r="AE109">
        <v>5.2700000000000004E-3</v>
      </c>
      <c r="AF109">
        <v>5.2700000000000004E-3</v>
      </c>
      <c r="AG109">
        <v>5.2700000000000004E-3</v>
      </c>
      <c r="AH109">
        <v>5.2700000000000004E-3</v>
      </c>
      <c r="AI109">
        <v>5.2700000000000004E-3</v>
      </c>
      <c r="AJ109">
        <v>5.2700000000000004E-3</v>
      </c>
      <c r="AK109">
        <v>5.2700000000000004E-3</v>
      </c>
      <c r="AL109">
        <v>5.2700000000000004E-3</v>
      </c>
      <c r="AM109">
        <v>5.2700000000000004E-3</v>
      </c>
      <c r="AN109">
        <v>5.2700000000000004E-3</v>
      </c>
      <c r="AO109">
        <v>5.2700000000000004E-3</v>
      </c>
      <c r="AP109" s="8">
        <v>0</v>
      </c>
    </row>
    <row r="110" spans="1:42" x14ac:dyDescent="0.25">
      <c r="A110" t="s">
        <v>54</v>
      </c>
      <c r="B110" t="s">
        <v>105</v>
      </c>
      <c r="C110" t="s">
        <v>334</v>
      </c>
      <c r="D110" t="s">
        <v>45</v>
      </c>
      <c r="H110">
        <v>1.5768999999999998E-2</v>
      </c>
      <c r="I110">
        <v>1.5095000000000001E-2</v>
      </c>
      <c r="J110">
        <v>1.2452E-2</v>
      </c>
      <c r="K110">
        <v>1.5561E-2</v>
      </c>
      <c r="L110">
        <v>1.4413E-2</v>
      </c>
      <c r="M110">
        <v>1.3258000000000001E-2</v>
      </c>
      <c r="N110">
        <v>1.2787E-2</v>
      </c>
      <c r="O110">
        <v>1.3355000000000001E-2</v>
      </c>
      <c r="P110">
        <v>1.248E-2</v>
      </c>
      <c r="Q110">
        <v>1.2828000000000001E-2</v>
      </c>
      <c r="R110">
        <v>1.3797E-2</v>
      </c>
      <c r="S110">
        <v>1.4286E-2</v>
      </c>
      <c r="T110">
        <v>1.4063000000000001E-2</v>
      </c>
      <c r="U110">
        <v>1.4723E-2</v>
      </c>
      <c r="V110">
        <v>1.4113000000000001E-2</v>
      </c>
      <c r="W110">
        <v>1.4696000000000001E-2</v>
      </c>
      <c r="X110">
        <v>1.4696000000000001E-2</v>
      </c>
      <c r="Y110">
        <v>1.5358999999999999E-2</v>
      </c>
      <c r="Z110">
        <v>1.5216E-2</v>
      </c>
      <c r="AA110">
        <v>1.4859000000000001E-2</v>
      </c>
      <c r="AB110">
        <v>1.4772E-2</v>
      </c>
      <c r="AC110">
        <v>1.4674E-2</v>
      </c>
      <c r="AD110">
        <v>1.4748000000000001E-2</v>
      </c>
      <c r="AE110">
        <v>1.4695E-2</v>
      </c>
      <c r="AF110">
        <v>1.4818E-2</v>
      </c>
      <c r="AG110">
        <v>1.4713E-2</v>
      </c>
      <c r="AH110">
        <v>1.4607E-2</v>
      </c>
      <c r="AI110">
        <v>1.4498E-2</v>
      </c>
      <c r="AJ110">
        <v>1.4426E-2</v>
      </c>
      <c r="AK110">
        <v>1.4095999999999999E-2</v>
      </c>
      <c r="AL110">
        <v>1.3932999999999999E-2</v>
      </c>
      <c r="AM110">
        <v>1.3735000000000001E-2</v>
      </c>
      <c r="AN110">
        <v>1.3629E-2</v>
      </c>
      <c r="AO110">
        <v>1.3520000000000001E-2</v>
      </c>
      <c r="AP110" s="8">
        <v>2E-3</v>
      </c>
    </row>
    <row r="111" spans="1:42" x14ac:dyDescent="0.25">
      <c r="A111" t="s">
        <v>32</v>
      </c>
      <c r="B111" t="s">
        <v>104</v>
      </c>
      <c r="C111" t="s">
        <v>333</v>
      </c>
      <c r="D111" t="s">
        <v>45</v>
      </c>
      <c r="H111">
        <v>3.560997</v>
      </c>
      <c r="I111">
        <v>3.5869249999999999</v>
      </c>
      <c r="J111">
        <v>3.4159980000000001</v>
      </c>
      <c r="K111">
        <v>3.3922819999999998</v>
      </c>
      <c r="L111">
        <v>3.4188890000000001</v>
      </c>
      <c r="M111">
        <v>3.3707470000000002</v>
      </c>
      <c r="N111">
        <v>3.2879139999999998</v>
      </c>
      <c r="O111">
        <v>3.2070669999999999</v>
      </c>
      <c r="P111">
        <v>3.1315339999999998</v>
      </c>
      <c r="Q111">
        <v>3.0158399999999999</v>
      </c>
      <c r="R111">
        <v>2.9670770000000002</v>
      </c>
      <c r="S111">
        <v>2.9863050000000002</v>
      </c>
      <c r="T111">
        <v>2.9875949999999998</v>
      </c>
      <c r="U111">
        <v>2.9451360000000002</v>
      </c>
      <c r="V111">
        <v>2.9295070000000001</v>
      </c>
      <c r="W111">
        <v>2.9289740000000002</v>
      </c>
      <c r="X111">
        <v>2.9553880000000001</v>
      </c>
      <c r="Y111">
        <v>2.9828579999999998</v>
      </c>
      <c r="Z111">
        <v>2.9917440000000002</v>
      </c>
      <c r="AA111">
        <v>3.02054</v>
      </c>
      <c r="AB111">
        <v>3.0436800000000002</v>
      </c>
      <c r="AC111">
        <v>3.069258</v>
      </c>
      <c r="AD111">
        <v>3.1143800000000001</v>
      </c>
      <c r="AE111">
        <v>3.1312989999999998</v>
      </c>
      <c r="AF111">
        <v>3.177308</v>
      </c>
      <c r="AG111">
        <v>3.2025399999999999</v>
      </c>
      <c r="AH111">
        <v>3.2306330000000001</v>
      </c>
      <c r="AI111">
        <v>3.2561019999999998</v>
      </c>
      <c r="AJ111">
        <v>3.3223020000000001</v>
      </c>
      <c r="AK111">
        <v>3.3961839999999999</v>
      </c>
      <c r="AL111">
        <v>3.4707669999999999</v>
      </c>
      <c r="AM111">
        <v>3.5184419999999998</v>
      </c>
      <c r="AN111">
        <v>3.5762930000000002</v>
      </c>
      <c r="AO111">
        <v>3.6335489999999999</v>
      </c>
      <c r="AP111" s="8">
        <v>2E-3</v>
      </c>
    </row>
    <row r="112" spans="1:42" x14ac:dyDescent="0.25">
      <c r="A112" t="s">
        <v>103</v>
      </c>
      <c r="C112" t="s">
        <v>332</v>
      </c>
    </row>
    <row r="113" spans="1:42" x14ac:dyDescent="0.25">
      <c r="A113" t="s">
        <v>102</v>
      </c>
      <c r="B113" t="s">
        <v>101</v>
      </c>
      <c r="C113" t="s">
        <v>331</v>
      </c>
      <c r="D113" t="s">
        <v>45</v>
      </c>
      <c r="H113">
        <v>8.4312999999999999E-2</v>
      </c>
      <c r="I113">
        <v>9.3257999999999994E-2</v>
      </c>
      <c r="J113">
        <v>0.104336</v>
      </c>
      <c r="K113">
        <v>0.10137699999999999</v>
      </c>
      <c r="L113">
        <v>7.8538999999999998E-2</v>
      </c>
      <c r="M113">
        <v>7.6707999999999998E-2</v>
      </c>
      <c r="N113">
        <v>7.6138999999999998E-2</v>
      </c>
      <c r="O113">
        <v>7.5647000000000006E-2</v>
      </c>
      <c r="P113">
        <v>7.5203000000000006E-2</v>
      </c>
      <c r="Q113">
        <v>7.4878E-2</v>
      </c>
      <c r="R113">
        <v>7.4611999999999998E-2</v>
      </c>
      <c r="S113">
        <v>7.4485999999999997E-2</v>
      </c>
      <c r="T113">
        <v>7.4392E-2</v>
      </c>
      <c r="U113">
        <v>7.4270000000000003E-2</v>
      </c>
      <c r="V113">
        <v>7.4282000000000001E-2</v>
      </c>
      <c r="W113">
        <v>7.4334999999999998E-2</v>
      </c>
      <c r="X113">
        <v>7.4392E-2</v>
      </c>
      <c r="Y113">
        <v>7.4513999999999997E-2</v>
      </c>
      <c r="Z113">
        <v>7.4640999999999999E-2</v>
      </c>
      <c r="AA113">
        <v>7.4737999999999999E-2</v>
      </c>
      <c r="AB113">
        <v>7.4824000000000002E-2</v>
      </c>
      <c r="AC113">
        <v>7.4917999999999998E-2</v>
      </c>
      <c r="AD113">
        <v>7.5008000000000005E-2</v>
      </c>
      <c r="AE113">
        <v>7.5180999999999998E-2</v>
      </c>
      <c r="AF113">
        <v>7.5406000000000001E-2</v>
      </c>
      <c r="AG113">
        <v>7.5552999999999995E-2</v>
      </c>
      <c r="AH113">
        <v>7.5781000000000001E-2</v>
      </c>
      <c r="AI113">
        <v>7.6059000000000002E-2</v>
      </c>
      <c r="AJ113">
        <v>7.6363E-2</v>
      </c>
      <c r="AK113">
        <v>7.6704999999999995E-2</v>
      </c>
      <c r="AL113">
        <v>7.7022999999999994E-2</v>
      </c>
      <c r="AM113">
        <v>7.7336000000000002E-2</v>
      </c>
      <c r="AN113">
        <v>7.7676999999999996E-2</v>
      </c>
      <c r="AO113">
        <v>7.8032000000000004E-2</v>
      </c>
      <c r="AP113" s="8">
        <v>-8.0000000000000002E-3</v>
      </c>
    </row>
    <row r="114" spans="1:42" x14ac:dyDescent="0.25">
      <c r="A114" t="s">
        <v>2</v>
      </c>
      <c r="B114" t="s">
        <v>100</v>
      </c>
      <c r="C114" t="s">
        <v>330</v>
      </c>
      <c r="D114" t="s">
        <v>45</v>
      </c>
      <c r="H114">
        <v>2.4627849999999998</v>
      </c>
      <c r="I114">
        <v>2.4661580000000001</v>
      </c>
      <c r="J114">
        <v>2.471797</v>
      </c>
      <c r="K114">
        <v>2.4790359999999998</v>
      </c>
      <c r="L114">
        <v>2.4501369999999998</v>
      </c>
      <c r="M114">
        <v>2.3984209999999999</v>
      </c>
      <c r="N114">
        <v>2.3192910000000002</v>
      </c>
      <c r="O114">
        <v>2.215802</v>
      </c>
      <c r="P114">
        <v>2.1066009999999999</v>
      </c>
      <c r="Q114">
        <v>2.0457239999999999</v>
      </c>
      <c r="R114">
        <v>1.995331</v>
      </c>
      <c r="S114">
        <v>1.9488510000000001</v>
      </c>
      <c r="T114">
        <v>1.905186</v>
      </c>
      <c r="U114">
        <v>1.863767</v>
      </c>
      <c r="V114">
        <v>1.826622</v>
      </c>
      <c r="W114">
        <v>1.7888809999999999</v>
      </c>
      <c r="X114">
        <v>1.752597</v>
      </c>
      <c r="Y114">
        <v>1.717619</v>
      </c>
      <c r="Z114">
        <v>1.6829160000000001</v>
      </c>
      <c r="AA114">
        <v>1.672323</v>
      </c>
      <c r="AB114">
        <v>1.663203</v>
      </c>
      <c r="AC114">
        <v>1.655724</v>
      </c>
      <c r="AD114">
        <v>1.650298</v>
      </c>
      <c r="AE114">
        <v>1.6474310000000001</v>
      </c>
      <c r="AF114">
        <v>1.6457949999999999</v>
      </c>
      <c r="AG114">
        <v>1.645805</v>
      </c>
      <c r="AH114">
        <v>1.6474120000000001</v>
      </c>
      <c r="AI114">
        <v>1.6502829999999999</v>
      </c>
      <c r="AJ114">
        <v>1.653713</v>
      </c>
      <c r="AK114">
        <v>1.6589929999999999</v>
      </c>
      <c r="AL114">
        <v>1.665896</v>
      </c>
      <c r="AM114">
        <v>1.672731</v>
      </c>
      <c r="AN114">
        <v>1.680898</v>
      </c>
      <c r="AO114">
        <v>1.6891430000000001</v>
      </c>
      <c r="AP114" s="8">
        <v>-1.4999999999999999E-2</v>
      </c>
    </row>
    <row r="115" spans="1:42" x14ac:dyDescent="0.25">
      <c r="A115" t="s">
        <v>99</v>
      </c>
      <c r="B115" t="s">
        <v>98</v>
      </c>
      <c r="C115" t="s">
        <v>329</v>
      </c>
      <c r="D115" t="s">
        <v>45</v>
      </c>
      <c r="H115">
        <v>1.3619999999999999E-3</v>
      </c>
      <c r="I115">
        <v>8.8000000000000005E-3</v>
      </c>
      <c r="J115">
        <v>2.7130000000000001E-3</v>
      </c>
      <c r="K115">
        <v>4.1609999999999998E-3</v>
      </c>
      <c r="L115">
        <v>6.3530000000000001E-3</v>
      </c>
      <c r="M115">
        <v>7.8820000000000001E-3</v>
      </c>
      <c r="N115">
        <v>7.7510000000000001E-3</v>
      </c>
      <c r="O115">
        <v>8.6029999999999995E-3</v>
      </c>
      <c r="P115">
        <v>8.2480000000000001E-3</v>
      </c>
      <c r="Q115">
        <v>8.6960000000000006E-3</v>
      </c>
      <c r="R115">
        <v>8.9549999999999994E-3</v>
      </c>
      <c r="S115">
        <v>8.5850000000000006E-3</v>
      </c>
      <c r="T115">
        <v>8.6809999999999995E-3</v>
      </c>
      <c r="U115">
        <v>1.1644E-2</v>
      </c>
      <c r="V115">
        <v>1.0817E-2</v>
      </c>
      <c r="W115">
        <v>1.0972000000000001E-2</v>
      </c>
      <c r="X115">
        <v>1.0838E-2</v>
      </c>
      <c r="Y115">
        <v>1.0076999999999999E-2</v>
      </c>
      <c r="Z115">
        <v>9.7920000000000004E-3</v>
      </c>
      <c r="AA115">
        <v>9.6439999999999998E-3</v>
      </c>
      <c r="AB115">
        <v>9.7590000000000003E-3</v>
      </c>
      <c r="AC115">
        <v>9.6989999999999993E-3</v>
      </c>
      <c r="AD115">
        <v>8.9940000000000003E-3</v>
      </c>
      <c r="AE115">
        <v>8.1569999999999993E-3</v>
      </c>
      <c r="AF115">
        <v>8.0759999999999998E-3</v>
      </c>
      <c r="AG115">
        <v>7.6210000000000002E-3</v>
      </c>
      <c r="AH115">
        <v>7.3119999999999999E-3</v>
      </c>
      <c r="AI115">
        <v>7.0029999999999997E-3</v>
      </c>
      <c r="AJ115">
        <v>6.8640000000000003E-3</v>
      </c>
      <c r="AK115">
        <v>6.3340000000000002E-3</v>
      </c>
      <c r="AL115">
        <v>4.8659999999999997E-3</v>
      </c>
      <c r="AM115">
        <v>4.2440000000000004E-3</v>
      </c>
      <c r="AN115">
        <v>3.4610000000000001E-3</v>
      </c>
      <c r="AO115">
        <v>3.4610000000000001E-3</v>
      </c>
      <c r="AP115" s="8">
        <v>3.9E-2</v>
      </c>
    </row>
    <row r="116" spans="1:42" x14ac:dyDescent="0.25">
      <c r="A116" t="s">
        <v>97</v>
      </c>
      <c r="B116" t="s">
        <v>96</v>
      </c>
      <c r="C116" t="s">
        <v>328</v>
      </c>
      <c r="D116" t="s">
        <v>45</v>
      </c>
      <c r="H116">
        <v>1.037347</v>
      </c>
      <c r="I116">
        <v>1.0670120000000001</v>
      </c>
      <c r="J116">
        <v>1.065018</v>
      </c>
      <c r="K116">
        <v>1.0858699999999999</v>
      </c>
      <c r="L116">
        <v>1.0804009999999999</v>
      </c>
      <c r="M116">
        <v>1.0721179999999999</v>
      </c>
      <c r="N116">
        <v>1.073461</v>
      </c>
      <c r="O116">
        <v>1.079599</v>
      </c>
      <c r="P116">
        <v>1.088865</v>
      </c>
      <c r="Q116">
        <v>1.0978749999999999</v>
      </c>
      <c r="R116">
        <v>1.107532</v>
      </c>
      <c r="S116">
        <v>1.118061</v>
      </c>
      <c r="T116">
        <v>1.128371</v>
      </c>
      <c r="U116">
        <v>1.139248</v>
      </c>
      <c r="V116">
        <v>1.1498679999999999</v>
      </c>
      <c r="W116">
        <v>1.1609860000000001</v>
      </c>
      <c r="X116">
        <v>1.1717679999999999</v>
      </c>
      <c r="Y116">
        <v>1.1823570000000001</v>
      </c>
      <c r="Z116">
        <v>1.192501</v>
      </c>
      <c r="AA116">
        <v>1.2025650000000001</v>
      </c>
      <c r="AB116">
        <v>1.212931</v>
      </c>
      <c r="AC116">
        <v>1.223042</v>
      </c>
      <c r="AD116">
        <v>1.23349</v>
      </c>
      <c r="AE116">
        <v>1.245017</v>
      </c>
      <c r="AF116">
        <v>1.2567790000000001</v>
      </c>
      <c r="AG116">
        <v>1.268451</v>
      </c>
      <c r="AH116">
        <v>1.280745</v>
      </c>
      <c r="AI116">
        <v>1.293496</v>
      </c>
      <c r="AJ116">
        <v>1.30715</v>
      </c>
      <c r="AK116">
        <v>1.3213200000000001</v>
      </c>
      <c r="AL116">
        <v>1.335869</v>
      </c>
      <c r="AM116">
        <v>1.350366</v>
      </c>
      <c r="AN116">
        <v>1.36507</v>
      </c>
      <c r="AO116">
        <v>1.3800330000000001</v>
      </c>
      <c r="AP116" s="8">
        <v>8.9999999999999993E-3</v>
      </c>
    </row>
    <row r="117" spans="1:42" x14ac:dyDescent="0.25">
      <c r="A117" t="s">
        <v>24</v>
      </c>
      <c r="B117" t="s">
        <v>95</v>
      </c>
      <c r="C117" t="s">
        <v>327</v>
      </c>
      <c r="D117" t="s">
        <v>45</v>
      </c>
      <c r="H117">
        <v>6.3E-5</v>
      </c>
      <c r="I117">
        <v>0</v>
      </c>
      <c r="J117">
        <v>9.2999999999999997E-5</v>
      </c>
      <c r="K117">
        <v>9.3999999999999994E-5</v>
      </c>
      <c r="L117">
        <v>1.3200000000000001E-4</v>
      </c>
      <c r="M117">
        <v>1.08E-4</v>
      </c>
      <c r="N117">
        <v>1.08E-4</v>
      </c>
      <c r="O117">
        <v>1.01E-4</v>
      </c>
      <c r="P117">
        <v>1.01E-4</v>
      </c>
      <c r="Q117">
        <v>9.2E-5</v>
      </c>
      <c r="R117">
        <v>9.1000000000000003E-5</v>
      </c>
      <c r="S117">
        <v>8.1000000000000004E-5</v>
      </c>
      <c r="T117">
        <v>7.7000000000000001E-5</v>
      </c>
      <c r="U117">
        <v>2.6999999999999999E-5</v>
      </c>
      <c r="V117">
        <v>2.1999999999999999E-5</v>
      </c>
      <c r="W117">
        <v>2.0000000000000002E-5</v>
      </c>
      <c r="X117">
        <v>9.0000000000000002E-6</v>
      </c>
      <c r="Y117">
        <v>6.0000000000000002E-6</v>
      </c>
      <c r="Z117">
        <v>1.9999999999999999E-6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 t="s">
        <v>0</v>
      </c>
    </row>
    <row r="118" spans="1:42" x14ac:dyDescent="0.25">
      <c r="A118" t="s">
        <v>94</v>
      </c>
      <c r="B118" t="s">
        <v>93</v>
      </c>
      <c r="C118" t="s">
        <v>326</v>
      </c>
      <c r="D118" t="s">
        <v>45</v>
      </c>
      <c r="H118">
        <v>0.91119099999999997</v>
      </c>
      <c r="I118">
        <v>0.94904500000000003</v>
      </c>
      <c r="J118">
        <v>0.95049399999999995</v>
      </c>
      <c r="K118">
        <v>0.96379499999999996</v>
      </c>
      <c r="L118">
        <v>1.00292</v>
      </c>
      <c r="M118">
        <v>1.035412</v>
      </c>
      <c r="N118">
        <v>1.0134000000000001</v>
      </c>
      <c r="O118">
        <v>1.008796</v>
      </c>
      <c r="P118">
        <v>1.004894</v>
      </c>
      <c r="Q118">
        <v>1.007887</v>
      </c>
      <c r="R118">
        <v>1.0045059999999999</v>
      </c>
      <c r="S118">
        <v>1.008038</v>
      </c>
      <c r="T118">
        <v>1.003007</v>
      </c>
      <c r="U118">
        <v>0.99481600000000003</v>
      </c>
      <c r="V118">
        <v>0.99166799999999999</v>
      </c>
      <c r="W118">
        <v>0.98787199999999997</v>
      </c>
      <c r="X118">
        <v>0.98443199999999997</v>
      </c>
      <c r="Y118">
        <v>0.98348999999999998</v>
      </c>
      <c r="Z118">
        <v>0.98361399999999999</v>
      </c>
      <c r="AA118">
        <v>0.98808099999999999</v>
      </c>
      <c r="AB118">
        <v>0.98761200000000005</v>
      </c>
      <c r="AC118">
        <v>0.989537</v>
      </c>
      <c r="AD118">
        <v>0.99042600000000003</v>
      </c>
      <c r="AE118">
        <v>0.99326899999999996</v>
      </c>
      <c r="AF118">
        <v>0.99497999999999998</v>
      </c>
      <c r="AG118">
        <v>0.99998699999999996</v>
      </c>
      <c r="AH118">
        <v>1.0044029999999999</v>
      </c>
      <c r="AI118">
        <v>1.011218</v>
      </c>
      <c r="AJ118">
        <v>1.016475</v>
      </c>
      <c r="AK118">
        <v>1.0239849999999999</v>
      </c>
      <c r="AL118">
        <v>1.0317730000000001</v>
      </c>
      <c r="AM118">
        <v>1.0381469999999999</v>
      </c>
      <c r="AN118">
        <v>1.04471</v>
      </c>
      <c r="AO118">
        <v>1.0498130000000001</v>
      </c>
      <c r="AP118" s="8">
        <v>3.0000000000000001E-3</v>
      </c>
    </row>
    <row r="119" spans="1:42" x14ac:dyDescent="0.25">
      <c r="A119" t="s">
        <v>92</v>
      </c>
      <c r="B119" t="s">
        <v>91</v>
      </c>
      <c r="C119" t="s">
        <v>325</v>
      </c>
      <c r="D119" t="s">
        <v>45</v>
      </c>
      <c r="H119">
        <v>0.353244</v>
      </c>
      <c r="I119">
        <v>0.31502999999999998</v>
      </c>
      <c r="J119">
        <v>0.25810499999999997</v>
      </c>
      <c r="K119">
        <v>0.24280499999999999</v>
      </c>
      <c r="L119">
        <v>0.25132500000000002</v>
      </c>
      <c r="M119">
        <v>0.21184500000000001</v>
      </c>
      <c r="N119">
        <v>0.25869399999999998</v>
      </c>
      <c r="O119">
        <v>0.262322</v>
      </c>
      <c r="P119">
        <v>0.26399600000000001</v>
      </c>
      <c r="Q119">
        <v>0.25183899999999998</v>
      </c>
      <c r="R119">
        <v>0.246529</v>
      </c>
      <c r="S119">
        <v>0.228628</v>
      </c>
      <c r="T119">
        <v>0.22664200000000001</v>
      </c>
      <c r="U119">
        <v>0.24357699999999999</v>
      </c>
      <c r="V119">
        <v>0.241428</v>
      </c>
      <c r="W119">
        <v>0.24007800000000001</v>
      </c>
      <c r="X119">
        <v>0.237762</v>
      </c>
      <c r="Y119">
        <v>0.23633399999999999</v>
      </c>
      <c r="Z119">
        <v>0.23327100000000001</v>
      </c>
      <c r="AA119">
        <v>0.21582200000000001</v>
      </c>
      <c r="AB119">
        <v>0.21332300000000001</v>
      </c>
      <c r="AC119">
        <v>0.20741899999999999</v>
      </c>
      <c r="AD119">
        <v>0.203958</v>
      </c>
      <c r="AE119">
        <v>0.198687</v>
      </c>
      <c r="AF119">
        <v>0.19994899999999999</v>
      </c>
      <c r="AG119">
        <v>0.188442</v>
      </c>
      <c r="AH119">
        <v>0.18421199999999999</v>
      </c>
      <c r="AI119">
        <v>0.1749</v>
      </c>
      <c r="AJ119">
        <v>0.177394</v>
      </c>
      <c r="AK119">
        <v>0.16850699999999999</v>
      </c>
      <c r="AL119">
        <v>0.166884</v>
      </c>
      <c r="AM119">
        <v>0.16558700000000001</v>
      </c>
      <c r="AN119">
        <v>0.163686</v>
      </c>
      <c r="AO119">
        <v>0.16162499999999999</v>
      </c>
      <c r="AP119" s="8">
        <v>-1.0999999999999999E-2</v>
      </c>
    </row>
    <row r="120" spans="1:42" x14ac:dyDescent="0.25">
      <c r="A120" t="s">
        <v>90</v>
      </c>
      <c r="B120" t="s">
        <v>89</v>
      </c>
      <c r="C120" t="s">
        <v>324</v>
      </c>
      <c r="D120" t="s">
        <v>45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 t="s">
        <v>0</v>
      </c>
    </row>
    <row r="121" spans="1:42" x14ac:dyDescent="0.25">
      <c r="A121" t="s">
        <v>88</v>
      </c>
      <c r="B121" t="s">
        <v>87</v>
      </c>
      <c r="C121" t="s">
        <v>323</v>
      </c>
      <c r="D121" t="s">
        <v>45</v>
      </c>
      <c r="H121">
        <v>0.55424799999999996</v>
      </c>
      <c r="I121">
        <v>0.54416500000000001</v>
      </c>
      <c r="J121">
        <v>0.55160500000000001</v>
      </c>
      <c r="K121">
        <v>0.53379799999999999</v>
      </c>
      <c r="L121">
        <v>0.439363</v>
      </c>
      <c r="M121">
        <v>0.44225799999999998</v>
      </c>
      <c r="N121">
        <v>0.44561499999999998</v>
      </c>
      <c r="O121">
        <v>0.43727500000000002</v>
      </c>
      <c r="P121">
        <v>0.43073400000000001</v>
      </c>
      <c r="Q121">
        <v>0.44069599999999998</v>
      </c>
      <c r="R121">
        <v>0.426093</v>
      </c>
      <c r="S121">
        <v>0.43847399999999997</v>
      </c>
      <c r="T121">
        <v>0.44003399999999998</v>
      </c>
      <c r="U121">
        <v>0.43043599999999999</v>
      </c>
      <c r="V121">
        <v>0.42740400000000001</v>
      </c>
      <c r="W121">
        <v>0.43584899999999999</v>
      </c>
      <c r="X121">
        <v>0.393428</v>
      </c>
      <c r="Y121">
        <v>0.433753</v>
      </c>
      <c r="Z121">
        <v>0.437838</v>
      </c>
      <c r="AA121">
        <v>0.41460200000000003</v>
      </c>
      <c r="AB121">
        <v>0.42024</v>
      </c>
      <c r="AC121">
        <v>0.42213699999999998</v>
      </c>
      <c r="AD121">
        <v>0.42706499999999997</v>
      </c>
      <c r="AE121">
        <v>0.41967100000000002</v>
      </c>
      <c r="AF121">
        <v>0.42604500000000001</v>
      </c>
      <c r="AG121">
        <v>0.42819600000000002</v>
      </c>
      <c r="AH121">
        <v>0.43555100000000002</v>
      </c>
      <c r="AI121">
        <v>0.43969799999999998</v>
      </c>
      <c r="AJ121">
        <v>0.46428199999999997</v>
      </c>
      <c r="AK121">
        <v>0.45591300000000001</v>
      </c>
      <c r="AL121">
        <v>0.48010700000000001</v>
      </c>
      <c r="AM121">
        <v>0.50038700000000003</v>
      </c>
      <c r="AN121">
        <v>0.506382</v>
      </c>
      <c r="AO121">
        <v>0.49988900000000003</v>
      </c>
      <c r="AP121" s="8">
        <v>-5.0000000000000001E-3</v>
      </c>
    </row>
    <row r="122" spans="1:42" x14ac:dyDescent="0.25">
      <c r="A122" t="s">
        <v>86</v>
      </c>
      <c r="B122" t="s">
        <v>85</v>
      </c>
      <c r="C122" t="s">
        <v>322</v>
      </c>
      <c r="D122" t="s">
        <v>45</v>
      </c>
      <c r="H122">
        <v>5.4031909999999996</v>
      </c>
      <c r="I122">
        <v>5.4346690000000004</v>
      </c>
      <c r="J122">
        <v>5.4014470000000001</v>
      </c>
      <c r="K122">
        <v>5.4067749999999997</v>
      </c>
      <c r="L122">
        <v>5.302816</v>
      </c>
      <c r="M122">
        <v>5.2368690000000004</v>
      </c>
      <c r="N122">
        <v>5.1867080000000003</v>
      </c>
      <c r="O122">
        <v>5.0795430000000001</v>
      </c>
      <c r="P122">
        <v>4.9703939999999998</v>
      </c>
      <c r="Q122">
        <v>4.9189910000000001</v>
      </c>
      <c r="R122">
        <v>4.8546950000000004</v>
      </c>
      <c r="S122">
        <v>4.8166190000000002</v>
      </c>
      <c r="T122">
        <v>4.7777099999999999</v>
      </c>
      <c r="U122">
        <v>4.7461399999999996</v>
      </c>
      <c r="V122">
        <v>4.7112939999999996</v>
      </c>
      <c r="W122">
        <v>4.688021</v>
      </c>
      <c r="X122">
        <v>4.6143869999999998</v>
      </c>
      <c r="Y122">
        <v>4.6280710000000003</v>
      </c>
      <c r="Z122">
        <v>4.6047830000000003</v>
      </c>
      <c r="AA122">
        <v>4.56813</v>
      </c>
      <c r="AB122">
        <v>4.572133</v>
      </c>
      <c r="AC122">
        <v>4.5727779999999996</v>
      </c>
      <c r="AD122">
        <v>4.5802459999999998</v>
      </c>
      <c r="AE122">
        <v>4.5792570000000001</v>
      </c>
      <c r="AF122">
        <v>4.598954</v>
      </c>
      <c r="AG122">
        <v>4.6064340000000001</v>
      </c>
      <c r="AH122">
        <v>4.6281030000000003</v>
      </c>
      <c r="AI122">
        <v>4.6456540000000004</v>
      </c>
      <c r="AJ122">
        <v>4.6953760000000004</v>
      </c>
      <c r="AK122">
        <v>4.7054229999999997</v>
      </c>
      <c r="AL122">
        <v>4.7575519999999996</v>
      </c>
      <c r="AM122">
        <v>4.8045540000000004</v>
      </c>
      <c r="AN122">
        <v>4.8384219999999996</v>
      </c>
      <c r="AO122">
        <v>4.8585349999999998</v>
      </c>
      <c r="AP122" s="8">
        <v>-4.0000000000000001E-3</v>
      </c>
    </row>
    <row r="123" spans="1:42" x14ac:dyDescent="0.25">
      <c r="A123" t="s">
        <v>10</v>
      </c>
      <c r="B123" t="s">
        <v>84</v>
      </c>
      <c r="C123" t="s">
        <v>321</v>
      </c>
      <c r="D123" t="s">
        <v>45</v>
      </c>
      <c r="H123">
        <v>2.8276979999999998</v>
      </c>
      <c r="I123">
        <v>2.952353</v>
      </c>
      <c r="J123">
        <v>2.9493109999999998</v>
      </c>
      <c r="K123">
        <v>2.8438910000000002</v>
      </c>
      <c r="L123">
        <v>3.0201060000000002</v>
      </c>
      <c r="M123">
        <v>3.007638</v>
      </c>
      <c r="N123">
        <v>2.9621529999999998</v>
      </c>
      <c r="O123">
        <v>2.9168820000000002</v>
      </c>
      <c r="P123">
        <v>2.9422709999999999</v>
      </c>
      <c r="Q123">
        <v>2.9994809999999998</v>
      </c>
      <c r="R123">
        <v>2.9503360000000001</v>
      </c>
      <c r="S123">
        <v>2.9462160000000002</v>
      </c>
      <c r="T123">
        <v>2.9109579999999999</v>
      </c>
      <c r="U123">
        <v>2.7295959999999999</v>
      </c>
      <c r="V123">
        <v>2.7071689999999999</v>
      </c>
      <c r="W123">
        <v>2.7099350000000002</v>
      </c>
      <c r="X123">
        <v>2.7174589999999998</v>
      </c>
      <c r="Y123">
        <v>2.730909</v>
      </c>
      <c r="Z123">
        <v>2.7493110000000001</v>
      </c>
      <c r="AA123">
        <v>2.7785150000000001</v>
      </c>
      <c r="AB123">
        <v>2.7756099999999999</v>
      </c>
      <c r="AC123">
        <v>2.7892899999999998</v>
      </c>
      <c r="AD123">
        <v>2.825291</v>
      </c>
      <c r="AE123">
        <v>2.8284120000000001</v>
      </c>
      <c r="AF123">
        <v>2.8518309999999998</v>
      </c>
      <c r="AG123">
        <v>2.8455520000000001</v>
      </c>
      <c r="AH123">
        <v>2.8651990000000001</v>
      </c>
      <c r="AI123">
        <v>2.8915540000000002</v>
      </c>
      <c r="AJ123">
        <v>2.9296009999999999</v>
      </c>
      <c r="AK123">
        <v>2.955028</v>
      </c>
      <c r="AL123">
        <v>3.0021399999999998</v>
      </c>
      <c r="AM123">
        <v>3.047177</v>
      </c>
      <c r="AN123">
        <v>3.0872030000000001</v>
      </c>
      <c r="AO123">
        <v>3.1072489999999999</v>
      </c>
      <c r="AP123" s="8">
        <v>3.0000000000000001E-3</v>
      </c>
    </row>
    <row r="124" spans="1:42" x14ac:dyDescent="0.25">
      <c r="A124" t="s">
        <v>83</v>
      </c>
      <c r="B124" t="s">
        <v>82</v>
      </c>
      <c r="C124" t="s">
        <v>320</v>
      </c>
      <c r="D124" t="s">
        <v>45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 t="s">
        <v>0</v>
      </c>
    </row>
    <row r="125" spans="1:42" x14ac:dyDescent="0.25">
      <c r="A125" t="s">
        <v>81</v>
      </c>
      <c r="B125" t="s">
        <v>80</v>
      </c>
      <c r="C125" t="s">
        <v>319</v>
      </c>
      <c r="D125" t="s">
        <v>45</v>
      </c>
      <c r="H125">
        <v>0.283586</v>
      </c>
      <c r="I125">
        <v>0.29477799999999998</v>
      </c>
      <c r="J125">
        <v>0.29870200000000002</v>
      </c>
      <c r="K125">
        <v>0.28575099999999998</v>
      </c>
      <c r="L125">
        <v>0.29113499999999998</v>
      </c>
      <c r="M125">
        <v>0.28687499999999999</v>
      </c>
      <c r="N125">
        <v>0.29264000000000001</v>
      </c>
      <c r="O125">
        <v>0.294622</v>
      </c>
      <c r="P125">
        <v>0.29584100000000002</v>
      </c>
      <c r="Q125">
        <v>0.29971999999999999</v>
      </c>
      <c r="R125">
        <v>0.30315799999999998</v>
      </c>
      <c r="S125">
        <v>0.29817700000000003</v>
      </c>
      <c r="T125">
        <v>0.29558899999999999</v>
      </c>
      <c r="U125">
        <v>0.29330699999999998</v>
      </c>
      <c r="V125">
        <v>0.29701699999999998</v>
      </c>
      <c r="W125">
        <v>0.30740600000000001</v>
      </c>
      <c r="X125">
        <v>0.31137300000000001</v>
      </c>
      <c r="Y125">
        <v>0.31187599999999999</v>
      </c>
      <c r="Z125">
        <v>0.30714900000000001</v>
      </c>
      <c r="AA125">
        <v>0.30302299999999999</v>
      </c>
      <c r="AB125">
        <v>0.29835</v>
      </c>
      <c r="AC125">
        <v>0.30352400000000002</v>
      </c>
      <c r="AD125">
        <v>0.306473</v>
      </c>
      <c r="AE125">
        <v>0.33588800000000002</v>
      </c>
      <c r="AF125">
        <v>0.337426</v>
      </c>
      <c r="AG125">
        <v>0.33607599999999999</v>
      </c>
      <c r="AH125">
        <v>0.334453</v>
      </c>
      <c r="AI125">
        <v>0.328739</v>
      </c>
      <c r="AJ125">
        <v>0.32385900000000001</v>
      </c>
      <c r="AK125">
        <v>0.327513</v>
      </c>
      <c r="AL125">
        <v>0.32184000000000001</v>
      </c>
      <c r="AM125">
        <v>0.31018600000000002</v>
      </c>
      <c r="AN125">
        <v>0.30153200000000002</v>
      </c>
      <c r="AO125">
        <v>0.29543900000000001</v>
      </c>
      <c r="AP125" s="8">
        <v>0</v>
      </c>
    </row>
    <row r="126" spans="1:42" x14ac:dyDescent="0.25">
      <c r="A126" t="s">
        <v>79</v>
      </c>
      <c r="B126" t="s">
        <v>78</v>
      </c>
      <c r="C126" t="s">
        <v>318</v>
      </c>
      <c r="D126" t="s">
        <v>45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 t="s">
        <v>0</v>
      </c>
    </row>
    <row r="127" spans="1:42" x14ac:dyDescent="0.25">
      <c r="A127" t="s">
        <v>77</v>
      </c>
      <c r="B127" t="s">
        <v>76</v>
      </c>
      <c r="C127" t="s">
        <v>317</v>
      </c>
      <c r="D127" t="s">
        <v>45</v>
      </c>
      <c r="H127">
        <v>4.1980999999999997E-2</v>
      </c>
      <c r="I127">
        <v>4.3070999999999998E-2</v>
      </c>
      <c r="J127">
        <v>4.4200999999999997E-2</v>
      </c>
      <c r="K127">
        <v>4.1947999999999999E-2</v>
      </c>
      <c r="L127">
        <v>4.2523999999999999E-2</v>
      </c>
      <c r="M127">
        <v>4.1401E-2</v>
      </c>
      <c r="N127">
        <v>4.0808999999999998E-2</v>
      </c>
      <c r="O127">
        <v>4.0957E-2</v>
      </c>
      <c r="P127">
        <v>4.1325000000000001E-2</v>
      </c>
      <c r="Q127">
        <v>4.2004E-2</v>
      </c>
      <c r="R127">
        <v>4.1831E-2</v>
      </c>
      <c r="S127">
        <v>4.165E-2</v>
      </c>
      <c r="T127">
        <v>4.1692E-2</v>
      </c>
      <c r="U127">
        <v>4.0488000000000003E-2</v>
      </c>
      <c r="V127">
        <v>4.0613999999999997E-2</v>
      </c>
      <c r="W127">
        <v>4.0683999999999998E-2</v>
      </c>
      <c r="X127">
        <v>4.0663999999999999E-2</v>
      </c>
      <c r="Y127">
        <v>4.0799000000000002E-2</v>
      </c>
      <c r="Z127">
        <v>4.1098999999999997E-2</v>
      </c>
      <c r="AA127">
        <v>4.1730000000000003E-2</v>
      </c>
      <c r="AB127">
        <v>4.2153000000000003E-2</v>
      </c>
      <c r="AC127">
        <v>4.2575000000000002E-2</v>
      </c>
      <c r="AD127">
        <v>4.3076000000000003E-2</v>
      </c>
      <c r="AE127">
        <v>4.3477000000000002E-2</v>
      </c>
      <c r="AF127">
        <v>4.3816000000000001E-2</v>
      </c>
      <c r="AG127">
        <v>4.4327999999999999E-2</v>
      </c>
      <c r="AH127">
        <v>4.4757999999999999E-2</v>
      </c>
      <c r="AI127">
        <v>4.5303999999999997E-2</v>
      </c>
      <c r="AJ127">
        <v>4.5620000000000001E-2</v>
      </c>
      <c r="AK127">
        <v>4.6193999999999999E-2</v>
      </c>
      <c r="AL127">
        <v>4.6677000000000003E-2</v>
      </c>
      <c r="AM127">
        <v>4.7162999999999997E-2</v>
      </c>
      <c r="AN127">
        <v>4.7857999999999998E-2</v>
      </c>
      <c r="AO127">
        <v>4.8430000000000001E-2</v>
      </c>
      <c r="AP127" s="8">
        <v>5.0000000000000001E-3</v>
      </c>
    </row>
    <row r="128" spans="1:42" x14ac:dyDescent="0.25">
      <c r="A128" t="s">
        <v>75</v>
      </c>
      <c r="B128" t="s">
        <v>74</v>
      </c>
      <c r="C128" t="s">
        <v>316</v>
      </c>
      <c r="D128" t="s">
        <v>45</v>
      </c>
      <c r="H128">
        <v>3.1532650000000002</v>
      </c>
      <c r="I128">
        <v>3.290203</v>
      </c>
      <c r="J128">
        <v>3.2922129999999998</v>
      </c>
      <c r="K128">
        <v>3.1715909999999998</v>
      </c>
      <c r="L128">
        <v>3.3537650000000001</v>
      </c>
      <c r="M128">
        <v>3.3359139999999998</v>
      </c>
      <c r="N128">
        <v>3.2956020000000001</v>
      </c>
      <c r="O128">
        <v>3.2524609999999998</v>
      </c>
      <c r="P128">
        <v>3.2794370000000002</v>
      </c>
      <c r="Q128">
        <v>3.341205</v>
      </c>
      <c r="R128">
        <v>3.2953250000000001</v>
      </c>
      <c r="S128">
        <v>3.286044</v>
      </c>
      <c r="T128">
        <v>3.2482389999999999</v>
      </c>
      <c r="U128">
        <v>3.0633910000000002</v>
      </c>
      <c r="V128">
        <v>3.0448010000000001</v>
      </c>
      <c r="W128">
        <v>3.0580250000000002</v>
      </c>
      <c r="X128">
        <v>3.069496</v>
      </c>
      <c r="Y128">
        <v>3.0835840000000001</v>
      </c>
      <c r="Z128">
        <v>3.097559</v>
      </c>
      <c r="AA128">
        <v>3.1232679999999999</v>
      </c>
      <c r="AB128">
        <v>3.1161129999999999</v>
      </c>
      <c r="AC128">
        <v>3.1353879999999998</v>
      </c>
      <c r="AD128">
        <v>3.174839</v>
      </c>
      <c r="AE128">
        <v>3.2077779999999998</v>
      </c>
      <c r="AF128">
        <v>3.2330730000000001</v>
      </c>
      <c r="AG128">
        <v>3.225956</v>
      </c>
      <c r="AH128">
        <v>3.2444099999999998</v>
      </c>
      <c r="AI128">
        <v>3.2655970000000001</v>
      </c>
      <c r="AJ128">
        <v>3.2990810000000002</v>
      </c>
      <c r="AK128">
        <v>3.328735</v>
      </c>
      <c r="AL128">
        <v>3.370657</v>
      </c>
      <c r="AM128">
        <v>3.4045260000000002</v>
      </c>
      <c r="AN128">
        <v>3.4365939999999999</v>
      </c>
      <c r="AO128">
        <v>3.4511180000000001</v>
      </c>
      <c r="AP128" s="8">
        <v>3.0000000000000001E-3</v>
      </c>
    </row>
    <row r="129" spans="1:42" x14ac:dyDescent="0.25">
      <c r="A129" t="s">
        <v>73</v>
      </c>
      <c r="B129" t="s">
        <v>72</v>
      </c>
      <c r="C129" t="s">
        <v>315</v>
      </c>
      <c r="D129" t="s">
        <v>45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 t="s">
        <v>0</v>
      </c>
    </row>
    <row r="130" spans="1:42" x14ac:dyDescent="0.25">
      <c r="A130" t="s">
        <v>71</v>
      </c>
      <c r="B130" t="s">
        <v>70</v>
      </c>
      <c r="C130" t="s">
        <v>314</v>
      </c>
      <c r="D130" t="s">
        <v>45</v>
      </c>
      <c r="H130">
        <v>0.14021400000000001</v>
      </c>
      <c r="I130">
        <v>0.167684</v>
      </c>
      <c r="J130">
        <v>0.14306099999999999</v>
      </c>
      <c r="K130">
        <v>0.14580699999999999</v>
      </c>
      <c r="L130">
        <v>8.8322999999999999E-2</v>
      </c>
      <c r="M130">
        <v>8.6029999999999995E-2</v>
      </c>
      <c r="N130">
        <v>8.7013999999999994E-2</v>
      </c>
      <c r="O130">
        <v>8.8035000000000002E-2</v>
      </c>
      <c r="P130">
        <v>9.1527999999999998E-2</v>
      </c>
      <c r="Q130">
        <v>5.5226999999999998E-2</v>
      </c>
      <c r="R130">
        <v>5.4996999999999997E-2</v>
      </c>
      <c r="S130">
        <v>5.4850999999999997E-2</v>
      </c>
      <c r="T130">
        <v>5.4740999999999998E-2</v>
      </c>
      <c r="U130">
        <v>5.4460000000000001E-2</v>
      </c>
      <c r="V130">
        <v>5.4080000000000003E-2</v>
      </c>
      <c r="W130">
        <v>5.3749999999999999E-2</v>
      </c>
      <c r="X130">
        <v>5.3481000000000001E-2</v>
      </c>
      <c r="Y130">
        <v>5.3265E-2</v>
      </c>
      <c r="Z130">
        <v>5.2984999999999997E-2</v>
      </c>
      <c r="AA130">
        <v>5.2856E-2</v>
      </c>
      <c r="AB130">
        <v>5.2769999999999997E-2</v>
      </c>
      <c r="AC130">
        <v>5.2724E-2</v>
      </c>
      <c r="AD130">
        <v>5.2671000000000003E-2</v>
      </c>
      <c r="AE130">
        <v>5.2690000000000001E-2</v>
      </c>
      <c r="AF130">
        <v>5.2288000000000001E-2</v>
      </c>
      <c r="AG130">
        <v>5.1851000000000001E-2</v>
      </c>
      <c r="AH130">
        <v>5.1457000000000003E-2</v>
      </c>
      <c r="AI130">
        <v>5.1077999999999998E-2</v>
      </c>
      <c r="AJ130">
        <v>5.0714000000000002E-2</v>
      </c>
      <c r="AK130">
        <v>5.1097999999999998E-2</v>
      </c>
      <c r="AL130">
        <v>5.1514999999999998E-2</v>
      </c>
      <c r="AM130">
        <v>5.1941000000000001E-2</v>
      </c>
      <c r="AN130">
        <v>5.2350000000000001E-2</v>
      </c>
      <c r="AO130">
        <v>5.2768000000000002E-2</v>
      </c>
      <c r="AP130" s="8">
        <v>-3.7999999999999999E-2</v>
      </c>
    </row>
    <row r="131" spans="1:42" x14ac:dyDescent="0.25">
      <c r="A131" t="s">
        <v>69</v>
      </c>
      <c r="B131" t="s">
        <v>68</v>
      </c>
      <c r="C131" t="s">
        <v>313</v>
      </c>
      <c r="D131" t="s">
        <v>45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 t="s">
        <v>0</v>
      </c>
    </row>
    <row r="132" spans="1:42" x14ac:dyDescent="0.25">
      <c r="A132" t="s">
        <v>67</v>
      </c>
      <c r="B132" t="s">
        <v>66</v>
      </c>
      <c r="C132" t="s">
        <v>312</v>
      </c>
      <c r="D132" t="s">
        <v>45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 t="s">
        <v>0</v>
      </c>
    </row>
    <row r="133" spans="1:42" x14ac:dyDescent="0.25">
      <c r="A133" t="s">
        <v>65</v>
      </c>
      <c r="B133" t="s">
        <v>64</v>
      </c>
      <c r="C133" t="s">
        <v>311</v>
      </c>
      <c r="D133" t="s">
        <v>45</v>
      </c>
      <c r="H133">
        <v>0.14021400000000001</v>
      </c>
      <c r="I133">
        <v>0.167684</v>
      </c>
      <c r="J133">
        <v>0.14306099999999999</v>
      </c>
      <c r="K133">
        <v>0.14580699999999999</v>
      </c>
      <c r="L133">
        <v>8.8322999999999999E-2</v>
      </c>
      <c r="M133">
        <v>8.6029999999999995E-2</v>
      </c>
      <c r="N133">
        <v>8.7013999999999994E-2</v>
      </c>
      <c r="O133">
        <v>8.8035000000000002E-2</v>
      </c>
      <c r="P133">
        <v>9.1527999999999998E-2</v>
      </c>
      <c r="Q133">
        <v>5.5226999999999998E-2</v>
      </c>
      <c r="R133">
        <v>5.4996999999999997E-2</v>
      </c>
      <c r="S133">
        <v>5.4850999999999997E-2</v>
      </c>
      <c r="T133">
        <v>5.4740999999999998E-2</v>
      </c>
      <c r="U133">
        <v>5.4460000000000001E-2</v>
      </c>
      <c r="V133">
        <v>5.4080000000000003E-2</v>
      </c>
      <c r="W133">
        <v>5.3749999999999999E-2</v>
      </c>
      <c r="X133">
        <v>5.3481000000000001E-2</v>
      </c>
      <c r="Y133">
        <v>5.3265E-2</v>
      </c>
      <c r="Z133">
        <v>5.2984999999999997E-2</v>
      </c>
      <c r="AA133">
        <v>5.2856E-2</v>
      </c>
      <c r="AB133">
        <v>5.2769999999999997E-2</v>
      </c>
      <c r="AC133">
        <v>5.2724E-2</v>
      </c>
      <c r="AD133">
        <v>5.2671000000000003E-2</v>
      </c>
      <c r="AE133">
        <v>5.2690000000000001E-2</v>
      </c>
      <c r="AF133">
        <v>5.2288000000000001E-2</v>
      </c>
      <c r="AG133">
        <v>5.1851000000000001E-2</v>
      </c>
      <c r="AH133">
        <v>5.1457000000000003E-2</v>
      </c>
      <c r="AI133">
        <v>5.1077999999999998E-2</v>
      </c>
      <c r="AJ133">
        <v>5.0714000000000002E-2</v>
      </c>
      <c r="AK133">
        <v>5.1097999999999998E-2</v>
      </c>
      <c r="AL133">
        <v>5.1514999999999998E-2</v>
      </c>
      <c r="AM133">
        <v>5.1941000000000001E-2</v>
      </c>
      <c r="AN133">
        <v>5.2350000000000001E-2</v>
      </c>
      <c r="AO133">
        <v>5.2768000000000002E-2</v>
      </c>
      <c r="AP133" s="8">
        <v>-3.7999999999999999E-2</v>
      </c>
    </row>
    <row r="134" spans="1:42" x14ac:dyDescent="0.25">
      <c r="A134" t="s">
        <v>63</v>
      </c>
      <c r="B134" t="s">
        <v>62</v>
      </c>
      <c r="C134" t="s">
        <v>310</v>
      </c>
      <c r="D134" t="s">
        <v>45</v>
      </c>
      <c r="H134">
        <v>0.28512100000000001</v>
      </c>
      <c r="I134">
        <v>0.28783300000000001</v>
      </c>
      <c r="J134">
        <v>0.28642200000000001</v>
      </c>
      <c r="K134">
        <v>0.28597699999999998</v>
      </c>
      <c r="L134">
        <v>0.28554000000000002</v>
      </c>
      <c r="M134">
        <v>0.28510200000000002</v>
      </c>
      <c r="N134">
        <v>0.28510200000000002</v>
      </c>
      <c r="O134">
        <v>0.28510200000000002</v>
      </c>
      <c r="P134">
        <v>0.19065199999999999</v>
      </c>
      <c r="Q134">
        <v>9.5815999999999998E-2</v>
      </c>
      <c r="R134">
        <v>9.5815999999999998E-2</v>
      </c>
      <c r="S134">
        <v>9.5815999999999998E-2</v>
      </c>
      <c r="T134">
        <v>9.5815999999999998E-2</v>
      </c>
      <c r="U134">
        <v>9.5815999999999998E-2</v>
      </c>
      <c r="V134">
        <v>9.5815999999999998E-2</v>
      </c>
      <c r="W134">
        <v>9.5815999999999998E-2</v>
      </c>
      <c r="X134">
        <v>9.5815999999999998E-2</v>
      </c>
      <c r="Y134">
        <v>9.5815999999999998E-2</v>
      </c>
      <c r="Z134">
        <v>9.5815999999999998E-2</v>
      </c>
      <c r="AA134">
        <v>9.5815999999999998E-2</v>
      </c>
      <c r="AB134">
        <v>9.5815999999999998E-2</v>
      </c>
      <c r="AC134">
        <v>9.5815999999999998E-2</v>
      </c>
      <c r="AD134">
        <v>9.5815999999999998E-2</v>
      </c>
      <c r="AE134">
        <v>9.5815999999999998E-2</v>
      </c>
      <c r="AF134">
        <v>9.5815999999999998E-2</v>
      </c>
      <c r="AG134">
        <v>9.5815999999999998E-2</v>
      </c>
      <c r="AH134">
        <v>9.5815999999999998E-2</v>
      </c>
      <c r="AI134">
        <v>9.5815999999999998E-2</v>
      </c>
      <c r="AJ134">
        <v>9.5815999999999998E-2</v>
      </c>
      <c r="AK134">
        <v>9.5815999999999998E-2</v>
      </c>
      <c r="AL134">
        <v>9.5815999999999998E-2</v>
      </c>
      <c r="AM134">
        <v>9.5815999999999998E-2</v>
      </c>
      <c r="AN134">
        <v>9.5815999999999998E-2</v>
      </c>
      <c r="AO134">
        <v>9.5815999999999998E-2</v>
      </c>
      <c r="AP134" s="8">
        <v>-3.2000000000000001E-2</v>
      </c>
    </row>
    <row r="135" spans="1:42" x14ac:dyDescent="0.25">
      <c r="A135" t="s">
        <v>61</v>
      </c>
      <c r="B135" t="s">
        <v>60</v>
      </c>
      <c r="C135" t="s">
        <v>309</v>
      </c>
      <c r="D135" t="s">
        <v>45</v>
      </c>
      <c r="H135">
        <v>0.111349</v>
      </c>
      <c r="I135">
        <v>0.11107400000000001</v>
      </c>
      <c r="J135">
        <v>0.128689</v>
      </c>
      <c r="K135">
        <v>0.126806</v>
      </c>
      <c r="L135">
        <v>0.12398000000000001</v>
      </c>
      <c r="M135">
        <v>0.12221899999999999</v>
      </c>
      <c r="N135">
        <v>0.118682</v>
      </c>
      <c r="O135">
        <v>0.114547</v>
      </c>
      <c r="P135">
        <v>0.110081</v>
      </c>
      <c r="Q135">
        <v>0.10752399999999999</v>
      </c>
      <c r="R135">
        <v>0.10560899999999999</v>
      </c>
      <c r="S135">
        <v>0.105255</v>
      </c>
      <c r="T135">
        <v>0.10385999999999999</v>
      </c>
      <c r="U135">
        <v>0.102212</v>
      </c>
      <c r="V135">
        <v>0.101061</v>
      </c>
      <c r="W135">
        <v>9.9858000000000002E-2</v>
      </c>
      <c r="X135">
        <v>9.8739999999999994E-2</v>
      </c>
      <c r="Y135">
        <v>9.7673999999999997E-2</v>
      </c>
      <c r="Z135">
        <v>9.6507999999999997E-2</v>
      </c>
      <c r="AA135">
        <v>9.6804000000000001E-2</v>
      </c>
      <c r="AB135">
        <v>9.7110000000000002E-2</v>
      </c>
      <c r="AC135">
        <v>9.7434000000000007E-2</v>
      </c>
      <c r="AD135">
        <v>9.7902000000000003E-2</v>
      </c>
      <c r="AE135">
        <v>9.8548999999999998E-2</v>
      </c>
      <c r="AF135">
        <v>9.9237000000000006E-2</v>
      </c>
      <c r="AG135">
        <v>0.100188</v>
      </c>
      <c r="AH135">
        <v>0.100975</v>
      </c>
      <c r="AI135">
        <v>0.102372</v>
      </c>
      <c r="AJ135">
        <v>0.103662</v>
      </c>
      <c r="AK135">
        <v>0.103967</v>
      </c>
      <c r="AL135">
        <v>0.10491399999999999</v>
      </c>
      <c r="AM135">
        <v>0.105794</v>
      </c>
      <c r="AN135">
        <v>0.106737</v>
      </c>
      <c r="AO135">
        <v>0.107921</v>
      </c>
      <c r="AP135" s="8">
        <v>-5.0000000000000001E-3</v>
      </c>
    </row>
    <row r="136" spans="1:42" x14ac:dyDescent="0.25">
      <c r="A136" t="s">
        <v>59</v>
      </c>
      <c r="B136" t="s">
        <v>58</v>
      </c>
      <c r="C136" t="s">
        <v>308</v>
      </c>
      <c r="D136" t="s">
        <v>45</v>
      </c>
      <c r="H136">
        <v>2.4880620000000002</v>
      </c>
      <c r="I136">
        <v>2.4706769999999998</v>
      </c>
      <c r="J136">
        <v>2.3776670000000002</v>
      </c>
      <c r="K136">
        <v>2.428868</v>
      </c>
      <c r="L136">
        <v>2.4598249999999999</v>
      </c>
      <c r="M136">
        <v>2.4377010000000001</v>
      </c>
      <c r="N136">
        <v>2.407597</v>
      </c>
      <c r="O136">
        <v>2.3832490000000002</v>
      </c>
      <c r="P136">
        <v>2.3802279999999998</v>
      </c>
      <c r="Q136">
        <v>2.3444919999999998</v>
      </c>
      <c r="R136">
        <v>2.3516319999999999</v>
      </c>
      <c r="S136">
        <v>2.366876</v>
      </c>
      <c r="T136">
        <v>2.412884</v>
      </c>
      <c r="U136">
        <v>2.447336</v>
      </c>
      <c r="V136">
        <v>2.4598770000000001</v>
      </c>
      <c r="W136">
        <v>2.4733809999999998</v>
      </c>
      <c r="X136">
        <v>2.5004819999999999</v>
      </c>
      <c r="Y136">
        <v>2.5192410000000001</v>
      </c>
      <c r="Z136">
        <v>2.53037</v>
      </c>
      <c r="AA136">
        <v>2.5535049999999999</v>
      </c>
      <c r="AB136">
        <v>2.5829780000000002</v>
      </c>
      <c r="AC136">
        <v>2.6119330000000001</v>
      </c>
      <c r="AD136">
        <v>2.638144</v>
      </c>
      <c r="AE136">
        <v>2.6669679999999998</v>
      </c>
      <c r="AF136">
        <v>2.7103839999999999</v>
      </c>
      <c r="AG136">
        <v>2.7729379999999999</v>
      </c>
      <c r="AH136">
        <v>2.8075860000000001</v>
      </c>
      <c r="AI136">
        <v>2.8356140000000001</v>
      </c>
      <c r="AJ136">
        <v>2.9044150000000002</v>
      </c>
      <c r="AK136">
        <v>2.9725769999999998</v>
      </c>
      <c r="AL136">
        <v>3.0415580000000002</v>
      </c>
      <c r="AM136">
        <v>3.0816210000000002</v>
      </c>
      <c r="AN136">
        <v>3.1315050000000002</v>
      </c>
      <c r="AO136">
        <v>3.1930160000000001</v>
      </c>
      <c r="AP136" s="8">
        <v>0.01</v>
      </c>
    </row>
    <row r="137" spans="1:42" x14ac:dyDescent="0.25">
      <c r="A137" t="s">
        <v>22</v>
      </c>
      <c r="B137" t="s">
        <v>57</v>
      </c>
      <c r="C137" t="s">
        <v>307</v>
      </c>
      <c r="D137" t="s">
        <v>45</v>
      </c>
      <c r="H137">
        <v>9.2999999999999997E-5</v>
      </c>
      <c r="I137">
        <v>1.92E-4</v>
      </c>
      <c r="J137">
        <v>9.8999999999999994E-5</v>
      </c>
      <c r="K137">
        <v>1.13E-4</v>
      </c>
      <c r="L137">
        <v>1.21E-4</v>
      </c>
      <c r="M137">
        <v>1.2799999999999999E-4</v>
      </c>
      <c r="N137">
        <v>1.34E-4</v>
      </c>
      <c r="O137">
        <v>1.3799999999999999E-4</v>
      </c>
      <c r="P137">
        <v>1.4300000000000001E-4</v>
      </c>
      <c r="Q137">
        <v>1.4899999999999999E-4</v>
      </c>
      <c r="R137">
        <v>1.56E-4</v>
      </c>
      <c r="S137">
        <v>1.63E-4</v>
      </c>
      <c r="T137">
        <v>1.7100000000000001E-4</v>
      </c>
      <c r="U137">
        <v>1.7799999999999999E-4</v>
      </c>
      <c r="V137">
        <v>1.8599999999999999E-4</v>
      </c>
      <c r="W137">
        <v>1.94E-4</v>
      </c>
      <c r="X137">
        <v>2.02E-4</v>
      </c>
      <c r="Y137">
        <v>2.1100000000000001E-4</v>
      </c>
      <c r="Z137">
        <v>2.2100000000000001E-4</v>
      </c>
      <c r="AA137">
        <v>2.33E-4</v>
      </c>
      <c r="AB137">
        <v>2.4600000000000002E-4</v>
      </c>
      <c r="AC137">
        <v>2.5999999999999998E-4</v>
      </c>
      <c r="AD137">
        <v>2.7500000000000002E-4</v>
      </c>
      <c r="AE137">
        <v>2.92E-4</v>
      </c>
      <c r="AF137">
        <v>3.1100000000000002E-4</v>
      </c>
      <c r="AG137">
        <v>3.3E-4</v>
      </c>
      <c r="AH137">
        <v>3.5E-4</v>
      </c>
      <c r="AI137">
        <v>3.6999999999999999E-4</v>
      </c>
      <c r="AJ137">
        <v>3.9100000000000002E-4</v>
      </c>
      <c r="AK137">
        <v>4.1300000000000001E-4</v>
      </c>
      <c r="AL137">
        <v>4.3600000000000003E-4</v>
      </c>
      <c r="AM137">
        <v>4.6000000000000001E-4</v>
      </c>
      <c r="AN137">
        <v>4.86E-4</v>
      </c>
      <c r="AO137">
        <v>5.1199999999999998E-4</v>
      </c>
      <c r="AP137" s="8">
        <v>0.11</v>
      </c>
    </row>
    <row r="138" spans="1:42" x14ac:dyDescent="0.25">
      <c r="A138" t="s">
        <v>56</v>
      </c>
      <c r="B138" t="s">
        <v>55</v>
      </c>
      <c r="C138" t="s">
        <v>306</v>
      </c>
      <c r="D138" t="s">
        <v>45</v>
      </c>
      <c r="H138">
        <v>5.5599999999999998E-3</v>
      </c>
      <c r="I138">
        <v>5.5599999999999998E-3</v>
      </c>
      <c r="J138">
        <v>5.2700000000000004E-3</v>
      </c>
      <c r="K138">
        <v>5.2700000000000004E-3</v>
      </c>
      <c r="L138">
        <v>5.2700000000000004E-3</v>
      </c>
      <c r="M138">
        <v>5.2700000000000004E-3</v>
      </c>
      <c r="N138">
        <v>5.2700000000000004E-3</v>
      </c>
      <c r="O138">
        <v>5.2700000000000004E-3</v>
      </c>
      <c r="P138">
        <v>5.2700000000000004E-3</v>
      </c>
      <c r="Q138">
        <v>5.2700000000000004E-3</v>
      </c>
      <c r="R138">
        <v>5.2700000000000004E-3</v>
      </c>
      <c r="S138">
        <v>5.2700000000000004E-3</v>
      </c>
      <c r="T138">
        <v>5.2700000000000004E-3</v>
      </c>
      <c r="U138">
        <v>5.2700000000000004E-3</v>
      </c>
      <c r="V138">
        <v>5.2700000000000004E-3</v>
      </c>
      <c r="W138">
        <v>5.2700000000000004E-3</v>
      </c>
      <c r="X138">
        <v>5.2700000000000004E-3</v>
      </c>
      <c r="Y138">
        <v>5.2700000000000004E-3</v>
      </c>
      <c r="Z138">
        <v>5.2700000000000004E-3</v>
      </c>
      <c r="AA138">
        <v>5.2700000000000004E-3</v>
      </c>
      <c r="AB138">
        <v>5.2700000000000004E-3</v>
      </c>
      <c r="AC138">
        <v>5.2700000000000004E-3</v>
      </c>
      <c r="AD138">
        <v>5.2700000000000004E-3</v>
      </c>
      <c r="AE138">
        <v>5.2700000000000004E-3</v>
      </c>
      <c r="AF138">
        <v>5.2700000000000004E-3</v>
      </c>
      <c r="AG138">
        <v>5.2700000000000004E-3</v>
      </c>
      <c r="AH138">
        <v>5.2700000000000004E-3</v>
      </c>
      <c r="AI138">
        <v>5.2700000000000004E-3</v>
      </c>
      <c r="AJ138">
        <v>5.2700000000000004E-3</v>
      </c>
      <c r="AK138">
        <v>5.2700000000000004E-3</v>
      </c>
      <c r="AL138">
        <v>5.2700000000000004E-3</v>
      </c>
      <c r="AM138">
        <v>5.2700000000000004E-3</v>
      </c>
      <c r="AN138">
        <v>5.2700000000000004E-3</v>
      </c>
      <c r="AO138">
        <v>5.2700000000000004E-3</v>
      </c>
      <c r="AP138" s="8">
        <v>0</v>
      </c>
    </row>
    <row r="139" spans="1:42" x14ac:dyDescent="0.25">
      <c r="A139" t="s">
        <v>54</v>
      </c>
      <c r="B139" t="s">
        <v>53</v>
      </c>
      <c r="C139" t="s">
        <v>305</v>
      </c>
      <c r="D139" t="s">
        <v>45</v>
      </c>
      <c r="H139">
        <v>1.5768999999999998E-2</v>
      </c>
      <c r="I139">
        <v>1.5095000000000001E-2</v>
      </c>
      <c r="J139">
        <v>1.2452E-2</v>
      </c>
      <c r="K139">
        <v>1.5561E-2</v>
      </c>
      <c r="L139">
        <v>1.4413E-2</v>
      </c>
      <c r="M139">
        <v>1.3258000000000001E-2</v>
      </c>
      <c r="N139">
        <v>1.2787E-2</v>
      </c>
      <c r="O139">
        <v>1.3355000000000001E-2</v>
      </c>
      <c r="P139">
        <v>1.248E-2</v>
      </c>
      <c r="Q139">
        <v>1.2828000000000001E-2</v>
      </c>
      <c r="R139">
        <v>1.3797E-2</v>
      </c>
      <c r="S139">
        <v>1.4286E-2</v>
      </c>
      <c r="T139">
        <v>1.4063000000000001E-2</v>
      </c>
      <c r="U139">
        <v>1.4723E-2</v>
      </c>
      <c r="V139">
        <v>1.4113000000000001E-2</v>
      </c>
      <c r="W139">
        <v>1.4696000000000001E-2</v>
      </c>
      <c r="X139">
        <v>1.4696000000000001E-2</v>
      </c>
      <c r="Y139">
        <v>1.5358999999999999E-2</v>
      </c>
      <c r="Z139">
        <v>1.5216E-2</v>
      </c>
      <c r="AA139">
        <v>1.4859000000000001E-2</v>
      </c>
      <c r="AB139">
        <v>1.4772E-2</v>
      </c>
      <c r="AC139">
        <v>1.4674E-2</v>
      </c>
      <c r="AD139">
        <v>1.4748000000000001E-2</v>
      </c>
      <c r="AE139">
        <v>1.4695E-2</v>
      </c>
      <c r="AF139">
        <v>1.4818E-2</v>
      </c>
      <c r="AG139">
        <v>1.4713E-2</v>
      </c>
      <c r="AH139">
        <v>1.4607E-2</v>
      </c>
      <c r="AI139">
        <v>1.4498E-2</v>
      </c>
      <c r="AJ139">
        <v>1.4426E-2</v>
      </c>
      <c r="AK139">
        <v>1.4095999999999999E-2</v>
      </c>
      <c r="AL139">
        <v>1.3932999999999999E-2</v>
      </c>
      <c r="AM139">
        <v>1.3735000000000001E-2</v>
      </c>
      <c r="AN139">
        <v>1.3629E-2</v>
      </c>
      <c r="AO139">
        <v>1.3520000000000001E-2</v>
      </c>
      <c r="AP139" s="8">
        <v>2E-3</v>
      </c>
    </row>
    <row r="140" spans="1:42" x14ac:dyDescent="0.25">
      <c r="A140" t="s">
        <v>32</v>
      </c>
      <c r="B140" t="s">
        <v>52</v>
      </c>
      <c r="C140" t="s">
        <v>304</v>
      </c>
      <c r="D140" t="s">
        <v>45</v>
      </c>
      <c r="H140">
        <v>11.602622999999999</v>
      </c>
      <c r="I140">
        <v>11.782988</v>
      </c>
      <c r="J140">
        <v>11.647322000000001</v>
      </c>
      <c r="K140">
        <v>11.586767</v>
      </c>
      <c r="L140">
        <v>11.634054000000001</v>
      </c>
      <c r="M140">
        <v>11.522492</v>
      </c>
      <c r="N140">
        <v>11.398896000000001</v>
      </c>
      <c r="O140">
        <v>11.2217</v>
      </c>
      <c r="P140">
        <v>11.040212</v>
      </c>
      <c r="Q140">
        <v>10.881501</v>
      </c>
      <c r="R140">
        <v>10.777297000000001</v>
      </c>
      <c r="S140">
        <v>10.745181000000001</v>
      </c>
      <c r="T140">
        <v>10.712754</v>
      </c>
      <c r="U140">
        <v>10.529527</v>
      </c>
      <c r="V140">
        <v>10.486497999999999</v>
      </c>
      <c r="W140">
        <v>10.489011</v>
      </c>
      <c r="X140">
        <v>10.452571000000001</v>
      </c>
      <c r="Y140">
        <v>10.498492000000001</v>
      </c>
      <c r="Z140">
        <v>10.498728</v>
      </c>
      <c r="AA140">
        <v>10.510742</v>
      </c>
      <c r="AB140">
        <v>10.537207</v>
      </c>
      <c r="AC140">
        <v>10.586278</v>
      </c>
      <c r="AD140">
        <v>10.659912</v>
      </c>
      <c r="AE140">
        <v>10.721314</v>
      </c>
      <c r="AF140">
        <v>10.810150999999999</v>
      </c>
      <c r="AG140">
        <v>10.873495999999999</v>
      </c>
      <c r="AH140">
        <v>10.948574000000001</v>
      </c>
      <c r="AI140">
        <v>11.01627</v>
      </c>
      <c r="AJ140">
        <v>11.169152</v>
      </c>
      <c r="AK140">
        <v>11.277395</v>
      </c>
      <c r="AL140">
        <v>11.441649999999999</v>
      </c>
      <c r="AM140">
        <v>11.563718</v>
      </c>
      <c r="AN140">
        <v>11.680809999999999</v>
      </c>
      <c r="AO140">
        <v>11.778476</v>
      </c>
      <c r="AP140" s="8">
        <v>1E-3</v>
      </c>
    </row>
    <row r="141" spans="1:42" x14ac:dyDescent="0.25">
      <c r="A141" t="s">
        <v>1</v>
      </c>
      <c r="C141" t="s">
        <v>303</v>
      </c>
    </row>
    <row r="142" spans="1:42" x14ac:dyDescent="0.25">
      <c r="A142" t="s">
        <v>51</v>
      </c>
      <c r="B142" t="s">
        <v>50</v>
      </c>
      <c r="C142" t="s">
        <v>302</v>
      </c>
      <c r="D142" t="s">
        <v>45</v>
      </c>
      <c r="H142">
        <v>9.4579419999999992</v>
      </c>
      <c r="I142">
        <v>9.6013710000000003</v>
      </c>
      <c r="J142">
        <v>9.6055220000000006</v>
      </c>
      <c r="K142">
        <v>9.5629729999999995</v>
      </c>
      <c r="L142">
        <v>9.6073210000000007</v>
      </c>
      <c r="M142">
        <v>9.5506639999999994</v>
      </c>
      <c r="N142">
        <v>9.509798</v>
      </c>
      <c r="O142">
        <v>9.4141209999999997</v>
      </c>
      <c r="P142">
        <v>9.304646</v>
      </c>
      <c r="Q142">
        <v>9.2608470000000001</v>
      </c>
      <c r="R142">
        <v>9.2041850000000007</v>
      </c>
      <c r="S142">
        <v>9.155799</v>
      </c>
      <c r="T142">
        <v>9.1274250000000006</v>
      </c>
      <c r="U142">
        <v>8.9820879999999992</v>
      </c>
      <c r="V142">
        <v>8.9578050000000005</v>
      </c>
      <c r="W142">
        <v>8.9680739999999997</v>
      </c>
      <c r="X142">
        <v>8.9157229999999998</v>
      </c>
      <c r="Y142">
        <v>8.944369</v>
      </c>
      <c r="Z142">
        <v>8.9463889999999999</v>
      </c>
      <c r="AA142">
        <v>8.9417720000000003</v>
      </c>
      <c r="AB142">
        <v>8.9588359999999998</v>
      </c>
      <c r="AC142">
        <v>8.9958189999999991</v>
      </c>
      <c r="AD142">
        <v>9.0387350000000009</v>
      </c>
      <c r="AE142">
        <v>9.09985</v>
      </c>
      <c r="AF142">
        <v>9.158785</v>
      </c>
      <c r="AG142">
        <v>9.2112770000000008</v>
      </c>
      <c r="AH142">
        <v>9.2752520000000001</v>
      </c>
      <c r="AI142">
        <v>9.3348580000000005</v>
      </c>
      <c r="AJ142">
        <v>9.4398569999999999</v>
      </c>
      <c r="AK142">
        <v>9.4924780000000002</v>
      </c>
      <c r="AL142">
        <v>9.6017949999999992</v>
      </c>
      <c r="AM142">
        <v>9.6990010000000009</v>
      </c>
      <c r="AN142">
        <v>9.7796959999999995</v>
      </c>
      <c r="AO142">
        <v>9.8406140000000004</v>
      </c>
      <c r="AP142" s="8">
        <v>1E-3</v>
      </c>
    </row>
    <row r="143" spans="1:42" x14ac:dyDescent="0.25">
      <c r="A143" t="s">
        <v>49</v>
      </c>
      <c r="B143" t="s">
        <v>48</v>
      </c>
      <c r="C143" t="s">
        <v>301</v>
      </c>
      <c r="D143" t="s">
        <v>45</v>
      </c>
      <c r="H143">
        <v>11.602622999999999</v>
      </c>
      <c r="I143">
        <v>11.782988</v>
      </c>
      <c r="J143">
        <v>11.647322000000001</v>
      </c>
      <c r="K143">
        <v>11.586767</v>
      </c>
      <c r="L143">
        <v>11.634054000000001</v>
      </c>
      <c r="M143">
        <v>11.522492</v>
      </c>
      <c r="N143">
        <v>11.398896000000001</v>
      </c>
      <c r="O143">
        <v>11.2217</v>
      </c>
      <c r="P143">
        <v>11.040212</v>
      </c>
      <c r="Q143">
        <v>10.881501</v>
      </c>
      <c r="R143">
        <v>10.777297000000001</v>
      </c>
      <c r="S143">
        <v>10.745181000000001</v>
      </c>
      <c r="T143">
        <v>10.712754</v>
      </c>
      <c r="U143">
        <v>10.529527</v>
      </c>
      <c r="V143">
        <v>10.486497999999999</v>
      </c>
      <c r="W143">
        <v>10.489011</v>
      </c>
      <c r="X143">
        <v>10.452571000000001</v>
      </c>
      <c r="Y143">
        <v>10.498492000000001</v>
      </c>
      <c r="Z143">
        <v>10.498728</v>
      </c>
      <c r="AA143">
        <v>10.510742</v>
      </c>
      <c r="AB143">
        <v>10.537207</v>
      </c>
      <c r="AC143">
        <v>10.586278</v>
      </c>
      <c r="AD143">
        <v>10.659912</v>
      </c>
      <c r="AE143">
        <v>10.721314</v>
      </c>
      <c r="AF143">
        <v>10.810150999999999</v>
      </c>
      <c r="AG143">
        <v>10.873495999999999</v>
      </c>
      <c r="AH143">
        <v>10.948574000000001</v>
      </c>
      <c r="AI143">
        <v>11.01627</v>
      </c>
      <c r="AJ143">
        <v>11.169152</v>
      </c>
      <c r="AK143">
        <v>11.277395</v>
      </c>
      <c r="AL143">
        <v>11.441649999999999</v>
      </c>
      <c r="AM143">
        <v>11.563718</v>
      </c>
      <c r="AN143">
        <v>11.680809999999999</v>
      </c>
      <c r="AO143">
        <v>11.778476</v>
      </c>
      <c r="AP143" s="8">
        <v>1E-3</v>
      </c>
    </row>
    <row r="144" spans="1:42" x14ac:dyDescent="0.25">
      <c r="A144" t="s">
        <v>47</v>
      </c>
      <c r="B144" t="s">
        <v>46</v>
      </c>
      <c r="C144" t="s">
        <v>300</v>
      </c>
      <c r="D144" t="s">
        <v>45</v>
      </c>
      <c r="H144">
        <v>0.17319100000000001</v>
      </c>
      <c r="I144">
        <v>0.18026500000000001</v>
      </c>
      <c r="J144">
        <v>0.176757</v>
      </c>
      <c r="K144">
        <v>0.17727299999999999</v>
      </c>
      <c r="L144">
        <v>0.17632300000000001</v>
      </c>
      <c r="M144">
        <v>0.17355000000000001</v>
      </c>
      <c r="N144">
        <v>0.16778799999999999</v>
      </c>
      <c r="O144">
        <v>0.160908</v>
      </c>
      <c r="P144">
        <v>0.15291099999999999</v>
      </c>
      <c r="Q144">
        <v>0.14890100000000001</v>
      </c>
      <c r="R144">
        <v>0.14552000000000001</v>
      </c>
      <c r="S144">
        <v>0.142042</v>
      </c>
      <c r="T144">
        <v>0.13904</v>
      </c>
      <c r="U144">
        <v>0.137799</v>
      </c>
      <c r="V144">
        <v>0.13472799999999999</v>
      </c>
      <c r="W144">
        <v>0.13215199999999999</v>
      </c>
      <c r="X144">
        <v>0.129527</v>
      </c>
      <c r="Y144">
        <v>0.12665599999999999</v>
      </c>
      <c r="Z144">
        <v>0.124057</v>
      </c>
      <c r="AA144">
        <v>0.12323099999999999</v>
      </c>
      <c r="AB144">
        <v>0.122641</v>
      </c>
      <c r="AC144">
        <v>0.122124</v>
      </c>
      <c r="AD144">
        <v>0.12130100000000001</v>
      </c>
      <c r="AE144">
        <v>0.12062</v>
      </c>
      <c r="AF144">
        <v>0.12048</v>
      </c>
      <c r="AG144">
        <v>0.12020400000000001</v>
      </c>
      <c r="AH144">
        <v>0.12013500000000001</v>
      </c>
      <c r="AI144">
        <v>0.120169</v>
      </c>
      <c r="AJ144">
        <v>0.120333</v>
      </c>
      <c r="AK144">
        <v>0.120391</v>
      </c>
      <c r="AL144">
        <v>0.12003800000000001</v>
      </c>
      <c r="AM144">
        <v>0.120159</v>
      </c>
      <c r="AN144">
        <v>0.12028800000000001</v>
      </c>
      <c r="AO144">
        <v>0.12087199999999999</v>
      </c>
      <c r="AP144" s="8">
        <v>-1.2E-2</v>
      </c>
    </row>
    <row r="145" spans="1:42" x14ac:dyDescent="0.25">
      <c r="A145" t="s">
        <v>44</v>
      </c>
      <c r="B145" t="s">
        <v>43</v>
      </c>
      <c r="C145" t="s">
        <v>299</v>
      </c>
      <c r="D145" t="s">
        <v>42</v>
      </c>
      <c r="H145">
        <v>53.473274000000004</v>
      </c>
      <c r="I145">
        <v>53.976073999999997</v>
      </c>
      <c r="J145">
        <v>54.506439</v>
      </c>
      <c r="K145">
        <v>54.987380999999999</v>
      </c>
      <c r="L145">
        <v>55.45834</v>
      </c>
      <c r="M145">
        <v>55.918948999999998</v>
      </c>
      <c r="N145">
        <v>56.369919000000003</v>
      </c>
      <c r="O145">
        <v>56.811584000000003</v>
      </c>
      <c r="P145">
        <v>57.244788999999997</v>
      </c>
      <c r="Q145">
        <v>57.670814999999997</v>
      </c>
      <c r="R145">
        <v>58.089970000000001</v>
      </c>
      <c r="S145">
        <v>58.501472</v>
      </c>
      <c r="T145">
        <v>58.908133999999997</v>
      </c>
      <c r="U145">
        <v>59.307845999999998</v>
      </c>
      <c r="V145">
        <v>59.696877000000001</v>
      </c>
      <c r="W145">
        <v>60.076714000000003</v>
      </c>
      <c r="X145">
        <v>60.447024999999996</v>
      </c>
      <c r="Y145">
        <v>60.807709000000003</v>
      </c>
      <c r="Z145">
        <v>61.159331999999999</v>
      </c>
      <c r="AA145">
        <v>61.503712</v>
      </c>
      <c r="AB145">
        <v>61.843173999999998</v>
      </c>
      <c r="AC145">
        <v>62.178359999999998</v>
      </c>
      <c r="AD145">
        <v>62.510081999999997</v>
      </c>
      <c r="AE145">
        <v>62.839503999999998</v>
      </c>
      <c r="AF145">
        <v>63.167107000000001</v>
      </c>
      <c r="AG145">
        <v>63.493381999999997</v>
      </c>
      <c r="AH145">
        <v>63.818759999999997</v>
      </c>
      <c r="AI145">
        <v>64.143944000000005</v>
      </c>
      <c r="AJ145">
        <v>64.469299000000007</v>
      </c>
      <c r="AK145">
        <v>64.792357999999993</v>
      </c>
      <c r="AL145">
        <v>65.108315000000005</v>
      </c>
      <c r="AM145">
        <v>65.418273999999997</v>
      </c>
      <c r="AN145">
        <v>65.730614000000003</v>
      </c>
      <c r="AO145">
        <v>66.048714000000004</v>
      </c>
      <c r="AP145" s="8">
        <v>6.0000000000000001E-3</v>
      </c>
    </row>
    <row r="146" spans="1:42" x14ac:dyDescent="0.25">
      <c r="A146" t="s">
        <v>41</v>
      </c>
      <c r="B146" t="s">
        <v>40</v>
      </c>
      <c r="C146" t="s">
        <v>298</v>
      </c>
      <c r="D146" t="s">
        <v>39</v>
      </c>
      <c r="H146">
        <v>17096.179688</v>
      </c>
      <c r="I146">
        <v>17581.587890999999</v>
      </c>
      <c r="J146">
        <v>19061.34375</v>
      </c>
      <c r="K146">
        <v>19432.189452999999</v>
      </c>
      <c r="L146">
        <v>19772.775390999999</v>
      </c>
      <c r="M146">
        <v>20104.107422000001</v>
      </c>
      <c r="N146">
        <v>20391.568359000001</v>
      </c>
      <c r="O146">
        <v>20761.357422000001</v>
      </c>
      <c r="P146">
        <v>21173.669922000001</v>
      </c>
      <c r="Q146">
        <v>21592.767577999999</v>
      </c>
      <c r="R146">
        <v>22032.205077999999</v>
      </c>
      <c r="S146">
        <v>22498.564452999999</v>
      </c>
      <c r="T146">
        <v>22986.494140999999</v>
      </c>
      <c r="U146">
        <v>23482.892577999999</v>
      </c>
      <c r="V146">
        <v>23967.220702999999</v>
      </c>
      <c r="W146">
        <v>24447.822265999999</v>
      </c>
      <c r="X146">
        <v>24910.955077999999</v>
      </c>
      <c r="Y146">
        <v>25369.457031000002</v>
      </c>
      <c r="Z146">
        <v>25815.714843999998</v>
      </c>
      <c r="AA146">
        <v>26262.140625</v>
      </c>
      <c r="AB146">
        <v>26715.667968999998</v>
      </c>
      <c r="AC146">
        <v>27174.589843999998</v>
      </c>
      <c r="AD146">
        <v>27651.148438</v>
      </c>
      <c r="AE146">
        <v>28162.882812</v>
      </c>
      <c r="AF146">
        <v>28685.140625</v>
      </c>
      <c r="AG146">
        <v>29216.587890999999</v>
      </c>
      <c r="AH146">
        <v>29769.355468999998</v>
      </c>
      <c r="AI146">
        <v>30318.931640999999</v>
      </c>
      <c r="AJ146">
        <v>30876.527343999998</v>
      </c>
      <c r="AK146">
        <v>31438.802734000001</v>
      </c>
      <c r="AL146">
        <v>32015.296875</v>
      </c>
      <c r="AM146">
        <v>32595.296875</v>
      </c>
      <c r="AN146">
        <v>33181.980469000002</v>
      </c>
      <c r="AO146">
        <v>33758.839844000002</v>
      </c>
      <c r="AP146" s="8">
        <v>1.9E-2</v>
      </c>
    </row>
    <row r="147" spans="1:42" x14ac:dyDescent="0.25">
      <c r="A147" t="s">
        <v>38</v>
      </c>
      <c r="C147" t="s">
        <v>297</v>
      </c>
    </row>
    <row r="148" spans="1:42" x14ac:dyDescent="0.25">
      <c r="A148" t="s">
        <v>37</v>
      </c>
      <c r="B148" t="s">
        <v>36</v>
      </c>
      <c r="C148" t="s">
        <v>296</v>
      </c>
      <c r="D148" t="s">
        <v>35</v>
      </c>
      <c r="H148">
        <v>548.44409199999996</v>
      </c>
      <c r="I148">
        <v>558.13116500000001</v>
      </c>
      <c r="J148">
        <v>552.03271500000005</v>
      </c>
      <c r="K148">
        <v>532.16955600000006</v>
      </c>
      <c r="L148">
        <v>527.41479500000003</v>
      </c>
      <c r="M148">
        <v>525.618652</v>
      </c>
      <c r="N148">
        <v>522.00622599999997</v>
      </c>
      <c r="O148">
        <v>511.91629</v>
      </c>
      <c r="P148">
        <v>505.86328099999997</v>
      </c>
      <c r="Q148">
        <v>500.92965700000002</v>
      </c>
      <c r="R148">
        <v>493.90322900000001</v>
      </c>
      <c r="S148">
        <v>489.05029300000001</v>
      </c>
      <c r="T148">
        <v>484.468323</v>
      </c>
      <c r="U148">
        <v>473.13421599999998</v>
      </c>
      <c r="V148">
        <v>469.60327100000001</v>
      </c>
      <c r="W148">
        <v>468.68847699999998</v>
      </c>
      <c r="X148">
        <v>464.220642</v>
      </c>
      <c r="Y148">
        <v>465.496826</v>
      </c>
      <c r="Z148">
        <v>464.60674999999998</v>
      </c>
      <c r="AA148">
        <v>462.48315400000001</v>
      </c>
      <c r="AB148">
        <v>462.35641500000003</v>
      </c>
      <c r="AC148">
        <v>463.17312600000002</v>
      </c>
      <c r="AD148">
        <v>465.934845</v>
      </c>
      <c r="AE148">
        <v>467.96807899999999</v>
      </c>
      <c r="AF148">
        <v>471.19103999999999</v>
      </c>
      <c r="AG148">
        <v>470.738586</v>
      </c>
      <c r="AH148">
        <v>473.28066999999999</v>
      </c>
      <c r="AI148">
        <v>475.18447900000001</v>
      </c>
      <c r="AJ148">
        <v>480.38501000000002</v>
      </c>
      <c r="AK148">
        <v>482.65963699999998</v>
      </c>
      <c r="AL148">
        <v>488.13793900000002</v>
      </c>
      <c r="AM148">
        <v>493.16296399999999</v>
      </c>
      <c r="AN148">
        <v>497.255493</v>
      </c>
      <c r="AO148">
        <v>499.66000400000001</v>
      </c>
      <c r="AP148" s="8">
        <v>-3.0000000000000001E-3</v>
      </c>
    </row>
  </sheetData>
  <hyperlinks>
    <hyperlink ref="A2" r:id="rId1" location="/?id=2-AEO2020&amp;region=1-9&amp;cases=ref2020&amp;start=2018&amp;end=2050&amp;f=A&amp;linechart=ref2020-d112119a.3-2-AEO2020.1-9&amp;map=ref2020-d112119a.5-2-AEO2020.1-9&amp;sourcekey=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workbookViewId="0">
      <selection activeCell="A3" sqref="A3"/>
    </sheetView>
  </sheetViews>
  <sheetFormatPr defaultRowHeight="15" x14ac:dyDescent="0.25"/>
  <cols>
    <col min="1" max="1" width="43.28515625" customWidth="1"/>
    <col min="2" max="2" width="68.5703125" customWidth="1"/>
  </cols>
  <sheetData>
    <row r="1" spans="1:41" x14ac:dyDescent="0.25">
      <c r="A1" t="s">
        <v>720</v>
      </c>
    </row>
    <row r="2" spans="1:41" x14ac:dyDescent="0.25">
      <c r="A2" s="96" t="s">
        <v>721</v>
      </c>
    </row>
    <row r="3" spans="1:41" x14ac:dyDescent="0.25">
      <c r="A3" t="s">
        <v>722</v>
      </c>
    </row>
    <row r="4" spans="1:41" x14ac:dyDescent="0.25">
      <c r="A4" t="s">
        <v>219</v>
      </c>
    </row>
    <row r="5" spans="1:41" x14ac:dyDescent="0.25">
      <c r="B5" t="s">
        <v>218</v>
      </c>
      <c r="C5" t="s">
        <v>217</v>
      </c>
      <c r="D5" t="s">
        <v>9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  <c r="L5">
        <v>2021</v>
      </c>
      <c r="M5">
        <v>2022</v>
      </c>
      <c r="N5">
        <v>2023</v>
      </c>
      <c r="O5">
        <v>2024</v>
      </c>
      <c r="P5">
        <v>2025</v>
      </c>
      <c r="Q5">
        <v>2026</v>
      </c>
      <c r="R5">
        <v>2027</v>
      </c>
      <c r="S5">
        <v>2028</v>
      </c>
      <c r="T5">
        <v>2029</v>
      </c>
      <c r="U5">
        <v>2030</v>
      </c>
      <c r="V5">
        <v>2031</v>
      </c>
      <c r="W5">
        <v>2032</v>
      </c>
      <c r="X5">
        <v>2033</v>
      </c>
      <c r="Y5">
        <v>2034</v>
      </c>
      <c r="Z5">
        <v>2035</v>
      </c>
      <c r="AA5">
        <v>2036</v>
      </c>
      <c r="AB5">
        <v>2037</v>
      </c>
      <c r="AC5">
        <v>2038</v>
      </c>
      <c r="AD5">
        <v>2039</v>
      </c>
      <c r="AE5">
        <v>2040</v>
      </c>
      <c r="AF5">
        <v>2041</v>
      </c>
      <c r="AG5">
        <v>2042</v>
      </c>
      <c r="AH5">
        <v>2043</v>
      </c>
      <c r="AI5">
        <v>2044</v>
      </c>
      <c r="AJ5">
        <v>2045</v>
      </c>
      <c r="AK5">
        <v>2046</v>
      </c>
      <c r="AL5">
        <v>2047</v>
      </c>
      <c r="AM5">
        <v>2048</v>
      </c>
      <c r="AN5">
        <v>2049</v>
      </c>
      <c r="AO5">
        <v>2050</v>
      </c>
    </row>
    <row r="6" spans="1:41" x14ac:dyDescent="0.25">
      <c r="A6" t="s">
        <v>549</v>
      </c>
    </row>
    <row r="7" spans="1:41" x14ac:dyDescent="0.25">
      <c r="A7" t="s">
        <v>548</v>
      </c>
      <c r="C7" t="s">
        <v>547</v>
      </c>
    </row>
    <row r="8" spans="1:41" x14ac:dyDescent="0.25">
      <c r="A8" t="s">
        <v>546</v>
      </c>
      <c r="B8" t="s">
        <v>545</v>
      </c>
      <c r="C8" t="s">
        <v>544</v>
      </c>
      <c r="D8" t="s">
        <v>45</v>
      </c>
      <c r="H8">
        <v>0.36779099999999998</v>
      </c>
      <c r="I8">
        <v>0.43935099999999999</v>
      </c>
      <c r="J8">
        <v>0.52879799999999999</v>
      </c>
      <c r="K8">
        <v>0.49784699999999998</v>
      </c>
      <c r="L8">
        <v>0.472773</v>
      </c>
      <c r="M8">
        <v>0.46401700000000001</v>
      </c>
      <c r="N8">
        <v>0.45689400000000002</v>
      </c>
      <c r="O8">
        <v>0.45093299999999997</v>
      </c>
      <c r="P8">
        <v>0.44428299999999998</v>
      </c>
      <c r="Q8">
        <v>0.43823299999999998</v>
      </c>
      <c r="R8">
        <v>0.430919</v>
      </c>
      <c r="S8">
        <v>0.42432399999999998</v>
      </c>
      <c r="T8">
        <v>0.41768899999999998</v>
      </c>
      <c r="U8">
        <v>0.41045799999999999</v>
      </c>
      <c r="V8">
        <v>0.40359200000000001</v>
      </c>
      <c r="W8">
        <v>0.39649400000000001</v>
      </c>
      <c r="X8">
        <v>0.39019500000000001</v>
      </c>
      <c r="Y8">
        <v>0.383606</v>
      </c>
      <c r="Z8">
        <v>0.376938</v>
      </c>
      <c r="AA8">
        <v>0.37016700000000002</v>
      </c>
      <c r="AB8">
        <v>0.36333599999999999</v>
      </c>
      <c r="AC8">
        <v>0.35694300000000001</v>
      </c>
      <c r="AD8">
        <v>0.35095799999999999</v>
      </c>
      <c r="AE8">
        <v>0.34453899999999998</v>
      </c>
      <c r="AF8">
        <v>0.338671</v>
      </c>
      <c r="AG8">
        <v>0.33392500000000003</v>
      </c>
      <c r="AH8">
        <v>0.329488</v>
      </c>
      <c r="AI8">
        <v>0.32521299999999997</v>
      </c>
      <c r="AJ8">
        <v>0.32177600000000001</v>
      </c>
      <c r="AK8">
        <v>0.31815399999999999</v>
      </c>
      <c r="AL8">
        <v>0.31483</v>
      </c>
      <c r="AM8">
        <v>0.31170700000000001</v>
      </c>
      <c r="AN8">
        <v>0.30854199999999998</v>
      </c>
      <c r="AO8">
        <v>0.30494900000000003</v>
      </c>
    </row>
    <row r="9" spans="1:41" x14ac:dyDescent="0.25">
      <c r="A9" t="s">
        <v>543</v>
      </c>
      <c r="B9" t="s">
        <v>542</v>
      </c>
      <c r="C9" t="s">
        <v>541</v>
      </c>
      <c r="D9" t="s">
        <v>45</v>
      </c>
      <c r="H9">
        <v>0.141097</v>
      </c>
      <c r="I9">
        <v>0.141097</v>
      </c>
      <c r="J9">
        <v>0.13072</v>
      </c>
      <c r="K9">
        <v>0.13072</v>
      </c>
      <c r="L9">
        <v>0.13072</v>
      </c>
      <c r="M9">
        <v>0.13072</v>
      </c>
      <c r="N9">
        <v>0.13072</v>
      </c>
      <c r="O9">
        <v>0.13072</v>
      </c>
      <c r="P9">
        <v>0.13072</v>
      </c>
      <c r="Q9">
        <v>0.13072</v>
      </c>
      <c r="R9">
        <v>0.13072</v>
      </c>
      <c r="S9">
        <v>0.13072</v>
      </c>
      <c r="T9">
        <v>0.13072</v>
      </c>
      <c r="U9">
        <v>0.13072</v>
      </c>
      <c r="V9">
        <v>0.13072</v>
      </c>
      <c r="W9">
        <v>0.13072</v>
      </c>
      <c r="X9">
        <v>0.13072</v>
      </c>
      <c r="Y9">
        <v>0.13072</v>
      </c>
      <c r="Z9">
        <v>0.13072</v>
      </c>
      <c r="AA9">
        <v>0.13072</v>
      </c>
      <c r="AB9">
        <v>0.13072</v>
      </c>
      <c r="AC9">
        <v>0.13072</v>
      </c>
      <c r="AD9">
        <v>0.13072</v>
      </c>
      <c r="AE9">
        <v>0.13072</v>
      </c>
      <c r="AF9">
        <v>0.13072</v>
      </c>
      <c r="AG9">
        <v>0.13072</v>
      </c>
      <c r="AH9">
        <v>0.13072</v>
      </c>
      <c r="AI9">
        <v>0.13072</v>
      </c>
      <c r="AJ9">
        <v>0.13072</v>
      </c>
      <c r="AK9">
        <v>0.13072</v>
      </c>
      <c r="AL9">
        <v>0.13072</v>
      </c>
      <c r="AM9">
        <v>0.13072</v>
      </c>
      <c r="AN9">
        <v>0.13072</v>
      </c>
      <c r="AO9">
        <v>0.13072</v>
      </c>
    </row>
    <row r="10" spans="1:41" x14ac:dyDescent="0.25">
      <c r="A10" t="s">
        <v>191</v>
      </c>
      <c r="B10" t="s">
        <v>540</v>
      </c>
      <c r="C10" t="s">
        <v>539</v>
      </c>
      <c r="D10" t="s">
        <v>45</v>
      </c>
      <c r="H10">
        <v>2.4297200000000001</v>
      </c>
      <c r="I10">
        <v>2.4196249999999999</v>
      </c>
      <c r="J10">
        <v>2.5275859999999999</v>
      </c>
      <c r="K10">
        <v>2.4340299999999999</v>
      </c>
      <c r="L10">
        <v>2.4594390000000002</v>
      </c>
      <c r="M10">
        <v>2.5006529999999998</v>
      </c>
      <c r="N10">
        <v>2.516464</v>
      </c>
      <c r="O10">
        <v>2.5409009999999999</v>
      </c>
      <c r="P10">
        <v>2.5679590000000001</v>
      </c>
      <c r="Q10">
        <v>2.6028280000000001</v>
      </c>
      <c r="R10">
        <v>2.6300400000000002</v>
      </c>
      <c r="S10">
        <v>2.6628289999999999</v>
      </c>
      <c r="T10">
        <v>2.6883189999999999</v>
      </c>
      <c r="U10">
        <v>2.7190810000000001</v>
      </c>
      <c r="V10">
        <v>2.7405940000000002</v>
      </c>
      <c r="W10">
        <v>2.7567910000000002</v>
      </c>
      <c r="X10">
        <v>2.7723239999999998</v>
      </c>
      <c r="Y10">
        <v>2.7928410000000001</v>
      </c>
      <c r="Z10">
        <v>2.8111480000000002</v>
      </c>
      <c r="AA10">
        <v>2.8289879999999998</v>
      </c>
      <c r="AB10">
        <v>2.843801</v>
      </c>
      <c r="AC10">
        <v>2.8609490000000002</v>
      </c>
      <c r="AD10">
        <v>2.8757389999999998</v>
      </c>
      <c r="AE10">
        <v>2.897815</v>
      </c>
      <c r="AF10">
        <v>2.9224920000000001</v>
      </c>
      <c r="AG10">
        <v>2.943886</v>
      </c>
      <c r="AH10">
        <v>2.9692159999999999</v>
      </c>
      <c r="AI10">
        <v>2.9941789999999999</v>
      </c>
      <c r="AJ10">
        <v>3.0216880000000002</v>
      </c>
      <c r="AK10">
        <v>3.0476770000000002</v>
      </c>
      <c r="AL10">
        <v>3.0797659999999998</v>
      </c>
      <c r="AM10">
        <v>3.1081979999999998</v>
      </c>
      <c r="AN10">
        <v>3.136469</v>
      </c>
      <c r="AO10">
        <v>3.1670440000000002</v>
      </c>
    </row>
    <row r="11" spans="1:41" x14ac:dyDescent="0.25">
      <c r="A11" t="s">
        <v>507</v>
      </c>
      <c r="B11" t="s">
        <v>538</v>
      </c>
      <c r="C11" t="s">
        <v>537</v>
      </c>
      <c r="D11" t="s">
        <v>45</v>
      </c>
      <c r="H11">
        <v>5.2400000000000005E-4</v>
      </c>
      <c r="I11">
        <v>1.1069999999999999E-3</v>
      </c>
      <c r="J11">
        <v>8.2700000000000004E-4</v>
      </c>
      <c r="K11">
        <v>8.2700000000000004E-4</v>
      </c>
      <c r="L11">
        <v>8.2700000000000004E-4</v>
      </c>
      <c r="M11">
        <v>8.2700000000000004E-4</v>
      </c>
      <c r="N11">
        <v>8.2700000000000004E-4</v>
      </c>
      <c r="O11">
        <v>8.2700000000000004E-4</v>
      </c>
      <c r="P11">
        <v>8.2700000000000004E-4</v>
      </c>
      <c r="Q11">
        <v>8.2700000000000004E-4</v>
      </c>
      <c r="R11">
        <v>8.2700000000000004E-4</v>
      </c>
      <c r="S11">
        <v>8.2700000000000004E-4</v>
      </c>
      <c r="T11">
        <v>8.2700000000000004E-4</v>
      </c>
      <c r="U11">
        <v>8.2700000000000004E-4</v>
      </c>
      <c r="V11">
        <v>8.2700000000000004E-4</v>
      </c>
      <c r="W11">
        <v>8.2700000000000004E-4</v>
      </c>
      <c r="X11">
        <v>8.2700000000000004E-4</v>
      </c>
      <c r="Y11">
        <v>8.2700000000000004E-4</v>
      </c>
      <c r="Z11">
        <v>8.2700000000000004E-4</v>
      </c>
      <c r="AA11">
        <v>8.2700000000000004E-4</v>
      </c>
      <c r="AB11">
        <v>8.2700000000000004E-4</v>
      </c>
      <c r="AC11">
        <v>8.2700000000000004E-4</v>
      </c>
      <c r="AD11">
        <v>8.2700000000000004E-4</v>
      </c>
      <c r="AE11">
        <v>8.2700000000000004E-4</v>
      </c>
      <c r="AF11">
        <v>8.2700000000000004E-4</v>
      </c>
      <c r="AG11">
        <v>8.2700000000000004E-4</v>
      </c>
      <c r="AH11">
        <v>8.2700000000000004E-4</v>
      </c>
      <c r="AI11">
        <v>8.2700000000000004E-4</v>
      </c>
      <c r="AJ11">
        <v>8.2700000000000004E-4</v>
      </c>
      <c r="AK11">
        <v>8.2700000000000004E-4</v>
      </c>
      <c r="AL11">
        <v>8.2700000000000004E-4</v>
      </c>
      <c r="AM11">
        <v>8.2700000000000004E-4</v>
      </c>
      <c r="AN11">
        <v>8.2700000000000004E-4</v>
      </c>
      <c r="AO11">
        <v>8.2700000000000004E-4</v>
      </c>
    </row>
    <row r="12" spans="1:41" x14ac:dyDescent="0.25">
      <c r="A12" t="s">
        <v>536</v>
      </c>
      <c r="B12" t="s">
        <v>535</v>
      </c>
      <c r="C12" t="s">
        <v>534</v>
      </c>
      <c r="D12" t="s">
        <v>45</v>
      </c>
      <c r="H12">
        <v>0.1653</v>
      </c>
      <c r="I12">
        <v>0.16800000000000001</v>
      </c>
      <c r="J12">
        <v>0.16470000000000001</v>
      </c>
      <c r="K12">
        <v>0.16420000000000001</v>
      </c>
      <c r="L12">
        <v>0.16408</v>
      </c>
      <c r="M12">
        <v>0.165377</v>
      </c>
      <c r="N12">
        <v>0.16623599999999999</v>
      </c>
      <c r="O12">
        <v>0.16730400000000001</v>
      </c>
      <c r="P12">
        <v>0.16850100000000001</v>
      </c>
      <c r="Q12">
        <v>0.16963300000000001</v>
      </c>
      <c r="R12">
        <v>0.17127899999999999</v>
      </c>
      <c r="S12">
        <v>0.17308599999999999</v>
      </c>
      <c r="T12">
        <v>0.175174</v>
      </c>
      <c r="U12">
        <v>0.177538</v>
      </c>
      <c r="V12">
        <v>0.18007200000000001</v>
      </c>
      <c r="W12">
        <v>0.182702</v>
      </c>
      <c r="X12">
        <v>0.185195</v>
      </c>
      <c r="Y12">
        <v>0.18754799999999999</v>
      </c>
      <c r="Z12">
        <v>0.18657799999999999</v>
      </c>
      <c r="AA12">
        <v>0.18989500000000001</v>
      </c>
      <c r="AB12">
        <v>0.193111</v>
      </c>
      <c r="AC12">
        <v>0.19595099999999999</v>
      </c>
      <c r="AD12">
        <v>0.198652</v>
      </c>
      <c r="AE12">
        <v>0.20158200000000001</v>
      </c>
      <c r="AF12">
        <v>0.20455499999999999</v>
      </c>
      <c r="AG12">
        <v>0.20740600000000001</v>
      </c>
      <c r="AH12">
        <v>0.21035899999999999</v>
      </c>
      <c r="AI12">
        <v>0.21335200000000001</v>
      </c>
      <c r="AJ12">
        <v>0.21640200000000001</v>
      </c>
      <c r="AK12">
        <v>0.21941099999999999</v>
      </c>
      <c r="AL12">
        <v>0.22234699999999999</v>
      </c>
      <c r="AM12">
        <v>0.22541700000000001</v>
      </c>
      <c r="AN12">
        <v>0.22844400000000001</v>
      </c>
      <c r="AO12">
        <v>0.23147499999999999</v>
      </c>
    </row>
    <row r="13" spans="1:41" x14ac:dyDescent="0.25">
      <c r="A13" t="s">
        <v>498</v>
      </c>
      <c r="B13" t="s">
        <v>533</v>
      </c>
      <c r="C13" t="s">
        <v>532</v>
      </c>
      <c r="D13" t="s">
        <v>45</v>
      </c>
      <c r="H13">
        <v>1.4799</v>
      </c>
      <c r="I13">
        <v>1.4681</v>
      </c>
      <c r="J13">
        <v>1.4597</v>
      </c>
      <c r="K13">
        <v>1.3796999999999999</v>
      </c>
      <c r="L13">
        <v>1.421057</v>
      </c>
      <c r="M13">
        <v>1.4660200000000001</v>
      </c>
      <c r="N13">
        <v>1.4926520000000001</v>
      </c>
      <c r="O13">
        <v>1.52277</v>
      </c>
      <c r="P13">
        <v>1.555912</v>
      </c>
      <c r="Q13">
        <v>1.589737</v>
      </c>
      <c r="R13">
        <v>1.612787</v>
      </c>
      <c r="S13">
        <v>1.637078</v>
      </c>
      <c r="T13">
        <v>1.6617010000000001</v>
      </c>
      <c r="U13">
        <v>1.686655</v>
      </c>
      <c r="V13">
        <v>1.704259</v>
      </c>
      <c r="W13">
        <v>1.7162489999999999</v>
      </c>
      <c r="X13">
        <v>1.727754</v>
      </c>
      <c r="Y13">
        <v>1.744281</v>
      </c>
      <c r="Z13">
        <v>1.7622660000000001</v>
      </c>
      <c r="AA13">
        <v>1.7741</v>
      </c>
      <c r="AB13">
        <v>1.7827</v>
      </c>
      <c r="AC13">
        <v>1.7939579999999999</v>
      </c>
      <c r="AD13">
        <v>1.802311</v>
      </c>
      <c r="AE13">
        <v>1.8161639999999999</v>
      </c>
      <c r="AF13">
        <v>1.831879</v>
      </c>
      <c r="AG13">
        <v>1.844708</v>
      </c>
      <c r="AH13">
        <v>1.8613869999999999</v>
      </c>
      <c r="AI13">
        <v>1.881737</v>
      </c>
      <c r="AJ13">
        <v>1.9036770000000001</v>
      </c>
      <c r="AK13">
        <v>1.9262950000000001</v>
      </c>
      <c r="AL13">
        <v>1.9484710000000001</v>
      </c>
      <c r="AM13">
        <v>1.9669019999999999</v>
      </c>
      <c r="AN13">
        <v>1.985214</v>
      </c>
      <c r="AO13">
        <v>2.0026869999999999</v>
      </c>
    </row>
    <row r="14" spans="1:41" x14ac:dyDescent="0.25">
      <c r="A14" t="s">
        <v>61</v>
      </c>
      <c r="B14" t="s">
        <v>531</v>
      </c>
      <c r="C14" t="s">
        <v>530</v>
      </c>
      <c r="D14" t="s">
        <v>45</v>
      </c>
      <c r="H14">
        <v>0.78399600000000003</v>
      </c>
      <c r="I14">
        <v>0.78241799999999995</v>
      </c>
      <c r="J14">
        <v>0.90236000000000005</v>
      </c>
      <c r="K14">
        <v>0.88930299999999995</v>
      </c>
      <c r="L14">
        <v>0.87347399999999997</v>
      </c>
      <c r="M14">
        <v>0.86843000000000004</v>
      </c>
      <c r="N14">
        <v>0.85674899999999998</v>
      </c>
      <c r="O14">
        <v>0.85</v>
      </c>
      <c r="P14">
        <v>0.842719</v>
      </c>
      <c r="Q14">
        <v>0.84263100000000002</v>
      </c>
      <c r="R14">
        <v>0.84514699999999998</v>
      </c>
      <c r="S14">
        <v>0.85183799999999998</v>
      </c>
      <c r="T14">
        <v>0.85061699999999996</v>
      </c>
      <c r="U14">
        <v>0.85406099999999996</v>
      </c>
      <c r="V14">
        <v>0.855437</v>
      </c>
      <c r="W14">
        <v>0.85701300000000002</v>
      </c>
      <c r="X14">
        <v>0.85854799999999998</v>
      </c>
      <c r="Y14">
        <v>0.86018499999999998</v>
      </c>
      <c r="Z14">
        <v>0.86147700000000005</v>
      </c>
      <c r="AA14">
        <v>0.86416700000000002</v>
      </c>
      <c r="AB14">
        <v>0.86716400000000005</v>
      </c>
      <c r="AC14">
        <v>0.87021300000000001</v>
      </c>
      <c r="AD14">
        <v>0.87395</v>
      </c>
      <c r="AE14">
        <v>0.87924199999999997</v>
      </c>
      <c r="AF14">
        <v>0.88523099999999999</v>
      </c>
      <c r="AG14">
        <v>0.89094499999999999</v>
      </c>
      <c r="AH14">
        <v>0.89664299999999997</v>
      </c>
      <c r="AI14">
        <v>0.898262</v>
      </c>
      <c r="AJ14">
        <v>0.90078199999999997</v>
      </c>
      <c r="AK14">
        <v>0.90114300000000003</v>
      </c>
      <c r="AL14">
        <v>0.90812199999999998</v>
      </c>
      <c r="AM14">
        <v>0.91505199999999998</v>
      </c>
      <c r="AN14">
        <v>0.92198400000000003</v>
      </c>
      <c r="AO14">
        <v>0.932056</v>
      </c>
    </row>
    <row r="15" spans="1:41" x14ac:dyDescent="0.25">
      <c r="A15" t="s">
        <v>166</v>
      </c>
      <c r="B15" t="s">
        <v>529</v>
      </c>
      <c r="C15" t="s">
        <v>528</v>
      </c>
      <c r="D15" t="s">
        <v>45</v>
      </c>
      <c r="H15">
        <v>1.519158</v>
      </c>
      <c r="I15">
        <v>1.5506930000000001</v>
      </c>
      <c r="J15">
        <v>1.5304629999999999</v>
      </c>
      <c r="K15">
        <v>1.548011</v>
      </c>
      <c r="L15">
        <v>1.665818</v>
      </c>
      <c r="M15">
        <v>1.7023360000000001</v>
      </c>
      <c r="N15">
        <v>1.708942</v>
      </c>
      <c r="O15">
        <v>1.7171510000000001</v>
      </c>
      <c r="P15">
        <v>1.724847</v>
      </c>
      <c r="Q15">
        <v>1.7320530000000001</v>
      </c>
      <c r="R15">
        <v>1.7385349999999999</v>
      </c>
      <c r="S15">
        <v>1.7462800000000001</v>
      </c>
      <c r="T15">
        <v>1.753822</v>
      </c>
      <c r="U15">
        <v>1.760826</v>
      </c>
      <c r="V15">
        <v>1.761409</v>
      </c>
      <c r="W15">
        <v>1.761541</v>
      </c>
      <c r="X15">
        <v>1.7619119999999999</v>
      </c>
      <c r="Y15">
        <v>1.7621979999999999</v>
      </c>
      <c r="Z15">
        <v>1.7626280000000001</v>
      </c>
      <c r="AA15">
        <v>1.7630250000000001</v>
      </c>
      <c r="AB15">
        <v>1.7631060000000001</v>
      </c>
      <c r="AC15">
        <v>1.76332</v>
      </c>
      <c r="AD15">
        <v>1.7636229999999999</v>
      </c>
      <c r="AE15">
        <v>1.7640659999999999</v>
      </c>
      <c r="AF15">
        <v>1.764554</v>
      </c>
      <c r="AG15">
        <v>1.7648919999999999</v>
      </c>
      <c r="AH15">
        <v>1.765136</v>
      </c>
      <c r="AI15">
        <v>1.767369</v>
      </c>
      <c r="AJ15">
        <v>1.7688889999999999</v>
      </c>
      <c r="AK15">
        <v>1.769204</v>
      </c>
      <c r="AL15">
        <v>1.7693410000000001</v>
      </c>
      <c r="AM15">
        <v>1.769339</v>
      </c>
      <c r="AN15">
        <v>1.7694080000000001</v>
      </c>
      <c r="AO15">
        <v>1.7692429999999999</v>
      </c>
    </row>
    <row r="16" spans="1:41" s="102" customFormat="1" x14ac:dyDescent="0.25">
      <c r="A16" s="102" t="s">
        <v>527</v>
      </c>
      <c r="B16" s="102" t="s">
        <v>526</v>
      </c>
      <c r="C16" s="102" t="s">
        <v>525</v>
      </c>
      <c r="D16" s="102" t="s">
        <v>45</v>
      </c>
      <c r="E16" s="102">
        <v>0</v>
      </c>
      <c r="F16" s="102">
        <v>0</v>
      </c>
      <c r="G16" s="102">
        <v>0</v>
      </c>
      <c r="H16" s="102">
        <v>6.0400000000000002E-3</v>
      </c>
      <c r="I16" s="102">
        <v>2.7022999999999998E-2</v>
      </c>
      <c r="J16" s="102">
        <v>9.8600000000000007E-3</v>
      </c>
      <c r="K16" s="102">
        <v>1.2718E-2</v>
      </c>
      <c r="L16" s="102">
        <v>1.3547E-2</v>
      </c>
      <c r="M16" s="102">
        <v>1.6152E-2</v>
      </c>
      <c r="N16" s="102">
        <v>1.5304E-2</v>
      </c>
      <c r="O16" s="102">
        <v>1.4994E-2</v>
      </c>
      <c r="P16" s="102">
        <v>1.6056999999999998E-2</v>
      </c>
      <c r="Q16" s="102">
        <v>1.619E-2</v>
      </c>
      <c r="R16" s="102">
        <v>1.5886000000000001E-2</v>
      </c>
      <c r="S16" s="102">
        <v>1.5176E-2</v>
      </c>
      <c r="T16" s="102">
        <v>1.4806E-2</v>
      </c>
      <c r="U16" s="102">
        <v>1.6395E-2</v>
      </c>
      <c r="V16" s="102">
        <v>1.5502E-2</v>
      </c>
      <c r="W16" s="102">
        <v>1.5282E-2</v>
      </c>
      <c r="X16" s="102">
        <v>1.4898E-2</v>
      </c>
      <c r="Y16" s="102">
        <v>1.413E-2</v>
      </c>
      <c r="Z16" s="102">
        <v>1.2848999999999999E-2</v>
      </c>
      <c r="AA16" s="102">
        <v>1.3141E-2</v>
      </c>
      <c r="AB16" s="102">
        <v>1.3003000000000001E-2</v>
      </c>
      <c r="AC16" s="102">
        <v>1.2064999999999999E-2</v>
      </c>
      <c r="AD16" s="102">
        <v>1.0878000000000001E-2</v>
      </c>
      <c r="AE16" s="102">
        <v>9.9319999999999999E-3</v>
      </c>
      <c r="AF16" s="102">
        <v>9.8010000000000007E-3</v>
      </c>
      <c r="AG16" s="102">
        <v>8.6960000000000006E-3</v>
      </c>
      <c r="AH16" s="102">
        <v>8.4460000000000004E-3</v>
      </c>
      <c r="AI16" s="102">
        <v>8.2100000000000003E-3</v>
      </c>
      <c r="AJ16" s="102">
        <v>8.0789999999999994E-3</v>
      </c>
      <c r="AK16" s="102">
        <v>7.705E-3</v>
      </c>
      <c r="AL16" s="102">
        <v>5.4819999999999999E-3</v>
      </c>
      <c r="AM16" s="102">
        <v>5.1960000000000001E-3</v>
      </c>
      <c r="AN16" s="102">
        <v>6.3330000000000001E-3</v>
      </c>
      <c r="AO16" s="102">
        <v>6.2989999999999999E-3</v>
      </c>
    </row>
    <row r="17" spans="1:41" s="102" customFormat="1" x14ac:dyDescent="0.25">
      <c r="A17" s="102" t="s">
        <v>524</v>
      </c>
      <c r="B17" s="102" t="s">
        <v>523</v>
      </c>
      <c r="C17" s="102" t="s">
        <v>522</v>
      </c>
      <c r="D17" s="102" t="s">
        <v>45</v>
      </c>
      <c r="E17" s="102">
        <v>1.1100000000000001</v>
      </c>
      <c r="F17" s="102">
        <v>1.1499999999999999</v>
      </c>
      <c r="G17" s="102">
        <v>1.17</v>
      </c>
      <c r="H17" s="102">
        <v>1.1932579999999999</v>
      </c>
      <c r="I17" s="102">
        <v>1.1600429999999999</v>
      </c>
      <c r="J17" s="102">
        <v>1.170234</v>
      </c>
      <c r="K17" s="102">
        <v>1.1680250000000001</v>
      </c>
      <c r="L17" s="102">
        <v>1.1815690000000001</v>
      </c>
      <c r="M17" s="102">
        <v>1.168622</v>
      </c>
      <c r="N17" s="102">
        <v>1.1493850000000001</v>
      </c>
      <c r="O17" s="102">
        <v>1.1287910000000001</v>
      </c>
      <c r="P17" s="102">
        <v>1.1136950000000001</v>
      </c>
      <c r="Q17" s="102">
        <v>1.0984050000000001</v>
      </c>
      <c r="R17" s="102">
        <v>1.08528</v>
      </c>
      <c r="S17" s="102">
        <v>1.0782769999999999</v>
      </c>
      <c r="T17" s="102">
        <v>1.07264</v>
      </c>
      <c r="U17" s="102">
        <v>1.0657760000000001</v>
      </c>
      <c r="V17" s="102">
        <v>1.0631429999999999</v>
      </c>
      <c r="W17" s="102">
        <v>1.059925</v>
      </c>
      <c r="X17" s="102">
        <v>1.057793</v>
      </c>
      <c r="Y17" s="102">
        <v>1.05609</v>
      </c>
      <c r="Z17" s="102">
        <v>1.0542659999999999</v>
      </c>
      <c r="AA17" s="102">
        <v>1.0527249999999999</v>
      </c>
      <c r="AB17" s="102">
        <v>1.05192</v>
      </c>
      <c r="AC17" s="102">
        <v>1.0518670000000001</v>
      </c>
      <c r="AD17" s="102">
        <v>1.052932</v>
      </c>
      <c r="AE17" s="102">
        <v>1.0558369999999999</v>
      </c>
      <c r="AF17" s="102">
        <v>1.058746</v>
      </c>
      <c r="AG17" s="102">
        <v>1.0626409999999999</v>
      </c>
      <c r="AH17" s="102">
        <v>1.067631</v>
      </c>
      <c r="AI17" s="102">
        <v>1.080627</v>
      </c>
      <c r="AJ17" s="102">
        <v>1.0920799999999999</v>
      </c>
      <c r="AK17" s="102">
        <v>1.099451</v>
      </c>
      <c r="AL17" s="102">
        <v>1.107038</v>
      </c>
      <c r="AM17" s="102">
        <v>1.114733</v>
      </c>
      <c r="AN17" s="102">
        <v>1.122339</v>
      </c>
      <c r="AO17" s="102">
        <v>1.133086</v>
      </c>
    </row>
    <row r="18" spans="1:41" s="102" customFormat="1" x14ac:dyDescent="0.25">
      <c r="A18" s="102" t="s">
        <v>521</v>
      </c>
      <c r="B18" s="102" t="s">
        <v>520</v>
      </c>
      <c r="C18" s="102" t="s">
        <v>519</v>
      </c>
      <c r="D18" s="102" t="s">
        <v>45</v>
      </c>
      <c r="E18" s="102">
        <v>0.19</v>
      </c>
      <c r="F18" s="102">
        <v>0.22</v>
      </c>
      <c r="G18" s="102">
        <v>0.31</v>
      </c>
      <c r="H18" s="102">
        <v>0.26588699999999998</v>
      </c>
      <c r="I18" s="102">
        <v>0.295344</v>
      </c>
      <c r="J18" s="102">
        <v>0.28631400000000001</v>
      </c>
      <c r="K18" s="102">
        <v>0.316251</v>
      </c>
      <c r="L18" s="102">
        <v>0.39191599999999999</v>
      </c>
      <c r="M18" s="102">
        <v>0.39993000000000001</v>
      </c>
      <c r="N18" s="102">
        <v>0.39849800000000002</v>
      </c>
      <c r="O18" s="102">
        <v>0.40083099999999999</v>
      </c>
      <c r="P18" s="102">
        <v>0.40210200000000001</v>
      </c>
      <c r="Q18" s="102">
        <v>0.40354099999999998</v>
      </c>
      <c r="R18" s="102">
        <v>0.40462599999999999</v>
      </c>
      <c r="S18" s="102">
        <v>0.405752</v>
      </c>
      <c r="T18" s="102">
        <v>0.406939</v>
      </c>
      <c r="U18" s="102">
        <v>0.40760999999999997</v>
      </c>
      <c r="V18" s="102">
        <v>0.40797099999999997</v>
      </c>
      <c r="W18" s="102">
        <v>0.40944999999999998</v>
      </c>
      <c r="X18" s="102">
        <v>0.41028900000000001</v>
      </c>
      <c r="Y18" s="102">
        <v>0.41013100000000002</v>
      </c>
      <c r="Z18" s="102">
        <v>0.41094000000000003</v>
      </c>
      <c r="AA18" s="102">
        <v>0.41215000000000002</v>
      </c>
      <c r="AB18" s="102">
        <v>0.41273799999999999</v>
      </c>
      <c r="AC18" s="102">
        <v>0.41350799999999999</v>
      </c>
      <c r="AD18" s="102">
        <v>0.41350599999999998</v>
      </c>
      <c r="AE18" s="102">
        <v>0.41249999999999998</v>
      </c>
      <c r="AF18" s="102">
        <v>0.41310799999999998</v>
      </c>
      <c r="AG18" s="102">
        <v>0.41393099999999999</v>
      </c>
      <c r="AH18" s="102">
        <v>0.41393099999999999</v>
      </c>
      <c r="AI18" s="102">
        <v>0.41519699999999998</v>
      </c>
      <c r="AJ18" s="102">
        <v>0.415516</v>
      </c>
      <c r="AK18" s="102">
        <v>0.413771</v>
      </c>
      <c r="AL18" s="102">
        <v>0.41206500000000001</v>
      </c>
      <c r="AM18" s="102">
        <v>0.40715800000000002</v>
      </c>
      <c r="AN18" s="102">
        <v>0.40057700000000002</v>
      </c>
      <c r="AO18" s="102">
        <v>0.38955699999999999</v>
      </c>
    </row>
    <row r="19" spans="1:41" x14ac:dyDescent="0.25">
      <c r="A19" t="s">
        <v>518</v>
      </c>
      <c r="B19" t="s">
        <v>517</v>
      </c>
      <c r="C19" t="s">
        <v>516</v>
      </c>
      <c r="D19" t="s">
        <v>45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8.5369999999999994E-3</v>
      </c>
      <c r="R19">
        <v>1.7075E-2</v>
      </c>
      <c r="S19">
        <v>1.7075E-2</v>
      </c>
      <c r="T19">
        <v>1.7075E-2</v>
      </c>
      <c r="U19">
        <v>2.2303E-2</v>
      </c>
      <c r="V19">
        <v>2.3109000000000001E-2</v>
      </c>
      <c r="W19">
        <v>2.3914000000000001E-2</v>
      </c>
      <c r="X19">
        <v>2.3914000000000001E-2</v>
      </c>
      <c r="Y19">
        <v>2.3914000000000001E-2</v>
      </c>
      <c r="Z19">
        <v>2.3914000000000001E-2</v>
      </c>
      <c r="AA19">
        <v>2.3914000000000001E-2</v>
      </c>
      <c r="AB19">
        <v>2.3914000000000001E-2</v>
      </c>
      <c r="AC19">
        <v>2.3914000000000001E-2</v>
      </c>
      <c r="AD19">
        <v>2.3914000000000001E-2</v>
      </c>
      <c r="AE19">
        <v>2.3914000000000001E-2</v>
      </c>
      <c r="AF19">
        <v>2.3914000000000001E-2</v>
      </c>
      <c r="AG19">
        <v>2.3914000000000001E-2</v>
      </c>
      <c r="AH19">
        <v>2.3914000000000001E-2</v>
      </c>
      <c r="AI19">
        <v>1.0345999999999999E-2</v>
      </c>
      <c r="AJ19">
        <v>3.8499999999999998E-4</v>
      </c>
      <c r="AK19">
        <v>0</v>
      </c>
      <c r="AL19">
        <v>0</v>
      </c>
      <c r="AM19">
        <v>0</v>
      </c>
      <c r="AN19">
        <v>0</v>
      </c>
      <c r="AO19">
        <v>0</v>
      </c>
    </row>
    <row r="20" spans="1:41" x14ac:dyDescent="0.25">
      <c r="A20" t="s">
        <v>515</v>
      </c>
      <c r="B20" t="s">
        <v>514</v>
      </c>
      <c r="C20" t="s">
        <v>513</v>
      </c>
      <c r="D20" t="s">
        <v>45</v>
      </c>
      <c r="H20">
        <v>0</v>
      </c>
      <c r="I20">
        <v>3.4099999999999999E-4</v>
      </c>
      <c r="J20">
        <v>2.745E-3</v>
      </c>
      <c r="K20">
        <v>2.745E-3</v>
      </c>
      <c r="L20">
        <v>2.7130000000000001E-3</v>
      </c>
      <c r="M20">
        <v>2.745E-3</v>
      </c>
      <c r="N20">
        <v>2.745E-3</v>
      </c>
      <c r="O20">
        <v>2.745E-3</v>
      </c>
      <c r="P20">
        <v>2.745E-3</v>
      </c>
      <c r="Q20">
        <v>2.745E-3</v>
      </c>
      <c r="R20">
        <v>2.745E-3</v>
      </c>
      <c r="S20">
        <v>2.745E-3</v>
      </c>
      <c r="T20">
        <v>2.745E-3</v>
      </c>
      <c r="U20">
        <v>2.745E-3</v>
      </c>
      <c r="V20">
        <v>2.745E-3</v>
      </c>
      <c r="W20">
        <v>2.745E-3</v>
      </c>
      <c r="X20">
        <v>2.745E-3</v>
      </c>
      <c r="Y20">
        <v>2.745E-3</v>
      </c>
      <c r="Z20">
        <v>2.745E-3</v>
      </c>
      <c r="AA20">
        <v>2.745E-3</v>
      </c>
      <c r="AB20">
        <v>2.745E-3</v>
      </c>
      <c r="AC20">
        <v>2.745E-3</v>
      </c>
      <c r="AD20">
        <v>2.745E-3</v>
      </c>
      <c r="AE20">
        <v>2.745E-3</v>
      </c>
      <c r="AF20">
        <v>2.745E-3</v>
      </c>
      <c r="AG20">
        <v>2.5569999999999998E-3</v>
      </c>
      <c r="AH20">
        <v>1.173E-3</v>
      </c>
      <c r="AI20">
        <v>2.5720000000000001E-3</v>
      </c>
      <c r="AJ20">
        <v>2.1619999999999999E-3</v>
      </c>
      <c r="AK20">
        <v>1.5899999999999999E-4</v>
      </c>
      <c r="AL20">
        <v>2.1100000000000001E-4</v>
      </c>
      <c r="AM20">
        <v>1.7899999999999999E-4</v>
      </c>
      <c r="AN20">
        <v>2.1100000000000001E-4</v>
      </c>
      <c r="AO20">
        <v>1.47E-4</v>
      </c>
    </row>
    <row r="21" spans="1:41" s="102" customFormat="1" x14ac:dyDescent="0.25">
      <c r="A21" s="102" t="s">
        <v>512</v>
      </c>
      <c r="B21" s="102" t="s">
        <v>511</v>
      </c>
      <c r="C21" s="102" t="s">
        <v>510</v>
      </c>
      <c r="D21" s="102" t="s">
        <v>45</v>
      </c>
      <c r="E21" s="102">
        <v>0</v>
      </c>
      <c r="F21" s="102">
        <v>0.01</v>
      </c>
      <c r="G21" s="102">
        <v>0.04</v>
      </c>
      <c r="H21" s="102">
        <v>5.3973E-2</v>
      </c>
      <c r="I21" s="102">
        <v>6.7943000000000003E-2</v>
      </c>
      <c r="J21" s="102">
        <v>6.1310999999999997E-2</v>
      </c>
      <c r="K21" s="102">
        <v>4.8272000000000002E-2</v>
      </c>
      <c r="L21" s="102">
        <v>7.6073000000000002E-2</v>
      </c>
      <c r="M21" s="102">
        <v>0.114886</v>
      </c>
      <c r="N21" s="102">
        <v>0.143009</v>
      </c>
      <c r="O21" s="102">
        <v>0.169791</v>
      </c>
      <c r="P21" s="102">
        <v>0.190248</v>
      </c>
      <c r="Q21" s="102">
        <v>0.20263500000000001</v>
      </c>
      <c r="R21" s="102">
        <v>0.212923</v>
      </c>
      <c r="S21" s="102">
        <v>0.22725500000000001</v>
      </c>
      <c r="T21" s="102">
        <v>0.239618</v>
      </c>
      <c r="U21" s="102">
        <v>0.24599799999999999</v>
      </c>
      <c r="V21" s="102">
        <v>0.24893999999999999</v>
      </c>
      <c r="W21" s="102">
        <v>0.25022499999999998</v>
      </c>
      <c r="X21" s="102">
        <v>0.25227300000000003</v>
      </c>
      <c r="Y21" s="102">
        <v>0.25518800000000003</v>
      </c>
      <c r="Z21" s="102">
        <v>0.25791399999999998</v>
      </c>
      <c r="AA21" s="102">
        <v>0.25835000000000002</v>
      </c>
      <c r="AB21" s="102">
        <v>0.25878600000000002</v>
      </c>
      <c r="AC21" s="102">
        <v>0.25922000000000001</v>
      </c>
      <c r="AD21" s="102">
        <v>0.25964799999999999</v>
      </c>
      <c r="AE21" s="102">
        <v>0.25913799999999998</v>
      </c>
      <c r="AF21" s="102">
        <v>0.25623899999999999</v>
      </c>
      <c r="AG21" s="102">
        <v>0.25315300000000002</v>
      </c>
      <c r="AH21" s="102">
        <v>0.25004100000000001</v>
      </c>
      <c r="AI21" s="102">
        <v>0.25041600000000003</v>
      </c>
      <c r="AJ21" s="102">
        <v>0.25066699999999997</v>
      </c>
      <c r="AK21" s="102">
        <v>0.24811800000000001</v>
      </c>
      <c r="AL21" s="102">
        <v>0.24454500000000001</v>
      </c>
      <c r="AM21" s="102">
        <v>0.24207300000000001</v>
      </c>
      <c r="AN21" s="102">
        <v>0.23994799999999999</v>
      </c>
      <c r="AO21" s="102">
        <v>0.24015400000000001</v>
      </c>
    </row>
    <row r="22" spans="1:41" x14ac:dyDescent="0.25">
      <c r="A22" t="s">
        <v>115</v>
      </c>
      <c r="B22" t="s">
        <v>509</v>
      </c>
      <c r="C22" t="s">
        <v>508</v>
      </c>
      <c r="D22" t="s">
        <v>45</v>
      </c>
      <c r="H22">
        <v>6.246861</v>
      </c>
      <c r="I22">
        <v>6.428922</v>
      </c>
      <c r="J22">
        <v>6.6521280000000003</v>
      </c>
      <c r="K22">
        <v>7.1663069999999998</v>
      </c>
      <c r="L22">
        <v>7.7224550000000001</v>
      </c>
      <c r="M22">
        <v>8.4864339999999991</v>
      </c>
      <c r="N22">
        <v>9.0449230000000007</v>
      </c>
      <c r="O22">
        <v>9.2972350000000006</v>
      </c>
      <c r="P22">
        <v>9.7175499999999992</v>
      </c>
      <c r="Q22">
        <v>9.8194560000000006</v>
      </c>
      <c r="R22">
        <v>10.014474</v>
      </c>
      <c r="S22">
        <v>10.200233000000001</v>
      </c>
      <c r="T22">
        <v>10.476474</v>
      </c>
      <c r="U22">
        <v>10.881594</v>
      </c>
      <c r="V22">
        <v>11.008319</v>
      </c>
      <c r="W22">
        <v>11.023413</v>
      </c>
      <c r="X22">
        <v>11.063247</v>
      </c>
      <c r="Y22">
        <v>11.099175000000001</v>
      </c>
      <c r="Z22">
        <v>11.338202000000001</v>
      </c>
      <c r="AA22">
        <v>11.525404</v>
      </c>
      <c r="AB22">
        <v>11.666912</v>
      </c>
      <c r="AC22">
        <v>11.839836</v>
      </c>
      <c r="AD22">
        <v>12.002022</v>
      </c>
      <c r="AE22">
        <v>12.194883000000001</v>
      </c>
      <c r="AF22">
        <v>12.430887</v>
      </c>
      <c r="AG22">
        <v>12.712051000000001</v>
      </c>
      <c r="AH22">
        <v>13.054074999999999</v>
      </c>
      <c r="AI22">
        <v>13.409317</v>
      </c>
      <c r="AJ22">
        <v>13.801380999999999</v>
      </c>
      <c r="AK22">
        <v>14.073311</v>
      </c>
      <c r="AL22">
        <v>14.320391000000001</v>
      </c>
      <c r="AM22">
        <v>14.490527</v>
      </c>
      <c r="AN22">
        <v>14.684673999999999</v>
      </c>
      <c r="AO22">
        <v>14.895685</v>
      </c>
    </row>
    <row r="23" spans="1:41" x14ac:dyDescent="0.25">
      <c r="A23" t="s">
        <v>507</v>
      </c>
      <c r="B23" t="s">
        <v>506</v>
      </c>
      <c r="C23" t="s">
        <v>505</v>
      </c>
      <c r="D23" t="s">
        <v>45</v>
      </c>
      <c r="H23">
        <v>2.7571279999999998</v>
      </c>
      <c r="I23">
        <v>2.6098940000000002</v>
      </c>
      <c r="J23">
        <v>2.6263960000000002</v>
      </c>
      <c r="K23">
        <v>2.6272220000000002</v>
      </c>
      <c r="L23">
        <v>2.608333</v>
      </c>
      <c r="M23">
        <v>2.5590950000000001</v>
      </c>
      <c r="N23">
        <v>2.514243</v>
      </c>
      <c r="O23">
        <v>2.4726300000000001</v>
      </c>
      <c r="P23">
        <v>2.4576799999999999</v>
      </c>
      <c r="Q23">
        <v>2.3985460000000001</v>
      </c>
      <c r="R23">
        <v>2.391867</v>
      </c>
      <c r="S23">
        <v>2.3828999999999998</v>
      </c>
      <c r="T23">
        <v>2.3763570000000001</v>
      </c>
      <c r="U23">
        <v>2.3702679999999998</v>
      </c>
      <c r="V23">
        <v>2.372077</v>
      </c>
      <c r="W23">
        <v>2.3628659999999999</v>
      </c>
      <c r="X23">
        <v>2.358209</v>
      </c>
      <c r="Y23">
        <v>2.3556279999999998</v>
      </c>
      <c r="Z23">
        <v>2.3465579999999999</v>
      </c>
      <c r="AA23">
        <v>2.3409759999999999</v>
      </c>
      <c r="AB23">
        <v>2.3334260000000002</v>
      </c>
      <c r="AC23">
        <v>2.325644</v>
      </c>
      <c r="AD23">
        <v>2.3159700000000001</v>
      </c>
      <c r="AE23">
        <v>2.306003</v>
      </c>
      <c r="AF23">
        <v>2.2979099999999999</v>
      </c>
      <c r="AG23">
        <v>2.2832279999999998</v>
      </c>
      <c r="AH23">
        <v>2.2839469999999999</v>
      </c>
      <c r="AI23">
        <v>2.2805170000000001</v>
      </c>
      <c r="AJ23">
        <v>2.2719200000000002</v>
      </c>
      <c r="AK23">
        <v>2.2728769999999998</v>
      </c>
      <c r="AL23">
        <v>2.2809240000000002</v>
      </c>
      <c r="AM23">
        <v>2.2791229999999998</v>
      </c>
      <c r="AN23">
        <v>2.2729509999999999</v>
      </c>
      <c r="AO23">
        <v>2.261698</v>
      </c>
    </row>
    <row r="24" spans="1:41" x14ac:dyDescent="0.25">
      <c r="A24" t="s">
        <v>504</v>
      </c>
      <c r="B24" t="s">
        <v>503</v>
      </c>
      <c r="C24" t="s">
        <v>502</v>
      </c>
      <c r="D24" t="s">
        <v>45</v>
      </c>
      <c r="H24">
        <v>0.14647099999999999</v>
      </c>
      <c r="I24">
        <v>0.15135499999999999</v>
      </c>
      <c r="J24">
        <v>0.15040100000000001</v>
      </c>
      <c r="K24">
        <v>0.14782899999999999</v>
      </c>
      <c r="L24">
        <v>0.15129400000000001</v>
      </c>
      <c r="M24">
        <v>0.14729500000000001</v>
      </c>
      <c r="N24">
        <v>0.15382699999999999</v>
      </c>
      <c r="O24">
        <v>0.159549</v>
      </c>
      <c r="P24">
        <v>0.166823</v>
      </c>
      <c r="Q24">
        <v>0.17435200000000001</v>
      </c>
      <c r="R24">
        <v>0.184948</v>
      </c>
      <c r="S24">
        <v>0.19572600000000001</v>
      </c>
      <c r="T24">
        <v>0.20566799999999999</v>
      </c>
      <c r="U24">
        <v>0.21665799999999999</v>
      </c>
      <c r="V24">
        <v>0.230267</v>
      </c>
      <c r="W24">
        <v>0.24390000000000001</v>
      </c>
      <c r="X24">
        <v>0.25577699999999998</v>
      </c>
      <c r="Y24">
        <v>0.266407</v>
      </c>
      <c r="Z24">
        <v>0.28093600000000002</v>
      </c>
      <c r="AA24">
        <v>0.295095</v>
      </c>
      <c r="AB24">
        <v>0.31063299999999999</v>
      </c>
      <c r="AC24">
        <v>0.32392700000000002</v>
      </c>
      <c r="AD24">
        <v>0.336395</v>
      </c>
      <c r="AE24">
        <v>0.34350900000000001</v>
      </c>
      <c r="AF24">
        <v>0.35167799999999999</v>
      </c>
      <c r="AG24">
        <v>0.36052800000000002</v>
      </c>
      <c r="AH24">
        <v>0.36868099999999998</v>
      </c>
      <c r="AI24">
        <v>0.37636700000000001</v>
      </c>
      <c r="AJ24">
        <v>0.38387399999999999</v>
      </c>
      <c r="AK24">
        <v>0.39104</v>
      </c>
      <c r="AL24">
        <v>0.39814899999999998</v>
      </c>
      <c r="AM24">
        <v>0.40507700000000002</v>
      </c>
      <c r="AN24">
        <v>0.409273</v>
      </c>
      <c r="AO24">
        <v>0.41131099999999998</v>
      </c>
    </row>
    <row r="25" spans="1:41" x14ac:dyDescent="0.25">
      <c r="A25" t="s">
        <v>501</v>
      </c>
      <c r="B25" t="s">
        <v>500</v>
      </c>
      <c r="C25" t="s">
        <v>499</v>
      </c>
      <c r="D25" t="s">
        <v>45</v>
      </c>
      <c r="H25">
        <v>0.27030700000000002</v>
      </c>
      <c r="I25">
        <v>0.30338500000000002</v>
      </c>
      <c r="J25">
        <v>0.30125400000000002</v>
      </c>
      <c r="K25">
        <v>0.29651699999999998</v>
      </c>
      <c r="L25">
        <v>0.29912899999999998</v>
      </c>
      <c r="M25">
        <v>0.374336</v>
      </c>
      <c r="N25">
        <v>0.38097199999999998</v>
      </c>
      <c r="O25">
        <v>0.39729399999999998</v>
      </c>
      <c r="P25">
        <v>0.49254199999999998</v>
      </c>
      <c r="Q25">
        <v>0.49356499999999998</v>
      </c>
      <c r="R25">
        <v>0.49399599999999999</v>
      </c>
      <c r="S25">
        <v>0.49109799999999998</v>
      </c>
      <c r="T25">
        <v>0.49634699999999998</v>
      </c>
      <c r="U25">
        <v>0.50492899999999996</v>
      </c>
      <c r="V25">
        <v>0.50812599999999997</v>
      </c>
      <c r="W25">
        <v>0.51322900000000005</v>
      </c>
      <c r="X25">
        <v>0.51439699999999999</v>
      </c>
      <c r="Y25">
        <v>0.51528099999999999</v>
      </c>
      <c r="Z25">
        <v>0.51146999999999998</v>
      </c>
      <c r="AA25">
        <v>0.51239900000000005</v>
      </c>
      <c r="AB25">
        <v>0.51345799999999997</v>
      </c>
      <c r="AC25">
        <v>0.51513500000000001</v>
      </c>
      <c r="AD25">
        <v>0.52075700000000003</v>
      </c>
      <c r="AE25">
        <v>0.52193299999999998</v>
      </c>
      <c r="AF25">
        <v>0.52418900000000002</v>
      </c>
      <c r="AG25">
        <v>0.52889299999999995</v>
      </c>
      <c r="AH25">
        <v>0.52990000000000004</v>
      </c>
      <c r="AI25">
        <v>0.53130200000000005</v>
      </c>
      <c r="AJ25">
        <v>0.53797200000000001</v>
      </c>
      <c r="AK25">
        <v>0.55125000000000002</v>
      </c>
      <c r="AL25">
        <v>0.56310400000000005</v>
      </c>
      <c r="AM25">
        <v>0.57240800000000003</v>
      </c>
      <c r="AN25">
        <v>0.58184599999999997</v>
      </c>
      <c r="AO25">
        <v>0.61216599999999999</v>
      </c>
    </row>
    <row r="26" spans="1:41" x14ac:dyDescent="0.25">
      <c r="A26" t="s">
        <v>498</v>
      </c>
      <c r="B26" t="s">
        <v>497</v>
      </c>
      <c r="C26" t="s">
        <v>496</v>
      </c>
      <c r="D26" t="s">
        <v>45</v>
      </c>
      <c r="H26">
        <v>0.230408</v>
      </c>
      <c r="I26">
        <v>0.22256999999999999</v>
      </c>
      <c r="J26">
        <v>0.20382</v>
      </c>
      <c r="K26">
        <v>0.211259</v>
      </c>
      <c r="L26">
        <v>0.21365200000000001</v>
      </c>
      <c r="M26">
        <v>0.21360899999999999</v>
      </c>
      <c r="N26">
        <v>0.213615</v>
      </c>
      <c r="O26">
        <v>0.212945</v>
      </c>
      <c r="P26">
        <v>0.21294399999999999</v>
      </c>
      <c r="Q26">
        <v>0.21414800000000001</v>
      </c>
      <c r="R26">
        <v>0.21335999999999999</v>
      </c>
      <c r="S26">
        <v>0.21398600000000001</v>
      </c>
      <c r="T26">
        <v>0.21452499999999999</v>
      </c>
      <c r="U26">
        <v>0.21645</v>
      </c>
      <c r="V26">
        <v>0.21726500000000001</v>
      </c>
      <c r="W26">
        <v>0.21795300000000001</v>
      </c>
      <c r="X26">
        <v>0.219945</v>
      </c>
      <c r="Y26">
        <v>0.21956000000000001</v>
      </c>
      <c r="Z26">
        <v>0.21716099999999999</v>
      </c>
      <c r="AA26">
        <v>0.21822900000000001</v>
      </c>
      <c r="AB26">
        <v>0.21801300000000001</v>
      </c>
      <c r="AC26">
        <v>0.21825</v>
      </c>
      <c r="AD26">
        <v>0.218862</v>
      </c>
      <c r="AE26">
        <v>0.219059</v>
      </c>
      <c r="AF26">
        <v>0.21898999999999999</v>
      </c>
      <c r="AG26">
        <v>0.218722</v>
      </c>
      <c r="AH26">
        <v>0.22045400000000001</v>
      </c>
      <c r="AI26">
        <v>0.22045000000000001</v>
      </c>
      <c r="AJ26">
        <v>0.21985099999999999</v>
      </c>
      <c r="AK26">
        <v>0.220446</v>
      </c>
      <c r="AL26">
        <v>0.221946</v>
      </c>
      <c r="AM26">
        <v>0.22195699999999999</v>
      </c>
      <c r="AN26">
        <v>0.224465</v>
      </c>
      <c r="AO26">
        <v>0.22275800000000001</v>
      </c>
    </row>
    <row r="27" spans="1:41" x14ac:dyDescent="0.25">
      <c r="A27" t="s">
        <v>495</v>
      </c>
      <c r="B27" t="s">
        <v>494</v>
      </c>
      <c r="C27" t="s">
        <v>493</v>
      </c>
      <c r="D27" t="s">
        <v>45</v>
      </c>
      <c r="H27">
        <v>0.177645</v>
      </c>
      <c r="I27">
        <v>0.17693800000000001</v>
      </c>
      <c r="J27">
        <v>0.166522</v>
      </c>
      <c r="K27">
        <v>0.17525499999999999</v>
      </c>
      <c r="L27">
        <v>0.17824599999999999</v>
      </c>
      <c r="M27">
        <v>0.178226</v>
      </c>
      <c r="N27">
        <v>0.178145</v>
      </c>
      <c r="O27">
        <v>0.17821300000000001</v>
      </c>
      <c r="P27">
        <v>0.17830199999999999</v>
      </c>
      <c r="Q27">
        <v>0.17894399999999999</v>
      </c>
      <c r="R27">
        <v>0.17841499999999999</v>
      </c>
      <c r="S27">
        <v>0.17863000000000001</v>
      </c>
      <c r="T27">
        <v>0.17904100000000001</v>
      </c>
      <c r="U27">
        <v>0.18049599999999999</v>
      </c>
      <c r="V27">
        <v>0.180782</v>
      </c>
      <c r="W27">
        <v>0.18149000000000001</v>
      </c>
      <c r="X27">
        <v>0.182865</v>
      </c>
      <c r="Y27">
        <v>0.182919</v>
      </c>
      <c r="Z27">
        <v>0.18112500000000001</v>
      </c>
      <c r="AA27">
        <v>0.18173300000000001</v>
      </c>
      <c r="AB27">
        <v>0.18151400000000001</v>
      </c>
      <c r="AC27">
        <v>0.18174699999999999</v>
      </c>
      <c r="AD27">
        <v>0.18235599999999999</v>
      </c>
      <c r="AE27">
        <v>0.182505</v>
      </c>
      <c r="AF27">
        <v>0.18243599999999999</v>
      </c>
      <c r="AG27">
        <v>0.1825</v>
      </c>
      <c r="AH27">
        <v>0.18251100000000001</v>
      </c>
      <c r="AI27">
        <v>0.182505</v>
      </c>
      <c r="AJ27">
        <v>0.18190600000000001</v>
      </c>
      <c r="AK27">
        <v>0.18239900000000001</v>
      </c>
      <c r="AL27">
        <v>0.18382999999999999</v>
      </c>
      <c r="AM27">
        <v>0.18384</v>
      </c>
      <c r="AN27">
        <v>0.185726</v>
      </c>
      <c r="AO27">
        <v>0.185723</v>
      </c>
    </row>
    <row r="28" spans="1:41" x14ac:dyDescent="0.25">
      <c r="A28" t="s">
        <v>492</v>
      </c>
      <c r="B28" t="s">
        <v>491</v>
      </c>
      <c r="C28" t="s">
        <v>490</v>
      </c>
      <c r="D28" t="s">
        <v>45</v>
      </c>
      <c r="H28">
        <v>5.2762999999999997E-2</v>
      </c>
      <c r="I28">
        <v>4.5631999999999999E-2</v>
      </c>
      <c r="J28">
        <v>3.7296999999999997E-2</v>
      </c>
      <c r="K28">
        <v>3.6003E-2</v>
      </c>
      <c r="L28">
        <v>3.5406E-2</v>
      </c>
      <c r="M28">
        <v>3.5383999999999999E-2</v>
      </c>
      <c r="N28">
        <v>3.5470000000000002E-2</v>
      </c>
      <c r="O28">
        <v>3.4733E-2</v>
      </c>
      <c r="P28">
        <v>3.4641999999999999E-2</v>
      </c>
      <c r="Q28">
        <v>3.5203999999999999E-2</v>
      </c>
      <c r="R28">
        <v>3.4944999999999997E-2</v>
      </c>
      <c r="S28">
        <v>3.5355999999999999E-2</v>
      </c>
      <c r="T28">
        <v>3.5484000000000002E-2</v>
      </c>
      <c r="U28">
        <v>3.5954E-2</v>
      </c>
      <c r="V28">
        <v>3.6483000000000002E-2</v>
      </c>
      <c r="W28">
        <v>3.6464000000000003E-2</v>
      </c>
      <c r="X28">
        <v>3.7081000000000003E-2</v>
      </c>
      <c r="Y28">
        <v>3.6641E-2</v>
      </c>
      <c r="Z28">
        <v>3.6037E-2</v>
      </c>
      <c r="AA28">
        <v>3.6496000000000001E-2</v>
      </c>
      <c r="AB28">
        <v>3.6498999999999997E-2</v>
      </c>
      <c r="AC28">
        <v>3.6504000000000002E-2</v>
      </c>
      <c r="AD28">
        <v>3.6505000000000003E-2</v>
      </c>
      <c r="AE28">
        <v>3.6554000000000003E-2</v>
      </c>
      <c r="AF28">
        <v>3.6554000000000003E-2</v>
      </c>
      <c r="AG28">
        <v>3.6221999999999997E-2</v>
      </c>
      <c r="AH28">
        <v>3.7943999999999999E-2</v>
      </c>
      <c r="AI28">
        <v>3.7943999999999999E-2</v>
      </c>
      <c r="AJ28">
        <v>3.7945E-2</v>
      </c>
      <c r="AK28">
        <v>3.8046999999999997E-2</v>
      </c>
      <c r="AL28">
        <v>3.8115000000000003E-2</v>
      </c>
      <c r="AM28">
        <v>3.8115999999999997E-2</v>
      </c>
      <c r="AN28">
        <v>3.8739000000000003E-2</v>
      </c>
      <c r="AO28">
        <v>3.7034999999999998E-2</v>
      </c>
    </row>
    <row r="29" spans="1:41" x14ac:dyDescent="0.25">
      <c r="A29" t="s">
        <v>448</v>
      </c>
      <c r="B29" t="s">
        <v>489</v>
      </c>
      <c r="C29" t="s">
        <v>488</v>
      </c>
      <c r="D29" t="s">
        <v>45</v>
      </c>
      <c r="H29">
        <v>3.0306E-2</v>
      </c>
      <c r="I29">
        <v>3.3104000000000001E-2</v>
      </c>
      <c r="J29">
        <v>3.1074000000000001E-2</v>
      </c>
      <c r="K29">
        <v>3.2322999999999998E-2</v>
      </c>
      <c r="L29">
        <v>3.3526E-2</v>
      </c>
      <c r="M29">
        <v>3.2590000000000001E-2</v>
      </c>
      <c r="N29">
        <v>3.2223000000000002E-2</v>
      </c>
      <c r="O29">
        <v>3.1144000000000002E-2</v>
      </c>
      <c r="P29">
        <v>3.0516000000000001E-2</v>
      </c>
      <c r="Q29">
        <v>2.9260000000000001E-2</v>
      </c>
      <c r="R29">
        <v>3.0398000000000001E-2</v>
      </c>
      <c r="S29">
        <v>2.9707000000000001E-2</v>
      </c>
      <c r="T29">
        <v>2.9849000000000001E-2</v>
      </c>
      <c r="U29">
        <v>2.9700000000000001E-2</v>
      </c>
      <c r="V29">
        <v>3.0217999999999998E-2</v>
      </c>
      <c r="W29">
        <v>2.9260999999999999E-2</v>
      </c>
      <c r="X29">
        <v>2.7820999999999999E-2</v>
      </c>
      <c r="Y29">
        <v>2.8957E-2</v>
      </c>
      <c r="Z29">
        <v>2.9239000000000001E-2</v>
      </c>
      <c r="AA29">
        <v>3.1182999999999999E-2</v>
      </c>
      <c r="AB29">
        <v>3.1397000000000001E-2</v>
      </c>
      <c r="AC29">
        <v>3.0553E-2</v>
      </c>
      <c r="AD29">
        <v>3.0844E-2</v>
      </c>
      <c r="AE29">
        <v>3.0778E-2</v>
      </c>
      <c r="AF29">
        <v>3.0627999999999999E-2</v>
      </c>
      <c r="AG29">
        <v>3.0564000000000001E-2</v>
      </c>
      <c r="AH29">
        <v>3.0412999999999999E-2</v>
      </c>
      <c r="AI29">
        <v>3.0355E-2</v>
      </c>
      <c r="AJ29">
        <v>3.0003999999999999E-2</v>
      </c>
      <c r="AK29">
        <v>2.9243000000000002E-2</v>
      </c>
      <c r="AL29">
        <v>2.8816000000000001E-2</v>
      </c>
      <c r="AM29">
        <v>2.9610999999999998E-2</v>
      </c>
      <c r="AN29">
        <v>2.9034999999999998E-2</v>
      </c>
      <c r="AO29">
        <v>2.8906000000000001E-2</v>
      </c>
    </row>
    <row r="30" spans="1:41" x14ac:dyDescent="0.25">
      <c r="A30" t="s">
        <v>445</v>
      </c>
      <c r="B30" t="s">
        <v>487</v>
      </c>
      <c r="C30" t="s">
        <v>486</v>
      </c>
      <c r="D30" t="s">
        <v>45</v>
      </c>
      <c r="H30">
        <v>0.46062399999999998</v>
      </c>
      <c r="I30">
        <v>0.58218800000000004</v>
      </c>
      <c r="J30">
        <v>0.63320299999999996</v>
      </c>
      <c r="K30">
        <v>0.81427400000000005</v>
      </c>
      <c r="L30">
        <v>1.110303</v>
      </c>
      <c r="M30">
        <v>1.4105019999999999</v>
      </c>
      <c r="N30">
        <v>1.5036339999999999</v>
      </c>
      <c r="O30">
        <v>1.6900809999999999</v>
      </c>
      <c r="P30">
        <v>2.0210900000000001</v>
      </c>
      <c r="Q30">
        <v>2.2665419999999998</v>
      </c>
      <c r="R30">
        <v>2.4588009999999998</v>
      </c>
      <c r="S30">
        <v>2.5871870000000001</v>
      </c>
      <c r="T30">
        <v>2.8093080000000001</v>
      </c>
      <c r="U30">
        <v>3.0042770000000001</v>
      </c>
      <c r="V30">
        <v>3.0563389999999999</v>
      </c>
      <c r="W30">
        <v>3.0750329999999999</v>
      </c>
      <c r="X30">
        <v>3.1036489999999999</v>
      </c>
      <c r="Y30">
        <v>3.1177109999999999</v>
      </c>
      <c r="Z30">
        <v>3.1628280000000002</v>
      </c>
      <c r="AA30">
        <v>3.2617690000000001</v>
      </c>
      <c r="AB30">
        <v>3.3926319999999999</v>
      </c>
      <c r="AC30">
        <v>3.540216</v>
      </c>
      <c r="AD30">
        <v>3.7033489999999998</v>
      </c>
      <c r="AE30">
        <v>3.889106</v>
      </c>
      <c r="AF30">
        <v>4.0988829999999998</v>
      </c>
      <c r="AG30">
        <v>4.3524010000000004</v>
      </c>
      <c r="AH30">
        <v>4.6389180000000003</v>
      </c>
      <c r="AI30">
        <v>4.9659740000000001</v>
      </c>
      <c r="AJ30">
        <v>5.2944290000000001</v>
      </c>
      <c r="AK30">
        <v>5.5106869999999999</v>
      </c>
      <c r="AL30">
        <v>5.6797079999999998</v>
      </c>
      <c r="AM30">
        <v>5.7803870000000002</v>
      </c>
      <c r="AN30">
        <v>5.9069010000000004</v>
      </c>
      <c r="AO30">
        <v>6.0153949999999998</v>
      </c>
    </row>
    <row r="31" spans="1:41" x14ac:dyDescent="0.25">
      <c r="A31" t="s">
        <v>442</v>
      </c>
      <c r="B31" t="s">
        <v>485</v>
      </c>
      <c r="C31" t="s">
        <v>484</v>
      </c>
      <c r="D31" t="s">
        <v>45</v>
      </c>
      <c r="H31">
        <v>2.3516159999999999</v>
      </c>
      <c r="I31">
        <v>2.5264250000000001</v>
      </c>
      <c r="J31">
        <v>2.705981</v>
      </c>
      <c r="K31">
        <v>3.036883</v>
      </c>
      <c r="L31">
        <v>3.3062179999999999</v>
      </c>
      <c r="M31">
        <v>3.7490070000000002</v>
      </c>
      <c r="N31">
        <v>4.2464079999999997</v>
      </c>
      <c r="O31">
        <v>4.3335910000000002</v>
      </c>
      <c r="P31">
        <v>4.3359550000000002</v>
      </c>
      <c r="Q31">
        <v>4.2430430000000001</v>
      </c>
      <c r="R31">
        <v>4.241104</v>
      </c>
      <c r="S31">
        <v>4.2996299999999996</v>
      </c>
      <c r="T31">
        <v>4.3444190000000003</v>
      </c>
      <c r="U31">
        <v>4.5393109999999997</v>
      </c>
      <c r="V31">
        <v>4.5940269999999996</v>
      </c>
      <c r="W31">
        <v>4.5811710000000003</v>
      </c>
      <c r="X31">
        <v>4.5834489999999999</v>
      </c>
      <c r="Y31">
        <v>4.595631</v>
      </c>
      <c r="Z31">
        <v>4.7900119999999999</v>
      </c>
      <c r="AA31">
        <v>4.8657519999999996</v>
      </c>
      <c r="AB31">
        <v>4.8673520000000003</v>
      </c>
      <c r="AC31">
        <v>4.8861100000000004</v>
      </c>
      <c r="AD31">
        <v>4.8758460000000001</v>
      </c>
      <c r="AE31">
        <v>4.8844950000000003</v>
      </c>
      <c r="AF31">
        <v>4.9086100000000004</v>
      </c>
      <c r="AG31">
        <v>4.9377149999999999</v>
      </c>
      <c r="AH31">
        <v>4.9817609999999997</v>
      </c>
      <c r="AI31">
        <v>5.0043530000000001</v>
      </c>
      <c r="AJ31">
        <v>5.0633309999999998</v>
      </c>
      <c r="AK31">
        <v>5.097766</v>
      </c>
      <c r="AL31">
        <v>5.1477449999999996</v>
      </c>
      <c r="AM31">
        <v>5.2019640000000003</v>
      </c>
      <c r="AN31">
        <v>5.2602029999999997</v>
      </c>
      <c r="AO31">
        <v>5.3434520000000001</v>
      </c>
    </row>
    <row r="32" spans="1:41" x14ac:dyDescent="0.25">
      <c r="A32" t="s">
        <v>483</v>
      </c>
      <c r="B32" t="s">
        <v>482</v>
      </c>
      <c r="C32" t="s">
        <v>481</v>
      </c>
      <c r="D32" t="s">
        <v>45</v>
      </c>
      <c r="H32">
        <v>10.704628</v>
      </c>
      <c r="I32">
        <v>10.979689</v>
      </c>
      <c r="J32">
        <v>11.369695999999999</v>
      </c>
      <c r="K32">
        <v>11.776916</v>
      </c>
      <c r="L32">
        <v>12.451204000000001</v>
      </c>
      <c r="M32">
        <v>13.28416</v>
      </c>
      <c r="N32">
        <v>13.857943000000001</v>
      </c>
      <c r="O32">
        <v>14.136941</v>
      </c>
      <c r="P32">
        <v>14.58536</v>
      </c>
      <c r="Q32">
        <v>14.72329</v>
      </c>
      <c r="R32">
        <v>14.944689</v>
      </c>
      <c r="S32">
        <v>15.164388000000001</v>
      </c>
      <c r="T32">
        <v>15.467024</v>
      </c>
      <c r="U32">
        <v>15.90268</v>
      </c>
      <c r="V32">
        <v>16.044633999999999</v>
      </c>
      <c r="W32">
        <v>16.068957999999999</v>
      </c>
      <c r="X32">
        <v>16.118397000000002</v>
      </c>
      <c r="Y32">
        <v>16.168541000000001</v>
      </c>
      <c r="Z32">
        <v>16.419636000000001</v>
      </c>
      <c r="AA32">
        <v>16.618304999999999</v>
      </c>
      <c r="AB32">
        <v>16.767876000000001</v>
      </c>
      <c r="AC32">
        <v>16.951767</v>
      </c>
      <c r="AD32">
        <v>17.123062000000001</v>
      </c>
      <c r="AE32">
        <v>17.332024000000001</v>
      </c>
      <c r="AF32">
        <v>17.587323999999999</v>
      </c>
      <c r="AG32">
        <v>17.885475</v>
      </c>
      <c r="AH32">
        <v>18.248636000000001</v>
      </c>
      <c r="AI32">
        <v>18.626797</v>
      </c>
      <c r="AJ32">
        <v>19.044454999999999</v>
      </c>
      <c r="AK32">
        <v>19.339065999999999</v>
      </c>
      <c r="AL32">
        <v>19.615047000000001</v>
      </c>
      <c r="AM32">
        <v>19.810492</v>
      </c>
      <c r="AN32">
        <v>20.029813999999998</v>
      </c>
      <c r="AO32">
        <v>20.267641000000001</v>
      </c>
    </row>
    <row r="33" spans="1:41" x14ac:dyDescent="0.25">
      <c r="A33" t="s">
        <v>480</v>
      </c>
      <c r="C33" t="s">
        <v>479</v>
      </c>
    </row>
    <row r="34" spans="1:41" x14ac:dyDescent="0.25">
      <c r="A34" t="s">
        <v>478</v>
      </c>
      <c r="B34" t="s">
        <v>477</v>
      </c>
      <c r="C34" t="s">
        <v>476</v>
      </c>
      <c r="D34" t="s">
        <v>45</v>
      </c>
      <c r="H34">
        <v>1.3092159999999999</v>
      </c>
      <c r="I34">
        <v>1.3181339999999999</v>
      </c>
      <c r="J34">
        <v>1.294333</v>
      </c>
      <c r="K34">
        <v>1.297129</v>
      </c>
      <c r="L34">
        <v>1.307679</v>
      </c>
      <c r="M34">
        <v>1.300235</v>
      </c>
      <c r="N34">
        <v>1.283485</v>
      </c>
      <c r="O34">
        <v>1.2732509999999999</v>
      </c>
      <c r="P34">
        <v>1.262691</v>
      </c>
      <c r="Q34">
        <v>1.251293</v>
      </c>
      <c r="R34">
        <v>1.2435750000000001</v>
      </c>
      <c r="S34">
        <v>1.252429</v>
      </c>
      <c r="T34">
        <v>1.250418</v>
      </c>
      <c r="U34">
        <v>1.2502230000000001</v>
      </c>
      <c r="V34">
        <v>1.250947</v>
      </c>
      <c r="W34">
        <v>1.251798</v>
      </c>
      <c r="X34">
        <v>1.2537020000000001</v>
      </c>
      <c r="Y34">
        <v>1.2557670000000001</v>
      </c>
      <c r="Z34">
        <v>1.257312</v>
      </c>
      <c r="AA34">
        <v>1.260829</v>
      </c>
      <c r="AB34">
        <v>1.2647790000000001</v>
      </c>
      <c r="AC34">
        <v>1.2687980000000001</v>
      </c>
      <c r="AD34">
        <v>1.2738</v>
      </c>
      <c r="AE34">
        <v>1.281026</v>
      </c>
      <c r="AF34">
        <v>1.289201</v>
      </c>
      <c r="AG34">
        <v>1.297517</v>
      </c>
      <c r="AH34">
        <v>1.307925</v>
      </c>
      <c r="AI34">
        <v>1.326484</v>
      </c>
      <c r="AJ34">
        <v>1.343763</v>
      </c>
      <c r="AK34">
        <v>1.3558539999999999</v>
      </c>
      <c r="AL34">
        <v>1.3674759999999999</v>
      </c>
      <c r="AM34">
        <v>1.3812869999999999</v>
      </c>
      <c r="AN34">
        <v>1.3966019999999999</v>
      </c>
      <c r="AO34">
        <v>1.414061</v>
      </c>
    </row>
    <row r="35" spans="1:41" x14ac:dyDescent="0.25">
      <c r="A35" t="s">
        <v>475</v>
      </c>
      <c r="B35" t="s">
        <v>474</v>
      </c>
      <c r="C35" t="s">
        <v>473</v>
      </c>
      <c r="D35" t="s">
        <v>45</v>
      </c>
      <c r="H35">
        <v>7.3800000000000005E-4</v>
      </c>
      <c r="I35">
        <v>1.8959999999999999E-3</v>
      </c>
      <c r="J35">
        <v>5.0500000000000002E-4</v>
      </c>
      <c r="K35">
        <v>1.4890000000000001E-3</v>
      </c>
      <c r="L35">
        <v>1.4679999999999999E-3</v>
      </c>
      <c r="M35">
        <v>1.4679999999999999E-3</v>
      </c>
      <c r="N35">
        <v>1.4679999999999999E-3</v>
      </c>
      <c r="O35">
        <v>1.4679999999999999E-3</v>
      </c>
      <c r="P35">
        <v>1.4679999999999999E-3</v>
      </c>
      <c r="Q35">
        <v>1.4679999999999999E-3</v>
      </c>
      <c r="R35">
        <v>1.4679999999999999E-3</v>
      </c>
      <c r="S35">
        <v>1.4289999999999999E-3</v>
      </c>
      <c r="T35">
        <v>1.4369999999999999E-3</v>
      </c>
      <c r="U35">
        <v>4.6299999999999998E-4</v>
      </c>
      <c r="V35">
        <v>4.3100000000000001E-4</v>
      </c>
      <c r="W35">
        <v>4.6299999999999998E-4</v>
      </c>
      <c r="X35">
        <v>4.6299999999999998E-4</v>
      </c>
      <c r="Y35">
        <v>4.6299999999999998E-4</v>
      </c>
      <c r="Z35">
        <v>4.6299999999999998E-4</v>
      </c>
      <c r="AA35">
        <v>4.6299999999999998E-4</v>
      </c>
      <c r="AB35">
        <v>4.6299999999999998E-4</v>
      </c>
      <c r="AC35">
        <v>4.6299999999999998E-4</v>
      </c>
      <c r="AD35">
        <v>4.6299999999999998E-4</v>
      </c>
      <c r="AE35">
        <v>4.6299999999999998E-4</v>
      </c>
      <c r="AF35">
        <v>4.6299999999999998E-4</v>
      </c>
      <c r="AG35">
        <v>4.6299999999999998E-4</v>
      </c>
      <c r="AH35">
        <v>4.6299999999999998E-4</v>
      </c>
      <c r="AI35">
        <v>4.6299999999999998E-4</v>
      </c>
      <c r="AJ35">
        <v>4.6299999999999998E-4</v>
      </c>
      <c r="AK35">
        <v>1.4679999999999999E-3</v>
      </c>
      <c r="AL35">
        <v>1.4679999999999999E-3</v>
      </c>
      <c r="AM35">
        <v>1.4679999999999999E-3</v>
      </c>
      <c r="AN35">
        <v>1.4679999999999999E-3</v>
      </c>
      <c r="AO35">
        <v>1.4679999999999999E-3</v>
      </c>
    </row>
    <row r="36" spans="1:41" x14ac:dyDescent="0.25">
      <c r="A36" t="s">
        <v>472</v>
      </c>
      <c r="B36" t="s">
        <v>471</v>
      </c>
      <c r="C36" t="s">
        <v>470</v>
      </c>
      <c r="D36" t="s">
        <v>45</v>
      </c>
      <c r="H36">
        <v>-0.110655</v>
      </c>
      <c r="I36">
        <v>-0.132965</v>
      </c>
      <c r="J36">
        <v>-0.114745</v>
      </c>
      <c r="K36">
        <v>-0.11787499999999999</v>
      </c>
      <c r="L36">
        <v>-0.11403099999999999</v>
      </c>
      <c r="M36">
        <v>-0.11692900000000001</v>
      </c>
      <c r="N36">
        <v>-0.12026299999999999</v>
      </c>
      <c r="O36">
        <v>-0.13093399999999999</v>
      </c>
      <c r="P36">
        <v>-0.134407</v>
      </c>
      <c r="Q36">
        <v>-0.13816500000000001</v>
      </c>
      <c r="R36">
        <v>-0.143877</v>
      </c>
      <c r="S36">
        <v>-0.16040499999999999</v>
      </c>
      <c r="T36">
        <v>-0.164409</v>
      </c>
      <c r="U36">
        <v>-0.168514</v>
      </c>
      <c r="V36">
        <v>-0.172734</v>
      </c>
      <c r="W36">
        <v>-0.17705399999999999</v>
      </c>
      <c r="X36">
        <v>-0.181474</v>
      </c>
      <c r="Y36">
        <v>-0.18601000000000001</v>
      </c>
      <c r="Z36">
        <v>-0.19066</v>
      </c>
      <c r="AA36">
        <v>-0.19542499999999999</v>
      </c>
      <c r="AB36">
        <v>-0.200319</v>
      </c>
      <c r="AC36">
        <v>-0.20532800000000001</v>
      </c>
      <c r="AD36">
        <v>-0.210452</v>
      </c>
      <c r="AE36">
        <v>-0.21572</v>
      </c>
      <c r="AF36">
        <v>-0.22111600000000001</v>
      </c>
      <c r="AG36">
        <v>-0.22664200000000001</v>
      </c>
      <c r="AH36">
        <v>-0.23231099999999999</v>
      </c>
      <c r="AI36">
        <v>-0.23810999999999999</v>
      </c>
      <c r="AJ36">
        <v>-0.24406600000000001</v>
      </c>
      <c r="AK36">
        <v>-0.250166</v>
      </c>
      <c r="AL36">
        <v>-0.25642399999999999</v>
      </c>
      <c r="AM36">
        <v>-0.26282499999999998</v>
      </c>
      <c r="AN36">
        <v>-0.269399</v>
      </c>
      <c r="AO36">
        <v>-0.276144</v>
      </c>
    </row>
    <row r="37" spans="1:41" x14ac:dyDescent="0.25">
      <c r="A37" t="s">
        <v>469</v>
      </c>
      <c r="B37" t="s">
        <v>468</v>
      </c>
      <c r="C37" t="s">
        <v>467</v>
      </c>
      <c r="D37" t="s">
        <v>45</v>
      </c>
      <c r="H37">
        <v>1.1992989999999999</v>
      </c>
      <c r="I37">
        <v>1.187066</v>
      </c>
      <c r="J37">
        <v>1.180094</v>
      </c>
      <c r="K37">
        <v>1.1807430000000001</v>
      </c>
      <c r="L37">
        <v>1.1951160000000001</v>
      </c>
      <c r="M37">
        <v>1.184774</v>
      </c>
      <c r="N37">
        <v>1.16469</v>
      </c>
      <c r="O37">
        <v>1.1437850000000001</v>
      </c>
      <c r="P37">
        <v>1.1297520000000001</v>
      </c>
      <c r="Q37">
        <v>1.114595</v>
      </c>
      <c r="R37">
        <v>1.1011660000000001</v>
      </c>
      <c r="S37">
        <v>1.093453</v>
      </c>
      <c r="T37">
        <v>1.0874459999999999</v>
      </c>
      <c r="U37">
        <v>1.0821719999999999</v>
      </c>
      <c r="V37">
        <v>1.0786439999999999</v>
      </c>
      <c r="W37">
        <v>1.075207</v>
      </c>
      <c r="X37">
        <v>1.0726910000000001</v>
      </c>
      <c r="Y37">
        <v>1.0702199999999999</v>
      </c>
      <c r="Z37">
        <v>1.067115</v>
      </c>
      <c r="AA37">
        <v>1.065866</v>
      </c>
      <c r="AB37">
        <v>1.0649230000000001</v>
      </c>
      <c r="AC37">
        <v>1.0639320000000001</v>
      </c>
      <c r="AD37">
        <v>1.0638099999999999</v>
      </c>
      <c r="AE37">
        <v>1.065769</v>
      </c>
      <c r="AF37">
        <v>1.0685469999999999</v>
      </c>
      <c r="AG37">
        <v>1.0713379999999999</v>
      </c>
      <c r="AH37">
        <v>1.076077</v>
      </c>
      <c r="AI37">
        <v>1.0888370000000001</v>
      </c>
      <c r="AJ37">
        <v>1.1001590000000001</v>
      </c>
      <c r="AK37">
        <v>1.107156</v>
      </c>
      <c r="AL37">
        <v>1.11252</v>
      </c>
      <c r="AM37">
        <v>1.119929</v>
      </c>
      <c r="AN37">
        <v>1.1286719999999999</v>
      </c>
      <c r="AO37">
        <v>1.139384</v>
      </c>
    </row>
    <row r="38" spans="1:41" x14ac:dyDescent="0.25">
      <c r="A38" t="s">
        <v>466</v>
      </c>
      <c r="C38" t="s">
        <v>465</v>
      </c>
    </row>
    <row r="39" spans="1:41" x14ac:dyDescent="0.25">
      <c r="A39" t="s">
        <v>464</v>
      </c>
      <c r="C39" t="s">
        <v>463</v>
      </c>
    </row>
    <row r="40" spans="1:41" x14ac:dyDescent="0.25">
      <c r="A40" t="s">
        <v>216</v>
      </c>
      <c r="B40" t="s">
        <v>462</v>
      </c>
      <c r="C40" t="s">
        <v>461</v>
      </c>
      <c r="D40" t="s">
        <v>45</v>
      </c>
      <c r="H40">
        <v>0.18323200000000001</v>
      </c>
      <c r="I40">
        <v>0.229909</v>
      </c>
      <c r="J40">
        <v>0.24008599999999999</v>
      </c>
      <c r="K40">
        <v>0.27085900000000002</v>
      </c>
      <c r="L40">
        <v>0.30220599999999997</v>
      </c>
      <c r="M40">
        <v>0.32384499999999999</v>
      </c>
      <c r="N40">
        <v>0.34405999999999998</v>
      </c>
      <c r="O40">
        <v>0.365425</v>
      </c>
      <c r="P40">
        <v>0.38999</v>
      </c>
      <c r="Q40">
        <v>0.40895900000000002</v>
      </c>
      <c r="R40">
        <v>0.43155700000000002</v>
      </c>
      <c r="S40">
        <v>0.45734200000000003</v>
      </c>
      <c r="T40">
        <v>0.48312300000000002</v>
      </c>
      <c r="U40">
        <v>0.50977099999999997</v>
      </c>
      <c r="V40">
        <v>0.54007799999999995</v>
      </c>
      <c r="W40">
        <v>0.56771499999999997</v>
      </c>
      <c r="X40">
        <v>0.59528499999999995</v>
      </c>
      <c r="Y40">
        <v>0.62304800000000005</v>
      </c>
      <c r="Z40">
        <v>0.65062600000000004</v>
      </c>
      <c r="AA40">
        <v>0.68052299999999999</v>
      </c>
      <c r="AB40">
        <v>0.70951200000000003</v>
      </c>
      <c r="AC40">
        <v>0.73849200000000004</v>
      </c>
      <c r="AD40">
        <v>0.76803299999999997</v>
      </c>
      <c r="AE40">
        <v>0.79602799999999996</v>
      </c>
      <c r="AF40">
        <v>0.82658399999999999</v>
      </c>
      <c r="AG40">
        <v>0.857684</v>
      </c>
      <c r="AH40">
        <v>0.89397700000000002</v>
      </c>
      <c r="AI40">
        <v>0.92482500000000001</v>
      </c>
      <c r="AJ40">
        <v>0.95736500000000002</v>
      </c>
      <c r="AK40">
        <v>0.99197199999999996</v>
      </c>
      <c r="AL40">
        <v>1.022589</v>
      </c>
      <c r="AM40">
        <v>1.0555840000000001</v>
      </c>
      <c r="AN40">
        <v>1.0891949999999999</v>
      </c>
      <c r="AO40">
        <v>1.125138</v>
      </c>
    </row>
    <row r="41" spans="1:41" x14ac:dyDescent="0.25">
      <c r="A41" t="s">
        <v>460</v>
      </c>
      <c r="B41" t="s">
        <v>459</v>
      </c>
      <c r="C41" t="s">
        <v>458</v>
      </c>
      <c r="D41" t="s">
        <v>45</v>
      </c>
      <c r="H41">
        <v>2.1384E-2</v>
      </c>
      <c r="I41">
        <v>2.9434999999999999E-2</v>
      </c>
      <c r="J41">
        <v>3.7303999999999997E-2</v>
      </c>
      <c r="K41">
        <v>4.2368000000000003E-2</v>
      </c>
      <c r="L41">
        <v>4.5870000000000001E-2</v>
      </c>
      <c r="M41">
        <v>4.5147E-2</v>
      </c>
      <c r="N41">
        <v>4.4463000000000003E-2</v>
      </c>
      <c r="O41">
        <v>4.4046000000000002E-2</v>
      </c>
      <c r="P41">
        <v>4.4075000000000003E-2</v>
      </c>
      <c r="Q41">
        <v>4.3435000000000001E-2</v>
      </c>
      <c r="R41">
        <v>4.3250999999999998E-2</v>
      </c>
      <c r="S41">
        <v>4.3401000000000002E-2</v>
      </c>
      <c r="T41">
        <v>4.3540000000000002E-2</v>
      </c>
      <c r="U41">
        <v>4.3784000000000003E-2</v>
      </c>
      <c r="V41">
        <v>4.4245E-2</v>
      </c>
      <c r="W41">
        <v>4.4499999999999998E-2</v>
      </c>
      <c r="X41">
        <v>4.4692999999999997E-2</v>
      </c>
      <c r="Y41">
        <v>4.4850000000000001E-2</v>
      </c>
      <c r="Z41">
        <v>4.4964999999999998E-2</v>
      </c>
      <c r="AA41">
        <v>4.5222999999999999E-2</v>
      </c>
      <c r="AB41">
        <v>4.5379000000000003E-2</v>
      </c>
      <c r="AC41">
        <v>4.5491999999999998E-2</v>
      </c>
      <c r="AD41">
        <v>4.5668E-2</v>
      </c>
      <c r="AE41">
        <v>4.5698999999999997E-2</v>
      </c>
      <c r="AF41">
        <v>4.5921999999999998E-2</v>
      </c>
      <c r="AG41">
        <v>4.6156000000000003E-2</v>
      </c>
      <c r="AH41">
        <v>4.6639E-2</v>
      </c>
      <c r="AI41">
        <v>4.6783999999999999E-2</v>
      </c>
      <c r="AJ41">
        <v>4.7016000000000002E-2</v>
      </c>
      <c r="AK41">
        <v>4.7273999999999997E-2</v>
      </c>
      <c r="AL41">
        <v>4.7342000000000002E-2</v>
      </c>
      <c r="AM41">
        <v>4.7516999999999997E-2</v>
      </c>
      <c r="AN41">
        <v>4.7683999999999997E-2</v>
      </c>
      <c r="AO41">
        <v>4.7870999999999997E-2</v>
      </c>
    </row>
    <row r="42" spans="1:41" x14ac:dyDescent="0.25">
      <c r="A42" t="s">
        <v>457</v>
      </c>
      <c r="B42" t="s">
        <v>456</v>
      </c>
      <c r="C42" t="s">
        <v>455</v>
      </c>
      <c r="D42" t="s">
        <v>45</v>
      </c>
      <c r="H42">
        <v>3.2333000000000001E-2</v>
      </c>
      <c r="I42">
        <v>4.3832999999999997E-2</v>
      </c>
      <c r="J42">
        <v>1.4064E-2</v>
      </c>
      <c r="K42">
        <v>1.4703000000000001E-2</v>
      </c>
      <c r="L42">
        <v>1.7204000000000001E-2</v>
      </c>
      <c r="M42">
        <v>1.8806E-2</v>
      </c>
      <c r="N42">
        <v>1.9990000000000001E-2</v>
      </c>
      <c r="O42">
        <v>2.1201000000000001E-2</v>
      </c>
      <c r="P42">
        <v>2.2631999999999999E-2</v>
      </c>
      <c r="Q42">
        <v>2.3424E-2</v>
      </c>
      <c r="R42">
        <v>2.4705000000000001E-2</v>
      </c>
      <c r="S42">
        <v>2.5956E-2</v>
      </c>
      <c r="T42">
        <v>2.7163E-2</v>
      </c>
      <c r="U42">
        <v>2.8354000000000001E-2</v>
      </c>
      <c r="V42">
        <v>2.9655999999999998E-2</v>
      </c>
      <c r="W42">
        <v>3.0838000000000001E-2</v>
      </c>
      <c r="X42">
        <v>3.2063000000000001E-2</v>
      </c>
      <c r="Y42">
        <v>3.3312000000000001E-2</v>
      </c>
      <c r="Z42">
        <v>3.4514000000000003E-2</v>
      </c>
      <c r="AA42">
        <v>3.5840999999999998E-2</v>
      </c>
      <c r="AB42">
        <v>3.7116000000000003E-2</v>
      </c>
      <c r="AC42">
        <v>3.8365999999999997E-2</v>
      </c>
      <c r="AD42">
        <v>3.9602999999999999E-2</v>
      </c>
      <c r="AE42">
        <v>4.0862999999999997E-2</v>
      </c>
      <c r="AF42">
        <v>4.2175999999999998E-2</v>
      </c>
      <c r="AG42">
        <v>4.3559E-2</v>
      </c>
      <c r="AH42">
        <v>4.4944999999999999E-2</v>
      </c>
      <c r="AI42">
        <v>4.6316000000000003E-2</v>
      </c>
      <c r="AJ42">
        <v>4.7794000000000003E-2</v>
      </c>
      <c r="AK42">
        <v>4.9313000000000003E-2</v>
      </c>
      <c r="AL42">
        <v>5.0859000000000001E-2</v>
      </c>
      <c r="AM42">
        <v>5.2401999999999997E-2</v>
      </c>
      <c r="AN42">
        <v>5.3949999999999998E-2</v>
      </c>
      <c r="AO42">
        <v>5.5420999999999998E-2</v>
      </c>
    </row>
    <row r="43" spans="1:41" x14ac:dyDescent="0.25">
      <c r="A43" t="s">
        <v>445</v>
      </c>
      <c r="B43" t="s">
        <v>454</v>
      </c>
      <c r="C43" t="s">
        <v>453</v>
      </c>
      <c r="D43" t="s">
        <v>45</v>
      </c>
      <c r="H43">
        <v>0.12917999999999999</v>
      </c>
      <c r="I43">
        <v>0.15629999999999999</v>
      </c>
      <c r="J43">
        <v>0.18854299999999999</v>
      </c>
      <c r="K43">
        <v>0.213615</v>
      </c>
      <c r="L43">
        <v>0.238959</v>
      </c>
      <c r="M43">
        <v>0.25972099999999998</v>
      </c>
      <c r="N43">
        <v>0.27943800000000002</v>
      </c>
      <c r="O43">
        <v>0.300012</v>
      </c>
      <c r="P43">
        <v>0.32311699999999999</v>
      </c>
      <c r="Q43">
        <v>0.34193800000000002</v>
      </c>
      <c r="R43">
        <v>0.36343999999999999</v>
      </c>
      <c r="S43">
        <v>0.38782499999999998</v>
      </c>
      <c r="T43">
        <v>0.41225899999999999</v>
      </c>
      <c r="U43">
        <v>0.43747399999999997</v>
      </c>
      <c r="V43">
        <v>0.46601700000000001</v>
      </c>
      <c r="W43">
        <v>0.49221700000000002</v>
      </c>
      <c r="X43">
        <v>0.51836899999999997</v>
      </c>
      <c r="Y43">
        <v>0.54472600000000004</v>
      </c>
      <c r="Z43">
        <v>0.57098800000000005</v>
      </c>
      <c r="AA43">
        <v>0.59930000000000005</v>
      </c>
      <c r="AB43">
        <v>0.62685900000000006</v>
      </c>
      <c r="AC43">
        <v>0.65447500000000003</v>
      </c>
      <c r="AD43">
        <v>0.68260299999999996</v>
      </c>
      <c r="AE43">
        <v>0.70930499999999996</v>
      </c>
      <c r="AF43">
        <v>0.73832399999999998</v>
      </c>
      <c r="AG43">
        <v>0.76780400000000004</v>
      </c>
      <c r="AH43">
        <v>0.80222599999999999</v>
      </c>
      <c r="AI43">
        <v>0.83155699999999999</v>
      </c>
      <c r="AJ43">
        <v>0.86238400000000004</v>
      </c>
      <c r="AK43">
        <v>0.89521200000000001</v>
      </c>
      <c r="AL43">
        <v>0.92421399999999998</v>
      </c>
      <c r="AM43">
        <v>0.95548699999999998</v>
      </c>
      <c r="AN43">
        <v>0.98738199999999998</v>
      </c>
      <c r="AO43">
        <v>1.021665</v>
      </c>
    </row>
    <row r="44" spans="1:41" x14ac:dyDescent="0.25">
      <c r="A44" t="s">
        <v>442</v>
      </c>
      <c r="B44" t="s">
        <v>452</v>
      </c>
      <c r="C44" t="s">
        <v>451</v>
      </c>
      <c r="D44" t="s">
        <v>45</v>
      </c>
      <c r="H44">
        <v>3.3500000000000001E-4</v>
      </c>
      <c r="I44">
        <v>3.4099999999999999E-4</v>
      </c>
      <c r="J44">
        <v>1.75E-4</v>
      </c>
      <c r="K44">
        <v>1.73E-4</v>
      </c>
      <c r="L44">
        <v>1.73E-4</v>
      </c>
      <c r="M44">
        <v>1.7100000000000001E-4</v>
      </c>
      <c r="N44">
        <v>1.6799999999999999E-4</v>
      </c>
      <c r="O44">
        <v>1.66E-4</v>
      </c>
      <c r="P44">
        <v>1.66E-4</v>
      </c>
      <c r="Q44">
        <v>1.6200000000000001E-4</v>
      </c>
      <c r="R44">
        <v>1.6100000000000001E-4</v>
      </c>
      <c r="S44">
        <v>1.6100000000000001E-4</v>
      </c>
      <c r="T44">
        <v>1.6000000000000001E-4</v>
      </c>
      <c r="U44">
        <v>1.6000000000000001E-4</v>
      </c>
      <c r="V44">
        <v>1.6000000000000001E-4</v>
      </c>
      <c r="W44">
        <v>1.6000000000000001E-4</v>
      </c>
      <c r="X44">
        <v>1.6000000000000001E-4</v>
      </c>
      <c r="Y44">
        <v>1.6000000000000001E-4</v>
      </c>
      <c r="Z44">
        <v>1.5899999999999999E-4</v>
      </c>
      <c r="AA44">
        <v>1.5899999999999999E-4</v>
      </c>
      <c r="AB44">
        <v>1.5899999999999999E-4</v>
      </c>
      <c r="AC44">
        <v>1.5899999999999999E-4</v>
      </c>
      <c r="AD44">
        <v>1.6000000000000001E-4</v>
      </c>
      <c r="AE44">
        <v>1.6000000000000001E-4</v>
      </c>
      <c r="AF44">
        <v>1.6200000000000001E-4</v>
      </c>
      <c r="AG44">
        <v>1.64E-4</v>
      </c>
      <c r="AH44">
        <v>1.6699999999999999E-4</v>
      </c>
      <c r="AI44">
        <v>1.6899999999999999E-4</v>
      </c>
      <c r="AJ44">
        <v>1.7100000000000001E-4</v>
      </c>
      <c r="AK44">
        <v>1.73E-4</v>
      </c>
      <c r="AL44">
        <v>1.75E-4</v>
      </c>
      <c r="AM44">
        <v>1.7699999999999999E-4</v>
      </c>
      <c r="AN44">
        <v>1.7899999999999999E-4</v>
      </c>
      <c r="AO44">
        <v>1.8200000000000001E-4</v>
      </c>
    </row>
    <row r="45" spans="1:41" x14ac:dyDescent="0.25">
      <c r="A45" t="s">
        <v>206</v>
      </c>
      <c r="B45" t="s">
        <v>450</v>
      </c>
      <c r="C45" t="s">
        <v>449</v>
      </c>
      <c r="D45" t="s">
        <v>45</v>
      </c>
      <c r="H45">
        <v>0.195633</v>
      </c>
      <c r="I45">
        <v>0.216303</v>
      </c>
      <c r="J45">
        <v>0.244787</v>
      </c>
      <c r="K45">
        <v>0.27369300000000002</v>
      </c>
      <c r="L45">
        <v>0.30390299999999998</v>
      </c>
      <c r="M45">
        <v>0.32062000000000002</v>
      </c>
      <c r="N45">
        <v>0.326988</v>
      </c>
      <c r="O45">
        <v>0.32997799999999999</v>
      </c>
      <c r="P45">
        <v>0.343032</v>
      </c>
      <c r="Q45">
        <v>0.35045100000000001</v>
      </c>
      <c r="R45">
        <v>0.360371</v>
      </c>
      <c r="S45">
        <v>0.370031</v>
      </c>
      <c r="T45">
        <v>0.37988699999999997</v>
      </c>
      <c r="U45">
        <v>0.39238499999999998</v>
      </c>
      <c r="V45">
        <v>0.40043400000000001</v>
      </c>
      <c r="W45">
        <v>0.40479599999999999</v>
      </c>
      <c r="X45">
        <v>0.41185899999999998</v>
      </c>
      <c r="Y45">
        <v>0.41897099999999998</v>
      </c>
      <c r="Z45">
        <v>0.42191099999999998</v>
      </c>
      <c r="AA45">
        <v>0.43133500000000002</v>
      </c>
      <c r="AB45">
        <v>0.43559399999999998</v>
      </c>
      <c r="AC45">
        <v>0.44324200000000002</v>
      </c>
      <c r="AD45">
        <v>0.44816600000000001</v>
      </c>
      <c r="AE45">
        <v>0.45098899999999997</v>
      </c>
      <c r="AF45">
        <v>0.45626299999999997</v>
      </c>
      <c r="AG45">
        <v>0.46167900000000001</v>
      </c>
      <c r="AH45">
        <v>0.46934999999999999</v>
      </c>
      <c r="AI45">
        <v>0.47562599999999999</v>
      </c>
      <c r="AJ45">
        <v>0.48095100000000002</v>
      </c>
      <c r="AK45">
        <v>0.48990800000000001</v>
      </c>
      <c r="AL45">
        <v>0.495228</v>
      </c>
      <c r="AM45">
        <v>0.50076699999999996</v>
      </c>
      <c r="AN45">
        <v>0.50487000000000004</v>
      </c>
      <c r="AO45">
        <v>0.51183100000000004</v>
      </c>
    </row>
    <row r="46" spans="1:41" x14ac:dyDescent="0.25">
      <c r="A46" t="s">
        <v>448</v>
      </c>
      <c r="B46" t="s">
        <v>447</v>
      </c>
      <c r="C46" t="s">
        <v>446</v>
      </c>
      <c r="D46" t="s">
        <v>45</v>
      </c>
      <c r="H46">
        <v>7.3734999999999995E-2</v>
      </c>
      <c r="I46">
        <v>7.4426999999999993E-2</v>
      </c>
      <c r="J46">
        <v>7.5358999999999995E-2</v>
      </c>
      <c r="K46">
        <v>7.5356999999999993E-2</v>
      </c>
      <c r="L46">
        <v>7.5841000000000006E-2</v>
      </c>
      <c r="M46">
        <v>7.4917999999999998E-2</v>
      </c>
      <c r="N46">
        <v>7.3882000000000003E-2</v>
      </c>
      <c r="O46">
        <v>7.2729000000000002E-2</v>
      </c>
      <c r="P46">
        <v>7.2419999999999998E-2</v>
      </c>
      <c r="Q46">
        <v>7.0753999999999997E-2</v>
      </c>
      <c r="R46">
        <v>7.0444999999999994E-2</v>
      </c>
      <c r="S46">
        <v>7.0512000000000005E-2</v>
      </c>
      <c r="T46">
        <v>7.0540000000000005E-2</v>
      </c>
      <c r="U46">
        <v>7.0503999999999997E-2</v>
      </c>
      <c r="V46">
        <v>7.0888000000000007E-2</v>
      </c>
      <c r="W46">
        <v>7.0814000000000002E-2</v>
      </c>
      <c r="X46">
        <v>7.0871000000000003E-2</v>
      </c>
      <c r="Y46">
        <v>7.0889999999999995E-2</v>
      </c>
      <c r="Z46">
        <v>7.0757E-2</v>
      </c>
      <c r="AA46">
        <v>7.0877999999999997E-2</v>
      </c>
      <c r="AB46">
        <v>7.0815000000000003E-2</v>
      </c>
      <c r="AC46">
        <v>7.0766999999999997E-2</v>
      </c>
      <c r="AD46">
        <v>7.0726999999999998E-2</v>
      </c>
      <c r="AE46">
        <v>7.0550000000000002E-2</v>
      </c>
      <c r="AF46">
        <v>7.0567000000000005E-2</v>
      </c>
      <c r="AG46">
        <v>7.0609000000000005E-2</v>
      </c>
      <c r="AH46">
        <v>7.0951E-2</v>
      </c>
      <c r="AI46">
        <v>7.0904999999999996E-2</v>
      </c>
      <c r="AJ46">
        <v>7.0971000000000006E-2</v>
      </c>
      <c r="AK46">
        <v>7.1123000000000006E-2</v>
      </c>
      <c r="AL46">
        <v>7.1002999999999997E-2</v>
      </c>
      <c r="AM46">
        <v>7.1007000000000001E-2</v>
      </c>
      <c r="AN46">
        <v>7.1014999999999995E-2</v>
      </c>
      <c r="AO46">
        <v>7.1110999999999994E-2</v>
      </c>
    </row>
    <row r="47" spans="1:41" x14ac:dyDescent="0.25">
      <c r="A47" t="s">
        <v>445</v>
      </c>
      <c r="B47" t="s">
        <v>444</v>
      </c>
      <c r="C47" t="s">
        <v>443</v>
      </c>
      <c r="D47" t="s">
        <v>45</v>
      </c>
      <c r="H47">
        <v>0.114854</v>
      </c>
      <c r="I47">
        <v>0.13483100000000001</v>
      </c>
      <c r="J47">
        <v>0.162357</v>
      </c>
      <c r="K47">
        <v>0.191328</v>
      </c>
      <c r="L47">
        <v>0.221054</v>
      </c>
      <c r="M47">
        <v>0.238786</v>
      </c>
      <c r="N47">
        <v>0.24629999999999999</v>
      </c>
      <c r="O47">
        <v>0.25051099999999998</v>
      </c>
      <c r="P47">
        <v>0.26385900000000001</v>
      </c>
      <c r="Q47">
        <v>0.27308399999999999</v>
      </c>
      <c r="R47">
        <v>0.28330899999999998</v>
      </c>
      <c r="S47">
        <v>0.29291699999999998</v>
      </c>
      <c r="T47">
        <v>0.30275099999999999</v>
      </c>
      <c r="U47">
        <v>0.31529000000000001</v>
      </c>
      <c r="V47">
        <v>0.32294400000000001</v>
      </c>
      <c r="W47">
        <v>0.32739000000000001</v>
      </c>
      <c r="X47">
        <v>0.33438699999999999</v>
      </c>
      <c r="Y47">
        <v>0.34147899999999998</v>
      </c>
      <c r="Z47">
        <v>0.34456599999999998</v>
      </c>
      <c r="AA47">
        <v>0.35387299999999999</v>
      </c>
      <c r="AB47">
        <v>0.35820600000000002</v>
      </c>
      <c r="AC47">
        <v>0.36588799999999999</v>
      </c>
      <c r="AD47">
        <v>0.37084299999999998</v>
      </c>
      <c r="AE47">
        <v>0.37385800000000002</v>
      </c>
      <c r="AF47">
        <v>0.37909900000000002</v>
      </c>
      <c r="AG47">
        <v>0.38446999999999998</v>
      </c>
      <c r="AH47">
        <v>0.39179799999999998</v>
      </c>
      <c r="AI47">
        <v>0.39812500000000001</v>
      </c>
      <c r="AJ47">
        <v>0.40338000000000002</v>
      </c>
      <c r="AK47">
        <v>0.41218100000000002</v>
      </c>
      <c r="AL47">
        <v>0.417624</v>
      </c>
      <c r="AM47">
        <v>0.42316300000000001</v>
      </c>
      <c r="AN47">
        <v>0.42725999999999997</v>
      </c>
      <c r="AO47">
        <v>0.43412099999999998</v>
      </c>
    </row>
    <row r="48" spans="1:41" x14ac:dyDescent="0.25">
      <c r="A48" t="s">
        <v>442</v>
      </c>
      <c r="B48" t="s">
        <v>441</v>
      </c>
      <c r="C48" t="s">
        <v>440</v>
      </c>
      <c r="D48" t="s">
        <v>45</v>
      </c>
      <c r="H48">
        <v>7.0439999999999999E-3</v>
      </c>
      <c r="I48">
        <v>7.045E-3</v>
      </c>
      <c r="J48">
        <v>7.071E-3</v>
      </c>
      <c r="K48">
        <v>7.0089999999999996E-3</v>
      </c>
      <c r="L48">
        <v>7.0080000000000003E-3</v>
      </c>
      <c r="M48">
        <v>6.9160000000000003E-3</v>
      </c>
      <c r="N48">
        <v>6.8060000000000004E-3</v>
      </c>
      <c r="O48">
        <v>6.7390000000000002E-3</v>
      </c>
      <c r="P48">
        <v>6.7530000000000003E-3</v>
      </c>
      <c r="Q48">
        <v>6.613E-3</v>
      </c>
      <c r="R48">
        <v>6.6169999999999996E-3</v>
      </c>
      <c r="S48">
        <v>6.6030000000000004E-3</v>
      </c>
      <c r="T48">
        <v>6.5960000000000003E-3</v>
      </c>
      <c r="U48">
        <v>6.5909999999999996E-3</v>
      </c>
      <c r="V48">
        <v>6.6020000000000002E-3</v>
      </c>
      <c r="W48">
        <v>6.5919999999999998E-3</v>
      </c>
      <c r="X48">
        <v>6.6010000000000001E-3</v>
      </c>
      <c r="Y48">
        <v>6.6020000000000002E-3</v>
      </c>
      <c r="Z48">
        <v>6.5880000000000001E-3</v>
      </c>
      <c r="AA48">
        <v>6.5839999999999996E-3</v>
      </c>
      <c r="AB48">
        <v>6.574E-3</v>
      </c>
      <c r="AC48">
        <v>6.587E-3</v>
      </c>
      <c r="AD48">
        <v>6.5960000000000003E-3</v>
      </c>
      <c r="AE48">
        <v>6.5820000000000002E-3</v>
      </c>
      <c r="AF48">
        <v>6.5970000000000004E-3</v>
      </c>
      <c r="AG48">
        <v>6.6E-3</v>
      </c>
      <c r="AH48">
        <v>6.6E-3</v>
      </c>
      <c r="AI48">
        <v>6.5960000000000003E-3</v>
      </c>
      <c r="AJ48">
        <v>6.5989999999999998E-3</v>
      </c>
      <c r="AK48">
        <v>6.6039999999999996E-3</v>
      </c>
      <c r="AL48">
        <v>6.6010000000000001E-3</v>
      </c>
      <c r="AM48">
        <v>6.5970000000000004E-3</v>
      </c>
      <c r="AN48">
        <v>6.5950000000000002E-3</v>
      </c>
      <c r="AO48">
        <v>6.5979999999999997E-3</v>
      </c>
    </row>
  </sheetData>
  <hyperlinks>
    <hyperlink ref="A2" r:id="rId1" location="/?id=24-AEO2020&amp;cases=ref2020&amp;sourcekey=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5" sqref="K5:N17"/>
    </sheetView>
  </sheetViews>
  <sheetFormatPr defaultRowHeight="15" x14ac:dyDescent="0.25"/>
  <cols>
    <col min="1" max="1" width="14.140625" bestFit="1" customWidth="1"/>
    <col min="2" max="2" width="17.28515625" bestFit="1" customWidth="1"/>
    <col min="3" max="6" width="16.42578125" customWidth="1"/>
    <col min="7" max="8" width="14.140625" customWidth="1"/>
    <col min="9" max="9" width="12" bestFit="1" customWidth="1"/>
    <col min="10" max="10" width="13.42578125" customWidth="1"/>
    <col min="11" max="11" width="18.28515625" customWidth="1"/>
    <col min="12" max="12" width="14.7109375" customWidth="1"/>
    <col min="13" max="13" width="16.28515625" customWidth="1"/>
    <col min="14" max="14" width="16.42578125" customWidth="1"/>
  </cols>
  <sheetData>
    <row r="3" spans="1:14" x14ac:dyDescent="0.25">
      <c r="A3" s="20" t="s">
        <v>580</v>
      </c>
      <c r="C3" s="20" t="s">
        <v>698</v>
      </c>
      <c r="D3" s="20" t="s">
        <v>252</v>
      </c>
      <c r="K3" s="39" t="s">
        <v>723</v>
      </c>
    </row>
    <row r="4" spans="1:14" x14ac:dyDescent="0.25">
      <c r="C4" s="21">
        <v>44197</v>
      </c>
      <c r="E4" s="21">
        <v>43831</v>
      </c>
      <c r="G4" s="21">
        <v>43466</v>
      </c>
      <c r="H4" s="21">
        <v>43101</v>
      </c>
    </row>
    <row r="5" spans="1:14" ht="30.75" thickBot="1" x14ac:dyDescent="0.3">
      <c r="A5" s="20" t="s">
        <v>571</v>
      </c>
      <c r="B5" s="20" t="s">
        <v>257</v>
      </c>
      <c r="C5" s="21">
        <v>44197</v>
      </c>
      <c r="D5" s="21">
        <v>43831</v>
      </c>
      <c r="E5" s="21">
        <v>43831</v>
      </c>
      <c r="F5" s="21">
        <v>43466</v>
      </c>
      <c r="G5" s="21">
        <v>43466</v>
      </c>
      <c r="H5" s="21">
        <v>43101</v>
      </c>
      <c r="L5" s="36" t="s">
        <v>650</v>
      </c>
      <c r="M5" s="36" t="s">
        <v>651</v>
      </c>
      <c r="N5" s="36" t="s">
        <v>652</v>
      </c>
    </row>
    <row r="6" spans="1:14" x14ac:dyDescent="0.25">
      <c r="A6" s="136" t="s">
        <v>576</v>
      </c>
      <c r="B6" s="136" t="s">
        <v>572</v>
      </c>
      <c r="C6" s="26">
        <v>122.48</v>
      </c>
      <c r="D6" s="26"/>
      <c r="E6" s="26">
        <v>122.48</v>
      </c>
      <c r="F6" s="26"/>
      <c r="G6" s="26">
        <v>118.383</v>
      </c>
      <c r="H6" s="26">
        <v>116.09</v>
      </c>
      <c r="K6" s="67" t="s">
        <v>4</v>
      </c>
      <c r="L6" s="17">
        <f>+ED_gas_T0</f>
        <v>122.48</v>
      </c>
      <c r="M6" s="17">
        <f>+CIT_gas_T0</f>
        <v>94.63</v>
      </c>
      <c r="N6" s="53">
        <f>+CIA_gas_T0</f>
        <v>100.14</v>
      </c>
    </row>
    <row r="7" spans="1:14" x14ac:dyDescent="0.25">
      <c r="B7" s="136" t="s">
        <v>574</v>
      </c>
      <c r="C7" s="26">
        <v>122.48</v>
      </c>
      <c r="D7" s="26"/>
      <c r="E7" s="26">
        <v>122.48</v>
      </c>
      <c r="F7" s="26"/>
      <c r="G7" s="26">
        <v>122.48</v>
      </c>
      <c r="H7" s="26">
        <v>116.09</v>
      </c>
      <c r="K7" s="125" t="s">
        <v>5</v>
      </c>
      <c r="L7" s="17">
        <f>+ED_eth_T0</f>
        <v>81.510000000000005</v>
      </c>
      <c r="M7" s="17">
        <f>+CIT_gas_T0</f>
        <v>94.63</v>
      </c>
      <c r="N7" s="159">
        <f>+CIA_Eth_T0</f>
        <v>47.5</v>
      </c>
    </row>
    <row r="8" spans="1:14" x14ac:dyDescent="0.25">
      <c r="B8" s="136" t="s">
        <v>5</v>
      </c>
      <c r="C8" s="26">
        <v>81.510000000000005</v>
      </c>
      <c r="D8" s="26"/>
      <c r="E8" s="26">
        <v>81.510000000000005</v>
      </c>
      <c r="F8" s="26"/>
      <c r="G8" s="26">
        <v>81.510000000000005</v>
      </c>
      <c r="H8" s="26">
        <v>81.510000000000005</v>
      </c>
      <c r="K8" t="s">
        <v>3</v>
      </c>
      <c r="L8" s="17">
        <f>+ED_die_T0</f>
        <v>134.47999999999999</v>
      </c>
      <c r="M8" s="17">
        <f>+CIT_die_T0</f>
        <v>95.29</v>
      </c>
      <c r="N8" s="53">
        <f>+CIA_die_T0</f>
        <v>100.74</v>
      </c>
    </row>
    <row r="9" spans="1:14" x14ac:dyDescent="0.25">
      <c r="B9" s="136" t="s">
        <v>573</v>
      </c>
      <c r="C9" s="26">
        <v>134.47999999999999</v>
      </c>
      <c r="D9" s="26"/>
      <c r="E9" s="26">
        <v>134.47999999999999</v>
      </c>
      <c r="F9" s="26"/>
      <c r="G9" s="26">
        <v>134.47999999999999</v>
      </c>
      <c r="H9" s="26">
        <v>129.49</v>
      </c>
      <c r="K9" s="160" t="s">
        <v>7</v>
      </c>
      <c r="L9" s="17">
        <f>+ED_Bio_T0</f>
        <v>126.13</v>
      </c>
      <c r="M9" s="17">
        <f>+CIT_die_T0</f>
        <v>95.29</v>
      </c>
      <c r="N9" s="161">
        <f>CIA_bio_T0</f>
        <v>26.5</v>
      </c>
    </row>
    <row r="10" spans="1:14" x14ac:dyDescent="0.25">
      <c r="B10" s="136" t="s">
        <v>7</v>
      </c>
      <c r="C10" s="26">
        <v>126.13</v>
      </c>
      <c r="D10" s="26"/>
      <c r="E10" s="26">
        <v>126.13</v>
      </c>
      <c r="F10" s="26"/>
      <c r="G10" s="26">
        <v>126.13</v>
      </c>
      <c r="H10" s="26">
        <v>119.55</v>
      </c>
      <c r="K10" s="162" t="s">
        <v>6</v>
      </c>
      <c r="L10" s="17">
        <f>+ED_ren_T0</f>
        <v>129.65</v>
      </c>
      <c r="M10" s="17">
        <f>+CIT_die_T0</f>
        <v>95.29</v>
      </c>
      <c r="N10" s="163">
        <f>+CIA_ren_T0</f>
        <v>27.2</v>
      </c>
    </row>
    <row r="11" spans="1:14" x14ac:dyDescent="0.25">
      <c r="B11" s="136" t="s">
        <v>258</v>
      </c>
      <c r="C11" s="26">
        <v>129.65</v>
      </c>
      <c r="D11" s="26"/>
      <c r="E11" s="26">
        <v>129.65</v>
      </c>
      <c r="F11" s="26"/>
      <c r="G11" s="26">
        <v>129.65</v>
      </c>
      <c r="H11" s="26">
        <v>129.65</v>
      </c>
      <c r="I11" s="11"/>
      <c r="K11" t="s">
        <v>8</v>
      </c>
      <c r="L11" s="53">
        <f>ED_eon_T0</f>
        <v>3.6</v>
      </c>
      <c r="M11" s="17">
        <f>+CIT_gas_T0</f>
        <v>94.63</v>
      </c>
      <c r="N11" s="53">
        <f>+CIA_eon_T0</f>
        <v>107.92</v>
      </c>
    </row>
    <row r="12" spans="1:14" x14ac:dyDescent="0.25">
      <c r="B12" s="136" t="s">
        <v>264</v>
      </c>
      <c r="C12" s="26">
        <v>3.6</v>
      </c>
      <c r="D12" s="26"/>
      <c r="E12" s="26">
        <v>3.6</v>
      </c>
      <c r="F12" s="26"/>
      <c r="G12" s="26">
        <v>3.6</v>
      </c>
      <c r="H12" s="26">
        <v>3.6</v>
      </c>
      <c r="I12" s="11"/>
      <c r="K12" s="25" t="s">
        <v>653</v>
      </c>
      <c r="L12" s="131">
        <f>KWh_T0</f>
        <v>3505.9444372876028</v>
      </c>
      <c r="M12" s="17"/>
      <c r="N12" s="53"/>
    </row>
    <row r="13" spans="1:14" x14ac:dyDescent="0.25">
      <c r="B13" s="136" t="s">
        <v>269</v>
      </c>
      <c r="C13" s="26">
        <v>105.5</v>
      </c>
      <c r="D13" s="26"/>
      <c r="E13" s="26">
        <v>0.98</v>
      </c>
      <c r="F13" s="26"/>
      <c r="G13" s="26">
        <v>0.98</v>
      </c>
      <c r="H13" s="26">
        <v>0.98</v>
      </c>
      <c r="K13" s="25" t="s">
        <v>861</v>
      </c>
      <c r="L13" s="130">
        <f>EEReon_T0</f>
        <v>3.4</v>
      </c>
      <c r="M13" s="17"/>
      <c r="N13" s="53"/>
    </row>
    <row r="14" spans="1:14" x14ac:dyDescent="0.25">
      <c r="B14" s="136" t="s">
        <v>278</v>
      </c>
      <c r="C14" s="26">
        <v>78.83</v>
      </c>
      <c r="D14" s="26"/>
      <c r="E14" s="26">
        <v>78.83</v>
      </c>
      <c r="F14" s="26"/>
      <c r="G14" s="26">
        <v>78.83</v>
      </c>
      <c r="H14" s="26">
        <v>76.84</v>
      </c>
      <c r="K14" s="25" t="s">
        <v>862</v>
      </c>
      <c r="L14" s="130">
        <f>EERng_T0</f>
        <v>0.9</v>
      </c>
      <c r="M14" s="120"/>
      <c r="N14" s="53"/>
    </row>
    <row r="15" spans="1:14" x14ac:dyDescent="0.25">
      <c r="B15" s="136" t="s">
        <v>271</v>
      </c>
      <c r="C15" s="26">
        <v>89.63</v>
      </c>
      <c r="D15" s="26"/>
      <c r="E15" s="26">
        <v>89.63</v>
      </c>
      <c r="F15" s="26"/>
      <c r="G15" s="26">
        <v>89.63</v>
      </c>
      <c r="H15" s="26">
        <v>96.5</v>
      </c>
      <c r="K15" t="s">
        <v>10</v>
      </c>
      <c r="L15" s="17">
        <f>+ED_die_T0</f>
        <v>134.47999999999999</v>
      </c>
      <c r="M15" s="17">
        <f>+CIT_die_T0</f>
        <v>95.29</v>
      </c>
      <c r="N15" s="53">
        <f>+CIA_fcg_T0</f>
        <v>79.98</v>
      </c>
    </row>
    <row r="16" spans="1:14" x14ac:dyDescent="0.25">
      <c r="B16" s="136" t="s">
        <v>22</v>
      </c>
      <c r="C16" s="26">
        <v>120</v>
      </c>
      <c r="D16" s="26"/>
      <c r="E16" s="26">
        <v>120</v>
      </c>
      <c r="F16" s="26"/>
      <c r="G16" s="26">
        <v>123</v>
      </c>
      <c r="H16" s="26">
        <v>123</v>
      </c>
      <c r="K16" s="25" t="s">
        <v>34</v>
      </c>
      <c r="L16" s="17">
        <f>+ED_die_T0</f>
        <v>134.47999999999999</v>
      </c>
      <c r="M16" s="17">
        <f>+CIT_die_T0</f>
        <v>95.29</v>
      </c>
      <c r="N16" s="53">
        <f>+CIA_bgs_T0</f>
        <v>49</v>
      </c>
    </row>
    <row r="17" spans="1:14" x14ac:dyDescent="0.25">
      <c r="B17" s="136" t="s">
        <v>575</v>
      </c>
      <c r="C17" s="26">
        <v>126.37</v>
      </c>
      <c r="D17" s="26"/>
      <c r="E17" s="26">
        <v>126.37</v>
      </c>
      <c r="F17" s="26"/>
      <c r="G17" s="26">
        <v>0</v>
      </c>
      <c r="H17" s="26">
        <v>0</v>
      </c>
      <c r="K17" t="s">
        <v>654</v>
      </c>
      <c r="L17" s="17">
        <f>+ED_lp_T0</f>
        <v>89.63</v>
      </c>
      <c r="M17" s="17">
        <f>+CIT_gas_T0</f>
        <v>94.63</v>
      </c>
      <c r="N17" s="53">
        <f>+CIA_lp_T0</f>
        <v>80.88</v>
      </c>
    </row>
    <row r="18" spans="1:14" x14ac:dyDescent="0.25">
      <c r="A18" s="136" t="s">
        <v>577</v>
      </c>
      <c r="B18" s="136" t="s">
        <v>572</v>
      </c>
      <c r="C18" s="26">
        <v>94.63</v>
      </c>
      <c r="D18" s="26"/>
      <c r="E18" s="26">
        <v>95.61</v>
      </c>
      <c r="F18" s="26"/>
      <c r="G18" s="26">
        <v>97.16</v>
      </c>
      <c r="H18" s="26">
        <v>97.63</v>
      </c>
    </row>
    <row r="19" spans="1:14" x14ac:dyDescent="0.25">
      <c r="B19" s="136" t="s">
        <v>573</v>
      </c>
      <c r="C19" s="26">
        <v>95.29</v>
      </c>
      <c r="D19" s="26"/>
      <c r="E19" s="26">
        <v>96.27</v>
      </c>
      <c r="F19" s="26"/>
      <c r="G19" s="26">
        <v>98.12</v>
      </c>
      <c r="H19" s="26">
        <v>98.64</v>
      </c>
    </row>
    <row r="20" spans="1:14" x14ac:dyDescent="0.25">
      <c r="B20" s="136" t="s">
        <v>575</v>
      </c>
      <c r="C20" s="26">
        <v>90.8</v>
      </c>
      <c r="D20" s="26"/>
      <c r="E20" s="26">
        <v>90.8</v>
      </c>
      <c r="F20" s="26"/>
      <c r="G20" s="26"/>
      <c r="H20" s="26"/>
    </row>
    <row r="21" spans="1:14" x14ac:dyDescent="0.25">
      <c r="A21" s="136" t="s">
        <v>578</v>
      </c>
      <c r="B21" s="136" t="s">
        <v>572</v>
      </c>
      <c r="C21" s="26">
        <v>100.14</v>
      </c>
      <c r="D21" s="26"/>
      <c r="E21" s="26">
        <v>100.14</v>
      </c>
      <c r="F21" s="26"/>
      <c r="G21" s="26">
        <v>98.64</v>
      </c>
      <c r="H21" s="26">
        <v>98.62</v>
      </c>
    </row>
    <row r="22" spans="1:14" x14ac:dyDescent="0.25">
      <c r="B22" s="136" t="s">
        <v>574</v>
      </c>
      <c r="C22" s="26">
        <v>98.16</v>
      </c>
      <c r="D22" s="26"/>
      <c r="E22" s="26">
        <v>100.14</v>
      </c>
      <c r="F22" s="26"/>
      <c r="G22" s="26">
        <v>100.77</v>
      </c>
      <c r="H22" s="26">
        <v>100.77</v>
      </c>
    </row>
    <row r="23" spans="1:14" x14ac:dyDescent="0.25">
      <c r="B23" s="136" t="s">
        <v>5</v>
      </c>
      <c r="C23" s="26">
        <v>47.5</v>
      </c>
      <c r="D23" s="26">
        <v>52.83</v>
      </c>
      <c r="E23" s="26">
        <v>57.76</v>
      </c>
      <c r="F23" s="26"/>
      <c r="G23" s="26">
        <v>59.01863095238096</v>
      </c>
      <c r="H23" s="26">
        <v>60.877499999999998</v>
      </c>
      <c r="K23" s="181" t="s">
        <v>869</v>
      </c>
      <c r="L23" s="181"/>
      <c r="M23" s="181"/>
    </row>
    <row r="24" spans="1:14" x14ac:dyDescent="0.25">
      <c r="B24" s="136" t="s">
        <v>573</v>
      </c>
      <c r="C24" s="26">
        <v>100.74</v>
      </c>
      <c r="D24" s="26"/>
      <c r="E24" s="26">
        <v>100.74</v>
      </c>
      <c r="F24" s="26"/>
      <c r="G24" s="26">
        <v>101.65</v>
      </c>
      <c r="H24" s="26">
        <v>99.64</v>
      </c>
      <c r="K24" t="s">
        <v>870</v>
      </c>
      <c r="L24" t="s">
        <v>871</v>
      </c>
    </row>
    <row r="25" spans="1:14" x14ac:dyDescent="0.25">
      <c r="B25" s="136" t="s">
        <v>7</v>
      </c>
      <c r="C25" s="26">
        <v>26.5</v>
      </c>
      <c r="D25" s="26">
        <v>32.596249999999998</v>
      </c>
      <c r="E25" s="26">
        <v>35.4</v>
      </c>
      <c r="F25" s="26"/>
      <c r="G25" s="26">
        <v>47.09</v>
      </c>
      <c r="H25" s="26">
        <v>45.230000000000004</v>
      </c>
      <c r="K25" t="s">
        <v>872</v>
      </c>
      <c r="L25" t="s">
        <v>873</v>
      </c>
    </row>
    <row r="26" spans="1:14" x14ac:dyDescent="0.25">
      <c r="B26" s="136" t="s">
        <v>34</v>
      </c>
      <c r="C26" s="26">
        <v>49</v>
      </c>
      <c r="D26" s="26">
        <v>49</v>
      </c>
      <c r="E26" s="26">
        <v>50</v>
      </c>
      <c r="F26" s="26"/>
      <c r="G26" s="26">
        <v>35</v>
      </c>
      <c r="H26" s="26">
        <v>35</v>
      </c>
      <c r="K26" t="s">
        <v>874</v>
      </c>
      <c r="L26" t="s">
        <v>875</v>
      </c>
    </row>
    <row r="27" spans="1:14" x14ac:dyDescent="0.25">
      <c r="B27" s="136" t="s">
        <v>258</v>
      </c>
      <c r="C27" s="26">
        <v>27.2</v>
      </c>
      <c r="D27" s="26">
        <v>33.181249999999999</v>
      </c>
      <c r="E27" s="26">
        <v>29.165339245815588</v>
      </c>
      <c r="F27" s="26"/>
      <c r="G27" s="26">
        <v>45.752499999999998</v>
      </c>
      <c r="H27" s="26">
        <v>39.380000000000003</v>
      </c>
    </row>
    <row r="28" spans="1:14" x14ac:dyDescent="0.25">
      <c r="B28" s="136" t="s">
        <v>264</v>
      </c>
      <c r="C28" s="26">
        <v>107.92</v>
      </c>
      <c r="D28" s="26"/>
      <c r="E28" s="26">
        <v>109.31</v>
      </c>
      <c r="F28" s="26"/>
      <c r="G28" s="26">
        <v>120.27</v>
      </c>
      <c r="H28" s="26">
        <v>120.27</v>
      </c>
      <c r="K28" t="s">
        <v>876</v>
      </c>
      <c r="L28" t="s">
        <v>877</v>
      </c>
    </row>
    <row r="29" spans="1:14" x14ac:dyDescent="0.25">
      <c r="B29" s="136" t="s">
        <v>269</v>
      </c>
      <c r="C29" s="26">
        <v>79.98</v>
      </c>
      <c r="D29" s="26"/>
      <c r="E29" s="26">
        <v>79.98</v>
      </c>
      <c r="F29" s="26"/>
      <c r="G29" s="26">
        <v>79.930000000000007</v>
      </c>
      <c r="H29" s="26">
        <v>79.930000000000007</v>
      </c>
      <c r="K29" t="s">
        <v>878</v>
      </c>
      <c r="L29" t="s">
        <v>879</v>
      </c>
    </row>
    <row r="30" spans="1:14" x14ac:dyDescent="0.25">
      <c r="B30" s="136" t="s">
        <v>271</v>
      </c>
      <c r="C30" s="26">
        <v>80.88</v>
      </c>
      <c r="D30" s="26"/>
      <c r="E30" s="26">
        <v>80.88</v>
      </c>
      <c r="F30" s="26"/>
      <c r="G30" s="26">
        <v>83.05</v>
      </c>
      <c r="H30" s="26">
        <v>83.05</v>
      </c>
      <c r="K30" t="s">
        <v>880</v>
      </c>
      <c r="L30" t="s">
        <v>881</v>
      </c>
    </row>
    <row r="31" spans="1:14" x14ac:dyDescent="0.25">
      <c r="B31" s="136" t="s">
        <v>659</v>
      </c>
      <c r="C31" s="26">
        <v>100.14</v>
      </c>
      <c r="D31" s="26"/>
      <c r="E31" s="26">
        <v>100.14</v>
      </c>
      <c r="F31" s="26"/>
      <c r="G31" s="26">
        <v>100.77</v>
      </c>
      <c r="H31" s="26">
        <v>100.77</v>
      </c>
      <c r="K31" t="s">
        <v>882</v>
      </c>
      <c r="L31" t="s">
        <v>661</v>
      </c>
    </row>
    <row r="32" spans="1:14" x14ac:dyDescent="0.25">
      <c r="A32" s="136" t="s">
        <v>579</v>
      </c>
      <c r="B32" s="136" t="s">
        <v>711</v>
      </c>
      <c r="C32" s="26">
        <v>3505.9444372876028</v>
      </c>
      <c r="D32" s="26">
        <v>3020.9444372876028</v>
      </c>
      <c r="E32" s="26">
        <v>3621</v>
      </c>
      <c r="F32" s="26"/>
      <c r="G32" s="26">
        <v>3470</v>
      </c>
      <c r="H32" s="26">
        <v>3470</v>
      </c>
      <c r="K32" t="s">
        <v>883</v>
      </c>
      <c r="L32" t="s">
        <v>697</v>
      </c>
    </row>
    <row r="33" spans="1:8" x14ac:dyDescent="0.25">
      <c r="B33" s="136" t="s">
        <v>859</v>
      </c>
      <c r="C33" s="26">
        <v>3.4</v>
      </c>
      <c r="D33" s="26"/>
      <c r="E33" s="26">
        <v>3.4</v>
      </c>
      <c r="F33" s="26"/>
      <c r="G33" s="26">
        <v>3.4</v>
      </c>
      <c r="H33" s="26">
        <v>3.4</v>
      </c>
    </row>
    <row r="34" spans="1:8" x14ac:dyDescent="0.25">
      <c r="B34" s="136" t="s">
        <v>860</v>
      </c>
      <c r="C34" s="26">
        <v>0.9</v>
      </c>
      <c r="D34" s="26"/>
      <c r="E34" s="26">
        <v>0.9</v>
      </c>
      <c r="F34" s="26"/>
      <c r="G34" s="26">
        <v>0.9</v>
      </c>
      <c r="H34" s="26">
        <v>0.9</v>
      </c>
    </row>
    <row r="35" spans="1:8" x14ac:dyDescent="0.25">
      <c r="A35" s="136" t="s">
        <v>697</v>
      </c>
      <c r="B35" s="136" t="s">
        <v>572</v>
      </c>
      <c r="C35" s="26">
        <v>0.10299999999999999</v>
      </c>
      <c r="D35" s="26">
        <v>-0.106</v>
      </c>
      <c r="E35" s="26">
        <v>4.8945290938999996E-3</v>
      </c>
      <c r="F35" s="26">
        <v>4.5776239147999999E-3</v>
      </c>
      <c r="G35" s="26"/>
      <c r="H35" s="26"/>
    </row>
    <row r="36" spans="1:8" x14ac:dyDescent="0.25">
      <c r="B36" s="136" t="s">
        <v>573</v>
      </c>
      <c r="C36" s="26">
        <v>4.6262661114707893E-2</v>
      </c>
      <c r="D36" s="26">
        <v>-3.1046501075563837E-2</v>
      </c>
      <c r="E36" s="26">
        <v>4.4104026435999996E-3</v>
      </c>
      <c r="F36" s="26">
        <v>-1.556351194E-2</v>
      </c>
      <c r="G36" s="26"/>
      <c r="H36" s="26"/>
    </row>
    <row r="37" spans="1:8" x14ac:dyDescent="0.25">
      <c r="B37" s="136" t="s">
        <v>271</v>
      </c>
      <c r="C37" s="26">
        <v>0.7</v>
      </c>
      <c r="D37" s="26">
        <v>1</v>
      </c>
      <c r="E37" s="26">
        <v>1</v>
      </c>
      <c r="F37" s="26">
        <v>2</v>
      </c>
      <c r="G37" s="26"/>
      <c r="H37" s="26"/>
    </row>
    <row r="38" spans="1:8" x14ac:dyDescent="0.25">
      <c r="B38" s="136" t="s">
        <v>263</v>
      </c>
      <c r="C38" s="26">
        <v>0.75</v>
      </c>
      <c r="D38" s="26">
        <v>0.5</v>
      </c>
      <c r="E38" s="26">
        <v>0.01</v>
      </c>
      <c r="F38" s="26">
        <v>0.01</v>
      </c>
      <c r="G38" s="26"/>
      <c r="H38" s="26"/>
    </row>
    <row r="39" spans="1:8" x14ac:dyDescent="0.25">
      <c r="B39" s="136" t="s">
        <v>699</v>
      </c>
      <c r="C39" s="26">
        <v>7.0000000000000007E-2</v>
      </c>
      <c r="D39" s="26">
        <v>0.1</v>
      </c>
      <c r="E39" s="26">
        <v>6.5668580803999996E-2</v>
      </c>
      <c r="F39" s="26">
        <v>0.14299109235999999</v>
      </c>
      <c r="G39" s="26"/>
      <c r="H39" s="26"/>
    </row>
    <row r="40" spans="1:8" x14ac:dyDescent="0.25">
      <c r="A40" s="136" t="s">
        <v>661</v>
      </c>
      <c r="B40" s="136" t="s">
        <v>5</v>
      </c>
      <c r="C40" s="26">
        <v>0.10100000000000001</v>
      </c>
      <c r="D40" s="26">
        <v>0.10100000000000001</v>
      </c>
      <c r="E40" s="26">
        <v>0.10100000000000001</v>
      </c>
      <c r="F40" s="26"/>
      <c r="G40" s="26"/>
      <c r="H40" s="26"/>
    </row>
    <row r="41" spans="1:8" x14ac:dyDescent="0.25">
      <c r="B41" s="136" t="s">
        <v>7</v>
      </c>
      <c r="C41" s="26">
        <v>9.6000000000000002E-2</v>
      </c>
      <c r="D41" s="26">
        <v>8.5999999999999993E-2</v>
      </c>
      <c r="E41" s="26">
        <v>6.9000000000000006E-2</v>
      </c>
      <c r="F41" s="26"/>
      <c r="G41" s="26"/>
      <c r="H41" s="26"/>
    </row>
    <row r="42" spans="1:8" x14ac:dyDescent="0.25">
      <c r="B42" s="136" t="s">
        <v>34</v>
      </c>
      <c r="C42" s="26">
        <v>0.75</v>
      </c>
      <c r="D42" s="26">
        <v>0.67500000000000004</v>
      </c>
      <c r="E42" s="26">
        <v>0.7</v>
      </c>
      <c r="F42" s="26"/>
      <c r="G42" s="26"/>
      <c r="H42" s="26"/>
    </row>
    <row r="43" spans="1:8" x14ac:dyDescent="0.25">
      <c r="B43" s="136" t="s">
        <v>6</v>
      </c>
      <c r="C43" s="26">
        <v>7.2999999999999995E-2</v>
      </c>
      <c r="D43" s="26">
        <v>4.2000000000000003E-2</v>
      </c>
      <c r="E43" s="26">
        <v>3.5000000000000003E-2</v>
      </c>
      <c r="F43" s="26"/>
      <c r="G43" s="26"/>
      <c r="H43" s="26"/>
    </row>
  </sheetData>
  <mergeCells count="1">
    <mergeCell ref="K23:M23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C7B12AE804049AF890919B65DCAA1" ma:contentTypeVersion="9" ma:contentTypeDescription="Create a new document." ma:contentTypeScope="" ma:versionID="4ea9a14a3a496b8d908ccdc5e188100c">
  <xsd:schema xmlns:xsd="http://www.w3.org/2001/XMLSchema" xmlns:xs="http://www.w3.org/2001/XMLSchema" xmlns:p="http://schemas.microsoft.com/office/2006/metadata/properties" xmlns:ns1="http://schemas.microsoft.com/sharepoint/v3" xmlns:ns2="2f119d7b-84ae-485e-90b2-f8bb54fe4be9" xmlns:ns3="c11a4dd1-9999-41de-ad6b-508521c3559d" targetNamespace="http://schemas.microsoft.com/office/2006/metadata/properties" ma:root="true" ma:fieldsID="59e3ea66ea2ee84ff8cf1250dfcbfdba" ns1:_="" ns2:_="" ns3:_="">
    <xsd:import namespace="http://schemas.microsoft.com/sharepoint/v3"/>
    <xsd:import namespace="2f119d7b-84ae-485e-90b2-f8bb54fe4be9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_x0020_area" minOccurs="0"/>
                <xsd:element ref="ns2:Subtopics" minOccurs="0"/>
                <xsd:element ref="ns2:Demographic" minOccurs="0"/>
                <xsd:element ref="ns2:Posted_x0020_to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19d7b-84ae-485e-90b2-f8bb54fe4be9" elementFormDefault="qualified">
    <xsd:import namespace="http://schemas.microsoft.com/office/2006/documentManagement/types"/>
    <xsd:import namespace="http://schemas.microsoft.com/office/infopath/2007/PartnerControls"/>
    <xsd:element name="Topic_x0020_area" ma:index="2" nillable="true" ma:displayName="Topic area" ma:format="Dropdown" ma:internalName="Topic_x0020_area">
      <xsd:simpleType>
        <xsd:restriction base="dms:Choice">
          <xsd:enumeration value="Economic forecast"/>
          <xsd:enumeration value="Revenue forecast"/>
          <xsd:enumeration value="Corrections forecast"/>
          <xsd:enumeration value="Youth forecast"/>
          <xsd:enumeration value="Demographic forecast"/>
          <xsd:enumeration value="Highway Cost Allocation"/>
        </xsd:restriction>
      </xsd:simpleType>
    </xsd:element>
    <xsd:element name="Subtopics" ma:index="3" nillable="true" ma:displayName="Sub-topic" ma:format="Dropdown" ma:internalName="Subtopics">
      <xsd:simpleType>
        <xsd:restriction base="dms:Choice">
          <xsd:enumeration value="Corrections"/>
          <xsd:enumeration value="Youth Authority"/>
        </xsd:restriction>
      </xsd:simpleType>
    </xsd:element>
    <xsd:element name="Demographic" ma:index="4" nillable="true" ma:displayName="Demographic" ma:format="Dropdown" ma:internalName="Demographic">
      <xsd:simpleType>
        <xsd:restriction base="dms:Choice">
          <xsd:enumeration value="Demographic Forecast"/>
          <xsd:enumeration value="Census Data"/>
        </xsd:restriction>
      </xsd:simpleType>
    </xsd:element>
    <xsd:element name="Posted_x0020_to" ma:index="5" nillable="true" ma:displayName="Posted to" ma:format="Dropdown" ma:internalName="Posted_x0020_to">
      <xsd:simpleType>
        <xsd:union memberTypes="dms:Text">
          <xsd:simpleType>
            <xsd:restriction base="dms:Choice">
              <xsd:enumeration value="Current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opic_x0020_area xmlns="2f119d7b-84ae-485e-90b2-f8bb54fe4be9" xsi:nil="true"/>
    <Posted_x0020_to xmlns="2f119d7b-84ae-485e-90b2-f8bb54fe4be9" xsi:nil="true"/>
    <Subtopics xmlns="2f119d7b-84ae-485e-90b2-f8bb54fe4be9" xsi:nil="true"/>
    <Demographic xmlns="2f119d7b-84ae-485e-90b2-f8bb54fe4be9" xsi:nil="true"/>
  </documentManagement>
</p:properties>
</file>

<file path=customXml/itemProps1.xml><?xml version="1.0" encoding="utf-8"?>
<ds:datastoreItem xmlns:ds="http://schemas.openxmlformats.org/officeDocument/2006/customXml" ds:itemID="{8C4C7B4F-6A6E-440F-BC64-1216E5C15D0E}"/>
</file>

<file path=customXml/itemProps2.xml><?xml version="1.0" encoding="utf-8"?>
<ds:datastoreItem xmlns:ds="http://schemas.openxmlformats.org/officeDocument/2006/customXml" ds:itemID="{DA5B45DC-E1B3-453B-8400-CE8E74854C07}"/>
</file>

<file path=customXml/itemProps3.xml><?xml version="1.0" encoding="utf-8"?>
<ds:datastoreItem xmlns:ds="http://schemas.openxmlformats.org/officeDocument/2006/customXml" ds:itemID="{881F5179-8C58-4215-8136-CFB82E407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116</vt:i4>
      </vt:variant>
    </vt:vector>
  </HeadingPairs>
  <TitlesOfParts>
    <vt:vector size="128" baseType="lpstr">
      <vt:lpstr>Forecast_Main</vt:lpstr>
      <vt:lpstr>Table 1 - Volumes</vt:lpstr>
      <vt:lpstr>Table 3+4 - Credit</vt:lpstr>
      <vt:lpstr>CI Trend</vt:lpstr>
      <vt:lpstr>CI Facility</vt:lpstr>
      <vt:lpstr>Electric Vehicles</vt:lpstr>
      <vt:lpstr>AEO 2020 Pacific</vt:lpstr>
      <vt:lpstr>AEO 2020 Renewable</vt:lpstr>
      <vt:lpstr>Constants Pivot</vt:lpstr>
      <vt:lpstr>Constants_out</vt:lpstr>
      <vt:lpstr>Growth Rate Tables</vt:lpstr>
      <vt:lpstr>Charts</vt:lpstr>
      <vt:lpstr>BR_bgs_T0</vt:lpstr>
      <vt:lpstr>BR_bgs_T1</vt:lpstr>
      <vt:lpstr>BR_bgs_T2</vt:lpstr>
      <vt:lpstr>BR_bio_T0</vt:lpstr>
      <vt:lpstr>BR_bio_T1</vt:lpstr>
      <vt:lpstr>BR_bio_T2</vt:lpstr>
      <vt:lpstr>BR_eth_T0</vt:lpstr>
      <vt:lpstr>BR_eth_T1</vt:lpstr>
      <vt:lpstr>BR_eth_T2</vt:lpstr>
      <vt:lpstr>BR_ren_T0</vt:lpstr>
      <vt:lpstr>BR_ren_T1</vt:lpstr>
      <vt:lpstr>BR_ren_T2</vt:lpstr>
      <vt:lpstr>CIA_bgs_T0</vt:lpstr>
      <vt:lpstr>CIA_bgs_T1</vt:lpstr>
      <vt:lpstr>CIA_bgs_T2</vt:lpstr>
      <vt:lpstr>CIA_bio_T0</vt:lpstr>
      <vt:lpstr>CIA_Bio_T1</vt:lpstr>
      <vt:lpstr>CIA_bio_T2</vt:lpstr>
      <vt:lpstr>CIA_cbob_T0</vt:lpstr>
      <vt:lpstr>CIA_cbob_T1</vt:lpstr>
      <vt:lpstr>CIA_cbob_T2</vt:lpstr>
      <vt:lpstr>CIA_die_T0</vt:lpstr>
      <vt:lpstr>CIA_die_T1</vt:lpstr>
      <vt:lpstr>CIA_die_T2</vt:lpstr>
      <vt:lpstr>CIA_E10_T0</vt:lpstr>
      <vt:lpstr>CIA_E10_T1</vt:lpstr>
      <vt:lpstr>CIA_E10_T2</vt:lpstr>
      <vt:lpstr>CIA_eon_T0</vt:lpstr>
      <vt:lpstr>CIA_eon_T1</vt:lpstr>
      <vt:lpstr>CIA_eon_T2</vt:lpstr>
      <vt:lpstr>CIA_Eth_T0</vt:lpstr>
      <vt:lpstr>CIA_eth_T1</vt:lpstr>
      <vt:lpstr>CIA_eth_T2</vt:lpstr>
      <vt:lpstr>CIA_fcg_T0</vt:lpstr>
      <vt:lpstr>CIA_fcg_T1</vt:lpstr>
      <vt:lpstr>CIA_fcg_T2</vt:lpstr>
      <vt:lpstr>CIA_gas_T0</vt:lpstr>
      <vt:lpstr>CIA_gas_T1</vt:lpstr>
      <vt:lpstr>CIA_gas_T2</vt:lpstr>
      <vt:lpstr>CIA_lp_T0</vt:lpstr>
      <vt:lpstr>CIA_lp_T1</vt:lpstr>
      <vt:lpstr>CIA_lp_T2</vt:lpstr>
      <vt:lpstr>CIA_ren_T0</vt:lpstr>
      <vt:lpstr>CIA_ren_T1</vt:lpstr>
      <vt:lpstr>CIA_ren_T2</vt:lpstr>
      <vt:lpstr>CIT_die_T0</vt:lpstr>
      <vt:lpstr>CIT_die_T1</vt:lpstr>
      <vt:lpstr>CIT_die_T2</vt:lpstr>
      <vt:lpstr>CIT_gas_T0</vt:lpstr>
      <vt:lpstr>CIT_gas_T1</vt:lpstr>
      <vt:lpstr>CIT_gas_T2</vt:lpstr>
      <vt:lpstr>CIT_jf_T0</vt:lpstr>
      <vt:lpstr>CIT_jf_T1</vt:lpstr>
      <vt:lpstr>CIT_jf_T2</vt:lpstr>
      <vt:lpstr>constants_data_out</vt:lpstr>
      <vt:lpstr>ED_Bio_T0</vt:lpstr>
      <vt:lpstr>ED_bio_T1</vt:lpstr>
      <vt:lpstr>ED_bio_T2</vt:lpstr>
      <vt:lpstr>ED_die_T0</vt:lpstr>
      <vt:lpstr>ED_die_T1</vt:lpstr>
      <vt:lpstr>ED_die_T2</vt:lpstr>
      <vt:lpstr>ED_E10_T0</vt:lpstr>
      <vt:lpstr>ED_E10_T1</vt:lpstr>
      <vt:lpstr>ED_E10_T2</vt:lpstr>
      <vt:lpstr>ED_eon_T0</vt:lpstr>
      <vt:lpstr>ED_eon_T1</vt:lpstr>
      <vt:lpstr>ED_eon_T2</vt:lpstr>
      <vt:lpstr>ED_eth_T0</vt:lpstr>
      <vt:lpstr>ED_eth_T1</vt:lpstr>
      <vt:lpstr>ED_eth_T2</vt:lpstr>
      <vt:lpstr>ED_fcg_T0</vt:lpstr>
      <vt:lpstr>ED_fcg_T1</vt:lpstr>
      <vt:lpstr>ED_fcg_T2</vt:lpstr>
      <vt:lpstr>ED_flg_T0</vt:lpstr>
      <vt:lpstr>ED_flg_T1</vt:lpstr>
      <vt:lpstr>ED_flg_T2</vt:lpstr>
      <vt:lpstr>ED_gas_2018</vt:lpstr>
      <vt:lpstr>ED_gas_T0</vt:lpstr>
      <vt:lpstr>ED_gas_T1</vt:lpstr>
      <vt:lpstr>ED_gas_T2</vt:lpstr>
      <vt:lpstr>ED_hyd_T0</vt:lpstr>
      <vt:lpstr>ED_hyd_T1</vt:lpstr>
      <vt:lpstr>ED_hyd_T2</vt:lpstr>
      <vt:lpstr>ED_jf_T0</vt:lpstr>
      <vt:lpstr>ED_jf_T1</vt:lpstr>
      <vt:lpstr>ED_jf_T2</vt:lpstr>
      <vt:lpstr>ED_lp_T0</vt:lpstr>
      <vt:lpstr>ED_lp_T1</vt:lpstr>
      <vt:lpstr>ED_lp_T2</vt:lpstr>
      <vt:lpstr>ED_ren_T0</vt:lpstr>
      <vt:lpstr>ED_ren_T1</vt:lpstr>
      <vt:lpstr>ED_ren_T2</vt:lpstr>
      <vt:lpstr>EEReon_T0</vt:lpstr>
      <vt:lpstr>EEReon_T1</vt:lpstr>
      <vt:lpstr>EEReon_T2</vt:lpstr>
      <vt:lpstr>EERng_T0</vt:lpstr>
      <vt:lpstr>EERng_T1</vt:lpstr>
      <vt:lpstr>EERng_T2</vt:lpstr>
      <vt:lpstr>GR_die_T0</vt:lpstr>
      <vt:lpstr>GR_die_T1</vt:lpstr>
      <vt:lpstr>GR_die_T2</vt:lpstr>
      <vt:lpstr>GR_eof_T0</vt:lpstr>
      <vt:lpstr>GR_eof_T1</vt:lpstr>
      <vt:lpstr>GR_eof_T2</vt:lpstr>
      <vt:lpstr>GR_gas_T0</vt:lpstr>
      <vt:lpstr>GR_gas_T1</vt:lpstr>
      <vt:lpstr>GR_gas_T2</vt:lpstr>
      <vt:lpstr>GR_lp_T0</vt:lpstr>
      <vt:lpstr>GR_lp_T1</vt:lpstr>
      <vt:lpstr>GR_lp_T2</vt:lpstr>
      <vt:lpstr>GR_ng_T0</vt:lpstr>
      <vt:lpstr>GR_ng_T1</vt:lpstr>
      <vt:lpstr>GR_ng_T2</vt:lpstr>
      <vt:lpstr>KWh_T0</vt:lpstr>
      <vt:lpstr>KWh_T1</vt:lpstr>
      <vt:lpstr>KWh_T2</vt:lpstr>
    </vt:vector>
  </TitlesOfParts>
  <Company>ICFI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Sheehy, Philip</dc:creator>
  <cp:lastModifiedBy>KENNEDY Michael  * DAS</cp:lastModifiedBy>
  <dcterms:created xsi:type="dcterms:W3CDTF">2017-07-18T17:03:04Z</dcterms:created>
  <dcterms:modified xsi:type="dcterms:W3CDTF">2020-09-23T15:21:07Z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0x01010084FC7B12AE804049AF890919B65DCAA1</vt:lpwstr>
  </property>
</Properties>
</file>