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charts/style18.xml" ContentType="application/vnd.ms-office.chartstyle+xml"/>
  <Override PartName="/xl/charts/chart19.xml" ContentType="application/vnd.openxmlformats-officedocument.drawingml.chart+xml"/>
  <Override PartName="/xl/charts/colors17.xml" ContentType="application/vnd.ms-office.chartcolorstyle+xml"/>
  <Override PartName="/xl/charts/style17.xml" ContentType="application/vnd.ms-office.chartstyle+xml"/>
  <Override PartName="/xl/charts/chart18.xml" ContentType="application/vnd.openxmlformats-officedocument.drawingml.chart+xml"/>
  <Override PartName="/xl/charts/colors16.xml" ContentType="application/vnd.ms-office.chartcolor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19.xml" ContentType="application/vnd.ms-office.chartcolorstyle+xml"/>
  <Override PartName="/xl/charts/style16.xml" ContentType="application/vnd.ms-office.chartstyle+xml"/>
  <Override PartName="/xl/charts/chart17.xml" ContentType="application/vnd.openxmlformats-officedocument.drawingml.chart+xml"/>
  <Override PartName="/xl/charts/colors15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chart12.xml" ContentType="application/vnd.openxmlformats-officedocument.drawingml.chart+xml"/>
  <Override PartName="/xl/worksheets/sheet1.xml" ContentType="application/vnd.openxmlformats-officedocument.spreadsheetml.worksheet+xml"/>
  <Override PartName="/xl/charts/style11.xml" ContentType="application/vnd.ms-office.chartstyle+xml"/>
  <Override PartName="/xl/charts/chart11.xml" ContentType="application/vnd.openxmlformats-officedocument.drawingml.chart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style15.xml" ContentType="application/vnd.ms-office.chartstyle+xml"/>
  <Override PartName="/xl/charts/chart16.xml" ContentType="application/vnd.openxmlformats-officedocument.drawingml.chart+xml"/>
  <Override PartName="/xl/charts/chart15.xml" ContentType="application/vnd.openxmlformats-officedocument.drawingml.chart+xml"/>
  <Override PartName="/xl/charts/colors14.xml" ContentType="application/vnd.ms-office.chartcolorstyle+xml"/>
  <Override PartName="/xl/charts/style14.xml" ContentType="application/vnd.ms-office.chartstyle+xml"/>
  <Override PartName="/xl/charts/chart14.xml" ContentType="application/vnd.openxmlformats-officedocument.drawingml.chart+xml"/>
  <Override PartName="/xl/charts/colors10.xml" ContentType="application/vnd.ms-office.chartcolorstyle+xml"/>
  <Override PartName="/xl/charts/colors1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charts/style10.xml" ContentType="application/vnd.ms-office.chartstyle+xml"/>
  <Override PartName="/xl/charts/chart3.xml" ContentType="application/vnd.openxmlformats-officedocument.drawingml.chart+xml"/>
  <Override PartName="/xl/charts/style3.xml" ContentType="application/vnd.ms-office.chartsty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charts/colors3.xml" ContentType="application/vnd.ms-office.chartcolorsty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pivotTables/pivotTable6.xml" ContentType="application/vnd.openxmlformats-officedocument.spreadsheetml.pivotTable+xml"/>
  <Override PartName="/xl/charts/colors2.xml" ContentType="application/vnd.ms-office.chartcolorstyle+xml"/>
  <Override PartName="/xl/charts/colors7.xml" ContentType="application/vnd.ms-office.chartcolorstyle+xml"/>
  <Override PartName="/xl/charts/chart6.xml" ContentType="application/vnd.openxmlformats-officedocument.drawingml.chart+xml"/>
  <Override PartName="/xl/charts/colors8.xml" ContentType="application/vnd.ms-office.chartcolorstyle+xml"/>
  <Override PartName="/xl/pivotTables/pivotTable7.xml" ContentType="application/vnd.openxmlformats-officedocument.spreadsheetml.pivotTable+xml"/>
  <Override PartName="/xl/worksheets/sheet4.xml" ContentType="application/vnd.openxmlformats-officedocument.spreadsheetml.worksheet+xml"/>
  <Override PartName="/xl/charts/style8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style7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style5.xml" ContentType="application/vnd.ms-office.chartstyle+xml"/>
  <Override PartName="/xl/drawings/drawing4.xml" ContentType="application/vnd.openxmlformats-officedocument.drawing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pivotCache/pivotCacheRecords3.xml" ContentType="application/vnd.openxmlformats-officedocument.spreadsheetml.pivotCacheRecords+xml"/>
  <Override PartName="/docProps/core.xml" ContentType="application/vnd.openxmlformats-package.core-properties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comments1.xml" ContentType="application/vnd.openxmlformats-officedocument.spreadsheetml.comments+xml"/>
  <Override PartName="/xl/connections.xml" ContentType="application/vnd.openxmlformats-officedocument.spreadsheetml.connection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Records4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U:\Clean Fuels\2022 Forecast\"/>
    </mc:Choice>
  </mc:AlternateContent>
  <bookViews>
    <workbookView xWindow="0" yWindow="0" windowWidth="30720" windowHeight="12000" tabRatio="870" activeTab="3"/>
  </bookViews>
  <sheets>
    <sheet name="Forecast_Main" sheetId="13" r:id="rId1"/>
    <sheet name="Table 1 - Volumes" sheetId="19" r:id="rId2"/>
    <sheet name="Table 3+4 - Credit" sheetId="26" r:id="rId3"/>
    <sheet name="CI Trend" sheetId="29" r:id="rId4"/>
    <sheet name="CI Facility" sheetId="23" r:id="rId5"/>
    <sheet name="Electric Vehicles" sheetId="9" r:id="rId6"/>
    <sheet name="AEO Pacific" sheetId="16" r:id="rId7"/>
    <sheet name="AEO Renewable" sheetId="18" r:id="rId8"/>
    <sheet name="Constants Pivot" sheetId="22" r:id="rId9"/>
    <sheet name="Constants_out" sheetId="25" r:id="rId10"/>
    <sheet name="Growth Rate Tables" sheetId="17" r:id="rId11"/>
    <sheet name="Charts" sheetId="28" r:id="rId12"/>
  </sheets>
  <externalReferences>
    <externalReference r:id="rId13"/>
  </externalReferences>
  <definedNames>
    <definedName name="BR_bgs_T0">'Constants Pivot'!$C$42</definedName>
    <definedName name="BR_bgs_T1">'Constants Pivot'!$D$42</definedName>
    <definedName name="BR_bgs_T2">'Constants Pivot'!$F$42</definedName>
    <definedName name="BR_bio_T0">'Constants Pivot'!$C$41</definedName>
    <definedName name="BR_bio_T1">'Constants Pivot'!$D$41</definedName>
    <definedName name="BR_bio_T2">'Constants Pivot'!$F$41</definedName>
    <definedName name="BR_eth_T0">'Constants Pivot'!$C$40</definedName>
    <definedName name="BR_eth_T1">'Constants Pivot'!$D$40</definedName>
    <definedName name="BR_eth_T2">'Constants Pivot'!$F$40</definedName>
    <definedName name="BR_ren_T0">'Constants Pivot'!$C$43</definedName>
    <definedName name="BR_ren_T1">'Constants Pivot'!$D$43</definedName>
    <definedName name="BR_ren_T2">'Constants Pivot'!$F$43</definedName>
    <definedName name="CIA_bgs_T0">'Constants Pivot'!$C$26</definedName>
    <definedName name="CIA_bgs_T1">'Constants Pivot'!$E$26</definedName>
    <definedName name="CIA_bgs_T2">'Constants Pivot'!$F$26</definedName>
    <definedName name="CIA_bio_T0">'Constants Pivot'!$C$25</definedName>
    <definedName name="CIA_Bio_T1">'Constants Pivot'!$D$25</definedName>
    <definedName name="CIA_bio_T2">'Constants Pivot'!$F$25</definedName>
    <definedName name="CIA_cbob_T0">'Constants Pivot'!$C$31</definedName>
    <definedName name="CIA_cbob_T1">'Constants Pivot'!$E$31</definedName>
    <definedName name="CIA_cbob_T2">'Constants Pivot'!$G$31</definedName>
    <definedName name="CIA_die_T0">'Constants Pivot'!$C$24</definedName>
    <definedName name="CIA_die_T1">'Constants Pivot'!$E$24</definedName>
    <definedName name="CIA_die_T2">'Constants Pivot'!$G$24</definedName>
    <definedName name="CIA_E10_T0">'Constants Pivot'!$C$22</definedName>
    <definedName name="CIA_E10_T1">'Constants Pivot'!$E$22</definedName>
    <definedName name="CIA_E10_T2">'Constants Pivot'!$G$22</definedName>
    <definedName name="CIA_eon_T0">'Constants Pivot'!$C$28</definedName>
    <definedName name="CIA_eon_T1">'Constants Pivot'!$E$28</definedName>
    <definedName name="CIA_eon_T2">'Constants Pivot'!$G$28</definedName>
    <definedName name="CIA_Eth_T0">'Constants Pivot'!$C$23</definedName>
    <definedName name="CIA_eth_T1">'Constants Pivot'!$D$23</definedName>
    <definedName name="CIA_eth_T2">'Constants Pivot'!$F$23</definedName>
    <definedName name="CIA_fcg_T0">'Constants Pivot'!$C$29</definedName>
    <definedName name="CIA_fcg_T1">'Constants Pivot'!$E$29</definedName>
    <definedName name="CIA_fcg_T2">'Constants Pivot'!$G$29</definedName>
    <definedName name="CIA_gas_T0">'Constants Pivot'!$C$21</definedName>
    <definedName name="CIA_gas_T1">'Constants Pivot'!$E$21</definedName>
    <definedName name="CIA_gas_T2">'Constants Pivot'!$G$21</definedName>
    <definedName name="CIA_lp_T0">'Constants Pivot'!$C$30</definedName>
    <definedName name="CIA_lp_T1">'Constants Pivot'!$E$30</definedName>
    <definedName name="CIA_lp_T2">'Constants Pivot'!$G$30</definedName>
    <definedName name="CIA_ren_T0">'Constants Pivot'!$C$27</definedName>
    <definedName name="CIA_ren_T1">'Constants Pivot'!$D$27</definedName>
    <definedName name="CIA_ren_T2">'Constants Pivot'!$F$27</definedName>
    <definedName name="CIT_die_T0">'Constants Pivot'!$C$19</definedName>
    <definedName name="CIT_die_T1">'Constants Pivot'!$E$19</definedName>
    <definedName name="CIT_die_T2">'Constants Pivot'!$G$19</definedName>
    <definedName name="CIT_gas_T0">'Constants Pivot'!$C$18</definedName>
    <definedName name="CIT_gas_T1">'Constants Pivot'!$E$18</definedName>
    <definedName name="CIT_gas_T2">'Constants Pivot'!$G$18</definedName>
    <definedName name="CIT_jf_T0">'Constants Pivot'!$C$20</definedName>
    <definedName name="CIT_jf_T1">'Constants Pivot'!$E$20</definedName>
    <definedName name="CIT_jf_T2">'Constants Pivot'!$G$20</definedName>
    <definedName name="constants_data_out">Constants_out!$A$1:$E$52</definedName>
    <definedName name="ED_Bio_T0">'Constants Pivot'!$C$10</definedName>
    <definedName name="ED_bio_T1">'Constants Pivot'!$E$10</definedName>
    <definedName name="ED_bio_T2">'Constants Pivot'!$G$10</definedName>
    <definedName name="ED_die_T0">'Constants Pivot'!$C$9</definedName>
    <definedName name="ED_die_T1">'Constants Pivot'!$E$9</definedName>
    <definedName name="ED_die_T2">'Constants Pivot'!$G$9</definedName>
    <definedName name="ED_E10_T0">'Constants Pivot'!$C$7</definedName>
    <definedName name="ED_E10_T1">'Constants Pivot'!$E$7</definedName>
    <definedName name="ED_E10_T2">'Constants Pivot'!$G$7</definedName>
    <definedName name="ED_eon_T0">'Constants Pivot'!$C$12</definedName>
    <definedName name="ED_eon_T1">'Constants Pivot'!$E$12</definedName>
    <definedName name="ED_eon_T2">'Constants Pivot'!$G$12</definedName>
    <definedName name="ED_eth_T0">'Constants Pivot'!$C$8</definedName>
    <definedName name="ED_eth_T1">'Constants Pivot'!$E$8</definedName>
    <definedName name="ED_eth_T2">'Constants Pivot'!$G$8</definedName>
    <definedName name="ED_fcg_T0">'Constants Pivot'!$C$13</definedName>
    <definedName name="ED_fcg_T1">'Constants Pivot'!$E$13</definedName>
    <definedName name="ED_fcg_T2">'Constants Pivot'!$G$13</definedName>
    <definedName name="ED_flg_T0">'Constants Pivot'!$C$14</definedName>
    <definedName name="ED_flg_T1">'Constants Pivot'!$E$14</definedName>
    <definedName name="ED_flg_T2">'Constants Pivot'!$G$14</definedName>
    <definedName name="ED_gas_2018">'Constants Pivot'!$H$6</definedName>
    <definedName name="ED_gas_T0">'Constants Pivot'!$C$6</definedName>
    <definedName name="ED_gas_T1">'Constants Pivot'!$E$6</definedName>
    <definedName name="ED_gas_T2">'Constants Pivot'!$G$6</definedName>
    <definedName name="ED_hyd_T0">'Constants Pivot'!$C$16</definedName>
    <definedName name="ED_hyd_T1">'Constants Pivot'!$E$16</definedName>
    <definedName name="ED_hyd_T2">'Constants Pivot'!$G$16</definedName>
    <definedName name="ED_jf_T0">'Constants Pivot'!$C$17</definedName>
    <definedName name="ED_jf_T1">'Constants Pivot'!$E$17</definedName>
    <definedName name="ED_jf_T2">'Constants Pivot'!$G$17</definedName>
    <definedName name="ED_lp_T0">'Constants Pivot'!$C$15</definedName>
    <definedName name="ED_lp_T1">'Constants Pivot'!$E$15</definedName>
    <definedName name="ED_lp_T2">'Constants Pivot'!$G$15</definedName>
    <definedName name="ED_ren_T0">'Constants Pivot'!$C$11</definedName>
    <definedName name="ED_ren_T1">'Constants Pivot'!$E$11</definedName>
    <definedName name="ED_ren_T2">'Constants Pivot'!$G$11</definedName>
    <definedName name="EEReon_T0">'Constants Pivot'!$C$33</definedName>
    <definedName name="EEReon_T1">'Constants Pivot'!$E$33</definedName>
    <definedName name="EEReon_T2">'Constants Pivot'!$G$33</definedName>
    <definedName name="EERng_T0">'Constants Pivot'!$C$34</definedName>
    <definedName name="EERng_T1">'Constants Pivot'!$E$34</definedName>
    <definedName name="EERng_T2">'Constants Pivot'!$G$34</definedName>
    <definedName name="GR_die_T0">'Constants Pivot'!$C$36</definedName>
    <definedName name="GR_die_T1">'Constants Pivot'!$D$36</definedName>
    <definedName name="GR_die_T2">'Constants Pivot'!$F$36</definedName>
    <definedName name="GR_eof_T0">'Constants Pivot'!$C$38</definedName>
    <definedName name="GR_eof_T1">'Constants Pivot'!$D$38</definedName>
    <definedName name="GR_eof_T2">'Constants Pivot'!$F$38</definedName>
    <definedName name="GR_gas_T0">'Constants Pivot'!$C$35</definedName>
    <definedName name="GR_gas_T1">'Constants Pivot'!$D$35</definedName>
    <definedName name="GR_gas_T2">'Constants Pivot'!$F$35</definedName>
    <definedName name="GR_lp_T0">'Constants Pivot'!$C$37</definedName>
    <definedName name="GR_lp_T1">'Constants Pivot'!$D$37</definedName>
    <definedName name="GR_lp_T2">'Constants Pivot'!$F$37</definedName>
    <definedName name="GR_ng_T0">'Constants Pivot'!$C$39</definedName>
    <definedName name="GR_ng_T1">'Constants Pivot'!$D$39</definedName>
    <definedName name="GR_ng_T2">'Constants Pivot'!$F$39</definedName>
    <definedName name="KWh_T0">'Constants Pivot'!$C$32</definedName>
    <definedName name="KWh_T1">'Constants Pivot'!$D$32</definedName>
    <definedName name="KWh_T2">'Constants Pivot'!$F$32</definedName>
  </definedNames>
  <calcPr calcId="162913"/>
  <pivotCaches>
    <pivotCache cacheId="1" r:id="rId14"/>
    <pivotCache cacheId="67" r:id="rId15"/>
    <pivotCache cacheId="91" r:id="rId16"/>
    <pivotCache cacheId="121" r:id="rId1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22" l="1"/>
  <c r="Y90" i="13" l="1"/>
  <c r="Z90" i="13" s="1"/>
  <c r="AA90" i="13" s="1"/>
  <c r="Z82" i="13"/>
  <c r="AA82" i="13"/>
  <c r="Y82" i="13"/>
  <c r="X97" i="13" l="1"/>
  <c r="Y93" i="13"/>
  <c r="Z93" i="13"/>
  <c r="AA93" i="13"/>
  <c r="AB93" i="13"/>
  <c r="AC93" i="13"/>
  <c r="AD93" i="13"/>
  <c r="AE93" i="13"/>
  <c r="X93" i="13"/>
  <c r="X130" i="13"/>
  <c r="X131" i="13"/>
  <c r="X132" i="13"/>
  <c r="X133" i="13"/>
  <c r="X134" i="13"/>
  <c r="X135" i="13"/>
  <c r="X136" i="13"/>
  <c r="X137" i="13"/>
  <c r="X152" i="13" s="1"/>
  <c r="X138" i="13"/>
  <c r="X139" i="13"/>
  <c r="X140" i="13"/>
  <c r="X141" i="13"/>
  <c r="X142" i="13"/>
  <c r="X143" i="13"/>
  <c r="X144" i="13"/>
  <c r="X145" i="13"/>
  <c r="X146" i="13"/>
  <c r="X147" i="13"/>
  <c r="X148" i="13"/>
  <c r="X149" i="13"/>
  <c r="X151" i="13"/>
  <c r="P15" i="19" l="1"/>
  <c r="P8" i="19"/>
  <c r="C37" i="9" l="1"/>
  <c r="I60" i="23" l="1"/>
  <c r="J60" i="23"/>
  <c r="I61" i="23"/>
  <c r="J61" i="23"/>
  <c r="I73" i="23"/>
  <c r="J73" i="23"/>
  <c r="J59" i="23"/>
  <c r="I59" i="23"/>
  <c r="I40" i="23"/>
  <c r="J40" i="23"/>
  <c r="I41" i="23"/>
  <c r="J41" i="23"/>
  <c r="I42" i="23"/>
  <c r="J42" i="23"/>
  <c r="I43" i="23"/>
  <c r="J43" i="23"/>
  <c r="I44" i="23"/>
  <c r="J44" i="23"/>
  <c r="I45" i="23"/>
  <c r="J45" i="23"/>
  <c r="I46" i="23"/>
  <c r="J46" i="23"/>
  <c r="I47" i="23"/>
  <c r="J47" i="23"/>
  <c r="J39" i="23"/>
  <c r="I39" i="23"/>
  <c r="I7" i="23"/>
  <c r="J7" i="23"/>
  <c r="I8" i="23"/>
  <c r="J8" i="23"/>
  <c r="I9" i="23"/>
  <c r="J9" i="23"/>
  <c r="I10" i="23"/>
  <c r="J10" i="23"/>
  <c r="I11" i="23"/>
  <c r="J11" i="23"/>
  <c r="I12" i="23"/>
  <c r="J12" i="23"/>
  <c r="I13" i="23"/>
  <c r="J13" i="23"/>
  <c r="I14" i="23"/>
  <c r="J14" i="23"/>
  <c r="I15" i="23"/>
  <c r="J15" i="23"/>
  <c r="I16" i="23"/>
  <c r="J16" i="23"/>
  <c r="I17" i="23"/>
  <c r="J17" i="23"/>
  <c r="I18" i="23"/>
  <c r="J18" i="23"/>
  <c r="I19" i="23"/>
  <c r="J19" i="23"/>
  <c r="I20" i="23"/>
  <c r="J20" i="23"/>
  <c r="I21" i="23"/>
  <c r="J21" i="23"/>
  <c r="I22" i="23"/>
  <c r="J22" i="23"/>
  <c r="I23" i="23"/>
  <c r="J23" i="23"/>
  <c r="I24" i="23"/>
  <c r="J24" i="23"/>
  <c r="I25" i="23"/>
  <c r="J25" i="23"/>
  <c r="I26" i="23"/>
  <c r="J26" i="23"/>
  <c r="I27" i="23"/>
  <c r="J27" i="23"/>
  <c r="J6" i="23"/>
  <c r="I6" i="23"/>
  <c r="AA81" i="13"/>
  <c r="Z81" i="13"/>
  <c r="Y81" i="13"/>
  <c r="X81" i="13"/>
  <c r="AA89" i="13"/>
  <c r="Z89" i="13"/>
  <c r="Y89" i="13"/>
  <c r="X89" i="13"/>
  <c r="AG12" i="29"/>
  <c r="E87" i="9" l="1"/>
  <c r="AE10" i="29" l="1"/>
  <c r="T10" i="29"/>
  <c r="U10" i="29"/>
  <c r="V10" i="29"/>
  <c r="W10" i="29"/>
  <c r="AC26" i="29" l="1"/>
  <c r="AD26" i="29"/>
  <c r="AE26" i="29"/>
  <c r="AB26" i="29"/>
  <c r="Y26" i="29"/>
  <c r="Z26" i="29"/>
  <c r="AA26" i="29"/>
  <c r="X26" i="29"/>
  <c r="AC20" i="29"/>
  <c r="AD20" i="29"/>
  <c r="AE20" i="29"/>
  <c r="AB20" i="29"/>
  <c r="Y20" i="29"/>
  <c r="Z20" i="29"/>
  <c r="AA20" i="29"/>
  <c r="X20" i="29"/>
  <c r="Y14" i="29"/>
  <c r="Z14" i="29"/>
  <c r="AA14" i="29"/>
  <c r="X14" i="29"/>
  <c r="AC14" i="29"/>
  <c r="AD14" i="29"/>
  <c r="AE14" i="29"/>
  <c r="AB14" i="29"/>
  <c r="F87" i="9"/>
  <c r="F36" i="9"/>
  <c r="G36" i="9"/>
  <c r="C36" i="9"/>
  <c r="D36" i="9"/>
  <c r="N13" i="22" l="1"/>
  <c r="Y87" i="13" l="1"/>
  <c r="Z87" i="13"/>
  <c r="AA87" i="13"/>
  <c r="X87" i="13"/>
  <c r="Y85" i="13"/>
  <c r="Z85" i="13"/>
  <c r="AA85" i="13"/>
  <c r="X85" i="13"/>
  <c r="I17" i="17" l="1"/>
  <c r="H17" i="17"/>
  <c r="G17" i="17"/>
  <c r="F17" i="17"/>
  <c r="E17" i="17"/>
  <c r="I5" i="17"/>
  <c r="H5" i="17"/>
  <c r="G5" i="17"/>
  <c r="F5" i="17"/>
  <c r="E5" i="17"/>
  <c r="AE89" i="13"/>
  <c r="AD89" i="13"/>
  <c r="AC89" i="13"/>
  <c r="AB89" i="13"/>
  <c r="AE81" i="13"/>
  <c r="AD81" i="13"/>
  <c r="AC81" i="13"/>
  <c r="AB81" i="13"/>
  <c r="Y104" i="13" l="1"/>
  <c r="Z104" i="13"/>
  <c r="AA104" i="13"/>
  <c r="X104" i="13"/>
  <c r="W24" i="29"/>
  <c r="W18" i="29"/>
  <c r="W12" i="29"/>
  <c r="D151" i="13"/>
  <c r="W130" i="13"/>
  <c r="E136" i="13"/>
  <c r="F136" i="13"/>
  <c r="G136" i="13"/>
  <c r="H136" i="13"/>
  <c r="I136" i="13"/>
  <c r="J136" i="13"/>
  <c r="K136" i="13"/>
  <c r="L136" i="13"/>
  <c r="M136" i="13"/>
  <c r="N136" i="13"/>
  <c r="O136" i="13"/>
  <c r="P136" i="13"/>
  <c r="Q136" i="13"/>
  <c r="R136" i="13"/>
  <c r="S136" i="13"/>
  <c r="T136" i="13"/>
  <c r="U136" i="13"/>
  <c r="V136" i="13"/>
  <c r="W136" i="13"/>
  <c r="E137" i="13"/>
  <c r="F137" i="13"/>
  <c r="G137" i="13"/>
  <c r="H137" i="13"/>
  <c r="I137" i="13"/>
  <c r="J137" i="13"/>
  <c r="K137" i="13"/>
  <c r="L137" i="13"/>
  <c r="M137" i="13"/>
  <c r="N137" i="13"/>
  <c r="O137" i="13"/>
  <c r="P137" i="13"/>
  <c r="Q137" i="13"/>
  <c r="R137" i="13"/>
  <c r="S137" i="13"/>
  <c r="T137" i="13"/>
  <c r="U137" i="13"/>
  <c r="V137" i="13"/>
  <c r="W137" i="13"/>
  <c r="E138" i="13"/>
  <c r="F138" i="13"/>
  <c r="G138" i="13"/>
  <c r="H138" i="13"/>
  <c r="I138" i="13"/>
  <c r="J138" i="13"/>
  <c r="K138" i="13"/>
  <c r="L138" i="13"/>
  <c r="M138" i="13"/>
  <c r="N138" i="13"/>
  <c r="O138" i="13"/>
  <c r="P138" i="13"/>
  <c r="Q138" i="13"/>
  <c r="R138" i="13"/>
  <c r="S138" i="13"/>
  <c r="T138" i="13"/>
  <c r="U138" i="13"/>
  <c r="V138" i="13"/>
  <c r="W138" i="13"/>
  <c r="E139" i="13"/>
  <c r="F139" i="13"/>
  <c r="G139" i="13"/>
  <c r="H139" i="13"/>
  <c r="I139" i="13"/>
  <c r="J139" i="13"/>
  <c r="K139" i="13"/>
  <c r="L139" i="13"/>
  <c r="M139" i="13"/>
  <c r="N139" i="13"/>
  <c r="O139" i="13"/>
  <c r="P139" i="13"/>
  <c r="Q139" i="13"/>
  <c r="R139" i="13"/>
  <c r="S139" i="13"/>
  <c r="T139" i="13"/>
  <c r="U139" i="13"/>
  <c r="V139" i="13"/>
  <c r="W139" i="13"/>
  <c r="D139" i="13"/>
  <c r="D138" i="13"/>
  <c r="D136" i="13"/>
  <c r="D137" i="13"/>
  <c r="D135" i="13"/>
  <c r="D134" i="13"/>
  <c r="D133" i="13"/>
  <c r="D132" i="13"/>
  <c r="D131" i="13"/>
  <c r="D130" i="13"/>
  <c r="W131" i="13"/>
  <c r="W113" i="13" s="1"/>
  <c r="W132" i="13"/>
  <c r="W133" i="13"/>
  <c r="W134" i="13"/>
  <c r="W114" i="13" s="1"/>
  <c r="W135" i="13"/>
  <c r="W140" i="13"/>
  <c r="W141" i="13"/>
  <c r="W142" i="13"/>
  <c r="W143" i="13"/>
  <c r="W144" i="13"/>
  <c r="W145" i="13"/>
  <c r="W146" i="13"/>
  <c r="W147" i="13"/>
  <c r="W148" i="13"/>
  <c r="W149" i="13"/>
  <c r="W151" i="13"/>
  <c r="W108" i="13"/>
  <c r="AA108" i="13" s="1"/>
  <c r="W99" i="13"/>
  <c r="AA99" i="13" s="1"/>
  <c r="W103" i="13"/>
  <c r="W105" i="13"/>
  <c r="U91" i="13"/>
  <c r="V91" i="13"/>
  <c r="W91" i="13"/>
  <c r="B87" i="9"/>
  <c r="W83" i="13"/>
  <c r="W84" i="13"/>
  <c r="W86" i="13"/>
  <c r="W88" i="13"/>
  <c r="W77" i="13"/>
  <c r="W78" i="13"/>
  <c r="W80" i="13"/>
  <c r="W79" i="13" s="1"/>
  <c r="W123" i="13" l="1"/>
  <c r="W120" i="13"/>
  <c r="W118" i="13"/>
  <c r="W119" i="13"/>
  <c r="W117" i="13"/>
  <c r="W152" i="13"/>
  <c r="W121" i="13"/>
  <c r="W124" i="13" s="1"/>
  <c r="W104" i="13"/>
  <c r="W122" i="13"/>
  <c r="W102" i="13"/>
  <c r="AA105" i="13"/>
  <c r="W85" i="13"/>
  <c r="W115" i="13"/>
  <c r="W87" i="13"/>
  <c r="W126" i="13" l="1"/>
  <c r="AB104" i="13"/>
  <c r="AC104" i="13"/>
  <c r="AD104" i="13"/>
  <c r="AE104" i="13"/>
  <c r="AB85" i="13" l="1"/>
  <c r="AC85" i="13"/>
  <c r="AD85" i="13"/>
  <c r="AE85" i="13"/>
  <c r="AB87" i="13"/>
  <c r="AC87" i="13"/>
  <c r="AD87" i="13"/>
  <c r="AE87" i="13"/>
  <c r="AB79" i="13"/>
  <c r="AC79" i="13"/>
  <c r="AD79" i="13"/>
  <c r="AE79" i="13"/>
  <c r="T24" i="29"/>
  <c r="U24" i="29"/>
  <c r="V24" i="29"/>
  <c r="T18" i="29"/>
  <c r="U18" i="29"/>
  <c r="V18" i="29"/>
  <c r="T12" i="29"/>
  <c r="U12" i="29"/>
  <c r="V12" i="29"/>
  <c r="T91" i="13" l="1"/>
  <c r="T130" i="13"/>
  <c r="U130" i="13"/>
  <c r="V130" i="13"/>
  <c r="T131" i="13"/>
  <c r="U131" i="13"/>
  <c r="V131" i="13"/>
  <c r="T132" i="13"/>
  <c r="T117" i="13" s="1"/>
  <c r="U132" i="13"/>
  <c r="V132" i="13"/>
  <c r="T133" i="13"/>
  <c r="U133" i="13"/>
  <c r="V133" i="13"/>
  <c r="T134" i="13"/>
  <c r="U134" i="13"/>
  <c r="U114" i="13" s="1"/>
  <c r="V134" i="13"/>
  <c r="T135" i="13"/>
  <c r="U135" i="13"/>
  <c r="V135" i="13"/>
  <c r="U118" i="13"/>
  <c r="V118" i="13"/>
  <c r="U119" i="13"/>
  <c r="T140" i="13"/>
  <c r="T120" i="13" s="1"/>
  <c r="U140" i="13"/>
  <c r="U120" i="13" s="1"/>
  <c r="V140" i="13"/>
  <c r="T141" i="13"/>
  <c r="U141" i="13"/>
  <c r="V141" i="13"/>
  <c r="T142" i="13"/>
  <c r="U142" i="13"/>
  <c r="U121" i="13" s="1"/>
  <c r="V142" i="13"/>
  <c r="T143" i="13"/>
  <c r="U143" i="13"/>
  <c r="V143" i="13"/>
  <c r="T144" i="13"/>
  <c r="U144" i="13"/>
  <c r="V144" i="13"/>
  <c r="T145" i="13"/>
  <c r="U145" i="13"/>
  <c r="V145" i="13"/>
  <c r="T146" i="13"/>
  <c r="U146" i="13"/>
  <c r="V146" i="13"/>
  <c r="T147" i="13"/>
  <c r="U147" i="13"/>
  <c r="V147" i="13"/>
  <c r="T148" i="13"/>
  <c r="U148" i="13"/>
  <c r="V148" i="13"/>
  <c r="T149" i="13"/>
  <c r="U149" i="13"/>
  <c r="V149" i="13"/>
  <c r="T151" i="13"/>
  <c r="U151" i="13"/>
  <c r="V151" i="13"/>
  <c r="T114" i="13"/>
  <c r="V119" i="13"/>
  <c r="V99" i="13"/>
  <c r="Z99" i="13" s="1"/>
  <c r="V103" i="13"/>
  <c r="V105" i="13"/>
  <c r="V108" i="13"/>
  <c r="Z108" i="13" s="1"/>
  <c r="V76" i="13"/>
  <c r="V77" i="13"/>
  <c r="V78" i="13"/>
  <c r="V83" i="13"/>
  <c r="V84" i="13"/>
  <c r="V86" i="13"/>
  <c r="V88" i="13"/>
  <c r="V80" i="13" l="1"/>
  <c r="T121" i="13"/>
  <c r="V85" i="13"/>
  <c r="U122" i="13"/>
  <c r="V152" i="13"/>
  <c r="V102" i="13"/>
  <c r="Z105" i="13"/>
  <c r="T122" i="13"/>
  <c r="U113" i="13"/>
  <c r="U115" i="13" s="1"/>
  <c r="U123" i="13"/>
  <c r="V120" i="13"/>
  <c r="F88" i="9"/>
  <c r="B95" i="9" s="1"/>
  <c r="T92" i="13"/>
  <c r="T94" i="13"/>
  <c r="W92" i="13"/>
  <c r="W94" i="13" s="1"/>
  <c r="U92" i="13"/>
  <c r="U94" i="13" s="1"/>
  <c r="V92" i="13"/>
  <c r="V94" i="13" s="1"/>
  <c r="T118" i="13"/>
  <c r="V113" i="13"/>
  <c r="V87" i="13"/>
  <c r="V122" i="13"/>
  <c r="V114" i="13"/>
  <c r="V123" i="13"/>
  <c r="T119" i="13"/>
  <c r="V117" i="13"/>
  <c r="T113" i="13"/>
  <c r="T115" i="13" s="1"/>
  <c r="T123" i="13"/>
  <c r="V121" i="13"/>
  <c r="U117" i="13"/>
  <c r="U124" i="13" s="1"/>
  <c r="U152" i="13"/>
  <c r="T152" i="13"/>
  <c r="V104" i="13"/>
  <c r="V79" i="13"/>
  <c r="V115" i="13" l="1"/>
  <c r="U126" i="13"/>
  <c r="V124" i="13"/>
  <c r="T124" i="13"/>
  <c r="T126" i="13" s="1"/>
  <c r="V126" i="13"/>
  <c r="T108" i="13"/>
  <c r="X108" i="13" s="1"/>
  <c r="U108" i="13"/>
  <c r="Y108" i="13" s="1"/>
  <c r="T103" i="13"/>
  <c r="U103" i="13"/>
  <c r="T105" i="13"/>
  <c r="U105" i="13"/>
  <c r="T99" i="13"/>
  <c r="X99" i="13" s="1"/>
  <c r="U99" i="13"/>
  <c r="Y99" i="13" s="1"/>
  <c r="T83" i="13"/>
  <c r="U83" i="13"/>
  <c r="T84" i="13"/>
  <c r="U84" i="13"/>
  <c r="T86" i="13"/>
  <c r="U86" i="13"/>
  <c r="T88" i="13"/>
  <c r="X88" i="13" s="1"/>
  <c r="U88" i="13"/>
  <c r="T77" i="13"/>
  <c r="U77" i="13"/>
  <c r="T78" i="13"/>
  <c r="AK11" i="29" s="1"/>
  <c r="U78" i="13"/>
  <c r="AK24" i="29" l="1"/>
  <c r="AK17" i="29"/>
  <c r="U104" i="13"/>
  <c r="Y105" i="13"/>
  <c r="T104" i="13"/>
  <c r="X105" i="13"/>
  <c r="U87" i="13"/>
  <c r="U85" i="13"/>
  <c r="T87" i="13"/>
  <c r="T85" i="13"/>
  <c r="U80" i="13"/>
  <c r="U102" i="13"/>
  <c r="T102" i="13"/>
  <c r="T80" i="13"/>
  <c r="U79" i="13"/>
  <c r="T79" i="13" l="1"/>
  <c r="B74" i="9"/>
  <c r="E74" i="9" l="1"/>
  <c r="E73" i="9"/>
  <c r="B73" i="9"/>
  <c r="B68" i="9"/>
  <c r="S151" i="13" l="1"/>
  <c r="E151" i="13"/>
  <c r="F151" i="13"/>
  <c r="G151" i="13"/>
  <c r="H151" i="13"/>
  <c r="I151" i="13"/>
  <c r="J151" i="13"/>
  <c r="K151" i="13"/>
  <c r="L151" i="13"/>
  <c r="M151" i="13"/>
  <c r="N151" i="13"/>
  <c r="O151" i="13"/>
  <c r="P151" i="13"/>
  <c r="Q151" i="13"/>
  <c r="R151" i="13"/>
  <c r="H78" i="13"/>
  <c r="E23" i="25" l="1"/>
  <c r="E22" i="25"/>
  <c r="D87" i="9" l="1"/>
  <c r="C87" i="9"/>
  <c r="X80" i="13" l="1"/>
  <c r="AB80" i="13" s="1"/>
  <c r="Y80" i="13"/>
  <c r="AC80" i="13" s="1"/>
  <c r="Z80" i="13"/>
  <c r="AD80" i="13" s="1"/>
  <c r="AD78" i="13" s="1"/>
  <c r="AB78" i="13" l="1"/>
  <c r="AC78" i="13"/>
  <c r="AC117" i="13" s="1"/>
  <c r="AD77" i="13"/>
  <c r="AD113" i="13" s="1"/>
  <c r="AD117" i="13"/>
  <c r="AB117" i="13" l="1"/>
  <c r="AC77" i="13"/>
  <c r="AC113" i="13" s="1"/>
  <c r="AB77" i="13"/>
  <c r="AB113" i="13" l="1"/>
  <c r="N14" i="22"/>
  <c r="L31" i="9" l="1"/>
  <c r="M31" i="9"/>
  <c r="L32" i="9"/>
  <c r="M32" i="9"/>
  <c r="L33" i="9"/>
  <c r="M33" i="9"/>
  <c r="N12" i="22" l="1"/>
  <c r="J75" i="23" l="1"/>
  <c r="G29" i="17" l="1"/>
  <c r="H29" i="17"/>
  <c r="I22" i="17"/>
  <c r="I10" i="17"/>
  <c r="F10" i="17"/>
  <c r="G10" i="17"/>
  <c r="H10" i="17"/>
  <c r="E10" i="17"/>
  <c r="I29" i="17" l="1"/>
  <c r="H22" i="17"/>
  <c r="G22" i="17"/>
  <c r="S24" i="29" l="1"/>
  <c r="S18" i="29"/>
  <c r="S12" i="29"/>
  <c r="S83" i="13" l="1"/>
  <c r="S84" i="13"/>
  <c r="S86" i="13"/>
  <c r="S88" i="13"/>
  <c r="W89" i="13" s="1"/>
  <c r="S77" i="13"/>
  <c r="S78" i="13"/>
  <c r="S91" i="13"/>
  <c r="S99" i="13"/>
  <c r="S103" i="13"/>
  <c r="S105" i="13"/>
  <c r="S108" i="13"/>
  <c r="E108" i="13"/>
  <c r="F108" i="13"/>
  <c r="G108" i="13"/>
  <c r="H108" i="13"/>
  <c r="I108" i="13"/>
  <c r="I109" i="13" s="1"/>
  <c r="J108" i="13"/>
  <c r="K108" i="13"/>
  <c r="L108" i="13"/>
  <c r="M108" i="13"/>
  <c r="N108" i="13"/>
  <c r="O108" i="13"/>
  <c r="O109" i="13" s="1"/>
  <c r="P108" i="13"/>
  <c r="T109" i="13" s="1"/>
  <c r="Q108" i="13"/>
  <c r="U109" i="13" s="1"/>
  <c r="R108" i="13"/>
  <c r="V109" i="13" s="1"/>
  <c r="D108" i="13"/>
  <c r="D83" i="13"/>
  <c r="E130" i="13"/>
  <c r="F130" i="13"/>
  <c r="G130" i="13"/>
  <c r="H130" i="13"/>
  <c r="I130" i="13"/>
  <c r="J130" i="13"/>
  <c r="K130" i="13"/>
  <c r="L130" i="13"/>
  <c r="M130" i="13"/>
  <c r="N130" i="13"/>
  <c r="O130" i="13"/>
  <c r="P130" i="13"/>
  <c r="Q130" i="13"/>
  <c r="R130" i="13"/>
  <c r="S130" i="13"/>
  <c r="E131" i="13"/>
  <c r="F131" i="13"/>
  <c r="G131" i="13"/>
  <c r="H131" i="13"/>
  <c r="I131" i="13"/>
  <c r="J131" i="13"/>
  <c r="K131" i="13"/>
  <c r="L131" i="13"/>
  <c r="M131" i="13"/>
  <c r="N131" i="13"/>
  <c r="O131" i="13"/>
  <c r="P131" i="13"/>
  <c r="Q131" i="13"/>
  <c r="R131" i="13"/>
  <c r="S131" i="13"/>
  <c r="E132" i="13"/>
  <c r="F132" i="13"/>
  <c r="G132" i="13"/>
  <c r="H132" i="13"/>
  <c r="I132" i="13"/>
  <c r="J132" i="13"/>
  <c r="K132" i="13"/>
  <c r="L132" i="13"/>
  <c r="M132" i="13"/>
  <c r="N132" i="13"/>
  <c r="O132" i="13"/>
  <c r="P132" i="13"/>
  <c r="Q132" i="13"/>
  <c r="R132" i="13"/>
  <c r="S132" i="13"/>
  <c r="E133" i="13"/>
  <c r="F133" i="13"/>
  <c r="G133" i="13"/>
  <c r="H133" i="13"/>
  <c r="I133" i="13"/>
  <c r="J133" i="13"/>
  <c r="K133" i="13"/>
  <c r="L133" i="13"/>
  <c r="M133" i="13"/>
  <c r="N133" i="13"/>
  <c r="O133" i="13"/>
  <c r="P133" i="13"/>
  <c r="Q133" i="13"/>
  <c r="R133" i="13"/>
  <c r="S133" i="13"/>
  <c r="E134" i="13"/>
  <c r="F134" i="13"/>
  <c r="G134" i="13"/>
  <c r="H134" i="13"/>
  <c r="I134" i="13"/>
  <c r="J134" i="13"/>
  <c r="K134" i="13"/>
  <c r="L134" i="13"/>
  <c r="M134" i="13"/>
  <c r="N134" i="13"/>
  <c r="O134" i="13"/>
  <c r="P134" i="13"/>
  <c r="Q134" i="13"/>
  <c r="R134" i="13"/>
  <c r="S134" i="13"/>
  <c r="E135" i="13"/>
  <c r="F135" i="13"/>
  <c r="G135" i="13"/>
  <c r="H135" i="13"/>
  <c r="I135" i="13"/>
  <c r="J135" i="13"/>
  <c r="K135" i="13"/>
  <c r="L135" i="13"/>
  <c r="M135" i="13"/>
  <c r="N135" i="13"/>
  <c r="O135" i="13"/>
  <c r="P135" i="13"/>
  <c r="Q135" i="13"/>
  <c r="R135" i="13"/>
  <c r="S135" i="13"/>
  <c r="E140" i="13"/>
  <c r="E120" i="13" s="1"/>
  <c r="F140" i="13"/>
  <c r="G140" i="13"/>
  <c r="H140" i="13"/>
  <c r="I140" i="13"/>
  <c r="I120" i="13" s="1"/>
  <c r="J140" i="13"/>
  <c r="J120" i="13" s="1"/>
  <c r="K140" i="13"/>
  <c r="L140" i="13"/>
  <c r="M140" i="13"/>
  <c r="M120" i="13" s="1"/>
  <c r="N140" i="13"/>
  <c r="O140" i="13"/>
  <c r="P140" i="13"/>
  <c r="Q140" i="13"/>
  <c r="Q120" i="13" s="1"/>
  <c r="R140" i="13"/>
  <c r="R120" i="13" s="1"/>
  <c r="S140" i="13"/>
  <c r="S120" i="13" s="1"/>
  <c r="E141" i="13"/>
  <c r="F141" i="13"/>
  <c r="G141" i="13"/>
  <c r="H141" i="13"/>
  <c r="I141" i="13"/>
  <c r="J141" i="13"/>
  <c r="K141" i="13"/>
  <c r="L141" i="13"/>
  <c r="M141" i="13"/>
  <c r="N141" i="13"/>
  <c r="O141" i="13"/>
  <c r="P141" i="13"/>
  <c r="Q141" i="13"/>
  <c r="R141" i="13"/>
  <c r="S141" i="13"/>
  <c r="E142" i="13"/>
  <c r="F142" i="13"/>
  <c r="G142" i="13"/>
  <c r="H142" i="13"/>
  <c r="I142" i="13"/>
  <c r="J142" i="13"/>
  <c r="K142" i="13"/>
  <c r="L142" i="13"/>
  <c r="M142" i="13"/>
  <c r="N142" i="13"/>
  <c r="O142" i="13"/>
  <c r="P142" i="13"/>
  <c r="Q142" i="13"/>
  <c r="R142" i="13"/>
  <c r="S142" i="13"/>
  <c r="E143" i="13"/>
  <c r="F143" i="13"/>
  <c r="G143" i="13"/>
  <c r="H143" i="13"/>
  <c r="I143" i="13"/>
  <c r="J143" i="13"/>
  <c r="K143" i="13"/>
  <c r="L143" i="13"/>
  <c r="M143" i="13"/>
  <c r="N143" i="13"/>
  <c r="O143" i="13"/>
  <c r="P143" i="13"/>
  <c r="Q143" i="13"/>
  <c r="R143" i="13"/>
  <c r="S143" i="13"/>
  <c r="E144" i="13"/>
  <c r="F144" i="13"/>
  <c r="G144" i="13"/>
  <c r="H144" i="13"/>
  <c r="I144" i="13"/>
  <c r="J144" i="13"/>
  <c r="K144" i="13"/>
  <c r="L144" i="13"/>
  <c r="M144" i="13"/>
  <c r="N144" i="13"/>
  <c r="O144" i="13"/>
  <c r="P144" i="13"/>
  <c r="Q144" i="13"/>
  <c r="R144" i="13"/>
  <c r="S144" i="13"/>
  <c r="E145" i="13"/>
  <c r="F145" i="13"/>
  <c r="G145" i="13"/>
  <c r="H145" i="13"/>
  <c r="I145" i="13"/>
  <c r="J145" i="13"/>
  <c r="K145" i="13"/>
  <c r="L145" i="13"/>
  <c r="M145" i="13"/>
  <c r="N145" i="13"/>
  <c r="O145" i="13"/>
  <c r="P145" i="13"/>
  <c r="Q145" i="13"/>
  <c r="R145" i="13"/>
  <c r="S145" i="13"/>
  <c r="E146" i="13"/>
  <c r="F146" i="13"/>
  <c r="G146" i="13"/>
  <c r="H146" i="13"/>
  <c r="I146" i="13"/>
  <c r="J146" i="13"/>
  <c r="K146" i="13"/>
  <c r="L146" i="13"/>
  <c r="M146" i="13"/>
  <c r="N146" i="13"/>
  <c r="O146" i="13"/>
  <c r="P146" i="13"/>
  <c r="Q146" i="13"/>
  <c r="R146" i="13"/>
  <c r="S146" i="13"/>
  <c r="E147" i="13"/>
  <c r="F147" i="13"/>
  <c r="G147" i="13"/>
  <c r="H147" i="13"/>
  <c r="I147" i="13"/>
  <c r="J147" i="13"/>
  <c r="K147" i="13"/>
  <c r="L147" i="13"/>
  <c r="M147" i="13"/>
  <c r="N147" i="13"/>
  <c r="O147" i="13"/>
  <c r="P147" i="13"/>
  <c r="Q147" i="13"/>
  <c r="R147" i="13"/>
  <c r="S147" i="13"/>
  <c r="E148" i="13"/>
  <c r="F148" i="13"/>
  <c r="G148" i="13"/>
  <c r="H148" i="13"/>
  <c r="I148" i="13"/>
  <c r="J148" i="13"/>
  <c r="K148" i="13"/>
  <c r="L148" i="13"/>
  <c r="M148" i="13"/>
  <c r="N148" i="13"/>
  <c r="O148" i="13"/>
  <c r="P148" i="13"/>
  <c r="Q148" i="13"/>
  <c r="R148" i="13"/>
  <c r="S148" i="13"/>
  <c r="E149" i="13"/>
  <c r="F149" i="13"/>
  <c r="G149" i="13"/>
  <c r="H149" i="13"/>
  <c r="I149" i="13"/>
  <c r="J149" i="13"/>
  <c r="K149" i="13"/>
  <c r="L149" i="13"/>
  <c r="M149" i="13"/>
  <c r="N149" i="13"/>
  <c r="O149" i="13"/>
  <c r="P149" i="13"/>
  <c r="Q149" i="13"/>
  <c r="R149" i="13"/>
  <c r="S149" i="13"/>
  <c r="D149" i="13"/>
  <c r="D148" i="13"/>
  <c r="D147" i="13"/>
  <c r="D146" i="13"/>
  <c r="D145" i="13"/>
  <c r="D144" i="13"/>
  <c r="D143" i="13"/>
  <c r="D142" i="13"/>
  <c r="D141" i="13"/>
  <c r="D140" i="13"/>
  <c r="O120" i="13" l="1"/>
  <c r="G120" i="13"/>
  <c r="N120" i="13"/>
  <c r="F120" i="13"/>
  <c r="D120" i="13"/>
  <c r="L120" i="13"/>
  <c r="K120" i="13"/>
  <c r="P120" i="13"/>
  <c r="H120" i="13"/>
  <c r="N109" i="13"/>
  <c r="H109" i="13"/>
  <c r="Q152" i="13"/>
  <c r="I152" i="13"/>
  <c r="Q109" i="13"/>
  <c r="P152" i="13"/>
  <c r="H152" i="13"/>
  <c r="P109" i="13"/>
  <c r="O152" i="13"/>
  <c r="G152" i="13"/>
  <c r="M152" i="13"/>
  <c r="E152" i="13"/>
  <c r="M109" i="13"/>
  <c r="AA88" i="13"/>
  <c r="AE88" i="13" s="1"/>
  <c r="L152" i="13"/>
  <c r="L109" i="13"/>
  <c r="W109" i="13"/>
  <c r="S109" i="13"/>
  <c r="N152" i="13"/>
  <c r="S152" i="13"/>
  <c r="K152" i="13"/>
  <c r="K109" i="13"/>
  <c r="F152" i="13"/>
  <c r="R152" i="13"/>
  <c r="J152" i="13"/>
  <c r="R109" i="13"/>
  <c r="J109" i="13"/>
  <c r="S80" i="13"/>
  <c r="W81" i="13" s="1"/>
  <c r="S122" i="13"/>
  <c r="S118" i="13"/>
  <c r="S87" i="13"/>
  <c r="S85" i="13"/>
  <c r="D152" i="13"/>
  <c r="S123" i="13"/>
  <c r="S117" i="13"/>
  <c r="S104" i="13"/>
  <c r="C25" i="19"/>
  <c r="S119" i="13"/>
  <c r="S113" i="13"/>
  <c r="B25" i="19"/>
  <c r="S121" i="13"/>
  <c r="S114" i="13"/>
  <c r="S102" i="13"/>
  <c r="S79" i="13" l="1"/>
  <c r="AA80" i="13"/>
  <c r="AE80" i="13" s="1"/>
  <c r="I6" i="17" s="1"/>
  <c r="AE84" i="13"/>
  <c r="AE118" i="13" s="1"/>
  <c r="AE86" i="13"/>
  <c r="AE119" i="13" s="1"/>
  <c r="Y123" i="13"/>
  <c r="Z123" i="13"/>
  <c r="AA123" i="13"/>
  <c r="S124" i="13"/>
  <c r="S115" i="13"/>
  <c r="E47" i="17"/>
  <c r="F47" i="17"/>
  <c r="G47" i="17"/>
  <c r="H47" i="17"/>
  <c r="I47" i="17"/>
  <c r="C41" i="17"/>
  <c r="D41" i="17"/>
  <c r="E41" i="17"/>
  <c r="F41" i="17"/>
  <c r="G41" i="17"/>
  <c r="H41" i="17"/>
  <c r="I41" i="17"/>
  <c r="B41" i="17"/>
  <c r="C28" i="17"/>
  <c r="D28" i="17"/>
  <c r="E28" i="17"/>
  <c r="F28" i="17"/>
  <c r="G28" i="17"/>
  <c r="H28" i="17"/>
  <c r="I28" i="17"/>
  <c r="C21" i="17"/>
  <c r="D21" i="17"/>
  <c r="E21" i="17"/>
  <c r="F21" i="17"/>
  <c r="G21" i="17"/>
  <c r="H21" i="17"/>
  <c r="I21" i="17"/>
  <c r="B21" i="17"/>
  <c r="C36" i="17"/>
  <c r="D36" i="17"/>
  <c r="E36" i="17"/>
  <c r="F36" i="17"/>
  <c r="G36" i="17"/>
  <c r="H36" i="17"/>
  <c r="I36" i="17"/>
  <c r="B36" i="17"/>
  <c r="C9" i="17"/>
  <c r="D9" i="17"/>
  <c r="E9" i="17"/>
  <c r="F9" i="17"/>
  <c r="G9" i="17"/>
  <c r="H9" i="17"/>
  <c r="I9" i="17"/>
  <c r="B9" i="17"/>
  <c r="C16" i="17"/>
  <c r="D16" i="17"/>
  <c r="E16" i="17"/>
  <c r="F16" i="17"/>
  <c r="G16" i="17"/>
  <c r="H16" i="17"/>
  <c r="I16" i="17"/>
  <c r="B16" i="17"/>
  <c r="C4" i="17"/>
  <c r="D4" i="17"/>
  <c r="E4" i="17"/>
  <c r="F4" i="17"/>
  <c r="G4" i="17"/>
  <c r="H4" i="17"/>
  <c r="I4" i="17"/>
  <c r="B4" i="17"/>
  <c r="R91" i="13"/>
  <c r="X123" i="13" l="1"/>
  <c r="Y109" i="13"/>
  <c r="AC108" i="13"/>
  <c r="AA109" i="13"/>
  <c r="AE108" i="13"/>
  <c r="Z109" i="13"/>
  <c r="AD108" i="13"/>
  <c r="X109" i="13"/>
  <c r="AB108" i="13"/>
  <c r="AE83" i="13"/>
  <c r="AE114" i="13" s="1"/>
  <c r="S126" i="13"/>
  <c r="R24" i="29"/>
  <c r="Q24" i="29"/>
  <c r="P24" i="29"/>
  <c r="O24" i="29"/>
  <c r="N24" i="29"/>
  <c r="M24" i="29"/>
  <c r="L24" i="29"/>
  <c r="K24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I48" i="17" l="1"/>
  <c r="H25" i="19"/>
  <c r="AB109" i="13"/>
  <c r="AB123" i="13"/>
  <c r="AE109" i="13"/>
  <c r="AE123" i="13"/>
  <c r="AD109" i="13"/>
  <c r="AD123" i="13"/>
  <c r="AC123" i="13"/>
  <c r="AC109" i="13"/>
  <c r="T11" i="29"/>
  <c r="S11" i="29"/>
  <c r="C13" i="26" l="1"/>
  <c r="M13" i="26"/>
  <c r="U11" i="29"/>
  <c r="V11" i="29" l="1"/>
  <c r="X5" i="29" l="1"/>
  <c r="W11" i="29"/>
  <c r="Y5" i="29" l="1"/>
  <c r="X11" i="29"/>
  <c r="Z5" i="29" l="1"/>
  <c r="Y11" i="29"/>
  <c r="Z11" i="29" l="1"/>
  <c r="AA5" i="29"/>
  <c r="AB5" i="29" s="1"/>
  <c r="AB11" i="29" l="1"/>
  <c r="AC5" i="29"/>
  <c r="AA11" i="29"/>
  <c r="AD5" i="29" l="1"/>
  <c r="AC11" i="29"/>
  <c r="L99" i="13"/>
  <c r="AE5" i="29" l="1"/>
  <c r="AE11" i="29" s="1"/>
  <c r="AD11" i="29"/>
  <c r="E99" i="13"/>
  <c r="F99" i="13"/>
  <c r="G99" i="13"/>
  <c r="H99" i="13"/>
  <c r="I99" i="13"/>
  <c r="J99" i="13"/>
  <c r="K99" i="13"/>
  <c r="M99" i="13"/>
  <c r="N99" i="13"/>
  <c r="O99" i="13"/>
  <c r="S100" i="13" s="1"/>
  <c r="P99" i="13"/>
  <c r="Q99" i="13"/>
  <c r="U100" i="13" s="1"/>
  <c r="R99" i="13"/>
  <c r="V100" i="13" s="1"/>
  <c r="D99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Y79" i="13"/>
  <c r="Z79" i="13"/>
  <c r="AA79" i="13"/>
  <c r="X79" i="13"/>
  <c r="AG24" i="29" l="1"/>
  <c r="AG18" i="29"/>
  <c r="P100" i="13"/>
  <c r="T100" i="13"/>
  <c r="R100" i="13"/>
  <c r="Q100" i="13"/>
  <c r="B18" i="19"/>
  <c r="C18" i="19"/>
  <c r="D18" i="19"/>
  <c r="E18" i="19"/>
  <c r="W100" i="13"/>
  <c r="F18" i="19" l="1"/>
  <c r="Z100" i="13" l="1"/>
  <c r="AD99" i="13"/>
  <c r="AD100" i="13" s="1"/>
  <c r="AA100" i="13"/>
  <c r="AE99" i="13"/>
  <c r="AE100" i="13" s="1"/>
  <c r="Y100" i="13"/>
  <c r="AC99" i="13"/>
  <c r="AC100" i="13" s="1"/>
  <c r="X100" i="13"/>
  <c r="AB99" i="13"/>
  <c r="G18" i="19"/>
  <c r="X76" i="13"/>
  <c r="Y76" i="13"/>
  <c r="Z76" i="13"/>
  <c r="AA76" i="13"/>
  <c r="AB76" i="13"/>
  <c r="H18" i="19" l="1"/>
  <c r="J18" i="19" s="1"/>
  <c r="AB100" i="13"/>
  <c r="P17" i="22"/>
  <c r="P16" i="22"/>
  <c r="P15" i="22"/>
  <c r="P11" i="22"/>
  <c r="P10" i="22"/>
  <c r="N75" i="23" s="1"/>
  <c r="AH24" i="29" s="1"/>
  <c r="P9" i="22"/>
  <c r="N51" i="23" s="1"/>
  <c r="P8" i="22"/>
  <c r="P7" i="22"/>
  <c r="N32" i="23" s="1"/>
  <c r="AH12" i="29" s="1"/>
  <c r="P6" i="22"/>
  <c r="O17" i="22"/>
  <c r="O16" i="22"/>
  <c r="O15" i="22"/>
  <c r="O11" i="22"/>
  <c r="O9" i="22"/>
  <c r="O10" i="22"/>
  <c r="O8" i="22"/>
  <c r="O7" i="22"/>
  <c r="O6" i="22"/>
  <c r="N17" i="22"/>
  <c r="N16" i="22"/>
  <c r="N15" i="22"/>
  <c r="N11" i="22"/>
  <c r="N10" i="22"/>
  <c r="N9" i="22"/>
  <c r="N8" i="22"/>
  <c r="N7" i="22"/>
  <c r="N6" i="22"/>
  <c r="E91" i="13" l="1"/>
  <c r="F91" i="13"/>
  <c r="G91" i="13"/>
  <c r="H91" i="13"/>
  <c r="I91" i="13"/>
  <c r="J91" i="13"/>
  <c r="K91" i="13"/>
  <c r="K92" i="13" s="1"/>
  <c r="L91" i="13"/>
  <c r="L92" i="13" s="1"/>
  <c r="M91" i="13"/>
  <c r="N91" i="13"/>
  <c r="O91" i="13"/>
  <c r="P91" i="13"/>
  <c r="Q91" i="13"/>
  <c r="Q92" i="13" s="1"/>
  <c r="F121" i="13"/>
  <c r="E113" i="13"/>
  <c r="K113" i="13"/>
  <c r="M113" i="13"/>
  <c r="N113" i="13"/>
  <c r="G117" i="13"/>
  <c r="O117" i="13"/>
  <c r="K114" i="13"/>
  <c r="F118" i="13"/>
  <c r="G118" i="13"/>
  <c r="H118" i="13"/>
  <c r="K118" i="13"/>
  <c r="N118" i="13"/>
  <c r="O118" i="13"/>
  <c r="P118" i="13"/>
  <c r="G119" i="13"/>
  <c r="J119" i="13"/>
  <c r="K119" i="13"/>
  <c r="O119" i="13"/>
  <c r="R119" i="13"/>
  <c r="J121" i="13"/>
  <c r="K121" i="13"/>
  <c r="R121" i="13"/>
  <c r="F123" i="13"/>
  <c r="G123" i="13"/>
  <c r="J123" i="13"/>
  <c r="N123" i="13"/>
  <c r="O123" i="13"/>
  <c r="R123" i="13"/>
  <c r="D118" i="13"/>
  <c r="E103" i="13"/>
  <c r="F103" i="13"/>
  <c r="G103" i="13"/>
  <c r="H103" i="13"/>
  <c r="I103" i="13"/>
  <c r="J103" i="13"/>
  <c r="K103" i="13"/>
  <c r="L103" i="13"/>
  <c r="M103" i="13"/>
  <c r="N103" i="13"/>
  <c r="O103" i="13"/>
  <c r="P103" i="13"/>
  <c r="Q103" i="13"/>
  <c r="R103" i="13"/>
  <c r="E105" i="13"/>
  <c r="F105" i="13"/>
  <c r="G105" i="13"/>
  <c r="H105" i="13"/>
  <c r="I105" i="13"/>
  <c r="I106" i="13" s="1"/>
  <c r="J105" i="13"/>
  <c r="K105" i="13"/>
  <c r="L105" i="13"/>
  <c r="M105" i="13"/>
  <c r="N105" i="13"/>
  <c r="O105" i="13"/>
  <c r="P105" i="13"/>
  <c r="Q105" i="13"/>
  <c r="R105" i="13"/>
  <c r="V106" i="13" s="1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E78" i="13"/>
  <c r="F78" i="13"/>
  <c r="G78" i="13"/>
  <c r="I78" i="13"/>
  <c r="J78" i="13"/>
  <c r="K78" i="13"/>
  <c r="L78" i="13"/>
  <c r="M78" i="13"/>
  <c r="N78" i="13"/>
  <c r="O78" i="13"/>
  <c r="P78" i="13"/>
  <c r="Q78" i="13"/>
  <c r="R78" i="13"/>
  <c r="E88" i="13"/>
  <c r="F88" i="13"/>
  <c r="G88" i="13"/>
  <c r="H88" i="13"/>
  <c r="H89" i="13" s="1"/>
  <c r="I88" i="13"/>
  <c r="J88" i="13"/>
  <c r="K88" i="13"/>
  <c r="L88" i="13"/>
  <c r="M88" i="13"/>
  <c r="N88" i="13"/>
  <c r="O88" i="13"/>
  <c r="P88" i="13"/>
  <c r="T89" i="13" s="1"/>
  <c r="Q88" i="13"/>
  <c r="U89" i="13" s="1"/>
  <c r="R88" i="13"/>
  <c r="V89" i="13" s="1"/>
  <c r="D88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D105" i="13"/>
  <c r="D103" i="13"/>
  <c r="D91" i="13"/>
  <c r="D92" i="13" s="1"/>
  <c r="D78" i="13"/>
  <c r="D77" i="13"/>
  <c r="D86" i="13"/>
  <c r="D84" i="13"/>
  <c r="J92" i="13" l="1"/>
  <c r="I92" i="13"/>
  <c r="N89" i="13"/>
  <c r="P92" i="13"/>
  <c r="S92" i="13"/>
  <c r="R92" i="13"/>
  <c r="H92" i="13"/>
  <c r="M89" i="13"/>
  <c r="N106" i="13"/>
  <c r="O92" i="13"/>
  <c r="G92" i="13"/>
  <c r="N92" i="13"/>
  <c r="F92" i="13"/>
  <c r="M92" i="13"/>
  <c r="E92" i="13"/>
  <c r="Q106" i="13"/>
  <c r="U106" i="13"/>
  <c r="P106" i="13"/>
  <c r="T106" i="13"/>
  <c r="AB88" i="13"/>
  <c r="P89" i="13"/>
  <c r="O89" i="13"/>
  <c r="S89" i="13"/>
  <c r="H106" i="13"/>
  <c r="O106" i="13"/>
  <c r="S106" i="13"/>
  <c r="K89" i="13"/>
  <c r="L106" i="13"/>
  <c r="L89" i="13"/>
  <c r="Z88" i="13"/>
  <c r="AD88" i="13" s="1"/>
  <c r="R89" i="13"/>
  <c r="J89" i="13"/>
  <c r="K106" i="13"/>
  <c r="M106" i="13"/>
  <c r="Y88" i="13"/>
  <c r="AC88" i="13" s="1"/>
  <c r="Q89" i="13"/>
  <c r="I89" i="13"/>
  <c r="R106" i="13"/>
  <c r="J106" i="13"/>
  <c r="B13" i="19"/>
  <c r="C6" i="19"/>
  <c r="B6" i="19"/>
  <c r="G80" i="13"/>
  <c r="G79" i="13" s="1"/>
  <c r="B5" i="19"/>
  <c r="B10" i="19"/>
  <c r="C13" i="19"/>
  <c r="D88" i="9"/>
  <c r="B88" i="9"/>
  <c r="B21" i="19"/>
  <c r="C10" i="19"/>
  <c r="E88" i="9"/>
  <c r="B94" i="9" s="1"/>
  <c r="C88" i="9"/>
  <c r="C11" i="19"/>
  <c r="B11" i="19"/>
  <c r="C5" i="19"/>
  <c r="C21" i="19"/>
  <c r="P114" i="13"/>
  <c r="H114" i="13"/>
  <c r="O80" i="13"/>
  <c r="O79" i="13" s="1"/>
  <c r="K123" i="13"/>
  <c r="O121" i="13"/>
  <c r="G121" i="13"/>
  <c r="Q119" i="13"/>
  <c r="I119" i="13"/>
  <c r="O114" i="13"/>
  <c r="G114" i="13"/>
  <c r="M117" i="13"/>
  <c r="E117" i="13"/>
  <c r="K117" i="13"/>
  <c r="O113" i="13"/>
  <c r="G113" i="13"/>
  <c r="D117" i="13"/>
  <c r="D123" i="13"/>
  <c r="Q123" i="13"/>
  <c r="E121" i="13"/>
  <c r="I123" i="13"/>
  <c r="M121" i="13"/>
  <c r="E30" i="17"/>
  <c r="D114" i="13"/>
  <c r="D121" i="13"/>
  <c r="P122" i="13"/>
  <c r="H122" i="13"/>
  <c r="N121" i="13"/>
  <c r="F113" i="13"/>
  <c r="D18" i="17"/>
  <c r="D122" i="13"/>
  <c r="N122" i="13"/>
  <c r="F122" i="13"/>
  <c r="R114" i="13"/>
  <c r="J114" i="13"/>
  <c r="N117" i="13"/>
  <c r="F117" i="13"/>
  <c r="R113" i="13"/>
  <c r="J113" i="13"/>
  <c r="D11" i="17"/>
  <c r="E48" i="17"/>
  <c r="D25" i="19"/>
  <c r="P123" i="13"/>
  <c r="H123" i="13"/>
  <c r="L121" i="13"/>
  <c r="L119" i="13"/>
  <c r="L114" i="13"/>
  <c r="P117" i="13"/>
  <c r="H117" i="13"/>
  <c r="L113" i="13"/>
  <c r="E23" i="17"/>
  <c r="D11" i="19"/>
  <c r="K115" i="13"/>
  <c r="D13" i="19"/>
  <c r="M123" i="13"/>
  <c r="E123" i="13"/>
  <c r="M122" i="13"/>
  <c r="E122" i="13"/>
  <c r="Q121" i="13"/>
  <c r="I121" i="13"/>
  <c r="M118" i="13"/>
  <c r="E118" i="13"/>
  <c r="G8" i="26" s="1"/>
  <c r="Q114" i="13"/>
  <c r="I114" i="13"/>
  <c r="Q113" i="13"/>
  <c r="I113" i="13"/>
  <c r="E11" i="17"/>
  <c r="D6" i="19"/>
  <c r="D48" i="17"/>
  <c r="D21" i="19"/>
  <c r="D113" i="13"/>
  <c r="D119" i="13"/>
  <c r="L123" i="13"/>
  <c r="L122" i="13"/>
  <c r="P121" i="13"/>
  <c r="H121" i="13"/>
  <c r="P119" i="13"/>
  <c r="H119" i="13"/>
  <c r="L118" i="13"/>
  <c r="L117" i="13"/>
  <c r="P113" i="13"/>
  <c r="H113" i="13"/>
  <c r="O122" i="13"/>
  <c r="G122" i="13"/>
  <c r="K122" i="13"/>
  <c r="L80" i="13"/>
  <c r="D5" i="19"/>
  <c r="H102" i="13"/>
  <c r="D42" i="17"/>
  <c r="D23" i="17"/>
  <c r="E18" i="17"/>
  <c r="E42" i="17"/>
  <c r="R122" i="13"/>
  <c r="J122" i="13"/>
  <c r="N119" i="13"/>
  <c r="F119" i="13"/>
  <c r="R118" i="13"/>
  <c r="J118" i="13"/>
  <c r="N114" i="13"/>
  <c r="N115" i="13" s="1"/>
  <c r="F114" i="13"/>
  <c r="R117" i="13"/>
  <c r="J117" i="13"/>
  <c r="D10" i="19"/>
  <c r="Q122" i="13"/>
  <c r="I122" i="13"/>
  <c r="M119" i="13"/>
  <c r="E119" i="13"/>
  <c r="Q118" i="13"/>
  <c r="I118" i="13"/>
  <c r="M114" i="13"/>
  <c r="M115" i="13" s="1"/>
  <c r="E114" i="13"/>
  <c r="E115" i="13" s="1"/>
  <c r="Q117" i="13"/>
  <c r="I117" i="13"/>
  <c r="F18" i="17"/>
  <c r="O102" i="13"/>
  <c r="G102" i="13"/>
  <c r="P102" i="13"/>
  <c r="N104" i="13"/>
  <c r="F102" i="13"/>
  <c r="R104" i="13"/>
  <c r="K102" i="13"/>
  <c r="Q85" i="13"/>
  <c r="R80" i="13"/>
  <c r="V81" i="13" s="1"/>
  <c r="J80" i="13"/>
  <c r="L102" i="13"/>
  <c r="M102" i="13"/>
  <c r="Q87" i="13"/>
  <c r="R102" i="13"/>
  <c r="J102" i="13"/>
  <c r="Q102" i="13"/>
  <c r="I102" i="13"/>
  <c r="M80" i="13"/>
  <c r="E80" i="13"/>
  <c r="E79" i="13" s="1"/>
  <c r="M104" i="13"/>
  <c r="E102" i="13"/>
  <c r="N102" i="13"/>
  <c r="K80" i="13"/>
  <c r="Q80" i="13"/>
  <c r="U81" i="13" s="1"/>
  <c r="I80" i="13"/>
  <c r="Q104" i="13"/>
  <c r="J104" i="13"/>
  <c r="I104" i="13"/>
  <c r="P80" i="13"/>
  <c r="T81" i="13" s="1"/>
  <c r="H80" i="13"/>
  <c r="F104" i="13"/>
  <c r="L104" i="13"/>
  <c r="E104" i="13"/>
  <c r="K104" i="13"/>
  <c r="R87" i="13"/>
  <c r="P104" i="13"/>
  <c r="H104" i="13"/>
  <c r="O104" i="13"/>
  <c r="G104" i="13"/>
  <c r="N80" i="13"/>
  <c r="F80" i="13"/>
  <c r="F79" i="13" s="1"/>
  <c r="R85" i="13"/>
  <c r="D102" i="13"/>
  <c r="I18" i="17" l="1"/>
  <c r="AD84" i="13"/>
  <c r="AD118" i="13" s="1"/>
  <c r="AD86" i="13"/>
  <c r="AD119" i="13" s="1"/>
  <c r="AB86" i="13"/>
  <c r="AB84" i="13"/>
  <c r="AC84" i="13"/>
  <c r="AC86" i="13"/>
  <c r="AC119" i="13" s="1"/>
  <c r="J13" i="26"/>
  <c r="O124" i="13"/>
  <c r="H3" i="26"/>
  <c r="J3" i="26"/>
  <c r="N124" i="13"/>
  <c r="N126" i="13" s="1"/>
  <c r="J9" i="26"/>
  <c r="B7" i="19"/>
  <c r="B12" i="19"/>
  <c r="C25" i="17" s="1"/>
  <c r="B8" i="19"/>
  <c r="H8" i="26"/>
  <c r="Q115" i="13"/>
  <c r="C8" i="19"/>
  <c r="I7" i="26"/>
  <c r="H115" i="13"/>
  <c r="K124" i="13"/>
  <c r="K126" i="13" s="1"/>
  <c r="G124" i="13"/>
  <c r="R81" i="13"/>
  <c r="J115" i="13"/>
  <c r="G11" i="26"/>
  <c r="I13" i="26"/>
  <c r="I11" i="26"/>
  <c r="R115" i="13"/>
  <c r="G4" i="26"/>
  <c r="J4" i="26"/>
  <c r="J8" i="26"/>
  <c r="C20" i="19"/>
  <c r="C23" i="19" s="1"/>
  <c r="I10" i="26"/>
  <c r="P81" i="13"/>
  <c r="I8" i="26"/>
  <c r="G3" i="26"/>
  <c r="C12" i="19"/>
  <c r="D25" i="17" s="1"/>
  <c r="I12" i="26"/>
  <c r="J10" i="26"/>
  <c r="H4" i="26"/>
  <c r="J79" i="13"/>
  <c r="J81" i="13"/>
  <c r="G9" i="26"/>
  <c r="I115" i="13"/>
  <c r="L115" i="13"/>
  <c r="I3" i="26"/>
  <c r="H13" i="26"/>
  <c r="F124" i="13"/>
  <c r="G12" i="26"/>
  <c r="C7" i="19"/>
  <c r="H7" i="26"/>
  <c r="M79" i="13"/>
  <c r="M81" i="13"/>
  <c r="I79" i="13"/>
  <c r="I81" i="13"/>
  <c r="Q81" i="13"/>
  <c r="L81" i="13"/>
  <c r="H9" i="26"/>
  <c r="J7" i="26"/>
  <c r="G13" i="26"/>
  <c r="K79" i="13"/>
  <c r="K81" i="13"/>
  <c r="I4" i="26"/>
  <c r="G10" i="26"/>
  <c r="C15" i="19"/>
  <c r="C14" i="19"/>
  <c r="N79" i="13"/>
  <c r="N81" i="13"/>
  <c r="H11" i="26"/>
  <c r="I9" i="26"/>
  <c r="H12" i="26"/>
  <c r="G7" i="26"/>
  <c r="B20" i="19"/>
  <c r="B23" i="19" s="1"/>
  <c r="J11" i="26"/>
  <c r="H10" i="26"/>
  <c r="J12" i="26"/>
  <c r="G115" i="13"/>
  <c r="AE78" i="13"/>
  <c r="O81" i="13"/>
  <c r="S81" i="13"/>
  <c r="B15" i="19"/>
  <c r="B14" i="19"/>
  <c r="D15" i="19"/>
  <c r="H124" i="13"/>
  <c r="M124" i="13"/>
  <c r="M126" i="13" s="1"/>
  <c r="P124" i="13"/>
  <c r="R124" i="13"/>
  <c r="P115" i="13"/>
  <c r="I124" i="13"/>
  <c r="E25" i="19"/>
  <c r="F25" i="19"/>
  <c r="J25" i="19" s="1"/>
  <c r="F48" i="17"/>
  <c r="F6" i="17"/>
  <c r="D14" i="19"/>
  <c r="E32" i="17" s="1"/>
  <c r="O115" i="13"/>
  <c r="O126" i="13" s="1"/>
  <c r="J124" i="13"/>
  <c r="Q124" i="13"/>
  <c r="Q126" i="13" s="1"/>
  <c r="F115" i="13"/>
  <c r="L124" i="13"/>
  <c r="E124" i="13"/>
  <c r="E126" i="13" s="1"/>
  <c r="D8" i="19"/>
  <c r="D12" i="19"/>
  <c r="E25" i="17" s="1"/>
  <c r="H79" i="13"/>
  <c r="Z86" i="13"/>
  <c r="Z119" i="13" s="1"/>
  <c r="D7" i="19"/>
  <c r="E13" i="17" s="1"/>
  <c r="D20" i="19"/>
  <c r="D23" i="19" s="1"/>
  <c r="E6" i="17"/>
  <c r="L79" i="13"/>
  <c r="Y86" i="13"/>
  <c r="Y119" i="13" s="1"/>
  <c r="Z84" i="13"/>
  <c r="Z118" i="13" s="1"/>
  <c r="G48" i="17"/>
  <c r="W106" i="13"/>
  <c r="F42" i="17"/>
  <c r="G18" i="17"/>
  <c r="P79" i="13"/>
  <c r="Q79" i="13"/>
  <c r="R79" i="13"/>
  <c r="AC83" i="13" l="1"/>
  <c r="AC114" i="13" s="1"/>
  <c r="AC115" i="13" s="1"/>
  <c r="AC118" i="13"/>
  <c r="Y106" i="13"/>
  <c r="AC105" i="13"/>
  <c r="AB118" i="13"/>
  <c r="H11" i="19"/>
  <c r="AE77" i="13"/>
  <c r="AE117" i="13"/>
  <c r="H6" i="19"/>
  <c r="Z106" i="13"/>
  <c r="AD105" i="13"/>
  <c r="AB119" i="13"/>
  <c r="H13" i="19"/>
  <c r="X106" i="13"/>
  <c r="AB105" i="13"/>
  <c r="AB83" i="13"/>
  <c r="AD83" i="13"/>
  <c r="AD114" i="13" s="1"/>
  <c r="AD115" i="13" s="1"/>
  <c r="J5" i="26"/>
  <c r="H5" i="26"/>
  <c r="Z103" i="13"/>
  <c r="Z102" i="13" s="1"/>
  <c r="Z122" i="13" s="1"/>
  <c r="Y84" i="13"/>
  <c r="I126" i="13"/>
  <c r="F126" i="13"/>
  <c r="K26" i="26"/>
  <c r="J126" i="13"/>
  <c r="P126" i="13"/>
  <c r="H18" i="17"/>
  <c r="X86" i="13"/>
  <c r="G5" i="26"/>
  <c r="R126" i="13"/>
  <c r="X84" i="13"/>
  <c r="G126" i="13"/>
  <c r="C22" i="19"/>
  <c r="J14" i="26"/>
  <c r="L27" i="26"/>
  <c r="J16" i="26"/>
  <c r="B22" i="19"/>
  <c r="I5" i="26"/>
  <c r="G16" i="26"/>
  <c r="G14" i="26"/>
  <c r="H14" i="26"/>
  <c r="I14" i="26"/>
  <c r="L126" i="13"/>
  <c r="L26" i="26"/>
  <c r="H16" i="26"/>
  <c r="I16" i="26"/>
  <c r="K13" i="26"/>
  <c r="Y103" i="13"/>
  <c r="Y102" i="13" s="1"/>
  <c r="Y122" i="13" s="1"/>
  <c r="H126" i="13"/>
  <c r="K27" i="26"/>
  <c r="D22" i="19"/>
  <c r="E44" i="17" s="1"/>
  <c r="AA78" i="13"/>
  <c r="AA117" i="13" s="1"/>
  <c r="Z83" i="13"/>
  <c r="Z114" i="13" s="1"/>
  <c r="AA84" i="13"/>
  <c r="AA118" i="13" s="1"/>
  <c r="AA86" i="13"/>
  <c r="AA119" i="13" s="1"/>
  <c r="G6" i="17"/>
  <c r="H48" i="17"/>
  <c r="G42" i="17"/>
  <c r="X103" i="13"/>
  <c r="I32" i="23" l="1"/>
  <c r="I51" i="23"/>
  <c r="I75" i="23"/>
  <c r="L59" i="23" s="1"/>
  <c r="AE113" i="13"/>
  <c r="X118" i="13"/>
  <c r="Y83" i="13"/>
  <c r="Y114" i="13" s="1"/>
  <c r="Y118" i="13"/>
  <c r="X119" i="13"/>
  <c r="I30" i="17"/>
  <c r="I23" i="17"/>
  <c r="M7" i="26"/>
  <c r="C7" i="26"/>
  <c r="AA106" i="13"/>
  <c r="AE105" i="13"/>
  <c r="I42" i="17" s="1"/>
  <c r="M8" i="26"/>
  <c r="C8" i="26"/>
  <c r="AC103" i="13"/>
  <c r="AC102" i="13" s="1"/>
  <c r="AC122" i="13" s="1"/>
  <c r="AC106" i="13"/>
  <c r="AD103" i="13"/>
  <c r="AD106" i="13"/>
  <c r="AB103" i="13"/>
  <c r="AB106" i="13"/>
  <c r="H5" i="19"/>
  <c r="C9" i="26"/>
  <c r="M9" i="26"/>
  <c r="AB114" i="13"/>
  <c r="H10" i="19"/>
  <c r="H14" i="19" s="1"/>
  <c r="I32" i="17" s="1"/>
  <c r="M27" i="26"/>
  <c r="M26" i="26"/>
  <c r="X83" i="13"/>
  <c r="G13" i="19"/>
  <c r="G18" i="26"/>
  <c r="I18" i="26"/>
  <c r="J18" i="26"/>
  <c r="H18" i="26"/>
  <c r="G25" i="19"/>
  <c r="AA103" i="13"/>
  <c r="AA102" i="13" s="1"/>
  <c r="AA122" i="13" s="1"/>
  <c r="H42" i="17"/>
  <c r="Y78" i="13"/>
  <c r="Y117" i="13" s="1"/>
  <c r="G11" i="19"/>
  <c r="AA83" i="13"/>
  <c r="AA114" i="13" s="1"/>
  <c r="H6" i="17"/>
  <c r="AA77" i="13"/>
  <c r="AA113" i="13" s="1"/>
  <c r="Z78" i="13"/>
  <c r="Z117" i="13" s="1"/>
  <c r="X78" i="13"/>
  <c r="X102" i="13"/>
  <c r="L39" i="23" l="1"/>
  <c r="L40" i="23" s="1"/>
  <c r="L41" i="23" s="1"/>
  <c r="M41" i="23" s="1"/>
  <c r="L6" i="23"/>
  <c r="L8" i="23"/>
  <c r="M8" i="23" s="1"/>
  <c r="M59" i="23"/>
  <c r="L75" i="23" s="1"/>
  <c r="AB102" i="13"/>
  <c r="AB122" i="13" s="1"/>
  <c r="X122" i="13"/>
  <c r="X114" i="13"/>
  <c r="H7" i="19"/>
  <c r="I13" i="17" s="1"/>
  <c r="AA115" i="13"/>
  <c r="X117" i="13"/>
  <c r="I11" i="17"/>
  <c r="AE103" i="13"/>
  <c r="H21" i="19" s="1"/>
  <c r="AE106" i="13"/>
  <c r="AD102" i="13"/>
  <c r="AD122" i="13" s="1"/>
  <c r="H8" i="19"/>
  <c r="H15" i="19"/>
  <c r="AE115" i="13"/>
  <c r="M3" i="26"/>
  <c r="C3" i="26"/>
  <c r="M4" i="26"/>
  <c r="C4" i="26"/>
  <c r="AB115" i="13"/>
  <c r="H12" i="19"/>
  <c r="I25" i="17" s="1"/>
  <c r="M40" i="23"/>
  <c r="M39" i="23"/>
  <c r="Y77" i="13"/>
  <c r="Y113" i="13" s="1"/>
  <c r="Y115" i="13" s="1"/>
  <c r="L13" i="26"/>
  <c r="L8" i="26"/>
  <c r="L9" i="26"/>
  <c r="G21" i="19"/>
  <c r="G6" i="19"/>
  <c r="G10" i="19"/>
  <c r="G15" i="19" s="1"/>
  <c r="X77" i="13"/>
  <c r="Z77" i="13"/>
  <c r="Z113" i="13" s="1"/>
  <c r="Z115" i="13" s="1"/>
  <c r="G20" i="19"/>
  <c r="L51" i="23" l="1"/>
  <c r="AD25" i="29"/>
  <c r="AE25" i="29"/>
  <c r="AB25" i="29"/>
  <c r="AC25" i="29"/>
  <c r="X113" i="13"/>
  <c r="X115" i="13" s="1"/>
  <c r="AE102" i="13"/>
  <c r="AE122" i="13" s="1"/>
  <c r="M12" i="26" s="1"/>
  <c r="M5" i="26"/>
  <c r="L12" i="26"/>
  <c r="L7" i="26"/>
  <c r="L4" i="26"/>
  <c r="G12" i="19"/>
  <c r="H25" i="17" s="1"/>
  <c r="G14" i="19"/>
  <c r="H32" i="17" s="1"/>
  <c r="G5" i="19"/>
  <c r="G22" i="19"/>
  <c r="H44" i="17" s="1"/>
  <c r="G23" i="19"/>
  <c r="AC19" i="29" l="1"/>
  <c r="AD19" i="29"/>
  <c r="AE19" i="29"/>
  <c r="AB19" i="29"/>
  <c r="H20" i="19"/>
  <c r="H23" i="19" s="1"/>
  <c r="C12" i="26"/>
  <c r="L3" i="26"/>
  <c r="C5" i="26"/>
  <c r="G7" i="19"/>
  <c r="H13" i="17" s="1"/>
  <c r="G8" i="19"/>
  <c r="L9" i="9"/>
  <c r="M9" i="9"/>
  <c r="L10" i="9"/>
  <c r="M10" i="9"/>
  <c r="L11" i="9"/>
  <c r="M11" i="9"/>
  <c r="L12" i="9"/>
  <c r="M12" i="9"/>
  <c r="L13" i="9"/>
  <c r="M13" i="9"/>
  <c r="L14" i="9"/>
  <c r="M14" i="9"/>
  <c r="L15" i="9"/>
  <c r="M15" i="9"/>
  <c r="L16" i="9"/>
  <c r="M16" i="9"/>
  <c r="L17" i="9"/>
  <c r="M17" i="9"/>
  <c r="L18" i="9"/>
  <c r="M18" i="9"/>
  <c r="L19" i="9"/>
  <c r="M19" i="9"/>
  <c r="L20" i="9"/>
  <c r="M20" i="9"/>
  <c r="L21" i="9"/>
  <c r="M21" i="9"/>
  <c r="L22" i="9"/>
  <c r="M22" i="9"/>
  <c r="L23" i="9"/>
  <c r="M23" i="9"/>
  <c r="L24" i="9"/>
  <c r="M24" i="9"/>
  <c r="L25" i="9"/>
  <c r="M25" i="9"/>
  <c r="L26" i="9"/>
  <c r="M26" i="9"/>
  <c r="L27" i="9"/>
  <c r="M27" i="9"/>
  <c r="L28" i="9"/>
  <c r="M28" i="9"/>
  <c r="L29" i="9"/>
  <c r="M29" i="9"/>
  <c r="L30" i="9"/>
  <c r="M30" i="9"/>
  <c r="L8" i="9"/>
  <c r="M8" i="9"/>
  <c r="H30" i="9"/>
  <c r="H22" i="19" l="1"/>
  <c r="I44" i="17" s="1"/>
  <c r="L5" i="26"/>
  <c r="K30" i="26" s="1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W76" i="13"/>
  <c r="D76" i="13"/>
  <c r="AC121" i="13" l="1"/>
  <c r="AB121" i="13"/>
  <c r="AD121" i="13"/>
  <c r="X121" i="13"/>
  <c r="Y121" i="13"/>
  <c r="AA121" i="13"/>
  <c r="AE121" i="13"/>
  <c r="Z121" i="13"/>
  <c r="D115" i="13"/>
  <c r="M11" i="26" l="1"/>
  <c r="C11" i="26"/>
  <c r="L11" i="26"/>
  <c r="K11" i="26"/>
  <c r="K25" i="26"/>
  <c r="D124" i="13"/>
  <c r="L25" i="26" s="1"/>
  <c r="M25" i="26" l="1"/>
  <c r="D126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I95" i="13" l="1"/>
  <c r="H95" i="13"/>
  <c r="O95" i="13"/>
  <c r="N95" i="13"/>
  <c r="M95" i="13"/>
  <c r="L95" i="13"/>
  <c r="K95" i="13"/>
  <c r="J95" i="13"/>
  <c r="B17" i="19"/>
  <c r="C17" i="19"/>
  <c r="D93" i="13"/>
  <c r="B91" i="9"/>
  <c r="K93" i="13"/>
  <c r="J93" i="13"/>
  <c r="I93" i="13"/>
  <c r="B92" i="9"/>
  <c r="G93" i="13"/>
  <c r="F93" i="13"/>
  <c r="E93" i="13"/>
  <c r="B93" i="9"/>
  <c r="H93" i="13"/>
  <c r="D38" i="17"/>
  <c r="E38" i="17"/>
  <c r="D17" i="19"/>
  <c r="O93" i="13"/>
  <c r="M93" i="13"/>
  <c r="N93" i="13"/>
  <c r="L93" i="13"/>
  <c r="E87" i="13"/>
  <c r="M87" i="13"/>
  <c r="J87" i="13"/>
  <c r="J85" i="13"/>
  <c r="K87" i="13"/>
  <c r="K85" i="13"/>
  <c r="E85" i="13"/>
  <c r="D87" i="13"/>
  <c r="S94" i="13" l="1"/>
  <c r="Q94" i="13"/>
  <c r="M85" i="13"/>
  <c r="I85" i="13"/>
  <c r="I87" i="13"/>
  <c r="L85" i="13"/>
  <c r="L87" i="13"/>
  <c r="H87" i="13"/>
  <c r="H85" i="13"/>
  <c r="P87" i="13"/>
  <c r="P85" i="13"/>
  <c r="F85" i="13"/>
  <c r="F87" i="13"/>
  <c r="O87" i="13"/>
  <c r="O85" i="13"/>
  <c r="G85" i="13"/>
  <c r="G87" i="13"/>
  <c r="N85" i="13"/>
  <c r="N87" i="13"/>
  <c r="D104" i="13"/>
  <c r="D80" i="13"/>
  <c r="H81" i="13" s="1"/>
  <c r="D85" i="13"/>
  <c r="S95" i="13" l="1"/>
  <c r="Q93" i="13"/>
  <c r="Q95" i="13"/>
  <c r="S93" i="13"/>
  <c r="P94" i="13"/>
  <c r="D79" i="13"/>
  <c r="D6" i="17"/>
  <c r="R94" i="13"/>
  <c r="R97" i="13" s="1"/>
  <c r="R93" i="13" l="1"/>
  <c r="R95" i="13"/>
  <c r="P93" i="13"/>
  <c r="P95" i="13"/>
  <c r="F11" i="17" l="1"/>
  <c r="F30" i="17"/>
  <c r="F38" i="17"/>
  <c r="E17" i="19"/>
  <c r="F23" i="17"/>
  <c r="E11" i="19"/>
  <c r="E6" i="19"/>
  <c r="E13" i="19"/>
  <c r="G30" i="17" l="1"/>
  <c r="H30" i="17"/>
  <c r="E10" i="19"/>
  <c r="F6" i="19"/>
  <c r="J6" i="19" s="1"/>
  <c r="G11" i="17"/>
  <c r="H11" i="17"/>
  <c r="G23" i="17"/>
  <c r="H23" i="17"/>
  <c r="F11" i="19"/>
  <c r="J11" i="19" s="1"/>
  <c r="F13" i="19"/>
  <c r="J13" i="19" s="1"/>
  <c r="E5" i="19"/>
  <c r="K7" i="26"/>
  <c r="L7" i="23" l="1"/>
  <c r="M7" i="23" s="1"/>
  <c r="M6" i="23"/>
  <c r="K9" i="26"/>
  <c r="K8" i="26"/>
  <c r="K3" i="26"/>
  <c r="F10" i="19"/>
  <c r="F5" i="19"/>
  <c r="J5" i="19" s="1"/>
  <c r="K28" i="26"/>
  <c r="L32" i="23" l="1"/>
  <c r="F15" i="19"/>
  <c r="J10" i="19"/>
  <c r="K4" i="26"/>
  <c r="K5" i="26" s="1"/>
  <c r="F12" i="19"/>
  <c r="G25" i="17" s="1"/>
  <c r="F8" i="19"/>
  <c r="F7" i="19"/>
  <c r="G13" i="17" s="1"/>
  <c r="F14" i="19"/>
  <c r="G32" i="17" s="1"/>
  <c r="J8" i="19" l="1"/>
  <c r="N8" i="19"/>
  <c r="J15" i="19"/>
  <c r="N15" i="19"/>
  <c r="AD13" i="29"/>
  <c r="AC13" i="29"/>
  <c r="AE13" i="29"/>
  <c r="AB13" i="29"/>
  <c r="K29" i="26"/>
  <c r="K31" i="26" s="1"/>
  <c r="E15" i="19"/>
  <c r="M15" i="19" s="1"/>
  <c r="E7" i="19"/>
  <c r="F13" i="17" s="1"/>
  <c r="E12" i="19"/>
  <c r="F25" i="17" s="1"/>
  <c r="E14" i="19"/>
  <c r="F32" i="17" s="1"/>
  <c r="E8" i="19"/>
  <c r="M8" i="19" s="1"/>
  <c r="E72" i="9" l="1"/>
  <c r="F20" i="19" l="1"/>
  <c r="J20" i="19" s="1"/>
  <c r="E21" i="19"/>
  <c r="F21" i="19"/>
  <c r="J21" i="19" s="1"/>
  <c r="H28" i="9"/>
  <c r="H27" i="9"/>
  <c r="O97" i="13" s="1"/>
  <c r="H26" i="9"/>
  <c r="N97" i="13" s="1"/>
  <c r="H25" i="9"/>
  <c r="M97" i="13" s="1"/>
  <c r="H24" i="9"/>
  <c r="L97" i="13" s="1"/>
  <c r="H23" i="9"/>
  <c r="K97" i="13" s="1"/>
  <c r="H22" i="9"/>
  <c r="J97" i="13" s="1"/>
  <c r="H21" i="9"/>
  <c r="I97" i="13" s="1"/>
  <c r="H20" i="9"/>
  <c r="H97" i="13" s="1"/>
  <c r="H19" i="9"/>
  <c r="G97" i="13" s="1"/>
  <c r="H18" i="9"/>
  <c r="F97" i="13" s="1"/>
  <c r="H17" i="9"/>
  <c r="E97" i="13" s="1"/>
  <c r="H16" i="9"/>
  <c r="D97" i="13" s="1"/>
  <c r="H15" i="9"/>
  <c r="H14" i="9"/>
  <c r="H13" i="9"/>
  <c r="H12" i="9"/>
  <c r="H11" i="9"/>
  <c r="H10" i="9"/>
  <c r="H9" i="9"/>
  <c r="H8" i="9"/>
  <c r="H7" i="9"/>
  <c r="H6" i="9"/>
  <c r="H5" i="9"/>
  <c r="H4" i="9"/>
  <c r="N10" i="9" l="1"/>
  <c r="N11" i="9"/>
  <c r="P97" i="13"/>
  <c r="N12" i="9"/>
  <c r="N18" i="9"/>
  <c r="N20" i="9"/>
  <c r="C92" i="9"/>
  <c r="D92" i="9" s="1"/>
  <c r="N19" i="9"/>
  <c r="N13" i="9"/>
  <c r="N21" i="9"/>
  <c r="C91" i="9"/>
  <c r="D91" i="9" s="1"/>
  <c r="C93" i="9"/>
  <c r="D93" i="9" s="1"/>
  <c r="K12" i="26"/>
  <c r="F23" i="19"/>
  <c r="J23" i="19" s="1"/>
  <c r="F22" i="19"/>
  <c r="G44" i="17" s="1"/>
  <c r="E20" i="19"/>
  <c r="N22" i="9"/>
  <c r="N23" i="9"/>
  <c r="N14" i="9"/>
  <c r="N15" i="9"/>
  <c r="N8" i="9"/>
  <c r="N16" i="9"/>
  <c r="N9" i="9"/>
  <c r="N17" i="9"/>
  <c r="N25" i="9"/>
  <c r="N26" i="9"/>
  <c r="N30" i="9"/>
  <c r="N27" i="9"/>
  <c r="N24" i="9"/>
  <c r="N28" i="9"/>
  <c r="B72" i="9"/>
  <c r="L28" i="26" l="1"/>
  <c r="E23" i="19"/>
  <c r="E22" i="19"/>
  <c r="F44" i="17" s="1"/>
  <c r="M28" i="26" l="1"/>
  <c r="H29" i="9"/>
  <c r="Q97" i="13" l="1"/>
  <c r="N29" i="9"/>
  <c r="H73" i="9"/>
  <c r="H31" i="9"/>
  <c r="S97" i="13" s="1"/>
  <c r="C94" i="9" l="1"/>
  <c r="N31" i="9"/>
  <c r="D94" i="9"/>
  <c r="E71" i="9"/>
  <c r="B71" i="9"/>
  <c r="E70" i="9"/>
  <c r="B70" i="9"/>
  <c r="E69" i="9"/>
  <c r="E75" i="9" s="1"/>
  <c r="B69" i="9"/>
  <c r="E68" i="9"/>
  <c r="B77" i="9" l="1"/>
  <c r="B76" i="9"/>
  <c r="B75" i="9"/>
  <c r="B78" i="9"/>
  <c r="B79" i="9" s="1"/>
  <c r="B80" i="9" s="1"/>
  <c r="B81" i="9" s="1"/>
  <c r="E76" i="9"/>
  <c r="E78" i="9"/>
  <c r="E77" i="9"/>
  <c r="E79" i="9"/>
  <c r="E80" i="9" s="1"/>
  <c r="E81" i="9" s="1"/>
  <c r="H71" i="9"/>
  <c r="H68" i="9"/>
  <c r="H72" i="9"/>
  <c r="E37" i="17" s="1"/>
  <c r="H70" i="9"/>
  <c r="C37" i="17" s="1"/>
  <c r="H69" i="9"/>
  <c r="B37" i="17" s="1"/>
  <c r="D37" i="17" l="1"/>
  <c r="H34" i="9" l="1"/>
  <c r="V97" i="13" s="1"/>
  <c r="H33" i="9"/>
  <c r="H35" i="9"/>
  <c r="W97" i="13" s="1"/>
  <c r="H32" i="9"/>
  <c r="F37" i="17"/>
  <c r="H67" i="9" l="1"/>
  <c r="N33" i="9"/>
  <c r="U97" i="13"/>
  <c r="N32" i="9"/>
  <c r="T97" i="13"/>
  <c r="Y97" i="13" s="1"/>
  <c r="Z97" i="13" s="1"/>
  <c r="AA97" i="13" s="1"/>
  <c r="AB97" i="13" s="1"/>
  <c r="AC97" i="13" s="1"/>
  <c r="AD97" i="13" s="1"/>
  <c r="AE97" i="13" s="1"/>
  <c r="C38" i="9"/>
  <c r="C39" i="9" s="1"/>
  <c r="C40" i="9" s="1"/>
  <c r="C41" i="9" s="1"/>
  <c r="C42" i="9" s="1"/>
  <c r="C43" i="9" s="1"/>
  <c r="C44" i="9" s="1"/>
  <c r="C45" i="9" s="1"/>
  <c r="C46" i="9" s="1"/>
  <c r="C47" i="9" s="1"/>
  <c r="D37" i="9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C95" i="9"/>
  <c r="D95" i="9" s="1"/>
  <c r="G37" i="9"/>
  <c r="G38" i="9" s="1"/>
  <c r="G39" i="9" s="1"/>
  <c r="H36" i="9"/>
  <c r="H65" i="9" s="1"/>
  <c r="F37" i="9"/>
  <c r="H37" i="9"/>
  <c r="Y120" i="13" s="1"/>
  <c r="H74" i="9"/>
  <c r="H39" i="9"/>
  <c r="AA120" i="13" s="1"/>
  <c r="H38" i="9"/>
  <c r="Z120" i="13" s="1"/>
  <c r="AA94" i="13" l="1"/>
  <c r="E32" i="25"/>
  <c r="X120" i="13"/>
  <c r="X124" i="13" s="1"/>
  <c r="X126" i="13" s="1"/>
  <c r="J36" i="9"/>
  <c r="Y124" i="13"/>
  <c r="Y126" i="13" s="1"/>
  <c r="Y94" i="13"/>
  <c r="C96" i="9"/>
  <c r="AA124" i="13"/>
  <c r="AA126" i="13" s="1"/>
  <c r="Z124" i="13"/>
  <c r="Z126" i="13" s="1"/>
  <c r="Z94" i="13"/>
  <c r="K10" i="26"/>
  <c r="K16" i="26" s="1"/>
  <c r="K18" i="26" s="1"/>
  <c r="J37" i="9"/>
  <c r="H40" i="9"/>
  <c r="F38" i="9"/>
  <c r="F39" i="9" s="1"/>
  <c r="I37" i="9"/>
  <c r="H43" i="9"/>
  <c r="I36" i="9"/>
  <c r="H42" i="9"/>
  <c r="H41" i="9"/>
  <c r="G40" i="9"/>
  <c r="D48" i="9"/>
  <c r="C48" i="9"/>
  <c r="J38" i="9"/>
  <c r="J39" i="9"/>
  <c r="G37" i="17"/>
  <c r="E31" i="25" l="1"/>
  <c r="X94" i="13"/>
  <c r="X92" i="13" s="1"/>
  <c r="X91" i="13" s="1"/>
  <c r="AC120" i="13"/>
  <c r="AC124" i="13" s="1"/>
  <c r="AC126" i="13" s="1"/>
  <c r="AC94" i="13"/>
  <c r="AC92" i="13" s="1"/>
  <c r="AC91" i="13" s="1"/>
  <c r="AE120" i="13"/>
  <c r="AE124" i="13" s="1"/>
  <c r="AE126" i="13" s="1"/>
  <c r="AE94" i="13"/>
  <c r="AE92" i="13" s="1"/>
  <c r="AE91" i="13" s="1"/>
  <c r="AD120" i="13"/>
  <c r="AD124" i="13" s="1"/>
  <c r="AD126" i="13" s="1"/>
  <c r="AD94" i="13"/>
  <c r="AD92" i="13" s="1"/>
  <c r="AD91" i="13" s="1"/>
  <c r="AB120" i="13"/>
  <c r="AB94" i="13"/>
  <c r="AA92" i="13"/>
  <c r="AA91" i="13" s="1"/>
  <c r="L29" i="26"/>
  <c r="K14" i="26"/>
  <c r="G17" i="19"/>
  <c r="L10" i="26"/>
  <c r="Y92" i="13"/>
  <c r="Y91" i="13" s="1"/>
  <c r="Z92" i="13"/>
  <c r="Z91" i="13" s="1"/>
  <c r="C97" i="9"/>
  <c r="G41" i="9"/>
  <c r="J40" i="9"/>
  <c r="H46" i="9"/>
  <c r="H76" i="9"/>
  <c r="I37" i="17" s="1"/>
  <c r="F40" i="9"/>
  <c r="I39" i="9"/>
  <c r="I38" i="9"/>
  <c r="H45" i="9"/>
  <c r="H47" i="9"/>
  <c r="H44" i="9"/>
  <c r="C49" i="9"/>
  <c r="C50" i="9" s="1"/>
  <c r="D49" i="9"/>
  <c r="AC95" i="13" l="1"/>
  <c r="AE95" i="13"/>
  <c r="AB92" i="13"/>
  <c r="AB91" i="13" s="1"/>
  <c r="H17" i="19"/>
  <c r="M10" i="26"/>
  <c r="C10" i="26"/>
  <c r="C16" i="26" s="1"/>
  <c r="AB124" i="13"/>
  <c r="AB126" i="13" s="1"/>
  <c r="AB95" i="13"/>
  <c r="I38" i="17"/>
  <c r="AD95" i="13"/>
  <c r="H61" i="9"/>
  <c r="H57" i="9"/>
  <c r="H63" i="9"/>
  <c r="H59" i="9"/>
  <c r="H62" i="9"/>
  <c r="H58" i="9"/>
  <c r="H49" i="9"/>
  <c r="L14" i="26"/>
  <c r="L30" i="26" s="1"/>
  <c r="M30" i="26" s="1"/>
  <c r="L16" i="26"/>
  <c r="M29" i="26"/>
  <c r="H77" i="9"/>
  <c r="F41" i="9"/>
  <c r="I40" i="9"/>
  <c r="H48" i="9"/>
  <c r="G42" i="9"/>
  <c r="J41" i="9"/>
  <c r="H50" i="9"/>
  <c r="D50" i="9"/>
  <c r="H75" i="9"/>
  <c r="H37" i="17" s="1"/>
  <c r="M31" i="26" l="1"/>
  <c r="C17" i="26" s="1"/>
  <c r="C20" i="26" s="1"/>
  <c r="L31" i="26"/>
  <c r="C14" i="26"/>
  <c r="M16" i="26"/>
  <c r="M18" i="26" s="1"/>
  <c r="M14" i="26"/>
  <c r="L18" i="26"/>
  <c r="H60" i="9"/>
  <c r="H56" i="9"/>
  <c r="J42" i="9"/>
  <c r="G43" i="9"/>
  <c r="F42" i="9"/>
  <c r="I41" i="9"/>
  <c r="H51" i="9"/>
  <c r="H78" i="9" s="1"/>
  <c r="C51" i="9"/>
  <c r="D51" i="9"/>
  <c r="D52" i="9" s="1"/>
  <c r="C18" i="26" l="1"/>
  <c r="H81" i="9"/>
  <c r="F43" i="9"/>
  <c r="I42" i="9"/>
  <c r="G44" i="9"/>
  <c r="J43" i="9"/>
  <c r="H52" i="9"/>
  <c r="C52" i="9"/>
  <c r="C53" i="9" s="1"/>
  <c r="D53" i="9"/>
  <c r="J44" i="9" l="1"/>
  <c r="G45" i="9"/>
  <c r="F44" i="9"/>
  <c r="I43" i="9"/>
  <c r="H53" i="9"/>
  <c r="C54" i="9"/>
  <c r="C55" i="9" s="1"/>
  <c r="C56" i="9" s="1"/>
  <c r="D54" i="9"/>
  <c r="C57" i="9" l="1"/>
  <c r="F45" i="9"/>
  <c r="I44" i="9"/>
  <c r="J45" i="9"/>
  <c r="G46" i="9"/>
  <c r="H55" i="9"/>
  <c r="H54" i="9"/>
  <c r="D55" i="9"/>
  <c r="D56" i="9" s="1"/>
  <c r="D57" i="9" l="1"/>
  <c r="C58" i="9"/>
  <c r="H79" i="9"/>
  <c r="H80" i="9"/>
  <c r="G47" i="9"/>
  <c r="J46" i="9"/>
  <c r="I45" i="9"/>
  <c r="F46" i="9"/>
  <c r="C59" i="9" l="1"/>
  <c r="D58" i="9"/>
  <c r="F47" i="9"/>
  <c r="I46" i="9"/>
  <c r="G48" i="9"/>
  <c r="J47" i="9"/>
  <c r="C60" i="9" l="1"/>
  <c r="D59" i="9"/>
  <c r="G49" i="9"/>
  <c r="J48" i="9"/>
  <c r="F48" i="9"/>
  <c r="I47" i="9"/>
  <c r="D60" i="9" l="1"/>
  <c r="C61" i="9"/>
  <c r="I48" i="9"/>
  <c r="F49" i="9"/>
  <c r="G50" i="9"/>
  <c r="J49" i="9"/>
  <c r="D61" i="9" l="1"/>
  <c r="C62" i="9"/>
  <c r="J50" i="9"/>
  <c r="G51" i="9"/>
  <c r="F50" i="9"/>
  <c r="I49" i="9"/>
  <c r="C63" i="9" l="1"/>
  <c r="D62" i="9"/>
  <c r="I50" i="9"/>
  <c r="F51" i="9"/>
  <c r="J51" i="9"/>
  <c r="G52" i="9"/>
  <c r="D63" i="9" l="1"/>
  <c r="G53" i="9"/>
  <c r="J52" i="9"/>
  <c r="I51" i="9"/>
  <c r="F52" i="9"/>
  <c r="F53" i="9" l="1"/>
  <c r="I52" i="9"/>
  <c r="G54" i="9"/>
  <c r="J53" i="9"/>
  <c r="G55" i="9" l="1"/>
  <c r="J54" i="9"/>
  <c r="F54" i="9"/>
  <c r="I53" i="9"/>
  <c r="J55" i="9" l="1"/>
  <c r="G56" i="9"/>
  <c r="F55" i="9"/>
  <c r="I54" i="9"/>
  <c r="I55" i="9" l="1"/>
  <c r="F56" i="9"/>
  <c r="G57" i="9"/>
  <c r="J56" i="9"/>
  <c r="G58" i="9" l="1"/>
  <c r="J57" i="9"/>
  <c r="F57" i="9"/>
  <c r="I56" i="9"/>
  <c r="F58" i="9" l="1"/>
  <c r="I57" i="9"/>
  <c r="G59" i="9"/>
  <c r="J58" i="9"/>
  <c r="G60" i="9" l="1"/>
  <c r="J59" i="9"/>
  <c r="F59" i="9"/>
  <c r="I58" i="9"/>
  <c r="F60" i="9" l="1"/>
  <c r="I59" i="9"/>
  <c r="G61" i="9"/>
  <c r="J60" i="9"/>
  <c r="G62" i="9" l="1"/>
  <c r="J61" i="9"/>
  <c r="F61" i="9"/>
  <c r="I60" i="9"/>
  <c r="F62" i="9" l="1"/>
  <c r="I61" i="9"/>
  <c r="G63" i="9"/>
  <c r="J63" i="9" s="1"/>
  <c r="J62" i="9"/>
  <c r="F63" i="9" l="1"/>
  <c r="I63" i="9" s="1"/>
  <c r="I62" i="9"/>
  <c r="E22" i="17"/>
  <c r="F22" i="17" l="1"/>
  <c r="F29" i="17"/>
  <c r="E29" i="17"/>
  <c r="V95" i="13"/>
  <c r="Z95" i="13"/>
  <c r="V93" i="13"/>
  <c r="W93" i="13"/>
  <c r="W95" i="13"/>
  <c r="AA95" i="13"/>
  <c r="U95" i="13"/>
  <c r="U93" i="13"/>
  <c r="Y95" i="13"/>
  <c r="G38" i="17"/>
  <c r="X95" i="13"/>
  <c r="T93" i="13"/>
  <c r="T95" i="13"/>
  <c r="H38" i="17"/>
  <c r="F17" i="19"/>
  <c r="J17" i="19" s="1"/>
</calcChain>
</file>

<file path=xl/comments1.xml><?xml version="1.0" encoding="utf-8"?>
<comments xmlns="http://schemas.openxmlformats.org/spreadsheetml/2006/main">
  <authors>
    <author>KENNEDY Michael  * DAS</author>
  </authors>
  <commentList>
    <comment ref="U97" authorId="0" shapeId="0">
      <text>
        <r>
          <rPr>
            <b/>
            <sz val="9"/>
            <color indexed="81"/>
            <rFont val="Tahoma"/>
            <family val="2"/>
          </rPr>
          <t>KENNEDY Michael  * DAS:</t>
        </r>
        <r>
          <rPr>
            <sz val="9"/>
            <color indexed="81"/>
            <rFont val="Tahoma"/>
            <family val="2"/>
          </rPr>
          <t xml:space="preserve">
Adjusted to reflect impact of Pandemic.</t>
        </r>
      </text>
    </comment>
  </commentList>
</comments>
</file>

<file path=xl/comments2.xml><?xml version="1.0" encoding="utf-8"?>
<comments xmlns="http://schemas.openxmlformats.org/spreadsheetml/2006/main">
  <authors>
    <author>KENNEDY Michael  * DAS</author>
  </authors>
  <commentList>
    <comment ref="F75" authorId="0" shapeId="0">
      <text>
        <r>
          <rPr>
            <b/>
            <sz val="9"/>
            <color indexed="81"/>
            <rFont val="Tahoma"/>
            <family val="2"/>
          </rPr>
          <t>KENNEDY Michael  * DAS:</t>
        </r>
        <r>
          <rPr>
            <sz val="9"/>
            <color indexed="81"/>
            <rFont val="Tahoma"/>
            <family val="2"/>
          </rPr>
          <t xml:space="preserve">
Add factored the BEV growth forecast to account for the jump in 2019</t>
        </r>
      </text>
    </comment>
  </commentList>
</comments>
</file>

<file path=xl/connections.xml><?xml version="1.0" encoding="utf-8"?>
<connections xmlns="http://schemas.openxmlformats.org/spreadsheetml/2006/main">
  <connection id="1" sourceFile="U:\Clean Fuels\Clean Fuels DB.accdb" keepAlive="1" name="Clean Fuels DB" type="5" refreshedVersion="6">
    <dbPr connection="Provider=Microsoft.ACE.OLEDB.12.0;User ID=Admin;Data Source=U:\Clean Fuels\Clean Fuels DB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view_cfdata" commandType="3"/>
  </connection>
  <connection id="2" sourceFile="U:\Clean Fuels\Clean Fuels DB.accdb" keepAlive="1" name="Clean Fuels DB1" type="5" refreshedVersion="6">
    <dbPr connection="Provider=Microsoft.ACE.OLEDB.12.0;User ID=Admin;Data Source=U:\Clean Fuels\Clean Fuels DB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ref_constants" commandType="3"/>
  </connection>
  <connection id="3" sourceFile="U:\Clean Fuels\Clean Fuels DB.accdb" keepAlive="1" name="Clean Fuels DB2" type="5" refreshedVersion="6" saveData="1">
    <dbPr connection="Provider=Microsoft.ACE.OLEDB.12.0;User ID=Admin;Data Source=U:\Clean Fuels\Clean Fuels DB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view_cfp_facility" commandType="3"/>
  </connection>
  <connection id="4" sourceFile="U:\Clean Fuels\Clean Fuels DB.accdb" keepAlive="1" name="Clean Fuels DB3" type="5" refreshedVersion="6">
    <dbPr connection="Provider=Microsoft.ACE.OLEDB.12.0;User ID=Admin;Data Source=U:\Clean Fuels\Clean Fuels DB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view_cfdata" commandType="3"/>
  </connection>
  <connection id="5" sourceFile="U:\Clean Fuels\Clean Fuels DB.accdb" keepAlive="1" name="Clean Fuels DB4" type="5" refreshedVersion="6">
    <dbPr connection="Provider=Microsoft.ACE.OLEDB.12.0;User ID=Admin;Data Source=U:\Clean Fuels\Clean Fuels DB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view_constants" commandType="3"/>
  </connection>
</connections>
</file>

<file path=xl/sharedStrings.xml><?xml version="1.0" encoding="utf-8"?>
<sst xmlns="http://schemas.openxmlformats.org/spreadsheetml/2006/main" count="1491" uniqueCount="783">
  <si>
    <t>- -</t>
  </si>
  <si>
    <t>Energy Use &amp; Related Statistics</t>
  </si>
  <si>
    <t>Motor Gasoline</t>
  </si>
  <si>
    <t>Diesel</t>
  </si>
  <si>
    <t>Gasoline</t>
  </si>
  <si>
    <t>Ethanol</t>
  </si>
  <si>
    <t>Renewable Diesel</t>
  </si>
  <si>
    <t>Biodiesel</t>
  </si>
  <si>
    <t>Electricity</t>
  </si>
  <si>
    <t>units</t>
  </si>
  <si>
    <t>Natural Gas</t>
  </si>
  <si>
    <t>Propane</t>
  </si>
  <si>
    <t>State</t>
  </si>
  <si>
    <t>IA</t>
  </si>
  <si>
    <t>MN</t>
  </si>
  <si>
    <t>NE</t>
  </si>
  <si>
    <t>ND</t>
  </si>
  <si>
    <t>OR</t>
  </si>
  <si>
    <t>SD</t>
  </si>
  <si>
    <t>Hydrogen</t>
  </si>
  <si>
    <t>Year</t>
  </si>
  <si>
    <t>Kerosene</t>
  </si>
  <si>
    <t>Credit / Deficit Summary</t>
  </si>
  <si>
    <t>Deficits</t>
  </si>
  <si>
    <t>Credits</t>
  </si>
  <si>
    <t>Electricity, on-road</t>
  </si>
  <si>
    <t>Electricity, off-road</t>
  </si>
  <si>
    <t>BEV</t>
  </si>
  <si>
    <t>PHEV</t>
  </si>
  <si>
    <t>Total</t>
  </si>
  <si>
    <t>Blendstock</t>
  </si>
  <si>
    <t>Biogas</t>
  </si>
  <si>
    <t>MMmtCO2</t>
  </si>
  <si>
    <t>Energy Use &amp; Related Statistics: Carbon Dioxide Emissions: Reference case</t>
  </si>
  <si>
    <t>tons carbon dioxide)</t>
  </si>
  <si>
    <t>Carbon Dioxide Emissions (million metric</t>
  </si>
  <si>
    <t>billion 2009 $</t>
  </si>
  <si>
    <t>Energy Use &amp; Related Statistics: Gross Domestic Product: Reference case</t>
  </si>
  <si>
    <t>Gross Domestic Product (billion 2009 dollars)</t>
  </si>
  <si>
    <t>millions</t>
  </si>
  <si>
    <t>Energy Use &amp; Related Statistics: Population: Reference case</t>
  </si>
  <si>
    <t>Population (millions)</t>
  </si>
  <si>
    <t>quads</t>
  </si>
  <si>
    <t>Energy Use &amp; Related Statistics: Ethanol Consumed in Motor Gasoline and E85: Reference case</t>
  </si>
  <si>
    <t>Ethanol Consumed in Motor Gasoline and E85</t>
  </si>
  <si>
    <t>Energy Use &amp; Related Statistics: Total Energy Use: Reference case</t>
  </si>
  <si>
    <t>Total Energy Use</t>
  </si>
  <si>
    <t>Energy Use &amp; Related Statistics: Delivered Energy Use: Reference case</t>
  </si>
  <si>
    <t>Delivered Energy Use</t>
  </si>
  <si>
    <t>Energy Use: Total: Total: Reference case</t>
  </si>
  <si>
    <t>Energy Use: Total: Electricity Imports: Reference case</t>
  </si>
  <si>
    <t>Electricity Imports</t>
  </si>
  <si>
    <t>Energy Use: Total: Non-biogenic Municipal Waste: Reference case</t>
  </si>
  <si>
    <t>Non-biogenic Municipal Waste</t>
  </si>
  <si>
    <t>Energy Use: Total: Hydrogen: Reference case</t>
  </si>
  <si>
    <t>Energy Use: Total: Renewable Energy: Reference case</t>
  </si>
  <si>
    <t>Renewable Energy</t>
  </si>
  <si>
    <t>Energy Use: Total: Biofuels Heat and Coproducts: Reference case</t>
  </si>
  <si>
    <t>Biofuels Heat and Coproducts</t>
  </si>
  <si>
    <t>Energy Use: Total: Nuclear: Reference case</t>
  </si>
  <si>
    <t>Nuclear / Uranium</t>
  </si>
  <si>
    <t>Energy Use: Total: Coal Subtotal: Reference case</t>
  </si>
  <si>
    <t>Coal Subtotal</t>
  </si>
  <si>
    <t>Energy Use: Total: Net Coal Coke Imports: Reference case</t>
  </si>
  <si>
    <t>Net Coal Coke Imports</t>
  </si>
  <si>
    <t>Energy Use: Total: Coal-to-Liquids Heat and Power: Reference case</t>
  </si>
  <si>
    <t>Coal-to-Liquids Heat and Power</t>
  </si>
  <si>
    <t>Energy Use: Total: Other Coal: Reference case</t>
  </si>
  <si>
    <t>Other Coal</t>
  </si>
  <si>
    <t>Energy Use: Total: Metallurgical Coal: Reference case</t>
  </si>
  <si>
    <t>Metallurgical Coal</t>
  </si>
  <si>
    <t>Energy Use: Total: Natural Gas Subtotal: Reference case</t>
  </si>
  <si>
    <t>Natural Gas Subtotal</t>
  </si>
  <si>
    <t>Energy Use: Total: Pipeline Natural Gas: Reference case</t>
  </si>
  <si>
    <t>Pipeline and Distribution Fuel Natural Gas</t>
  </si>
  <si>
    <t>Energy Use: Total: Liquefaction: Reference case</t>
  </si>
  <si>
    <t>Natural Gas to Liquefy Gas for Export</t>
  </si>
  <si>
    <t>Energy Use: Total: Lease and Plant Fuel: Reference case</t>
  </si>
  <si>
    <t>Lease and Plant Fuel</t>
  </si>
  <si>
    <t>Energy Use: Total: Natural-Gas-to-Liquids Heat and Power: Reference case</t>
  </si>
  <si>
    <t>Natural-Gas-to-Liquids Heat and Power</t>
  </si>
  <si>
    <t>Energy Use: Total: Natural Gas: Reference case</t>
  </si>
  <si>
    <t>Energy Use: Total: Liquid Fuels Subtotal: Reference case</t>
  </si>
  <si>
    <t>Petroleum and Other Liquids Subtotal</t>
  </si>
  <si>
    <t>Energy Use: Total: Other Petroleum: Reference case</t>
  </si>
  <si>
    <t>Other Petroleum</t>
  </si>
  <si>
    <t>Energy Use: Total: Petrochemical Feedstocks: Reference case</t>
  </si>
  <si>
    <t>Petrochemical Feedstocks</t>
  </si>
  <si>
    <t>Energy Use: Total: Residual Fuel Oil: Reference case</t>
  </si>
  <si>
    <t>Residual Fuel Oil</t>
  </si>
  <si>
    <t>Energy Use: Total: Distillate Fuel Oil: Reference case</t>
  </si>
  <si>
    <t>Distillate Fuel Oil</t>
  </si>
  <si>
    <t>Energy Use: Total: Kerosene: Reference case</t>
  </si>
  <si>
    <t>Energy Use: Total: Jet Fuel: Reference case</t>
  </si>
  <si>
    <t>Jet Fuel</t>
  </si>
  <si>
    <t>Energy Use: Total: E85: Reference case</t>
  </si>
  <si>
    <t>of which:  E85</t>
  </si>
  <si>
    <t>Energy Use: Total: Motor Gasoline: Reference case</t>
  </si>
  <si>
    <t>Energy Use: Total: Liquefied Petroleum Gases: Reference case</t>
  </si>
  <si>
    <t>Liquefied Petroleum Gases and Other</t>
  </si>
  <si>
    <t>Total Energy Consumption</t>
  </si>
  <si>
    <t>Energy Use: Electric Power: Total: Reference case</t>
  </si>
  <si>
    <t>Energy Use: Electric Power: Electricity Imports: Reference case</t>
  </si>
  <si>
    <t>Energy Use: Electric Power: Non-biogenic Municipal Waste: Reference case</t>
  </si>
  <si>
    <t>Energy Use: Electric Power: Renewable Energy: Reference case</t>
  </si>
  <si>
    <t>Energy Use: Electric Power: Nuclear: Reference case</t>
  </si>
  <si>
    <t>Energy Use: Electric Power: Steam Coal: Reference case</t>
  </si>
  <si>
    <t>Steam Coal</t>
  </si>
  <si>
    <t>Energy Use: Electric Power: Natural Gas: Reference case</t>
  </si>
  <si>
    <t>Energy Use: Electric Power: Liquid Fuels Subtotal: Reference case</t>
  </si>
  <si>
    <t>Energy Use: Electric Power: Residual Fuel Oil: Reference case</t>
  </si>
  <si>
    <t>Energy Use: Electric Power: Distillate Fuel Oil: Reference case</t>
  </si>
  <si>
    <t>Electric Power</t>
  </si>
  <si>
    <t>Energy Use: Delivered: All Sectors: Total: Reference case</t>
  </si>
  <si>
    <t>Energy Use: Delivered: All Sectors: Electricity Related Losses: Reference case</t>
  </si>
  <si>
    <t>Electricity Related Losses</t>
  </si>
  <si>
    <t>Energy Use: Delivered: All Sectors: Delivered Energy: Reference case</t>
  </si>
  <si>
    <t>Delivered Energy</t>
  </si>
  <si>
    <t>Energy Use: Delivered: All Sectors: Electricity: Reference case</t>
  </si>
  <si>
    <t>Energy Use: Delivered: All Sectors: Hydrogen: Reference case</t>
  </si>
  <si>
    <t>Energy Use: Delivered: All Sectors: Renewable Energy: Reference case</t>
  </si>
  <si>
    <t>Energy Use: Delivered: All Sectors: Biofuels Heat and Coproducts: Reference case</t>
  </si>
  <si>
    <t>Energy Use: Delivered: All Sectors: Coal Subtotal: Reference case</t>
  </si>
  <si>
    <t>Energy Use: Delivered: All Sectors: Net Coal Coke Imports: Reference case</t>
  </si>
  <si>
    <t>Energy Use: Delivered: All Sectors: Coal-to-Liquids Heat and Power: Reference case</t>
  </si>
  <si>
    <t>Energy Use: Delivered: All Sectors: Other Coal: Reference case</t>
  </si>
  <si>
    <t>Energy Use: Delivered: All Sectors: Metallurgical Coal: Reference case</t>
  </si>
  <si>
    <t>Energy Use: Delivered: All Sectors: Natural Gas Subtotal: Reference case</t>
  </si>
  <si>
    <t>Energy Use: Delivered: All Sectors: Pipeline Natural Gas: Reference case</t>
  </si>
  <si>
    <t>Energy Use: Delivered: All Sectors: Liquefaction: Reference case</t>
  </si>
  <si>
    <t>Energy Use: Delivered: All Sectors: Lease and Plant Fuel: Reference case</t>
  </si>
  <si>
    <t>Energy Use: Delivered: All Sectors: Natural-Gas-to-Liquids Heat and Power: Reference case</t>
  </si>
  <si>
    <t>Energy Use: Delivered: All Sectors: Natural Gas: Reference case</t>
  </si>
  <si>
    <t>Energy Use: Delivered: All Sectors: Liquid Fuels Subtotal: Reference case</t>
  </si>
  <si>
    <t>Energy Use: Delivered: All Sectors: Other Petroleum: Reference case</t>
  </si>
  <si>
    <t>Energy Use: Delivered: All Sectors: Petrochemical Feedstocks: Reference case</t>
  </si>
  <si>
    <t>Energy Use: Delivered: All Sectors: Residual Fuel Oil: Reference case</t>
  </si>
  <si>
    <t>Energy Use: Delivered: All Sectors: Distillate Fuel Oil: Reference case</t>
  </si>
  <si>
    <t>Energy Use: Delivered: All Sectors: Kerosene: Reference case</t>
  </si>
  <si>
    <t>Energy Use: Delivered: All Sectors: Jet Fuel: Reference case</t>
  </si>
  <si>
    <t>Energy Use: Delivered: All Sectors: E85: Reference case</t>
  </si>
  <si>
    <t>Energy Use: Delivered: All Sectors: Motor Gasoline: Reference case</t>
  </si>
  <si>
    <t>Energy Use: Delivered: All Sectors: Liquefied Petroleum Gases: Reference case</t>
  </si>
  <si>
    <t xml:space="preserve"> All Sectors</t>
  </si>
  <si>
    <t>Delivered Energy Consumption</t>
  </si>
  <si>
    <t>Energy Use: Unspecified: Total: Reference case</t>
  </si>
  <si>
    <t>Unspecified Sector</t>
  </si>
  <si>
    <t>Energy Use: Transportation: Total: Reference case</t>
  </si>
  <si>
    <t>Energy Use: Transportation: Electricity Related Losses: Reference case</t>
  </si>
  <si>
    <t>Energy Use: Transportation: Delivered Energy: Reference case</t>
  </si>
  <si>
    <t>Energy Use: Transportation: Electricity: Reference case</t>
  </si>
  <si>
    <t>Energy Use: Transportation: Hydrogen: Reference case</t>
  </si>
  <si>
    <t>Energy Use: Transportation: Natural Gas: Reference case</t>
  </si>
  <si>
    <t>Compressed / Liquefied Natural Gas</t>
  </si>
  <si>
    <t>Energy Use: Transportation: Pipeline Fuel Natural Gas: Reference case</t>
  </si>
  <si>
    <t>Energy Use: Transportation: Liquid Fuels Subtotal: Reference case</t>
  </si>
  <si>
    <t>Energy Use: Transportation: Other Petroleum: Reference case</t>
  </si>
  <si>
    <t>Energy Use: Transportation: Residual Fuel Oil: Reference case</t>
  </si>
  <si>
    <t>Energy Use: Transportation: Distillate Fuel Oil: Reference case</t>
  </si>
  <si>
    <t>Energy Use: Transportation: Jet Fuel: Reference case</t>
  </si>
  <si>
    <t>Energy Use: Transportation: E85: Reference case</t>
  </si>
  <si>
    <t>Energy Use: Transportation: Motor Gasoline: Reference case</t>
  </si>
  <si>
    <t>Energy Use: Transportation: Propane: Reference case</t>
  </si>
  <si>
    <t>Transportation</t>
  </si>
  <si>
    <t>Energy Use: Industrial: Total: Reference case</t>
  </si>
  <si>
    <t>Energy Use: Industrial: Electricity Related Losses: Reference case</t>
  </si>
  <si>
    <t>Energy Use: Industrial: Delivered Energy: Reference case</t>
  </si>
  <si>
    <t>Energy Use: Industrial: Electricity: Reference case</t>
  </si>
  <si>
    <t>Energy Use: Industrial: Renewable Energy: Reference case</t>
  </si>
  <si>
    <t>Energy Use: Industrial: Biofuels Heat and Coproducts: Reference case</t>
  </si>
  <si>
    <t>Energy Use: Industrial: Coal Subtotal: Reference case</t>
  </si>
  <si>
    <t>Energy Use: Industrial: Net Coal Coke Imports: Reference case</t>
  </si>
  <si>
    <t>Energy Use: Industrial: Coal-to-Liquids Heat and Power: Reference case</t>
  </si>
  <si>
    <t>Energy Use: Industrial: Other Industrial Coal: Reference case</t>
  </si>
  <si>
    <t>Other Industrial Coal</t>
  </si>
  <si>
    <t>Energy Use: Industrial: Metallurgical Coal: Reference case</t>
  </si>
  <si>
    <t>Energy Use: Industrial: Natural Gas Subtotal: Reference case</t>
  </si>
  <si>
    <t>Energy Use: Industrial: Liquefaction: Reference case</t>
  </si>
  <si>
    <t>Energy Use: Industrial: Lease and Plant Fuel: Reference case</t>
  </si>
  <si>
    <t>Energy Use: Industrial: Natural-Gas-to-Liquids Heat and Power: Reference case</t>
  </si>
  <si>
    <t>Energy Use: Industrial: Natural Gas: Reference case</t>
  </si>
  <si>
    <t>Energy Use: Industrial: Liquid Fuels Subtotal: Reference case</t>
  </si>
  <si>
    <t>Energy Use: Industrial: Other Petroleum: Reference case</t>
  </si>
  <si>
    <t>Energy Use: Industrial: Petrochemical Feedstocks: Reference case</t>
  </si>
  <si>
    <t>Energy Use: Industrial: Residual Fuel Oil: Reference case</t>
  </si>
  <si>
    <t>Energy Use: Industrial: Distillate Fuel Oil: Reference case</t>
  </si>
  <si>
    <t>Energy Use: Industrial: Motor Gasoline: Reference case</t>
  </si>
  <si>
    <t>Energy Use: Industrial: Liquefied Petroleum Gases: Reference case</t>
  </si>
  <si>
    <t>Industrial</t>
  </si>
  <si>
    <t>Energy Use: Commercial: Total: Reference case</t>
  </si>
  <si>
    <t>Energy Use: Commercial: Electricity Related Losses: Reference case</t>
  </si>
  <si>
    <t>Energy Use: Commercial: Delivered Energy: Reference case</t>
  </si>
  <si>
    <t>Energy Use: Commercial: Electricity: Reference case</t>
  </si>
  <si>
    <t>Energy Use: Commercial: Renewable Energy: Reference case</t>
  </si>
  <si>
    <t>Energy Use: Commercial: Coal: Reference case</t>
  </si>
  <si>
    <t>Coal</t>
  </si>
  <si>
    <t>Energy Use: Commercial: Natural Gas: Reference case</t>
  </si>
  <si>
    <t>Energy Use: Commercial: Liquid Fuels Subtotal: Reference case</t>
  </si>
  <si>
    <t>Energy Use: Commercial: Residual Fuel Oil: Reference case</t>
  </si>
  <si>
    <t>Energy Use: Commercial: Distillate Fuel Oil: Reference case</t>
  </si>
  <si>
    <t>Energy Use: Commercial: Kerosene: Reference case</t>
  </si>
  <si>
    <t>Energy Use: Commercial: Motor Gasoline: Reference case</t>
  </si>
  <si>
    <t>Energy Use: Commercial: Propane: Reference case</t>
  </si>
  <si>
    <t>Commercial</t>
  </si>
  <si>
    <t>Energy Use: Residential: Total: Reference case</t>
  </si>
  <si>
    <t>Energy Use: Residential: Electricity Related Losses: Reference case</t>
  </si>
  <si>
    <t>Energy Use: Residential: Delivered Energy: Reference case</t>
  </si>
  <si>
    <t>Energy Use: Residential: Electricity: Reference case</t>
  </si>
  <si>
    <t>Energy Use: Residential: Renewable Energy: Reference case</t>
  </si>
  <si>
    <t>Energy Use: Residential: Natural Gas: Reference case</t>
  </si>
  <si>
    <t>Energy Use: Residential: Liquid Fuels Subtotal: Reference case</t>
  </si>
  <si>
    <t>Energy Use: Residential: Distillate Fuel Oil: Reference case</t>
  </si>
  <si>
    <t>Energy Use: Residential: Propane: Reference case</t>
  </si>
  <si>
    <t>Residential</t>
  </si>
  <si>
    <t>api key</t>
  </si>
  <si>
    <t>full name</t>
  </si>
  <si>
    <t>Source: U.S. Energy Information Administration</t>
  </si>
  <si>
    <t>Qtr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</si>
  <si>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</si>
  <si>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</si>
  <si>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</si>
  <si>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</si>
  <si>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</si>
  <si>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</si>
  <si>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</si>
  <si>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</si>
  <si>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</si>
  <si>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</si>
  <si>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</si>
  <si>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</si>
  <si>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</si>
  <si>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</si>
  <si>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</si>
  <si>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</si>
  <si>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</si>
  <si>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</si>
  <si>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</si>
  <si>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</si>
  <si>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</si>
  <si>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</si>
  <si>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</si>
  <si>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</si>
  <si>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Q1-2019</t>
  </si>
  <si>
    <t>Q2-2019</t>
  </si>
  <si>
    <t>Q3-2019</t>
  </si>
  <si>
    <t>Q4-2019</t>
  </si>
  <si>
    <t>Annual Averages</t>
  </si>
  <si>
    <t>Std Deviation</t>
  </si>
  <si>
    <t>Total Net Credits/Deficits</t>
  </si>
  <si>
    <t>period</t>
  </si>
  <si>
    <t>data_type</t>
  </si>
  <si>
    <t>credit</t>
  </si>
  <si>
    <t>deficit</t>
  </si>
  <si>
    <t>volume</t>
  </si>
  <si>
    <t>fuel_name</t>
  </si>
  <si>
    <t>Diesel_Renew</t>
  </si>
  <si>
    <t>Bio_CNG</t>
  </si>
  <si>
    <t>Bio_LNG</t>
  </si>
  <si>
    <t>Diesel_B20</t>
  </si>
  <si>
    <t>Diesel_B5</t>
  </si>
  <si>
    <t>Electricity_Off</t>
  </si>
  <si>
    <t>Electricity_On</t>
  </si>
  <si>
    <t>Ethanol&lt;55</t>
  </si>
  <si>
    <t>Ethanol&gt;75</t>
  </si>
  <si>
    <t>Ethanol55-65</t>
  </si>
  <si>
    <t>Ethanol65-75</t>
  </si>
  <si>
    <t>Fossil_CNG</t>
  </si>
  <si>
    <t>Gasoline_E10</t>
  </si>
  <si>
    <t>Liq_Petroleum</t>
  </si>
  <si>
    <t>fuel_type</t>
  </si>
  <si>
    <t>Alternative</t>
  </si>
  <si>
    <t>Alternative Total</t>
  </si>
  <si>
    <t>Fossil</t>
  </si>
  <si>
    <t>Fossil Total</t>
  </si>
  <si>
    <t>Sum of quantity</t>
  </si>
  <si>
    <t>Fossil_LNG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</si>
  <si>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</si>
  <si>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</si>
  <si>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</si>
  <si>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</si>
  <si>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</si>
  <si>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</si>
  <si>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</si>
  <si>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</si>
  <si>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PHEV (baseline)</t>
  </si>
  <si>
    <t>PHEV (high)</t>
  </si>
  <si>
    <t>PHEV (low)</t>
  </si>
  <si>
    <t>BEV (baseline)</t>
  </si>
  <si>
    <t>BEV (high)</t>
  </si>
  <si>
    <t>BEV (low)</t>
  </si>
  <si>
    <t>Total (baseline)</t>
  </si>
  <si>
    <t>Total (high)</t>
  </si>
  <si>
    <t>Total (low)</t>
  </si>
  <si>
    <t>2-AEO2019.159.ref2019-d111618a</t>
  </si>
  <si>
    <t>2-AEO2019.158.</t>
  </si>
  <si>
    <t>2-AEO2019.157.ref2019-d111618a</t>
  </si>
  <si>
    <t>2-AEO2019.156.ref2019-d111618a</t>
  </si>
  <si>
    <t>2-AEO2019.155.ref2019-d111618a</t>
  </si>
  <si>
    <t>2-AEO2019.154.ref2019-d111618a</t>
  </si>
  <si>
    <t>2-AEO2019.153.ref2019-d111618a</t>
  </si>
  <si>
    <t>2-AEO2019.152.</t>
  </si>
  <si>
    <t>2-AEO2019.150.ref2019-d111618a</t>
  </si>
  <si>
    <t>2-AEO2019.149.ref2019-d111618a</t>
  </si>
  <si>
    <t>2-AEO2019.148.ref2019-d111618a</t>
  </si>
  <si>
    <t>2-AEO2019.147.ref2019-d111618a</t>
  </si>
  <si>
    <t>2-AEO2019.146.ref2019-d111618a</t>
  </si>
  <si>
    <t>2-AEO2019.145.ref2019-d111618a</t>
  </si>
  <si>
    <t>2-AEO2019.144.ref2019-d111618a</t>
  </si>
  <si>
    <t>2-AEO2019.143.ref2019-d111618a</t>
  </si>
  <si>
    <t>2-AEO2019.142.ref2019-d111618a</t>
  </si>
  <si>
    <t>2-AEO2019.141.ref2019-d111618a</t>
  </si>
  <si>
    <t>2-AEO2019.140.ref2019-d111618a</t>
  </si>
  <si>
    <t>2-AEO2019.139.ref2019-d111618a</t>
  </si>
  <si>
    <t>2-AEO2019.138.ref2019-d111618a</t>
  </si>
  <si>
    <t>2-AEO2019.137.ref2019-d111618a</t>
  </si>
  <si>
    <t>2-AEO2019.136.ref2019-d111618a</t>
  </si>
  <si>
    <t>2-AEO2019.135.ref2019-d111618a</t>
  </si>
  <si>
    <t>2-AEO2019.134.ref2019-d111618a</t>
  </si>
  <si>
    <t>2-AEO2019.133.ref2019-d111618a</t>
  </si>
  <si>
    <t>2-AEO2019.132.ref2019-d111618a</t>
  </si>
  <si>
    <t>2-AEO2019.131.ref2019-d111618a</t>
  </si>
  <si>
    <t>2-AEO2019.130.ref2019-d111618a</t>
  </si>
  <si>
    <t>2-AEO2019.129.ref2019-d111618a</t>
  </si>
  <si>
    <t>2-AEO2019.128.ref2019-d111618a</t>
  </si>
  <si>
    <t>2-AEO2019.127.ref2019-d111618a</t>
  </si>
  <si>
    <t>2-AEO2019.126.ref2019-d111618a</t>
  </si>
  <si>
    <t>2-AEO2019.125.ref2019-d111618a</t>
  </si>
  <si>
    <t>2-AEO2019.124.ref2019-d111618a</t>
  </si>
  <si>
    <t>2-AEO2019.123.ref2019-d111618a</t>
  </si>
  <si>
    <t>2-AEO2019.122.</t>
  </si>
  <si>
    <t>2-AEO2019.120.ref2019-d111618a</t>
  </si>
  <si>
    <t>2-AEO2019.119.ref2019-d111618a</t>
  </si>
  <si>
    <t>2-AEO2019.118.ref2019-d111618a</t>
  </si>
  <si>
    <t>2-AEO2019.117.ref2019-d111618a</t>
  </si>
  <si>
    <t>2-AEO2019.116.ref2019-d111618a</t>
  </si>
  <si>
    <t>2-AEO2019.115.ref2019-d111618a</t>
  </si>
  <si>
    <t>2-AEO2019.114.ref2019-d111618a</t>
  </si>
  <si>
    <t>2-AEO2019.113.ref2019-d111618a</t>
  </si>
  <si>
    <t>2-AEO2019.112.ref2019-d111618a</t>
  </si>
  <si>
    <t>2-AEO2019.111.ref2019-d111618a</t>
  </si>
  <si>
    <t>2-AEO2019.110.</t>
  </si>
  <si>
    <t>2-AEO2019.107.ref2019-d111618a</t>
  </si>
  <si>
    <t>2-AEO2019.106.ref2019-d111618a</t>
  </si>
  <si>
    <t>2-AEO2019.105.ref2019-d111618a</t>
  </si>
  <si>
    <t>2-AEO2019.104.ref2019-d111618a</t>
  </si>
  <si>
    <t>2-AEO2019.103.ref2019-d111618a</t>
  </si>
  <si>
    <t>2-AEO2019.102.ref2019-d111618a</t>
  </si>
  <si>
    <t>2-AEO2019.101.ref2019-d111618a</t>
  </si>
  <si>
    <t>2-AEO2019.100.ref2019-d111618a</t>
  </si>
  <si>
    <t>2-AEO2019.99.ref2019-d111618a</t>
  </si>
  <si>
    <t>2-AEO2019.98.ref2019-d111618a</t>
  </si>
  <si>
    <t>2-AEO2019.97.ref2019-d111618a</t>
  </si>
  <si>
    <t>2-AEO2019.96.ref2019-d111618a</t>
  </si>
  <si>
    <t>2-AEO2019.95.ref2019-d111618a</t>
  </si>
  <si>
    <t>2-AEO2019.94.ref2019-d111618a</t>
  </si>
  <si>
    <t>2-AEO2019.93.ref2019-d111618a</t>
  </si>
  <si>
    <t>2-AEO2019.92.ref2019-d111618a</t>
  </si>
  <si>
    <t>2-AEO2019.91.ref2019-d111618a</t>
  </si>
  <si>
    <t>2-AEO2019.90.ref2019-d111618a</t>
  </si>
  <si>
    <t>2-AEO2019.89.ref2019-d111618a</t>
  </si>
  <si>
    <t>2-AEO2019.88.ref2019-d111618a</t>
  </si>
  <si>
    <t>2-AEO2019.87.ref2019-d111618a</t>
  </si>
  <si>
    <t>2-AEO2019.86.ref2019-d111618a</t>
  </si>
  <si>
    <t>2-AEO2019.85.ref2019-d111618a</t>
  </si>
  <si>
    <t>2-AEO2019.84.ref2019-d111618a</t>
  </si>
  <si>
    <t>2-AEO2019.83.ref2019-d111618a</t>
  </si>
  <si>
    <t>2-AEO2019.82.ref2019-d111618a</t>
  </si>
  <si>
    <t>2-AEO2019.81.ref2019-d111618a</t>
  </si>
  <si>
    <t>2-AEO2019.80.ref2019-d111618a</t>
  </si>
  <si>
    <t>2-AEO2019.79.</t>
  </si>
  <si>
    <t>2-AEO2019.77.ref2019-d111618a</t>
  </si>
  <si>
    <t>2-AEO2019.73.</t>
  </si>
  <si>
    <t>2-AEO2019.71.ref2019-d111618a</t>
  </si>
  <si>
    <t>2-AEO2019.70.ref2019-d111618a</t>
  </si>
  <si>
    <t>2-AEO2019.69.ref2019-d111618a</t>
  </si>
  <si>
    <t>2-AEO2019.68.ref2019-d111618a</t>
  </si>
  <si>
    <t>2-AEO2019.67.ref2019-d111618a</t>
  </si>
  <si>
    <t>2-AEO2019.66.ref2019-d111618a</t>
  </si>
  <si>
    <t>2-AEO2019.65.ref2019-d111618a</t>
  </si>
  <si>
    <t>2-AEO2019.64.ref2019-d111618a</t>
  </si>
  <si>
    <t>2-AEO2019.63.ref2019-d111618a</t>
  </si>
  <si>
    <t>2-AEO2019.62.ref2019-d111618a</t>
  </si>
  <si>
    <t>2-AEO2019.61.ref2019-d111618a</t>
  </si>
  <si>
    <t>2-AEO2019.60.ref2019-d111618a</t>
  </si>
  <si>
    <t>2-AEO2019.59.ref2019-d111618a</t>
  </si>
  <si>
    <t>2-AEO2019.58.ref2019-d111618a</t>
  </si>
  <si>
    <t>2-AEO2019.57.ref2019-d111618a</t>
  </si>
  <si>
    <t>2-AEO2019.56.</t>
  </si>
  <si>
    <t>2-AEO2019.53.ref2019-d111618a</t>
  </si>
  <si>
    <t>2-AEO2019.52.ref2019-d111618a</t>
  </si>
  <si>
    <t>2-AEO2019.51.ref2019-d111618a</t>
  </si>
  <si>
    <t>2-AEO2019.50.ref2019-d111618a</t>
  </si>
  <si>
    <t>2-AEO2019.49.ref2019-d111618a</t>
  </si>
  <si>
    <t>2-AEO2019.48.ref2019-d111618a</t>
  </si>
  <si>
    <t>2-AEO2019.47.ref2019-d111618a</t>
  </si>
  <si>
    <t>2-AEO2019.46.ref2019-d111618a</t>
  </si>
  <si>
    <t>2-AEO2019.45.ref2019-d111618a</t>
  </si>
  <si>
    <t>2-AEO2019.43.ref2019-d111618a</t>
  </si>
  <si>
    <t>2-AEO2019.42.ref2019-d111618a</t>
  </si>
  <si>
    <t>2-AEO2019.41.ref2019-d111618a</t>
  </si>
  <si>
    <t>2-AEO2019.40.ref2019-d111618a</t>
  </si>
  <si>
    <t>2-AEO2019.39.ref2019-d111618a</t>
  </si>
  <si>
    <t>2-AEO2019.38.ref2019-d111618a</t>
  </si>
  <si>
    <t>2-AEO2019.37.ref2019-d111618a</t>
  </si>
  <si>
    <t>2-AEO2019.36.ref2019-d111618a</t>
  </si>
  <si>
    <t>2-AEO2019.35.ref2019-d111618a</t>
  </si>
  <si>
    <t>2-AEO2019.34.ref2019-d111618a</t>
  </si>
  <si>
    <t>2-AEO2019.33.ref2019-d111618a</t>
  </si>
  <si>
    <t>2-AEO2019.32.ref2019-d111618a</t>
  </si>
  <si>
    <t>2-AEO2019.31.ref2019-d111618a</t>
  </si>
  <si>
    <t>2-AEO2019.30.ref2019-d111618a</t>
  </si>
  <si>
    <t>2-AEO2019.29.</t>
  </si>
  <si>
    <t>2-AEO2019.27.ref2019-d111618a</t>
  </si>
  <si>
    <t>2-AEO2019.26.ref2019-d111618a</t>
  </si>
  <si>
    <t>2-AEO2019.25.ref2019-d111618a</t>
  </si>
  <si>
    <t>2-AEO2019.24.ref2019-d111618a</t>
  </si>
  <si>
    <t>2-AEO2019.23.ref2019-d111618a</t>
  </si>
  <si>
    <t>2-AEO2019.22.ref2019-d111618a</t>
  </si>
  <si>
    <t>2-AEO2019.21.ref2019-d111618a</t>
  </si>
  <si>
    <t>2-AEO2019.20.ref2019-d111618a</t>
  </si>
  <si>
    <t>2-AEO2019.19.ref2019-d111618a</t>
  </si>
  <si>
    <t>2-AEO2019.18.ref2019-d111618a</t>
  </si>
  <si>
    <t>2-AEO2019.17.ref2019-d111618a</t>
  </si>
  <si>
    <t>2-AEO2019.16.ref2019-d111618a</t>
  </si>
  <si>
    <t>2-AEO2019.15.ref2019-d111618a</t>
  </si>
  <si>
    <t>2-AEO2019.14.</t>
  </si>
  <si>
    <t>2-AEO2019.12.ref2019-d111618a</t>
  </si>
  <si>
    <t>2-AEO2019.11.ref2019-d111618a</t>
  </si>
  <si>
    <t>2-AEO2019.10.ref2019-d111618a</t>
  </si>
  <si>
    <t>2-AEO2019.9.ref2019-d111618a</t>
  </si>
  <si>
    <t>2-AEO2019.8.ref2019-d111618a</t>
  </si>
  <si>
    <t>2-AEO2019.7.ref2019-d111618a</t>
  </si>
  <si>
    <t>2-AEO2019.6.ref2019-d111618a</t>
  </si>
  <si>
    <t>2-AEO2019.5.ref2019-d111618a</t>
  </si>
  <si>
    <t>2-AEO2019.3.ref2019-d111618a</t>
  </si>
  <si>
    <t>2-AEO2019.2.</t>
  </si>
  <si>
    <t>Growth (2018-2050)</t>
  </si>
  <si>
    <t>24-AEO2019.62.ref2019-d111618a</t>
  </si>
  <si>
    <t>Renewable Energy: Nonmarketed Selected Use: Commercial: Wind: Reference case</t>
  </si>
  <si>
    <t>Wind</t>
  </si>
  <si>
    <t>24-AEO2019.61.ref2019-d111618a</t>
  </si>
  <si>
    <t>Renewable Energy: Nonmarketed Selected Use: Commercial: Solar Photovoltaic: Reference case</t>
  </si>
  <si>
    <t>Solar Photovoltaic</t>
  </si>
  <si>
    <t>24-AEO2019.60.ref2019-d111618a</t>
  </si>
  <si>
    <t>Renewable Energy: Nonmarketed Selected Use: Commercial: Solar Thermal: Reference case</t>
  </si>
  <si>
    <t>Solar Thermal</t>
  </si>
  <si>
    <t>24-AEO2019.59.ref2019-d111618a</t>
  </si>
  <si>
    <t>Renewable Energy: Nonmarketed Selected Use: Commercial: Reference case</t>
  </si>
  <si>
    <t>24-AEO2019.57.ref2019-d111618a</t>
  </si>
  <si>
    <t>Renewable Energy: Nonmarketed Selected Use: Residential: Wind: Reference case</t>
  </si>
  <si>
    <t>24-AEO2019.56.ref2019-d111618a</t>
  </si>
  <si>
    <t>Renewable Energy: Nonmarketed Selected Use: Residential: Solar Photovoltaic: Reference case</t>
  </si>
  <si>
    <t>24-AEO2019.55.ref2019-d111618a</t>
  </si>
  <si>
    <t>Renewable Energy: Nonmarketed Selected Use: Residential: Geothermal Heat Pumps: Reference case</t>
  </si>
  <si>
    <t>Geothermal Heat Pumps</t>
  </si>
  <si>
    <t>24-AEO2019.54.ref2019-d111618a</t>
  </si>
  <si>
    <t>Renewable Energy: Nonmarketed Selected Use: Residential: Solar Hot Water Heating: Reference case</t>
  </si>
  <si>
    <t>Solar Hot Water Heating</t>
  </si>
  <si>
    <t>24-AEO2019.53.ref2019-d111618a</t>
  </si>
  <si>
    <t>Renewable Energy: Nonmarketed Selected Use: Residential: Reference case</t>
  </si>
  <si>
    <t>24-AEO2019.51.</t>
  </si>
  <si>
    <t>Selected Consumption</t>
  </si>
  <si>
    <t>24-AEO2019.50.</t>
  </si>
  <si>
    <t>Nonmarketed Renewable Energy</t>
  </si>
  <si>
    <t>24-AEO2019.39.ref2019-d111618a</t>
  </si>
  <si>
    <t>Renewable Energy: Total U.S. Supply of Ethanol: Reference case</t>
  </si>
  <si>
    <t>Total U.S. Supply of Ethanol</t>
  </si>
  <si>
    <t>24-AEO2019.38.ref2019-d111618a</t>
  </si>
  <si>
    <t>Renewable Energy: Sources of Ethanol: Net Imports: Reference case</t>
  </si>
  <si>
    <t>Net Imports</t>
  </si>
  <si>
    <t>24-AEO2019.37.ref2019-d111618a</t>
  </si>
  <si>
    <t>Renewable Energy: Sources of Ethanol: From Cellulose: Reference case</t>
  </si>
  <si>
    <t>From Cellulose</t>
  </si>
  <si>
    <t>24-AEO2019.36.ref2019-d111618a</t>
  </si>
  <si>
    <t>Renewable Energy: Sources of Ethanol: From Corn: Reference case</t>
  </si>
  <si>
    <t>From Corn and Other Starch</t>
  </si>
  <si>
    <t>24-AEO2019.35.</t>
  </si>
  <si>
    <t>Sources of Ethanol</t>
  </si>
  <si>
    <t>24-AEO2019.33.ref2019-d111618a</t>
  </si>
  <si>
    <t>Renewable Energy: Total Marketed Renewable Energy Use: Reference case</t>
  </si>
  <si>
    <t>Total Marketed Renewable Energy</t>
  </si>
  <si>
    <t>24-AEO2019.31.ref2019-d111618a</t>
  </si>
  <si>
    <t>Renewable Energy: Marketed Use: Electric Power: Wind: Reference case</t>
  </si>
  <si>
    <t>24-AEO2019.30.ref2019-d111618a</t>
  </si>
  <si>
    <t>Renewable Energy: Marketed Use: Electric Power: Solar Photovoltaic: Reference case</t>
  </si>
  <si>
    <t>24-AEO2019.29.ref2019-d111618a</t>
  </si>
  <si>
    <t>Renewable Energy: Marketed Use: Electric Power: Solar Thermal: Reference case</t>
  </si>
  <si>
    <t>24-AEO2019.28.ref2019-d111618a</t>
  </si>
  <si>
    <t>Renewable Energy: Marketed Use: Electric Power: Biomass: Cofiring: Reference case</t>
  </si>
  <si>
    <t>Cofiring</t>
  </si>
  <si>
    <t>24-AEO2019.27.ref2019-d111618a</t>
  </si>
  <si>
    <t>Renewable Energy: Marketed Use: Electric Power: Biomass: Dedicated Plants: Reference case</t>
  </si>
  <si>
    <t>Dedicated Plants</t>
  </si>
  <si>
    <t>24-AEO2019.26.ref2019-d111618a</t>
  </si>
  <si>
    <t>Renewable Energy: Marketed Use: Electric Power: Biomass: Reference case</t>
  </si>
  <si>
    <t>Biomass</t>
  </si>
  <si>
    <t>24-AEO2019.25.ref2019-d111618a</t>
  </si>
  <si>
    <t>Renewable Energy: Marketed Use: Electric Power: Biogenic Municipal Waste: Reference case</t>
  </si>
  <si>
    <t>Biogenic Municipal Waste</t>
  </si>
  <si>
    <t>24-AEO2019.24.ref2019-d111618a</t>
  </si>
  <si>
    <t>Renewable Energy: Marketed Use: Electric Power: Geothermal: Reference case</t>
  </si>
  <si>
    <t>Geothermal</t>
  </si>
  <si>
    <t>24-AEO2019.23.ref2019-d111618a</t>
  </si>
  <si>
    <t>Renewable Energy: Marketed Use: Electric Power: Hydropower: Reference case</t>
  </si>
  <si>
    <t>Conventional Hydroelectric Power</t>
  </si>
  <si>
    <t>24-AEO2019.22.ref2019-d111618a</t>
  </si>
  <si>
    <t>Renewable Energy: Marketed Use: Electric Power: Reference case</t>
  </si>
  <si>
    <t>24-AEO2019.20.ref2019-d111618a</t>
  </si>
  <si>
    <t>Renewable Energy: Marketed Use: Transportation: Green Liquids: Reference case</t>
  </si>
  <si>
    <t>Renewable Diesel and Gasoline</t>
  </si>
  <si>
    <t>24-AEO2019.19.ref2019-d111618a</t>
  </si>
  <si>
    <t>Renewable Energy: Marketed Use: Transportation: Liquids from Biomass: Reference case</t>
  </si>
  <si>
    <t>Liquids from Biomass</t>
  </si>
  <si>
    <t>24-AEO2019.18.ref2019-d111618a</t>
  </si>
  <si>
    <t>Renewable Energy: Marketed Use: Transportation: Biobutanol: Reference case</t>
  </si>
  <si>
    <t>Biobutanol</t>
  </si>
  <si>
    <t>24-AEO2019.17.ref2019-d111618a</t>
  </si>
  <si>
    <t>Renewable Energy: Marketed Use: Transportation: Biodiesel used in Distillate Blending: Reference case</t>
  </si>
  <si>
    <t>Biodiesel used in Distillate Blending</t>
  </si>
  <si>
    <t>24-AEO2019.16.ref2019-d111618a</t>
  </si>
  <si>
    <t>Renewable Energy: Marketed Use: Transportation: Ethanol used in Gasoline Blending: Reference case</t>
  </si>
  <si>
    <t>Ethanol used in Gasoline Blending</t>
  </si>
  <si>
    <t>24-AEO2019.15.ref2019-d111618a</t>
  </si>
  <si>
    <t>Renewable Energy: Marketed Use: Transportation: Ethanol used in E85: Reference case</t>
  </si>
  <si>
    <t>Ethanol used in E85</t>
  </si>
  <si>
    <t>24-AEO2019.14.ref2019-d111618a</t>
  </si>
  <si>
    <t>Renewable Energy: Marketed Use: Transportation: Reference case</t>
  </si>
  <si>
    <t>24-AEO2019.12.ref2019-d111618a</t>
  </si>
  <si>
    <t>Renewable Energy: Marketed Use: Industrial: Biofuels Heat and Coproducts: Reference case</t>
  </si>
  <si>
    <t>24-AEO2019.11.ref2019-d111618a</t>
  </si>
  <si>
    <t>Renewable Energy: Marketed Use: Industrial: Biomass: Reference case</t>
  </si>
  <si>
    <t>24-AEO2019.10.ref2019-d111618a</t>
  </si>
  <si>
    <t>Renewable Energy: Marketed Use: Industrial: Municipal Waste: Reference case</t>
  </si>
  <si>
    <t>Municipal Waste</t>
  </si>
  <si>
    <t>24-AEO2019.9.ref2019-d111618a</t>
  </si>
  <si>
    <t>Renewable Energy: Marketed Use: Industrial: Hydropower: Reference case</t>
  </si>
  <si>
    <t>24-AEO2019.8.ref2019-d111618a</t>
  </si>
  <si>
    <t>Renewable Energy: Marketed Use: Industrial: Reference case</t>
  </si>
  <si>
    <t>24-AEO2019.6.ref2019-d111618a</t>
  </si>
  <si>
    <t>Renewable Energy: Marketed Use: Commercial: Biomass: Reference case</t>
  </si>
  <si>
    <t>Commercial (biomass)</t>
  </si>
  <si>
    <t>24-AEO2019.4.ref2019-d111618a</t>
  </si>
  <si>
    <t>Renewable Energy: Marketed Use: Residential: Wood: Reference case</t>
  </si>
  <si>
    <t>Residential (wood)</t>
  </si>
  <si>
    <t>24-AEO2019.2.</t>
  </si>
  <si>
    <t>Marketed Renewable Energy1</t>
  </si>
  <si>
    <t>Pinned Series</t>
  </si>
  <si>
    <t>Clean Fuels Program</t>
  </si>
  <si>
    <t>Total Diesel</t>
  </si>
  <si>
    <t>EIA National Outlook</t>
  </si>
  <si>
    <t>(Mil. gallons, percent)</t>
  </si>
  <si>
    <t>Conventional Gasoline</t>
  </si>
  <si>
    <t>Ethanol Blend Rate</t>
  </si>
  <si>
    <t>Fossil Diesel</t>
  </si>
  <si>
    <t>Biodiesel Blend Rate</t>
  </si>
  <si>
    <t>Renew diesel Blend Rate</t>
  </si>
  <si>
    <t>Electricity (on-road)</t>
  </si>
  <si>
    <t>Electricity (off-road)</t>
  </si>
  <si>
    <t>Fossil Natural Gas</t>
  </si>
  <si>
    <t>Biogas Blend Rate</t>
  </si>
  <si>
    <t>Total Natural Gas</t>
  </si>
  <si>
    <t>ODOT Diesel Forecast</t>
  </si>
  <si>
    <t>Growth Rates by Fuel Type, EIA vs. ODOT vs. CFP/OEA</t>
  </si>
  <si>
    <t>ODOT Gasoline Forecast</t>
  </si>
  <si>
    <t>electricity_res</t>
  </si>
  <si>
    <t>parameter_name</t>
  </si>
  <si>
    <t>gasoline</t>
  </si>
  <si>
    <t>diesel</t>
  </si>
  <si>
    <t>gasoline_E10</t>
  </si>
  <si>
    <t>Jet_Fuel</t>
  </si>
  <si>
    <t>EnDen</t>
  </si>
  <si>
    <t>CI_Target</t>
  </si>
  <si>
    <t>CI_Actual</t>
  </si>
  <si>
    <t>Parameter</t>
  </si>
  <si>
    <t>Sum of value</t>
  </si>
  <si>
    <t>Grand Total</t>
  </si>
  <si>
    <t>Sum of Total Cap</t>
  </si>
  <si>
    <t>CFP_ID</t>
  </si>
  <si>
    <t>City</t>
  </si>
  <si>
    <t>Yuma</t>
  </si>
  <si>
    <t>Sterling</t>
  </si>
  <si>
    <t>Atwater</t>
  </si>
  <si>
    <t>Benson</t>
  </si>
  <si>
    <t>Hankinson</t>
  </si>
  <si>
    <t>Trenton</t>
  </si>
  <si>
    <t>Adams</t>
  </si>
  <si>
    <t>Jackson</t>
  </si>
  <si>
    <t>Plainview</t>
  </si>
  <si>
    <t>Madrid</t>
  </si>
  <si>
    <t>Bridgeport</t>
  </si>
  <si>
    <t>Boardman</t>
  </si>
  <si>
    <t>Redfield</t>
  </si>
  <si>
    <t>Huron</t>
  </si>
  <si>
    <t>Chancellor</t>
  </si>
  <si>
    <t>Mina</t>
  </si>
  <si>
    <t>Hudson</t>
  </si>
  <si>
    <t>Richardton</t>
  </si>
  <si>
    <t>Wentworth</t>
  </si>
  <si>
    <t>CI Weighted Average</t>
  </si>
  <si>
    <t>Max Capacity</t>
  </si>
  <si>
    <t>Energy
Density</t>
  </si>
  <si>
    <t>Carbon Intensity
Target</t>
  </si>
  <si>
    <t>Carbon Intensity
Assumption</t>
  </si>
  <si>
    <t>KWh/vehicle</t>
  </si>
  <si>
    <t>Liq. Petroleum Gas</t>
  </si>
  <si>
    <t>Banked Credits Share of 2020 Deficits</t>
  </si>
  <si>
    <t>On-road electricity include calculation of residential charging.</t>
  </si>
  <si>
    <t>Deficit Total</t>
  </si>
  <si>
    <t>Credit Total</t>
  </si>
  <si>
    <t>CBOB</t>
  </si>
  <si>
    <t>Renewable NG</t>
  </si>
  <si>
    <t>Blend Rate</t>
  </si>
  <si>
    <t>Fossil NG</t>
  </si>
  <si>
    <t>On-road electricity</t>
  </si>
  <si>
    <t>Residential electricity</t>
  </si>
  <si>
    <t>Total electricity</t>
  </si>
  <si>
    <t>Res percent</t>
  </si>
  <si>
    <t>Liquid Petroleum</t>
  </si>
  <si>
    <t>Volumes Reported</t>
  </si>
  <si>
    <t>Conventional Diesel</t>
  </si>
  <si>
    <t>Electricity-On</t>
  </si>
  <si>
    <t>Electricity-Off</t>
  </si>
  <si>
    <t>Fossil Nat. Gas</t>
  </si>
  <si>
    <t>Q1-2022</t>
  </si>
  <si>
    <t>Q2-2022</t>
  </si>
  <si>
    <t>Q3-2022</t>
  </si>
  <si>
    <t>Q4-2022</t>
  </si>
  <si>
    <t>Q1-2023</t>
  </si>
  <si>
    <t>Q2-2023</t>
  </si>
  <si>
    <t>Q3-2023</t>
  </si>
  <si>
    <t>Q4-2023</t>
  </si>
  <si>
    <t>Q1-2024</t>
  </si>
  <si>
    <t>Q2-2024</t>
  </si>
  <si>
    <t>Q3-2024</t>
  </si>
  <si>
    <t>Q4-2024</t>
  </si>
  <si>
    <t>Q1-2025</t>
  </si>
  <si>
    <t>Q2-2025</t>
  </si>
  <si>
    <t>Q3-2025</t>
  </si>
  <si>
    <t>Q4-2025</t>
  </si>
  <si>
    <t>Y/Y growth</t>
  </si>
  <si>
    <t>Residential electricity KWH</t>
  </si>
  <si>
    <t>Total KWh</t>
  </si>
  <si>
    <t>Average Evs</t>
  </si>
  <si>
    <t>KWh/EV</t>
  </si>
  <si>
    <t>Residential GGE</t>
  </si>
  <si>
    <t>Total GGE</t>
  </si>
  <si>
    <t>value</t>
  </si>
  <si>
    <t>Growth Rate</t>
  </si>
  <si>
    <t>forecast_date</t>
  </si>
  <si>
    <t>Natural_Gas</t>
  </si>
  <si>
    <t>KWh_Vehicle</t>
  </si>
  <si>
    <t>Net Credit Total</t>
  </si>
  <si>
    <t>Off-road Electricity</t>
  </si>
  <si>
    <t>Clean Fuels Program Reported Data</t>
  </si>
  <si>
    <t>Volume is gallons, actual or gasoline and diesel equilvalents.  
Volume_EX equals exempt uses, Volume_OR equals non-transportation
Credits and deficits denoted in metric tons. 
CI equals Carbon Intensity 
Data published per DEQ at https://www.oregon.gov/deq/aq/programs/Pages/Clean-Fuels-Data.aspx</t>
  </si>
  <si>
    <t>CI</t>
  </si>
  <si>
    <t>Carbon Intensities</t>
  </si>
  <si>
    <t>KWh/vehicle per year</t>
  </si>
  <si>
    <t>KWh_vehicle</t>
  </si>
  <si>
    <t>Table 2.  Energy Consumption by Sector and Source</t>
  </si>
  <si>
    <t>https://www.eia.gov/outlooks/aeo/data/browser/#/?id=2-AEO2020&amp;region=1-9&amp;cases=ref2020&amp;start=2018&amp;end=2050&amp;f=A&amp;linechart=ref2020-d112119a.3-2-AEO2020.1-9&amp;map=ref2020-d112119a.5-2-AEO2020.1-9&amp;sourcekey=0</t>
  </si>
  <si>
    <t>* reflects Q4 2018 versus Q4 2017.</t>
  </si>
  <si>
    <t>Deficit/Credit Derivation</t>
  </si>
  <si>
    <t>CFP Data Pivot Table</t>
  </si>
  <si>
    <t>Table 1: Clean Fuels Forecast - Reported Volumes</t>
  </si>
  <si>
    <t>Table 17.  Renewable Energy Consumption by Sector and Source</t>
  </si>
  <si>
    <t>https://www.eia.gov/outlooks/aeo/data/browser/#/?id=24-AEO2020&amp;cases=ref2020&amp;sourcekey=0</t>
  </si>
  <si>
    <t>Mon May 04 2020 11:06:03 GMT-0700 (Pacific Daylight Time)</t>
  </si>
  <si>
    <t>Table 2: Parameters for Clean Fuels Forecast</t>
  </si>
  <si>
    <t>Net Banked
Credits</t>
  </si>
  <si>
    <t>Table 3: Net Banked Credits</t>
  </si>
  <si>
    <t>Liq_Pet_Renew</t>
  </si>
  <si>
    <t>Fossil Deficit Total</t>
  </si>
  <si>
    <t>Alternative Credit Total</t>
  </si>
  <si>
    <t>Net Credits</t>
  </si>
  <si>
    <t>Cumulative Bank</t>
  </si>
  <si>
    <t>2021F</t>
  </si>
  <si>
    <t>Credits and Deficits Over Time</t>
  </si>
  <si>
    <t>Q1-2026</t>
  </si>
  <si>
    <t>Q2-2026</t>
  </si>
  <si>
    <t>Q3-2026</t>
  </si>
  <si>
    <t>Q4-2026</t>
  </si>
  <si>
    <t>Q1-2027</t>
  </si>
  <si>
    <t>Q2-2027</t>
  </si>
  <si>
    <t>Q3-2027</t>
  </si>
  <si>
    <t>Q4-2027</t>
  </si>
  <si>
    <t>EIA Pacific Outlook</t>
  </si>
  <si>
    <t>Salem</t>
  </si>
  <si>
    <t>TX</t>
  </si>
  <si>
    <t>Albert Lea</t>
  </si>
  <si>
    <t>WA</t>
  </si>
  <si>
    <t>AR</t>
  </si>
  <si>
    <t>Batesville</t>
  </si>
  <si>
    <t>Mason City</t>
  </si>
  <si>
    <t>Hoquiam</t>
  </si>
  <si>
    <t>Lloydminster</t>
  </si>
  <si>
    <t>LA</t>
  </si>
  <si>
    <t>Geismar</t>
  </si>
  <si>
    <t>Period</t>
  </si>
  <si>
    <t>Sioux City</t>
  </si>
  <si>
    <t>Ravenna</t>
  </si>
  <si>
    <t>Onida</t>
  </si>
  <si>
    <t>Alberta</t>
  </si>
  <si>
    <t>Newton</t>
  </si>
  <si>
    <t>Low CI producer scenario</t>
  </si>
  <si>
    <t>Raw Data Check</t>
  </si>
  <si>
    <t>Final Data Check</t>
  </si>
  <si>
    <t>Reported Volumes Array</t>
  </si>
  <si>
    <t>Credits/Deficits Array</t>
  </si>
  <si>
    <t>Forecast Begins Here -&gt;&gt;&gt;&gt;&gt;&gt;&gt;&gt;&gt;</t>
  </si>
  <si>
    <t>Table 4: Credit and Deficit Summary</t>
  </si>
  <si>
    <t>EEReon</t>
  </si>
  <si>
    <t>EERng</t>
  </si>
  <si>
    <t>EERelect</t>
  </si>
  <si>
    <t>EER_NG</t>
  </si>
  <si>
    <t>TN</t>
  </si>
  <si>
    <t>Athens</t>
  </si>
  <si>
    <t>Naming Convention</t>
  </si>
  <si>
    <t>T0</t>
  </si>
  <si>
    <t>Compliance Period</t>
  </si>
  <si>
    <t>T1</t>
  </si>
  <si>
    <t>One Year Prior to Compliance Period</t>
  </si>
  <si>
    <t>T2</t>
  </si>
  <si>
    <t>Two Years Prior to Compliance Period</t>
  </si>
  <si>
    <t>ED</t>
  </si>
  <si>
    <t>Energy Density</t>
  </si>
  <si>
    <t>CIT</t>
  </si>
  <si>
    <t>Carbon Intensity Target</t>
  </si>
  <si>
    <t>CIA</t>
  </si>
  <si>
    <t>Carbon Intensity Actual</t>
  </si>
  <si>
    <t>BR</t>
  </si>
  <si>
    <t>GR</t>
  </si>
  <si>
    <t>https://secure.sos.state.or.us/oard/viewSingleRule.action?ruleVrsnRsn=269347</t>
  </si>
  <si>
    <t>Link to the rule, from there find the ED and CI tables</t>
  </si>
  <si>
    <t>Final Parameter</t>
  </si>
  <si>
    <t>California</t>
  </si>
  <si>
    <t>Note: Final Deficits and Credits may not foot to the raw totals due to rounding</t>
  </si>
  <si>
    <t>Final CI assumptions based on combination of statistical measures, forecaster judgement, and input from the Clean Fuels Forecast Advisory Committee</t>
  </si>
  <si>
    <t>Forecast assumption</t>
  </si>
  <si>
    <t>Final parameter</t>
  </si>
  <si>
    <t>2022 average</t>
  </si>
  <si>
    <t>annual %ch
vs. 2020</t>
  </si>
  <si>
    <t>2022 Net Credits/Deficits</t>
  </si>
  <si>
    <t>2021 Estimated Ending Banked Credits</t>
  </si>
  <si>
    <t>2022F</t>
  </si>
  <si>
    <t>2021(est.)</t>
  </si>
  <si>
    <t>*</t>
  </si>
  <si>
    <t>Mon Apr 19 2021 06:15:24 GMT-0700 (Pacific Daylight Time)</t>
  </si>
  <si>
    <t>2020 Weighted Avg CI</t>
  </si>
  <si>
    <t>Oregon</t>
  </si>
  <si>
    <t>Prelim assumption</t>
  </si>
  <si>
    <t xml:space="preserve">Ethanol
 </t>
  </si>
  <si>
    <t xml:space="preserve">Biodiesel
 </t>
  </si>
  <si>
    <t>Iowa Falls</t>
  </si>
  <si>
    <t>QC</t>
  </si>
  <si>
    <t>SAINT-THOMAS</t>
  </si>
  <si>
    <t>(blank)</t>
  </si>
  <si>
    <t>Avondale</t>
  </si>
  <si>
    <t>Euless</t>
  </si>
  <si>
    <t>Springfield</t>
  </si>
  <si>
    <t xml:space="preserve">Compressed Natural Gas
 </t>
  </si>
  <si>
    <t>Lower bound</t>
  </si>
  <si>
    <r>
      <t>Motor Gasoline</t>
    </r>
    <r>
      <rPr>
        <sz val="11"/>
        <color theme="1"/>
        <rFont val="Calibri"/>
        <family val="2"/>
        <scheme val="minor"/>
      </rPr>
      <t xml:space="preserve"> (Y/Y change)</t>
    </r>
  </si>
  <si>
    <r>
      <t>Ethanol</t>
    </r>
    <r>
      <rPr>
        <sz val="11"/>
        <color theme="1"/>
        <rFont val="Calibri"/>
        <family val="2"/>
        <scheme val="minor"/>
      </rPr>
      <t xml:space="preserve"> (Y/Y change)</t>
    </r>
  </si>
  <si>
    <r>
      <t>Total Diesel</t>
    </r>
    <r>
      <rPr>
        <sz val="11"/>
        <color theme="1"/>
        <rFont val="Calibri"/>
        <family val="2"/>
        <scheme val="minor"/>
      </rPr>
      <t xml:space="preserve"> (Y/Y change)</t>
    </r>
  </si>
  <si>
    <r>
      <t>Biodiesel</t>
    </r>
    <r>
      <rPr>
        <sz val="11"/>
        <color theme="1"/>
        <rFont val="Calibri"/>
        <family val="2"/>
        <scheme val="minor"/>
      </rPr>
      <t xml:space="preserve"> (Y/Y change)</t>
    </r>
  </si>
  <si>
    <r>
      <t xml:space="preserve">Renewable Diesel </t>
    </r>
    <r>
      <rPr>
        <sz val="11"/>
        <color theme="1"/>
        <rFont val="Calibri"/>
        <family val="2"/>
        <scheme val="minor"/>
      </rPr>
      <t>(Y/Y change)</t>
    </r>
  </si>
  <si>
    <r>
      <t xml:space="preserve">Electricity </t>
    </r>
    <r>
      <rPr>
        <sz val="11"/>
        <color theme="1"/>
        <rFont val="Calibri"/>
        <family val="2"/>
        <scheme val="minor"/>
      </rPr>
      <t>(Y/Y change)</t>
    </r>
  </si>
  <si>
    <r>
      <t>Natural Gas</t>
    </r>
    <r>
      <rPr>
        <sz val="11"/>
        <color theme="1"/>
        <rFont val="Calibri"/>
        <family val="2"/>
        <scheme val="minor"/>
      </rPr>
      <t xml:space="preserve"> (Y/Y change)</t>
    </r>
  </si>
  <si>
    <r>
      <t xml:space="preserve">Liq. Petroleum Gas </t>
    </r>
    <r>
      <rPr>
        <sz val="11"/>
        <color theme="1"/>
        <rFont val="Calibri"/>
        <family val="2"/>
        <scheme val="minor"/>
      </rPr>
      <t>(Y/Y change)</t>
    </r>
  </si>
  <si>
    <t xml:space="preserve">Renewable Diesel
 </t>
  </si>
  <si>
    <t>CO</t>
  </si>
  <si>
    <t>ODOT Electric Vehicle</t>
  </si>
  <si>
    <t>Aberdeen</t>
  </si>
  <si>
    <t>IL</t>
  </si>
  <si>
    <t>Seneca</t>
  </si>
  <si>
    <t>SINGAPORE</t>
  </si>
  <si>
    <t>Singapore</t>
  </si>
  <si>
    <t>CA</t>
  </si>
  <si>
    <t>Rodeo</t>
  </si>
  <si>
    <t>Blaine</t>
  </si>
  <si>
    <t>Dickinson</t>
  </si>
  <si>
    <t>Liquified Petroleum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</si>
</sst>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#,##0.0"/>
    <numFmt numFmtId="166" formatCode="0.000"/>
    <numFmt numFmtId="167" formatCode="_(* #,##0_);_(* \(#,##0\);_(* &quot;-&quot;??_);_(@_)"/>
    <numFmt numFmtId="168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3"/>
      <name val="Calibri Light"/>
      <family val="2"/>
      <scheme val="major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99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5FBFD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Protection="0">
      <alignment wrapText="1"/>
    </xf>
    <xf numFmtId="0" fontId="5" fillId="0" borderId="0" applyNumberFormat="0" applyProtection="0">
      <alignment horizontal="left"/>
    </xf>
    <xf numFmtId="0" fontId="4" fillId="0" borderId="2" applyNumberFormat="0" applyProtection="0">
      <alignment wrapText="1"/>
    </xf>
    <xf numFmtId="0" fontId="3" fillId="0" borderId="3" applyNumberFormat="0" applyFont="0" applyProtection="0">
      <alignment wrapText="1"/>
    </xf>
    <xf numFmtId="0" fontId="3" fillId="0" borderId="4" applyNumberFormat="0" applyProtection="0">
      <alignment wrapText="1"/>
    </xf>
    <xf numFmtId="0" fontId="12" fillId="0" borderId="23" applyNumberFormat="0" applyFill="0" applyAlignment="0" applyProtection="0"/>
    <xf numFmtId="0" fontId="13" fillId="0" borderId="24" applyNumberFormat="0" applyFill="0" applyAlignment="0" applyProtection="0"/>
    <xf numFmtId="0" fontId="14" fillId="0" borderId="25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26" applyNumberFormat="0" applyAlignment="0" applyProtection="0"/>
    <xf numFmtId="0" fontId="19" fillId="12" borderId="27" applyNumberFormat="0" applyAlignment="0" applyProtection="0"/>
    <xf numFmtId="0" fontId="20" fillId="12" borderId="26" applyNumberFormat="0" applyAlignment="0" applyProtection="0"/>
    <xf numFmtId="0" fontId="21" fillId="0" borderId="28" applyNumberFormat="0" applyFill="0" applyAlignment="0" applyProtection="0"/>
    <xf numFmtId="0" fontId="22" fillId="13" borderId="29" applyNumberFormat="0" applyAlignment="0" applyProtection="0"/>
    <xf numFmtId="0" fontId="23" fillId="0" borderId="0" applyNumberFormat="0" applyFill="0" applyBorder="0" applyAlignment="0" applyProtection="0"/>
    <xf numFmtId="0" fontId="1" fillId="14" borderId="30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31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85">
    <xf numFmtId="0" fontId="0" fillId="0" borderId="0" xfId="0"/>
    <xf numFmtId="0" fontId="0" fillId="3" borderId="0" xfId="0" applyFill="1"/>
    <xf numFmtId="0" fontId="0" fillId="3" borderId="5" xfId="0" applyFill="1" applyBorder="1"/>
    <xf numFmtId="3" fontId="0" fillId="3" borderId="5" xfId="0" applyNumberFormat="1" applyFill="1" applyBorder="1"/>
    <xf numFmtId="0" fontId="0" fillId="3" borderId="0" xfId="0" applyFont="1" applyFill="1"/>
    <xf numFmtId="0" fontId="0" fillId="0" borderId="5" xfId="0" applyFill="1" applyBorder="1"/>
    <xf numFmtId="164" fontId="0" fillId="3" borderId="0" xfId="1" applyNumberFormat="1" applyFont="1" applyFill="1"/>
    <xf numFmtId="10" fontId="0" fillId="0" borderId="0" xfId="0" applyNumberFormat="1"/>
    <xf numFmtId="164" fontId="0" fillId="0" borderId="0" xfId="1" applyNumberFormat="1" applyFont="1"/>
    <xf numFmtId="2" fontId="0" fillId="0" borderId="0" xfId="0" applyNumberFormat="1"/>
    <xf numFmtId="3" fontId="0" fillId="0" borderId="0" xfId="0" applyNumberFormat="1"/>
    <xf numFmtId="3" fontId="0" fillId="0" borderId="5" xfId="0" applyNumberFormat="1" applyFill="1" applyBorder="1"/>
    <xf numFmtId="3" fontId="6" fillId="3" borderId="5" xfId="0" applyNumberFormat="1" applyFont="1" applyFill="1" applyBorder="1" applyAlignment="1"/>
    <xf numFmtId="0" fontId="2" fillId="0" borderId="5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5" xfId="0" applyBorder="1"/>
    <xf numFmtId="3" fontId="0" fillId="0" borderId="5" xfId="0" applyNumberFormat="1" applyBorder="1"/>
    <xf numFmtId="3" fontId="2" fillId="3" borderId="12" xfId="0" applyNumberFormat="1" applyFont="1" applyFill="1" applyBorder="1"/>
    <xf numFmtId="0" fontId="0" fillId="0" borderId="0" xfId="0" pivotButton="1"/>
    <xf numFmtId="14" fontId="0" fillId="0" borderId="0" xfId="0" applyNumberFormat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Alignment="1">
      <alignment horizontal="left" indent="2"/>
    </xf>
    <xf numFmtId="166" fontId="0" fillId="0" borderId="0" xfId="0" applyNumberFormat="1"/>
    <xf numFmtId="0" fontId="7" fillId="0" borderId="0" xfId="0" applyFont="1" applyAlignment="1">
      <alignment horizontal="center"/>
    </xf>
    <xf numFmtId="0" fontId="0" fillId="0" borderId="15" xfId="0" applyBorder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16" xfId="0" applyBorder="1"/>
    <xf numFmtId="0" fontId="0" fillId="0" borderId="16" xfId="0" applyBorder="1" applyAlignment="1">
      <alignment horizontal="left"/>
    </xf>
    <xf numFmtId="165" fontId="0" fillId="0" borderId="0" xfId="0" applyNumberFormat="1"/>
    <xf numFmtId="165" fontId="0" fillId="0" borderId="16" xfId="0" applyNumberFormat="1" applyBorder="1"/>
    <xf numFmtId="164" fontId="0" fillId="0" borderId="16" xfId="1" applyNumberFormat="1" applyFont="1" applyBorder="1"/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/>
    </xf>
    <xf numFmtId="165" fontId="0" fillId="0" borderId="0" xfId="0" applyNumberFormat="1" applyBorder="1"/>
    <xf numFmtId="0" fontId="2" fillId="0" borderId="0" xfId="0" applyFont="1"/>
    <xf numFmtId="0" fontId="0" fillId="0" borderId="15" xfId="0" applyBorder="1" applyAlignment="1">
      <alignment horizontal="right" wrapText="1"/>
    </xf>
    <xf numFmtId="0" fontId="0" fillId="0" borderId="10" xfId="0" applyBorder="1"/>
    <xf numFmtId="164" fontId="0" fillId="0" borderId="10" xfId="1" applyNumberFormat="1" applyFont="1" applyBorder="1"/>
    <xf numFmtId="164" fontId="0" fillId="0" borderId="17" xfId="0" applyNumberFormat="1" applyBorder="1"/>
    <xf numFmtId="164" fontId="0" fillId="0" borderId="10" xfId="0" applyNumberFormat="1" applyBorder="1"/>
    <xf numFmtId="0" fontId="8" fillId="0" borderId="0" xfId="0" applyFont="1"/>
    <xf numFmtId="164" fontId="0" fillId="0" borderId="10" xfId="1" applyNumberFormat="1" applyFont="1" applyFill="1" applyBorder="1"/>
    <xf numFmtId="0" fontId="7" fillId="0" borderId="0" xfId="0" applyFont="1" applyAlignment="1"/>
    <xf numFmtId="164" fontId="0" fillId="0" borderId="0" xfId="1" applyNumberFormat="1" applyFont="1" applyFill="1" applyBorder="1"/>
    <xf numFmtId="4" fontId="0" fillId="0" borderId="0" xfId="0" applyNumberFormat="1"/>
    <xf numFmtId="0" fontId="0" fillId="3" borderId="0" xfId="0" applyFill="1" applyAlignment="1"/>
    <xf numFmtId="2" fontId="0" fillId="0" borderId="5" xfId="0" applyNumberFormat="1" applyBorder="1"/>
    <xf numFmtId="3" fontId="0" fillId="3" borderId="5" xfId="0" applyNumberFormat="1" applyFill="1" applyBorder="1" applyAlignment="1"/>
    <xf numFmtId="0" fontId="0" fillId="3" borderId="18" xfId="0" applyFill="1" applyBorder="1" applyAlignment="1"/>
    <xf numFmtId="3" fontId="2" fillId="3" borderId="5" xfId="0" applyNumberFormat="1" applyFont="1" applyFill="1" applyBorder="1" applyAlignment="1"/>
    <xf numFmtId="3" fontId="2" fillId="3" borderId="19" xfId="0" applyNumberFormat="1" applyFont="1" applyFill="1" applyBorder="1" applyAlignment="1"/>
    <xf numFmtId="3" fontId="2" fillId="3" borderId="12" xfId="0" applyNumberFormat="1" applyFont="1" applyFill="1" applyBorder="1" applyAlignment="1"/>
    <xf numFmtId="164" fontId="2" fillId="3" borderId="5" xfId="1" applyNumberFormat="1" applyFont="1" applyFill="1" applyBorder="1" applyAlignment="1"/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/>
    <xf numFmtId="0" fontId="0" fillId="3" borderId="20" xfId="0" applyFill="1" applyBorder="1"/>
    <xf numFmtId="0" fontId="2" fillId="3" borderId="20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/>
    <xf numFmtId="3" fontId="10" fillId="3" borderId="12" xfId="0" applyNumberFormat="1" applyFont="1" applyFill="1" applyBorder="1" applyAlignment="1"/>
    <xf numFmtId="0" fontId="0" fillId="0" borderId="0" xfId="0" applyAlignment="1">
      <alignment horizontal="left"/>
    </xf>
    <xf numFmtId="0" fontId="0" fillId="3" borderId="5" xfId="0" applyFill="1" applyBorder="1" applyAlignment="1">
      <alignment horizontal="center" vertical="center"/>
    </xf>
    <xf numFmtId="14" fontId="2" fillId="6" borderId="21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0" fontId="0" fillId="0" borderId="0" xfId="0" applyFill="1" applyAlignment="1">
      <alignment horizontal="left" indent="2"/>
    </xf>
    <xf numFmtId="164" fontId="0" fillId="0" borderId="0" xfId="1" applyNumberFormat="1" applyFont="1" applyFill="1"/>
    <xf numFmtId="0" fontId="0" fillId="0" borderId="16" xfId="0" applyFill="1" applyBorder="1"/>
    <xf numFmtId="3" fontId="0" fillId="0" borderId="16" xfId="0" applyNumberFormat="1" applyFill="1" applyBorder="1"/>
    <xf numFmtId="3" fontId="0" fillId="3" borderId="11" xfId="0" applyNumberFormat="1" applyFill="1" applyBorder="1"/>
    <xf numFmtId="3" fontId="0" fillId="3" borderId="20" xfId="0" applyNumberFormat="1" applyFill="1" applyBorder="1"/>
    <xf numFmtId="0" fontId="0" fillId="7" borderId="0" xfId="0" applyFont="1" applyFill="1"/>
    <xf numFmtId="164" fontId="0" fillId="7" borderId="0" xfId="1" applyNumberFormat="1" applyFont="1" applyFill="1"/>
    <xf numFmtId="0" fontId="0" fillId="5" borderId="0" xfId="0" applyFont="1" applyFill="1"/>
    <xf numFmtId="164" fontId="0" fillId="5" borderId="0" xfId="1" applyNumberFormat="1" applyFont="1" applyFill="1"/>
    <xf numFmtId="3" fontId="2" fillId="0" borderId="22" xfId="0" applyNumberFormat="1" applyFont="1" applyFill="1" applyBorder="1" applyAlignment="1">
      <alignment horizontal="center" wrapText="1"/>
    </xf>
    <xf numFmtId="9" fontId="0" fillId="0" borderId="0" xfId="1" applyFont="1"/>
    <xf numFmtId="3" fontId="0" fillId="0" borderId="5" xfId="0" applyNumberFormat="1" applyFill="1" applyBorder="1"/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0" borderId="16" xfId="0" applyFont="1" applyBorder="1"/>
    <xf numFmtId="3" fontId="0" fillId="0" borderId="16" xfId="0" applyNumberFormat="1" applyBorder="1"/>
    <xf numFmtId="0" fontId="0" fillId="0" borderId="0" xfId="0" applyFill="1" applyBorder="1"/>
    <xf numFmtId="0" fontId="27" fillId="0" borderId="0" xfId="49"/>
    <xf numFmtId="0" fontId="11" fillId="0" borderId="0" xfId="0" applyFont="1"/>
    <xf numFmtId="167" fontId="28" fillId="0" borderId="32" xfId="50" applyNumberFormat="1" applyFont="1" applyFill="1" applyBorder="1" applyAlignment="1">
      <alignment horizontal="center" vertical="top" wrapText="1" readingOrder="1"/>
    </xf>
    <xf numFmtId="0" fontId="0" fillId="7" borderId="0" xfId="0" applyFill="1"/>
    <xf numFmtId="4" fontId="0" fillId="7" borderId="0" xfId="0" applyNumberFormat="1" applyFill="1"/>
    <xf numFmtId="0" fontId="0" fillId="2" borderId="0" xfId="0" applyFill="1"/>
    <xf numFmtId="0" fontId="0" fillId="39" borderId="0" xfId="0" applyFill="1"/>
    <xf numFmtId="4" fontId="0" fillId="39" borderId="0" xfId="0" applyNumberFormat="1" applyFill="1"/>
    <xf numFmtId="10" fontId="0" fillId="2" borderId="0" xfId="0" applyNumberFormat="1" applyFill="1"/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164" fontId="0" fillId="0" borderId="0" xfId="0" applyNumberFormat="1" applyBorder="1"/>
    <xf numFmtId="0" fontId="0" fillId="3" borderId="33" xfId="0" applyFill="1" applyBorder="1"/>
    <xf numFmtId="0" fontId="0" fillId="3" borderId="0" xfId="0" applyFill="1" applyBorder="1"/>
    <xf numFmtId="0" fontId="0" fillId="3" borderId="16" xfId="0" applyFill="1" applyBorder="1"/>
    <xf numFmtId="0" fontId="0" fillId="2" borderId="15" xfId="0" applyFill="1" applyBorder="1" applyAlignment="1">
      <alignment horizontal="right"/>
    </xf>
    <xf numFmtId="3" fontId="0" fillId="2" borderId="0" xfId="0" applyNumberFormat="1" applyFill="1"/>
    <xf numFmtId="3" fontId="10" fillId="2" borderId="12" xfId="0" applyNumberFormat="1" applyFont="1" applyFill="1" applyBorder="1" applyAlignment="1"/>
    <xf numFmtId="3" fontId="2" fillId="2" borderId="5" xfId="0" applyNumberFormat="1" applyFont="1" applyFill="1" applyBorder="1" applyAlignment="1"/>
    <xf numFmtId="3" fontId="0" fillId="2" borderId="16" xfId="0" applyNumberFormat="1" applyFill="1" applyBorder="1"/>
    <xf numFmtId="0" fontId="0" fillId="5" borderId="0" xfId="0" applyFont="1" applyFill="1" applyAlignment="1">
      <alignment horizontal="right"/>
    </xf>
    <xf numFmtId="3" fontId="0" fillId="0" borderId="5" xfId="0" applyNumberFormat="1" applyBorder="1"/>
    <xf numFmtId="0" fontId="0" fillId="0" borderId="5" xfId="0" applyBorder="1"/>
    <xf numFmtId="3" fontId="0" fillId="0" borderId="5" xfId="0" applyNumberFormat="1" applyFill="1" applyBorder="1"/>
    <xf numFmtId="164" fontId="0" fillId="2" borderId="10" xfId="1" applyNumberFormat="1" applyFont="1" applyFill="1" applyBorder="1"/>
    <xf numFmtId="164" fontId="0" fillId="2" borderId="10" xfId="0" applyNumberFormat="1" applyFill="1" applyBorder="1"/>
    <xf numFmtId="164" fontId="0" fillId="0" borderId="0" xfId="0" applyNumberFormat="1" applyFill="1" applyBorder="1"/>
    <xf numFmtId="0" fontId="0" fillId="5" borderId="0" xfId="0" applyFill="1"/>
    <xf numFmtId="0" fontId="0" fillId="5" borderId="0" xfId="0" applyFill="1" applyBorder="1"/>
    <xf numFmtId="164" fontId="0" fillId="5" borderId="0" xfId="0" applyNumberFormat="1" applyFill="1" applyBorder="1"/>
    <xf numFmtId="164" fontId="0" fillId="0" borderId="0" xfId="1" applyNumberFormat="1" applyFont="1" applyBorder="1"/>
    <xf numFmtId="164" fontId="0" fillId="5" borderId="0" xfId="1" applyNumberFormat="1" applyFont="1" applyFill="1" applyBorder="1"/>
    <xf numFmtId="2" fontId="9" fillId="0" borderId="5" xfId="0" applyNumberFormat="1" applyFont="1" applyFill="1" applyBorder="1"/>
    <xf numFmtId="1" fontId="9" fillId="0" borderId="5" xfId="0" applyNumberFormat="1" applyFont="1" applyFill="1" applyBorder="1"/>
    <xf numFmtId="14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 indent="2"/>
    </xf>
    <xf numFmtId="0" fontId="0" fillId="0" borderId="0" xfId="0"/>
    <xf numFmtId="3" fontId="0" fillId="0" borderId="0" xfId="0" applyNumberFormat="1"/>
    <xf numFmtId="3" fontId="0" fillId="0" borderId="5" xfId="0" applyNumberFormat="1" applyFill="1" applyBorder="1"/>
    <xf numFmtId="0" fontId="0" fillId="0" borderId="0" xfId="0" applyBorder="1" applyAlignment="1">
      <alignment wrapText="1"/>
    </xf>
    <xf numFmtId="164" fontId="9" fillId="0" borderId="0" xfId="0" applyNumberFormat="1" applyFont="1" applyBorder="1"/>
    <xf numFmtId="164" fontId="9" fillId="0" borderId="0" xfId="1" applyNumberFormat="1" applyFont="1" applyBorder="1"/>
    <xf numFmtId="168" fontId="0" fillId="2" borderId="34" xfId="0" applyNumberFormat="1" applyFill="1" applyBorder="1"/>
    <xf numFmtId="3" fontId="0" fillId="7" borderId="0" xfId="0" applyNumberFormat="1" applyFill="1"/>
    <xf numFmtId="0" fontId="0" fillId="4" borderId="0" xfId="0" applyFill="1"/>
    <xf numFmtId="3" fontId="0" fillId="4" borderId="0" xfId="0" applyNumberFormat="1" applyFill="1"/>
    <xf numFmtId="3" fontId="0" fillId="5" borderId="16" xfId="0" applyNumberFormat="1" applyFill="1" applyBorder="1"/>
    <xf numFmtId="0" fontId="9" fillId="41" borderId="0" xfId="0" applyFont="1" applyFill="1" applyBorder="1" applyAlignment="1">
      <alignment horizontal="left" indent="2"/>
    </xf>
    <xf numFmtId="3" fontId="9" fillId="41" borderId="0" xfId="0" applyNumberFormat="1" applyFont="1" applyFill="1" applyBorder="1"/>
    <xf numFmtId="164" fontId="9" fillId="41" borderId="0" xfId="1" applyNumberFormat="1" applyFont="1" applyFill="1" applyBorder="1"/>
    <xf numFmtId="0" fontId="11" fillId="2" borderId="0" xfId="0" applyFont="1" applyFill="1"/>
    <xf numFmtId="164" fontId="9" fillId="40" borderId="0" xfId="1" applyNumberFormat="1" applyFont="1" applyFill="1" applyBorder="1"/>
    <xf numFmtId="168" fontId="0" fillId="5" borderId="34" xfId="0" applyNumberFormat="1" applyFill="1" applyBorder="1"/>
    <xf numFmtId="4" fontId="0" fillId="0" borderId="0" xfId="0" applyNumberFormat="1" applyFill="1"/>
    <xf numFmtId="2" fontId="0" fillId="5" borderId="5" xfId="0" applyNumberFormat="1" applyFill="1" applyBorder="1"/>
    <xf numFmtId="0" fontId="0" fillId="42" borderId="0" xfId="0" applyFill="1"/>
    <xf numFmtId="2" fontId="0" fillId="42" borderId="5" xfId="0" applyNumberFormat="1" applyFill="1" applyBorder="1"/>
    <xf numFmtId="0" fontId="0" fillId="43" borderId="0" xfId="0" applyFill="1"/>
    <xf numFmtId="2" fontId="0" fillId="43" borderId="5" xfId="0" applyNumberFormat="1" applyFill="1" applyBorder="1"/>
    <xf numFmtId="0" fontId="9" fillId="5" borderId="0" xfId="0" applyFont="1" applyFill="1" applyAlignment="1">
      <alignment horizontal="left" indent="1"/>
    </xf>
    <xf numFmtId="164" fontId="9" fillId="5" borderId="0" xfId="0" applyNumberFormat="1" applyFont="1" applyFill="1"/>
    <xf numFmtId="164" fontId="9" fillId="5" borderId="0" xfId="1" applyNumberFormat="1" applyFont="1" applyFill="1"/>
    <xf numFmtId="4" fontId="0" fillId="4" borderId="0" xfId="0" applyNumberFormat="1" applyFill="1"/>
    <xf numFmtId="164" fontId="0" fillId="2" borderId="0" xfId="1" applyNumberFormat="1" applyFont="1" applyFill="1"/>
    <xf numFmtId="2" fontId="0" fillId="0" borderId="0" xfId="0" applyNumberFormat="1" applyFill="1"/>
    <xf numFmtId="0" fontId="0" fillId="0" borderId="15" xfId="0" applyFill="1" applyBorder="1" applyAlignment="1">
      <alignment horizontal="right"/>
    </xf>
    <xf numFmtId="3" fontId="10" fillId="0" borderId="12" xfId="0" applyNumberFormat="1" applyFont="1" applyFill="1" applyBorder="1" applyAlignment="1"/>
    <xf numFmtId="3" fontId="2" fillId="0" borderId="5" xfId="0" applyNumberFormat="1" applyFont="1" applyFill="1" applyBorder="1" applyAlignment="1"/>
    <xf numFmtId="164" fontId="0" fillId="0" borderId="10" xfId="0" applyNumberFormat="1" applyFill="1" applyBorder="1"/>
    <xf numFmtId="3" fontId="0" fillId="44" borderId="5" xfId="0" applyNumberFormat="1" applyFill="1" applyBorder="1"/>
    <xf numFmtId="0" fontId="0" fillId="44" borderId="5" xfId="0" applyFill="1" applyBorder="1"/>
    <xf numFmtId="3" fontId="0" fillId="0" borderId="5" xfId="0" applyNumberFormat="1" applyBorder="1"/>
    <xf numFmtId="3" fontId="0" fillId="0" borderId="5" xfId="0" applyNumberFormat="1" applyBorder="1"/>
    <xf numFmtId="3" fontId="0" fillId="0" borderId="5" xfId="0" applyNumberFormat="1" applyFill="1" applyBorder="1"/>
    <xf numFmtId="166" fontId="0" fillId="43" borderId="0" xfId="0" applyNumberFormat="1" applyFill="1"/>
    <xf numFmtId="0" fontId="23" fillId="0" borderId="15" xfId="0" applyFont="1" applyBorder="1" applyAlignment="1">
      <alignment horizontal="right" wrapText="1"/>
    </xf>
    <xf numFmtId="0" fontId="23" fillId="0" borderId="15" xfId="0" applyFont="1" applyBorder="1" applyAlignment="1">
      <alignment wrapText="1"/>
    </xf>
    <xf numFmtId="9" fontId="0" fillId="7" borderId="0" xfId="0" applyNumberFormat="1" applyFill="1"/>
    <xf numFmtId="168" fontId="0" fillId="0" borderId="0" xfId="0" applyNumberFormat="1"/>
    <xf numFmtId="0" fontId="7" fillId="0" borderId="0" xfId="0" applyFont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5" borderId="0" xfId="0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Fill="1"/>
    <xf numFmtId="165" fontId="0" fillId="0" borderId="0" xfId="0" applyNumberFormat="1" applyFill="1" applyBorder="1"/>
    <xf numFmtId="2" fontId="0" fillId="5" borderId="34" xfId="0" applyNumberFormat="1" applyFill="1" applyBorder="1"/>
    <xf numFmtId="2" fontId="0" fillId="2" borderId="5" xfId="0" applyNumberFormat="1" applyFill="1" applyBorder="1"/>
  </cellXfs>
  <cellStyles count="52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Body: normal cell" xfId="6"/>
    <cellStyle name="Calculation" xfId="17" builtinId="22" customBuiltin="1"/>
    <cellStyle name="Check Cell" xfId="19" builtinId="23" customBuiltin="1"/>
    <cellStyle name="Comma" xfId="50" builtinId="3"/>
    <cellStyle name="Explanatory Text" xfId="22" builtinId="53" customBuiltin="1"/>
    <cellStyle name="Font: Calibri, 9pt regular" xfId="2"/>
    <cellStyle name="Footnotes: top row" xfId="7"/>
    <cellStyle name="Good" xfId="12" builtinId="26" customBuiltin="1"/>
    <cellStyle name="Header: bottom row" xfId="3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49" builtinId="8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te" xfId="21" builtinId="10" customBuiltin="1"/>
    <cellStyle name="Output" xfId="16" builtinId="21" customBuiltin="1"/>
    <cellStyle name="Parent row" xfId="5"/>
    <cellStyle name="Percent" xfId="1" builtinId="5"/>
    <cellStyle name="Table title" xfId="4"/>
    <cellStyle name="Title 2" xfId="48"/>
    <cellStyle name="Title 2 2" xfId="51"/>
    <cellStyle name="Total" xfId="23" builtinId="25" customBuiltin="1"/>
    <cellStyle name="Warning Text" xfId="20" builtinId="11" customBuiltin="1"/>
  </cellStyles>
  <dxfs count="53"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4" formatCode="#,##0.0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numFmt numFmtId="4" formatCode="#,##0.00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</dxfs>
  <tableStyles count="0" defaultTableStyle="TableStyleMedium2" defaultPivotStyle="PivotStyleLight16"/>
  <colors>
    <mruColors>
      <color rgb="FFFF99FF"/>
      <color rgb="FF66FFFF"/>
      <color rgb="FFFF66CC"/>
      <color rgb="FFCCFF99"/>
      <color rgb="FFFEC200"/>
      <color rgb="FFA5FBFD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Renewable</a:t>
            </a:r>
            <a:r>
              <a:rPr lang="en-US" baseline="0"/>
              <a:t> D</a:t>
            </a:r>
            <a:r>
              <a:rPr lang="en-US"/>
              <a:t>iesel</a:t>
            </a:r>
            <a:r>
              <a:rPr lang="en-US" baseline="0"/>
              <a:t> </a:t>
            </a:r>
            <a:r>
              <a:rPr lang="en-US"/>
              <a:t>Carbon Intensity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047465025023853E-2"/>
          <c:y val="0.12584277676787517"/>
          <c:w val="0.89688066453889848"/>
          <c:h val="0.69012530477691603"/>
        </c:manualLayout>
      </c:layout>
      <c:lineChart>
        <c:grouping val="standard"/>
        <c:varyColors val="0"/>
        <c:ser>
          <c:idx val="0"/>
          <c:order val="0"/>
          <c:tx>
            <c:strRef>
              <c:f>'CI Trend'!$C$24</c:f>
              <c:strCache>
                <c:ptCount val="1"/>
                <c:pt idx="0">
                  <c:v>Oregon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Trend'!$D$11:$AE$11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'CI Trend'!$D$24:$AE$24</c:f>
              <c:numCache>
                <c:formatCode>General</c:formatCode>
                <c:ptCount val="28"/>
                <c:pt idx="7" formatCode="#,##0.00">
                  <c:v>33.64</c:v>
                </c:pt>
                <c:pt idx="8" formatCode="#,##0.00">
                  <c:v>48.76</c:v>
                </c:pt>
                <c:pt idx="9" formatCode="#,##0.00">
                  <c:v>36.380000000000003</c:v>
                </c:pt>
                <c:pt idx="10" formatCode="#,##0.00">
                  <c:v>37.42</c:v>
                </c:pt>
                <c:pt idx="11" formatCode="#,##0.00">
                  <c:v>34.96</c:v>
                </c:pt>
                <c:pt idx="12" formatCode="#,##0.00">
                  <c:v>53.91</c:v>
                </c:pt>
                <c:pt idx="13" formatCode="#,##0.00">
                  <c:v>44.74</c:v>
                </c:pt>
                <c:pt idx="14" formatCode="#,##0.00">
                  <c:v>29.88</c:v>
                </c:pt>
                <c:pt idx="15" formatCode="#,##0.00">
                  <c:v>28.12</c:v>
                </c:pt>
                <c:pt idx="16" formatCode="#,##0.00">
                  <c:v>27.29</c:v>
                </c:pt>
                <c:pt idx="17" formatCode="#,##0.00">
                  <c:v>30.18</c:v>
                </c:pt>
                <c:pt idx="18" formatCode="#,##0.00">
                  <c:v>64.48</c:v>
                </c:pt>
                <c:pt idx="19" formatCode="#,##0.00">
                  <c:v>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AE-44C4-8D0D-E0CBC06BB266}"/>
            </c:ext>
          </c:extLst>
        </c:ser>
        <c:ser>
          <c:idx val="1"/>
          <c:order val="1"/>
          <c:tx>
            <c:strRef>
              <c:f>'CI Trend'!$C$19</c:f>
              <c:strCache>
                <c:ptCount val="1"/>
                <c:pt idx="0">
                  <c:v>Lower bound</c:v>
                </c:pt>
              </c:strCache>
            </c:strRef>
          </c:tx>
          <c:spPr>
            <a:ln w="53975" cap="rnd">
              <a:solidFill>
                <a:srgbClr val="FF66CC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Trend'!$D$11:$AE$11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'CI Trend'!$D$25:$AE$25</c:f>
              <c:numCache>
                <c:formatCode>General</c:formatCode>
                <c:ptCount val="28"/>
                <c:pt idx="24" formatCode="0.0">
                  <c:v>31.964285714285715</c:v>
                </c:pt>
                <c:pt idx="25" formatCode="0.0">
                  <c:v>31.964285714285715</c:v>
                </c:pt>
                <c:pt idx="26" formatCode="0.0">
                  <c:v>31.964285714285715</c:v>
                </c:pt>
                <c:pt idx="27" formatCode="0.0">
                  <c:v>31.964285714285715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AE-44C4-8D0D-E0CBC06BB266}"/>
            </c:ext>
          </c:extLst>
        </c:ser>
        <c:ser>
          <c:idx val="2"/>
          <c:order val="2"/>
          <c:tx>
            <c:strRef>
              <c:f>'CI Trend'!$C$27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Trend'!$D$11:$AE$11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'CI Trend'!$D$27:$AE$27</c:f>
              <c:numCache>
                <c:formatCode>General</c:formatCode>
                <c:ptCount val="28"/>
                <c:pt idx="0">
                  <c:v>52.89</c:v>
                </c:pt>
                <c:pt idx="1">
                  <c:v>31.78</c:v>
                </c:pt>
                <c:pt idx="2">
                  <c:v>30.2</c:v>
                </c:pt>
                <c:pt idx="3">
                  <c:v>30.71</c:v>
                </c:pt>
                <c:pt idx="4">
                  <c:v>30.11</c:v>
                </c:pt>
                <c:pt idx="5">
                  <c:v>30.23</c:v>
                </c:pt>
                <c:pt idx="6">
                  <c:v>30.39</c:v>
                </c:pt>
                <c:pt idx="7">
                  <c:v>30.9</c:v>
                </c:pt>
                <c:pt idx="8">
                  <c:v>30.9</c:v>
                </c:pt>
                <c:pt idx="9">
                  <c:v>31.53</c:v>
                </c:pt>
                <c:pt idx="10">
                  <c:v>32.200000000000003</c:v>
                </c:pt>
                <c:pt idx="11">
                  <c:v>34.049999999999997</c:v>
                </c:pt>
                <c:pt idx="12">
                  <c:v>36.39</c:v>
                </c:pt>
                <c:pt idx="13">
                  <c:v>34.25</c:v>
                </c:pt>
                <c:pt idx="14">
                  <c:v>33.58</c:v>
                </c:pt>
                <c:pt idx="15">
                  <c:v>34.119999999999997</c:v>
                </c:pt>
                <c:pt idx="16">
                  <c:v>32.1</c:v>
                </c:pt>
                <c:pt idx="17" formatCode="#,##0.00">
                  <c:v>35.049999999999997</c:v>
                </c:pt>
                <c:pt idx="18" formatCode="#,##0.00">
                  <c:v>32.08</c:v>
                </c:pt>
                <c:pt idx="19" formatCode="#,##0.00">
                  <c:v>32.86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AE-44C4-8D0D-E0CBC06BB266}"/>
            </c:ext>
          </c:extLst>
        </c:ser>
        <c:ser>
          <c:idx val="3"/>
          <c:order val="3"/>
          <c:tx>
            <c:strRef>
              <c:f>'CI Trend'!$C$26</c:f>
              <c:strCache>
                <c:ptCount val="1"/>
                <c:pt idx="0">
                  <c:v>Prelim assumption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'CI Trend'!$D$26:$AE$26</c:f>
              <c:numCache>
                <c:formatCode>General</c:formatCode>
                <c:ptCount val="28"/>
                <c:pt idx="20" formatCode="#,##0.00">
                  <c:v>36</c:v>
                </c:pt>
                <c:pt idx="21" formatCode="#,##0.00">
                  <c:v>36</c:v>
                </c:pt>
                <c:pt idx="22" formatCode="#,##0.00">
                  <c:v>36</c:v>
                </c:pt>
                <c:pt idx="23" formatCode="#,##0.00">
                  <c:v>36</c:v>
                </c:pt>
                <c:pt idx="24" formatCode="#,##0.00">
                  <c:v>33.25</c:v>
                </c:pt>
                <c:pt idx="25" formatCode="#,##0.00">
                  <c:v>33.25</c:v>
                </c:pt>
                <c:pt idx="26" formatCode="#,##0.00">
                  <c:v>33.25</c:v>
                </c:pt>
                <c:pt idx="27" formatCode="#,##0.00">
                  <c:v>33.25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BC-4867-9FB0-E1AD22D40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445048"/>
        <c:axId val="249441520"/>
      </c:lineChart>
      <c:dateAx>
        <c:axId val="249445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8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441520"/>
        <c:crosses val="autoZero"/>
        <c:auto val="1"/>
        <c:lblOffset val="100"/>
        <c:baseTimeUnit val="months"/>
        <c:majorUnit val="3"/>
        <c:majorTimeUnit val="months"/>
      </c:dateAx>
      <c:valAx>
        <c:axId val="24944152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44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2198680089132"/>
          <c:y val="0.66640478082447441"/>
          <c:w val="0.57057114473938864"/>
          <c:h val="0.1293516718209089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Gasoline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Forecast_Main!$D$76:$AE$76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Forecast_Main!$D$80:$AE$80</c:f>
              <c:numCache>
                <c:formatCode>#,##0</c:formatCode>
                <c:ptCount val="28"/>
                <c:pt idx="0">
                  <c:v>432288642</c:v>
                </c:pt>
                <c:pt idx="1">
                  <c:v>369245735</c:v>
                </c:pt>
                <c:pt idx="2">
                  <c:v>426111111</c:v>
                </c:pt>
                <c:pt idx="3">
                  <c:v>374941421</c:v>
                </c:pt>
                <c:pt idx="4">
                  <c:v>317609932</c:v>
                </c:pt>
                <c:pt idx="5">
                  <c:v>410970093</c:v>
                </c:pt>
                <c:pt idx="6">
                  <c:v>472280556</c:v>
                </c:pt>
                <c:pt idx="7">
                  <c:v>417771717</c:v>
                </c:pt>
                <c:pt idx="8">
                  <c:v>380521964</c:v>
                </c:pt>
                <c:pt idx="9">
                  <c:v>455326178</c:v>
                </c:pt>
                <c:pt idx="10">
                  <c:v>453925418</c:v>
                </c:pt>
                <c:pt idx="11">
                  <c:v>422283914</c:v>
                </c:pt>
                <c:pt idx="12">
                  <c:v>411105176</c:v>
                </c:pt>
                <c:pt idx="13">
                  <c:v>438385251</c:v>
                </c:pt>
                <c:pt idx="14">
                  <c:v>443985802</c:v>
                </c:pt>
                <c:pt idx="15">
                  <c:v>445906198</c:v>
                </c:pt>
                <c:pt idx="16">
                  <c:v>362816592</c:v>
                </c:pt>
                <c:pt idx="17">
                  <c:v>284911702</c:v>
                </c:pt>
                <c:pt idx="18">
                  <c:v>431042348</c:v>
                </c:pt>
                <c:pt idx="19">
                  <c:v>344962401</c:v>
                </c:pt>
                <c:pt idx="20">
                  <c:v>356285323.51274776</c:v>
                </c:pt>
                <c:pt idx="21">
                  <c:v>366906401.23448509</c:v>
                </c:pt>
                <c:pt idx="22">
                  <c:v>466567327.1589213</c:v>
                </c:pt>
                <c:pt idx="23">
                  <c:v>371697258.95965123</c:v>
                </c:pt>
                <c:pt idx="24">
                  <c:v>364535756.19336802</c:v>
                </c:pt>
                <c:pt idx="25">
                  <c:v>362225902.35917348</c:v>
                </c:pt>
                <c:pt idx="26">
                  <c:v>467676988.93136537</c:v>
                </c:pt>
                <c:pt idx="27">
                  <c:v>370888481.69886726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8F-4209-BA48-4D2E69786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  <c:min val="2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393373374340477E-2"/>
                <c:y val="0.4051102663891151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 of Gallons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Ethanol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Forecast_Main!$D$76:$AE$76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Forecast_Main!$D$78:$AE$78</c:f>
              <c:numCache>
                <c:formatCode>#,##0</c:formatCode>
                <c:ptCount val="28"/>
                <c:pt idx="0">
                  <c:v>50904982.299999997</c:v>
                </c:pt>
                <c:pt idx="1">
                  <c:v>41169772.600000001</c:v>
                </c:pt>
                <c:pt idx="2">
                  <c:v>46844753.899999999</c:v>
                </c:pt>
                <c:pt idx="3">
                  <c:v>38687842.100000001</c:v>
                </c:pt>
                <c:pt idx="4">
                  <c:v>39795000.899999999</c:v>
                </c:pt>
                <c:pt idx="5">
                  <c:v>42848673.5</c:v>
                </c:pt>
                <c:pt idx="6">
                  <c:v>49152301.399999999</c:v>
                </c:pt>
                <c:pt idx="7">
                  <c:v>42482357.700000003</c:v>
                </c:pt>
                <c:pt idx="8">
                  <c:v>41973456.899999999</c:v>
                </c:pt>
                <c:pt idx="9">
                  <c:v>40297149.899999999</c:v>
                </c:pt>
                <c:pt idx="10">
                  <c:v>46877337.299999997</c:v>
                </c:pt>
                <c:pt idx="11">
                  <c:v>43494023.100000001</c:v>
                </c:pt>
                <c:pt idx="12">
                  <c:v>38612516.200000003</c:v>
                </c:pt>
                <c:pt idx="13">
                  <c:v>44486189.600000001</c:v>
                </c:pt>
                <c:pt idx="14">
                  <c:v>47299348.899999999</c:v>
                </c:pt>
                <c:pt idx="15">
                  <c:v>43634242.200000003</c:v>
                </c:pt>
                <c:pt idx="16">
                  <c:v>36182280.399999999</c:v>
                </c:pt>
                <c:pt idx="17">
                  <c:v>32345786.899999999</c:v>
                </c:pt>
                <c:pt idx="18">
                  <c:v>39116558.600000001</c:v>
                </c:pt>
                <c:pt idx="19">
                  <c:v>34090172.399999999</c:v>
                </c:pt>
                <c:pt idx="20">
                  <c:v>35984817.674787529</c:v>
                </c:pt>
                <c:pt idx="21">
                  <c:v>37057546.524682999</c:v>
                </c:pt>
                <c:pt idx="22">
                  <c:v>47123300.043051057</c:v>
                </c:pt>
                <c:pt idx="23">
                  <c:v>37541423.15492478</c:v>
                </c:pt>
                <c:pt idx="24">
                  <c:v>36818111.375530168</c:v>
                </c:pt>
                <c:pt idx="25">
                  <c:v>36584816.138276525</c:v>
                </c:pt>
                <c:pt idx="26">
                  <c:v>47235375.882067904</c:v>
                </c:pt>
                <c:pt idx="27">
                  <c:v>37459736.651585594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0A-4ABD-8E8B-2F4F1110B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  <c:min val="3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Gallone</a:t>
                </a:r>
              </a:p>
            </c:rich>
          </c:tx>
          <c:layout>
            <c:manualLayout>
              <c:xMode val="edge"/>
              <c:yMode val="edge"/>
              <c:x val="1.6359918200408999E-2"/>
              <c:y val="0.38212688931124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Biodiesel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Forecast_Main!$D$76:$AE$76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Forecast_Main!$D$84:$AE$84</c:f>
              <c:numCache>
                <c:formatCode>#,##0</c:formatCode>
                <c:ptCount val="28"/>
                <c:pt idx="0">
                  <c:v>11867430.6</c:v>
                </c:pt>
                <c:pt idx="1">
                  <c:v>11165820</c:v>
                </c:pt>
                <c:pt idx="2">
                  <c:v>13012715.050000001</c:v>
                </c:pt>
                <c:pt idx="3">
                  <c:v>11489107.15</c:v>
                </c:pt>
                <c:pt idx="4">
                  <c:v>9104597</c:v>
                </c:pt>
                <c:pt idx="5">
                  <c:v>13400125.199999999</c:v>
                </c:pt>
                <c:pt idx="6">
                  <c:v>14471281.25</c:v>
                </c:pt>
                <c:pt idx="7">
                  <c:v>14210435.268036803</c:v>
                </c:pt>
                <c:pt idx="8">
                  <c:v>10794217.172234204</c:v>
                </c:pt>
                <c:pt idx="9">
                  <c:v>13063325.912483048</c:v>
                </c:pt>
                <c:pt idx="10">
                  <c:v>14749408.915234635</c:v>
                </c:pt>
                <c:pt idx="11">
                  <c:v>13034116.418898588</c:v>
                </c:pt>
                <c:pt idx="12">
                  <c:v>11315967.817921368</c:v>
                </c:pt>
                <c:pt idx="13">
                  <c:v>16520225.203099381</c:v>
                </c:pt>
                <c:pt idx="14">
                  <c:v>16949908.901677188</c:v>
                </c:pt>
                <c:pt idx="15">
                  <c:v>15296319.811208989</c:v>
                </c:pt>
                <c:pt idx="16">
                  <c:v>15413462.236833055</c:v>
                </c:pt>
                <c:pt idx="17">
                  <c:v>16209516.889061701</c:v>
                </c:pt>
                <c:pt idx="18">
                  <c:v>18275318.012330357</c:v>
                </c:pt>
                <c:pt idx="19">
                  <c:v>18670780.484283019</c:v>
                </c:pt>
                <c:pt idx="20">
                  <c:v>18114045.58076299</c:v>
                </c:pt>
                <c:pt idx="21">
                  <c:v>22452221.720070135</c:v>
                </c:pt>
                <c:pt idx="22">
                  <c:v>19912904.341609787</c:v>
                </c:pt>
                <c:pt idx="23">
                  <c:v>20146654.445849165</c:v>
                </c:pt>
                <c:pt idx="24">
                  <c:v>18247184.549737018</c:v>
                </c:pt>
                <c:pt idx="25">
                  <c:v>23194648.327844992</c:v>
                </c:pt>
                <c:pt idx="26">
                  <c:v>21422360.425616637</c:v>
                </c:pt>
                <c:pt idx="27">
                  <c:v>21795969.318994563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A-491B-AA8E-4F3BF16CB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  <c:min val="8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Gallons</a:t>
                </a:r>
              </a:p>
            </c:rich>
          </c:tx>
          <c:layout>
            <c:manualLayout>
              <c:xMode val="edge"/>
              <c:yMode val="edge"/>
              <c:x val="1.6359918200408999E-2"/>
              <c:y val="0.38212688931124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Renewable Diesel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Forecast_Main!$D$76:$AE$76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Forecast_Main!$D$86:$AE$86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340253.53196319623</c:v>
                </c:pt>
                <c:pt idx="8">
                  <c:v>301481.0777657968</c:v>
                </c:pt>
                <c:pt idx="9">
                  <c:v>200455.93751695345</c:v>
                </c:pt>
                <c:pt idx="10">
                  <c:v>223908.68476536599</c:v>
                </c:pt>
                <c:pt idx="11">
                  <c:v>481580.18110141181</c:v>
                </c:pt>
                <c:pt idx="12">
                  <c:v>162808.78207863175</c:v>
                </c:pt>
                <c:pt idx="13">
                  <c:v>459855.94690061948</c:v>
                </c:pt>
                <c:pt idx="14">
                  <c:v>11387556.848322812</c:v>
                </c:pt>
                <c:pt idx="15">
                  <c:v>4755607.5887910109</c:v>
                </c:pt>
                <c:pt idx="16">
                  <c:v>7808327.8631669451</c:v>
                </c:pt>
                <c:pt idx="17">
                  <c:v>6187944.6109382985</c:v>
                </c:pt>
                <c:pt idx="18">
                  <c:v>381436.88766964397</c:v>
                </c:pt>
                <c:pt idx="19">
                  <c:v>3900951.6157169794</c:v>
                </c:pt>
                <c:pt idx="20">
                  <c:v>5545115.9941111188</c:v>
                </c:pt>
                <c:pt idx="21">
                  <c:v>6873129.0979806529</c:v>
                </c:pt>
                <c:pt idx="22">
                  <c:v>6095787.0433499347</c:v>
                </c:pt>
                <c:pt idx="23">
                  <c:v>6167343.197708928</c:v>
                </c:pt>
                <c:pt idx="24">
                  <c:v>10426962.599849725</c:v>
                </c:pt>
                <c:pt idx="25">
                  <c:v>13254084.758768566</c:v>
                </c:pt>
                <c:pt idx="26">
                  <c:v>12241348.814638078</c:v>
                </c:pt>
                <c:pt idx="27">
                  <c:v>12454839.610854035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E0-42F3-A159-C9605CFA7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Gallons</a:t>
                </a:r>
              </a:p>
            </c:rich>
          </c:tx>
          <c:layout>
            <c:manualLayout>
              <c:xMode val="edge"/>
              <c:yMode val="edge"/>
              <c:x val="1.6359918200408999E-2"/>
              <c:y val="0.38212688931124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Charging Station Consumption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Forecast_Main!$D$76:$AE$76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Forecast_Main!$D$91:$AE$91</c:f>
              <c:numCache>
                <c:formatCode>#,##0</c:formatCode>
                <c:ptCount val="28"/>
                <c:pt idx="0">
                  <c:v>7061</c:v>
                </c:pt>
                <c:pt idx="1">
                  <c:v>10979</c:v>
                </c:pt>
                <c:pt idx="2">
                  <c:v>15031</c:v>
                </c:pt>
                <c:pt idx="3">
                  <c:v>14084</c:v>
                </c:pt>
                <c:pt idx="4">
                  <c:v>14322</c:v>
                </c:pt>
                <c:pt idx="5">
                  <c:v>18144</c:v>
                </c:pt>
                <c:pt idx="6">
                  <c:v>24117</c:v>
                </c:pt>
                <c:pt idx="7">
                  <c:v>22967</c:v>
                </c:pt>
                <c:pt idx="8">
                  <c:v>18643</c:v>
                </c:pt>
                <c:pt idx="9">
                  <c:v>26424</c:v>
                </c:pt>
                <c:pt idx="10">
                  <c:v>34852</c:v>
                </c:pt>
                <c:pt idx="11">
                  <c:v>43869</c:v>
                </c:pt>
                <c:pt idx="12">
                  <c:v>43384</c:v>
                </c:pt>
                <c:pt idx="13">
                  <c:v>54052</c:v>
                </c:pt>
                <c:pt idx="14">
                  <c:v>70193</c:v>
                </c:pt>
                <c:pt idx="15">
                  <c:v>69198</c:v>
                </c:pt>
                <c:pt idx="16">
                  <c:v>54300</c:v>
                </c:pt>
                <c:pt idx="17">
                  <c:v>37633</c:v>
                </c:pt>
                <c:pt idx="18">
                  <c:v>72090</c:v>
                </c:pt>
                <c:pt idx="19">
                  <c:v>67128</c:v>
                </c:pt>
                <c:pt idx="20">
                  <c:v>94598.749645370757</c:v>
                </c:pt>
                <c:pt idx="21">
                  <c:v>103952.35151917092</c:v>
                </c:pt>
                <c:pt idx="22">
                  <c:v>114703.47019459167</c:v>
                </c:pt>
                <c:pt idx="23">
                  <c:v>126636.71379898256</c:v>
                </c:pt>
                <c:pt idx="24">
                  <c:v>139706.13713442138</c:v>
                </c:pt>
                <c:pt idx="25">
                  <c:v>153269.99453985854</c:v>
                </c:pt>
                <c:pt idx="26">
                  <c:v>166534.9900185226</c:v>
                </c:pt>
                <c:pt idx="27">
                  <c:v>180843.89579874719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30-42A3-9C67-B5A422F77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Charging</a:t>
            </a:r>
            <a:r>
              <a:rPr lang="en-US" baseline="0"/>
              <a:t> Percentage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Forecast_Main!$D$76:$AE$76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Forecast_Main!$D$93:$AA$93</c:f>
              <c:numCache>
                <c:formatCode>0.0%</c:formatCode>
                <c:ptCount val="24"/>
                <c:pt idx="0">
                  <c:v>0.96445123059040005</c:v>
                </c:pt>
                <c:pt idx="1">
                  <c:v>0.96445123059040005</c:v>
                </c:pt>
                <c:pt idx="2">
                  <c:v>0.96445123059040005</c:v>
                </c:pt>
                <c:pt idx="3">
                  <c:v>0.96445123059040005</c:v>
                </c:pt>
                <c:pt idx="4">
                  <c:v>0.95158695803547244</c:v>
                </c:pt>
                <c:pt idx="5">
                  <c:v>0.95158695803547244</c:v>
                </c:pt>
                <c:pt idx="6">
                  <c:v>0.95158695803547244</c:v>
                </c:pt>
                <c:pt idx="7">
                  <c:v>0.95158695803547244</c:v>
                </c:pt>
                <c:pt idx="8">
                  <c:v>0.94462868059347527</c:v>
                </c:pt>
                <c:pt idx="9">
                  <c:v>0.94462868059347527</c:v>
                </c:pt>
                <c:pt idx="10">
                  <c:v>0.94462868059347527</c:v>
                </c:pt>
                <c:pt idx="11">
                  <c:v>0.94462868059347527</c:v>
                </c:pt>
                <c:pt idx="12">
                  <c:v>0.91770971607879626</c:v>
                </c:pt>
                <c:pt idx="13">
                  <c:v>0.91770971607879626</c:v>
                </c:pt>
                <c:pt idx="14">
                  <c:v>0.91770971607879626</c:v>
                </c:pt>
                <c:pt idx="15">
                  <c:v>0.91770971607879626</c:v>
                </c:pt>
                <c:pt idx="16">
                  <c:v>0.93706354148340298</c:v>
                </c:pt>
                <c:pt idx="17">
                  <c:v>0.93706354148340298</c:v>
                </c:pt>
                <c:pt idx="18">
                  <c:v>0.93706354148340298</c:v>
                </c:pt>
                <c:pt idx="19">
                  <c:v>0.93706354148340298</c:v>
                </c:pt>
                <c:pt idx="20">
                  <c:v>0.92066452195395332</c:v>
                </c:pt>
                <c:pt idx="21">
                  <c:v>0.91856209950764423</c:v>
                </c:pt>
                <c:pt idx="22">
                  <c:v>0.91643631681193161</c:v>
                </c:pt>
                <c:pt idx="23">
                  <c:v>0.91428717386681568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91-4135-83E5-22B3E4D2D0A7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Forecast_Main!$D$76:$AE$76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Forecast_Main!$D$93:$AE$93</c:f>
              <c:numCache>
                <c:formatCode>0.0%</c:formatCode>
                <c:ptCount val="28"/>
                <c:pt idx="0">
                  <c:v>0.96445123059040005</c:v>
                </c:pt>
                <c:pt idx="1">
                  <c:v>0.96445123059040005</c:v>
                </c:pt>
                <c:pt idx="2">
                  <c:v>0.96445123059040005</c:v>
                </c:pt>
                <c:pt idx="3">
                  <c:v>0.96445123059040005</c:v>
                </c:pt>
                <c:pt idx="4">
                  <c:v>0.95158695803547244</c:v>
                </c:pt>
                <c:pt idx="5">
                  <c:v>0.95158695803547244</c:v>
                </c:pt>
                <c:pt idx="6">
                  <c:v>0.95158695803547244</c:v>
                </c:pt>
                <c:pt idx="7">
                  <c:v>0.95158695803547244</c:v>
                </c:pt>
                <c:pt idx="8">
                  <c:v>0.94462868059347527</c:v>
                </c:pt>
                <c:pt idx="9">
                  <c:v>0.94462868059347527</c:v>
                </c:pt>
                <c:pt idx="10">
                  <c:v>0.94462868059347527</c:v>
                </c:pt>
                <c:pt idx="11">
                  <c:v>0.94462868059347527</c:v>
                </c:pt>
                <c:pt idx="12">
                  <c:v>0.91770971607879626</c:v>
                </c:pt>
                <c:pt idx="13">
                  <c:v>0.91770971607879626</c:v>
                </c:pt>
                <c:pt idx="14">
                  <c:v>0.91770971607879626</c:v>
                </c:pt>
                <c:pt idx="15">
                  <c:v>0.91770971607879626</c:v>
                </c:pt>
                <c:pt idx="16">
                  <c:v>0.93706354148340298</c:v>
                </c:pt>
                <c:pt idx="17">
                  <c:v>0.93706354148340298</c:v>
                </c:pt>
                <c:pt idx="18">
                  <c:v>0.93706354148340298</c:v>
                </c:pt>
                <c:pt idx="19">
                  <c:v>0.93706354148340298</c:v>
                </c:pt>
                <c:pt idx="20">
                  <c:v>0.92066452195395332</c:v>
                </c:pt>
                <c:pt idx="21">
                  <c:v>0.91856209950764423</c:v>
                </c:pt>
                <c:pt idx="22">
                  <c:v>0.91643631681193161</c:v>
                </c:pt>
                <c:pt idx="23">
                  <c:v>0.91428717386681568</c:v>
                </c:pt>
                <c:pt idx="24">
                  <c:v>0.91213803092169976</c:v>
                </c:pt>
                <c:pt idx="25">
                  <c:v>0.91003560847539089</c:v>
                </c:pt>
                <c:pt idx="26">
                  <c:v>0.90790982577967827</c:v>
                </c:pt>
                <c:pt idx="27">
                  <c:v>0.90576068283456235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1-4135-83E5-22B3E4D2D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On-Road</a:t>
            </a:r>
            <a:r>
              <a:rPr lang="en-US" baseline="0"/>
              <a:t> Electricity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Forecast_Main!$D$76:$AE$76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Forecast_Main!$D$94:$AE$94</c:f>
              <c:numCache>
                <c:formatCode>#,##0</c:formatCode>
                <c:ptCount val="28"/>
                <c:pt idx="0">
                  <c:v>198628.53531276336</c:v>
                </c:pt>
                <c:pt idx="1">
                  <c:v>308843.32094587578</c:v>
                </c:pt>
                <c:pt idx="2">
                  <c:v>422827.57602126413</c:v>
                </c:pt>
                <c:pt idx="3">
                  <c:v>396188.11660458281</c:v>
                </c:pt>
                <c:pt idx="4">
                  <c:v>295829.37611096178</c:v>
                </c:pt>
                <c:pt idx="5">
                  <c:v>374775.04539570527</c:v>
                </c:pt>
                <c:pt idx="6">
                  <c:v>498150.89119313407</c:v>
                </c:pt>
                <c:pt idx="7">
                  <c:v>474396.96139788156</c:v>
                </c:pt>
                <c:pt idx="8">
                  <c:v>336690.5502671334</c:v>
                </c:pt>
                <c:pt idx="9">
                  <c:v>477214.5631206744</c:v>
                </c:pt>
                <c:pt idx="10">
                  <c:v>629423.32553291484</c:v>
                </c:pt>
                <c:pt idx="11">
                  <c:v>792269.36381853104</c:v>
                </c:pt>
                <c:pt idx="12">
                  <c:v>527206.83333091799</c:v>
                </c:pt>
                <c:pt idx="13">
                  <c:v>656845.46734286321</c:v>
                </c:pt>
                <c:pt idx="14">
                  <c:v>852992.5606674609</c:v>
                </c:pt>
                <c:pt idx="15">
                  <c:v>840901.21825633547</c:v>
                </c:pt>
                <c:pt idx="16">
                  <c:v>862774.95238599239</c:v>
                </c:pt>
                <c:pt idx="17">
                  <c:v>597952.29803208204</c:v>
                </c:pt>
                <c:pt idx="18">
                  <c:v>1145441.0003223976</c:v>
                </c:pt>
                <c:pt idx="19">
                  <c:v>1066599.5764966279</c:v>
                </c:pt>
                <c:pt idx="20">
                  <c:v>1192388.9787424649</c:v>
                </c:pt>
                <c:pt idx="21">
                  <c:v>1276461.5847252656</c:v>
                </c:pt>
                <c:pt idx="22">
                  <c:v>1372647.3728598116</c:v>
                </c:pt>
                <c:pt idx="23">
                  <c:v>1477453.4863919765</c:v>
                </c:pt>
                <c:pt idx="24">
                  <c:v>1590063.8080387095</c:v>
                </c:pt>
                <c:pt idx="25">
                  <c:v>1703673.9974830232</c:v>
                </c:pt>
                <c:pt idx="26">
                  <c:v>1808390.4328391755</c:v>
                </c:pt>
                <c:pt idx="27">
                  <c:v>1918985.6340032117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64-47E2-A92A-BBF66E7CA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  <c:max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086571233810499E-2"/>
                <c:y val="0.3336781609195402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 of Gallons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Natural</a:t>
            </a:r>
            <a:r>
              <a:rPr lang="en-US" baseline="0"/>
              <a:t> Gas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Forecast_Main!$D$76:$AE$76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Forecast_Main!$D$105:$AE$105</c:f>
              <c:numCache>
                <c:formatCode>#,##0</c:formatCode>
                <c:ptCount val="28"/>
                <c:pt idx="0">
                  <c:v>136671</c:v>
                </c:pt>
                <c:pt idx="1">
                  <c:v>164875</c:v>
                </c:pt>
                <c:pt idx="2">
                  <c:v>569688</c:v>
                </c:pt>
                <c:pt idx="3">
                  <c:v>641005</c:v>
                </c:pt>
                <c:pt idx="4">
                  <c:v>653628</c:v>
                </c:pt>
                <c:pt idx="5">
                  <c:v>764053</c:v>
                </c:pt>
                <c:pt idx="6">
                  <c:v>715854</c:v>
                </c:pt>
                <c:pt idx="7">
                  <c:v>641309</c:v>
                </c:pt>
                <c:pt idx="8">
                  <c:v>656068</c:v>
                </c:pt>
                <c:pt idx="9">
                  <c:v>781791</c:v>
                </c:pt>
                <c:pt idx="10">
                  <c:v>796050</c:v>
                </c:pt>
                <c:pt idx="11">
                  <c:v>857405</c:v>
                </c:pt>
                <c:pt idx="12">
                  <c:v>794598</c:v>
                </c:pt>
                <c:pt idx="13">
                  <c:v>838419</c:v>
                </c:pt>
                <c:pt idx="14">
                  <c:v>864575</c:v>
                </c:pt>
                <c:pt idx="15">
                  <c:v>907063</c:v>
                </c:pt>
                <c:pt idx="16">
                  <c:v>914722</c:v>
                </c:pt>
                <c:pt idx="17">
                  <c:v>945176</c:v>
                </c:pt>
                <c:pt idx="18">
                  <c:v>872659</c:v>
                </c:pt>
                <c:pt idx="19">
                  <c:v>921833</c:v>
                </c:pt>
                <c:pt idx="20">
                  <c:v>1143402.5</c:v>
                </c:pt>
                <c:pt idx="21">
                  <c:v>1181470</c:v>
                </c:pt>
                <c:pt idx="22">
                  <c:v>1090823.75</c:v>
                </c:pt>
                <c:pt idx="23">
                  <c:v>1152291.25</c:v>
                </c:pt>
                <c:pt idx="24">
                  <c:v>1543593.375</c:v>
                </c:pt>
                <c:pt idx="25">
                  <c:v>1594984.5</c:v>
                </c:pt>
                <c:pt idx="26">
                  <c:v>1472612.0625</c:v>
                </c:pt>
                <c:pt idx="27">
                  <c:v>1555593.1875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C-4DD4-8E1C-7149D58AD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Gallons</a:t>
                </a:r>
              </a:p>
            </c:rich>
          </c:tx>
          <c:layout>
            <c:manualLayout>
              <c:xMode val="edge"/>
              <c:yMode val="edge"/>
              <c:x val="1.6359918200408999E-2"/>
              <c:y val="0.38212688931124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Liquified Petroleum</a:t>
            </a:r>
            <a:r>
              <a:rPr lang="en-US" baseline="0"/>
              <a:t> Gas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Forecast_Main!$D$76:$AE$76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Forecast_Main!$D$108:$AE$108</c:f>
              <c:numCache>
                <c:formatCode>#,##0</c:formatCode>
                <c:ptCount val="28"/>
                <c:pt idx="0">
                  <c:v>18821</c:v>
                </c:pt>
                <c:pt idx="1">
                  <c:v>18876</c:v>
                </c:pt>
                <c:pt idx="2">
                  <c:v>7995</c:v>
                </c:pt>
                <c:pt idx="3">
                  <c:v>19358</c:v>
                </c:pt>
                <c:pt idx="4">
                  <c:v>20826</c:v>
                </c:pt>
                <c:pt idx="5">
                  <c:v>43505</c:v>
                </c:pt>
                <c:pt idx="6">
                  <c:v>24333</c:v>
                </c:pt>
                <c:pt idx="7">
                  <c:v>39627</c:v>
                </c:pt>
                <c:pt idx="8">
                  <c:v>138064</c:v>
                </c:pt>
                <c:pt idx="9">
                  <c:v>152677</c:v>
                </c:pt>
                <c:pt idx="10">
                  <c:v>162962</c:v>
                </c:pt>
                <c:pt idx="11">
                  <c:v>286715</c:v>
                </c:pt>
                <c:pt idx="12">
                  <c:v>495110</c:v>
                </c:pt>
                <c:pt idx="13">
                  <c:v>365157</c:v>
                </c:pt>
                <c:pt idx="14">
                  <c:v>486957</c:v>
                </c:pt>
                <c:pt idx="15">
                  <c:v>708353</c:v>
                </c:pt>
                <c:pt idx="16">
                  <c:v>675568</c:v>
                </c:pt>
                <c:pt idx="17">
                  <c:v>236707</c:v>
                </c:pt>
                <c:pt idx="18">
                  <c:v>229332</c:v>
                </c:pt>
                <c:pt idx="19">
                  <c:v>333561</c:v>
                </c:pt>
                <c:pt idx="20">
                  <c:v>1013352</c:v>
                </c:pt>
                <c:pt idx="21">
                  <c:v>355060.5</c:v>
                </c:pt>
                <c:pt idx="22">
                  <c:v>343998</c:v>
                </c:pt>
                <c:pt idx="23">
                  <c:v>500341.5</c:v>
                </c:pt>
                <c:pt idx="24">
                  <c:v>1722698.4</c:v>
                </c:pt>
                <c:pt idx="25">
                  <c:v>603602.85</c:v>
                </c:pt>
                <c:pt idx="26">
                  <c:v>584796.6</c:v>
                </c:pt>
                <c:pt idx="27">
                  <c:v>850580.54999999993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7-49D3-BB79-817141FEE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Gallons</a:t>
                </a:r>
              </a:p>
            </c:rich>
          </c:tx>
          <c:layout>
            <c:manualLayout>
              <c:xMode val="edge"/>
              <c:yMode val="edge"/>
              <c:x val="1.6359918200408999E-2"/>
              <c:y val="0.38212688931124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KWh per Vehicle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Forecast_Main!$D$76:$AE$76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Forecast_Main!$D$97:$AE$97</c:f>
              <c:numCache>
                <c:formatCode>#,##0</c:formatCode>
                <c:ptCount val="28"/>
                <c:pt idx="0">
                  <c:v>2880.3380970937405</c:v>
                </c:pt>
                <c:pt idx="1">
                  <c:v>4089.3934920699317</c:v>
                </c:pt>
                <c:pt idx="2">
                  <c:v>5147.6717872853669</c:v>
                </c:pt>
                <c:pt idx="3">
                  <c:v>4410.180503275441</c:v>
                </c:pt>
                <c:pt idx="4">
                  <c:v>3003.8163227761765</c:v>
                </c:pt>
                <c:pt idx="5">
                  <c:v>3525.492673663176</c:v>
                </c:pt>
                <c:pt idx="6">
                  <c:v>4383.2722349109172</c:v>
                </c:pt>
                <c:pt idx="7">
                  <c:v>3935.4211888100649</c:v>
                </c:pt>
                <c:pt idx="8">
                  <c:v>2623.8591963574204</c:v>
                </c:pt>
                <c:pt idx="9">
                  <c:v>3492.3972035112624</c:v>
                </c:pt>
                <c:pt idx="10">
                  <c:v>4329.6831797996474</c:v>
                </c:pt>
                <c:pt idx="11">
                  <c:v>4998.0147561404265</c:v>
                </c:pt>
                <c:pt idx="12">
                  <c:v>3087.5588639407774</c:v>
                </c:pt>
                <c:pt idx="13">
                  <c:v>3617.2545331410133</c:v>
                </c:pt>
                <c:pt idx="14">
                  <c:v>4337.9223060090517</c:v>
                </c:pt>
                <c:pt idx="15">
                  <c:v>3985.5632193632109</c:v>
                </c:pt>
                <c:pt idx="16">
                  <c:v>3962.6262906515967</c:v>
                </c:pt>
                <c:pt idx="17">
                  <c:v>2668.1141046035987</c:v>
                </c:pt>
                <c:pt idx="18">
                  <c:v>4997.9200053966897</c:v>
                </c:pt>
                <c:pt idx="19">
                  <c:v>4399.5016705377311</c:v>
                </c:pt>
                <c:pt idx="20">
                  <c:v>4336.7066983916566</c:v>
                </c:pt>
                <c:pt idx="21">
                  <c:v>4361.7066983916566</c:v>
                </c:pt>
                <c:pt idx="22">
                  <c:v>4386.7066983916566</c:v>
                </c:pt>
                <c:pt idx="23">
                  <c:v>4411.7066983916566</c:v>
                </c:pt>
                <c:pt idx="24">
                  <c:v>4436.7066983916566</c:v>
                </c:pt>
                <c:pt idx="25">
                  <c:v>4461.7066983916566</c:v>
                </c:pt>
                <c:pt idx="26">
                  <c:v>4486.7066983916566</c:v>
                </c:pt>
                <c:pt idx="27">
                  <c:v>4511.7066983916566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24-41CA-B0AA-5D8256A4D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Ethanol Carbon Intensity</a:t>
            </a:r>
          </a:p>
        </c:rich>
      </c:tx>
      <c:layout>
        <c:manualLayout>
          <c:xMode val="edge"/>
          <c:yMode val="edge"/>
          <c:x val="0.34355054266865293"/>
          <c:y val="3.372554845738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501037272397751E-2"/>
          <c:y val="0.12228955591326579"/>
          <c:w val="0.89479327816637999"/>
          <c:h val="0.71128369540126712"/>
        </c:manualLayout>
      </c:layout>
      <c:lineChart>
        <c:grouping val="standard"/>
        <c:varyColors val="0"/>
        <c:ser>
          <c:idx val="0"/>
          <c:order val="0"/>
          <c:tx>
            <c:strRef>
              <c:f>'CI Trend'!$C$12</c:f>
              <c:strCache>
                <c:ptCount val="1"/>
                <c:pt idx="0">
                  <c:v>Oregon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Trend'!$D$11:$AE$11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'CI Trend'!$D$12:$AE$12</c:f>
              <c:numCache>
                <c:formatCode>#,##0.00</c:formatCode>
                <c:ptCount val="28"/>
                <c:pt idx="0">
                  <c:v>64.5</c:v>
                </c:pt>
                <c:pt idx="1">
                  <c:v>62.85</c:v>
                </c:pt>
                <c:pt idx="2">
                  <c:v>63</c:v>
                </c:pt>
                <c:pt idx="3">
                  <c:v>62.48</c:v>
                </c:pt>
                <c:pt idx="4">
                  <c:v>62.68</c:v>
                </c:pt>
                <c:pt idx="5">
                  <c:v>63.04</c:v>
                </c:pt>
                <c:pt idx="6">
                  <c:v>63.49</c:v>
                </c:pt>
                <c:pt idx="7">
                  <c:v>61.33</c:v>
                </c:pt>
                <c:pt idx="8">
                  <c:v>61.85</c:v>
                </c:pt>
                <c:pt idx="9">
                  <c:v>61.12</c:v>
                </c:pt>
                <c:pt idx="10">
                  <c:v>60.81</c:v>
                </c:pt>
                <c:pt idx="11">
                  <c:v>59.73</c:v>
                </c:pt>
                <c:pt idx="12">
                  <c:v>60.13</c:v>
                </c:pt>
                <c:pt idx="13">
                  <c:v>59.68</c:v>
                </c:pt>
                <c:pt idx="14">
                  <c:v>57.02</c:v>
                </c:pt>
                <c:pt idx="15">
                  <c:v>55.81</c:v>
                </c:pt>
                <c:pt idx="16">
                  <c:v>55.33</c:v>
                </c:pt>
                <c:pt idx="17">
                  <c:v>55.78</c:v>
                </c:pt>
                <c:pt idx="18">
                  <c:v>55.03</c:v>
                </c:pt>
                <c:pt idx="19">
                  <c:v>52.89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A8-4345-B03D-A55F693F3823}"/>
            </c:ext>
          </c:extLst>
        </c:ser>
        <c:ser>
          <c:idx val="1"/>
          <c:order val="1"/>
          <c:tx>
            <c:strRef>
              <c:f>'CI Trend'!$C$15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rgbClr val="FEC200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Trend'!$D$11:$AE$11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'CI Trend'!$D$15:$AE$15</c:f>
              <c:numCache>
                <c:formatCode>#,##0.00</c:formatCode>
                <c:ptCount val="28"/>
                <c:pt idx="0">
                  <c:v>72.87</c:v>
                </c:pt>
                <c:pt idx="1">
                  <c:v>70.83</c:v>
                </c:pt>
                <c:pt idx="2">
                  <c:v>69.98</c:v>
                </c:pt>
                <c:pt idx="3">
                  <c:v>70.34</c:v>
                </c:pt>
                <c:pt idx="4">
                  <c:v>71.489999999999995</c:v>
                </c:pt>
                <c:pt idx="5">
                  <c:v>70.290000000000006</c:v>
                </c:pt>
                <c:pt idx="6">
                  <c:v>69.510000000000005</c:v>
                </c:pt>
                <c:pt idx="7">
                  <c:v>68.98</c:v>
                </c:pt>
                <c:pt idx="8">
                  <c:v>70.099999999999994</c:v>
                </c:pt>
                <c:pt idx="9">
                  <c:v>70.02</c:v>
                </c:pt>
                <c:pt idx="10">
                  <c:v>68.41</c:v>
                </c:pt>
                <c:pt idx="11">
                  <c:v>65.88</c:v>
                </c:pt>
                <c:pt idx="12">
                  <c:v>66</c:v>
                </c:pt>
                <c:pt idx="13">
                  <c:v>63.69</c:v>
                </c:pt>
                <c:pt idx="14">
                  <c:v>59.33</c:v>
                </c:pt>
                <c:pt idx="15">
                  <c:v>59.46</c:v>
                </c:pt>
                <c:pt idx="16">
                  <c:v>60.34</c:v>
                </c:pt>
                <c:pt idx="17">
                  <c:v>62.13</c:v>
                </c:pt>
                <c:pt idx="18">
                  <c:v>57.77</c:v>
                </c:pt>
                <c:pt idx="19">
                  <c:v>57.69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C0-4D16-935C-2BF6C569C18A}"/>
            </c:ext>
          </c:extLst>
        </c:ser>
        <c:ser>
          <c:idx val="2"/>
          <c:order val="2"/>
          <c:tx>
            <c:strRef>
              <c:f>'CI Trend'!$C$13</c:f>
              <c:strCache>
                <c:ptCount val="1"/>
                <c:pt idx="0">
                  <c:v>Lower bound</c:v>
                </c:pt>
              </c:strCache>
            </c:strRef>
          </c:tx>
          <c:spPr>
            <a:ln w="63500" cap="rnd">
              <a:solidFill>
                <a:srgbClr val="FF66CC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Trend'!$D$11:$AE$11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'CI Trend'!$D$13:$AE$13</c:f>
              <c:numCache>
                <c:formatCode>#,##0.00</c:formatCode>
                <c:ptCount val="28"/>
                <c:pt idx="24">
                  <c:v>43.70824589865822</c:v>
                </c:pt>
                <c:pt idx="25">
                  <c:v>43.70824589865822</c:v>
                </c:pt>
                <c:pt idx="26">
                  <c:v>43.70824589865822</c:v>
                </c:pt>
                <c:pt idx="27">
                  <c:v>43.70824589865822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C0-4D16-935C-2BF6C569C18A}"/>
            </c:ext>
          </c:extLst>
        </c:ser>
        <c:ser>
          <c:idx val="3"/>
          <c:order val="3"/>
          <c:tx>
            <c:strRef>
              <c:f>'CI Trend'!$C$14</c:f>
              <c:strCache>
                <c:ptCount val="1"/>
                <c:pt idx="0">
                  <c:v>Forecast assumption</c:v>
                </c:pt>
              </c:strCache>
            </c:strRef>
          </c:tx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Trend'!$D$11:$AE$11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'CI Trend'!$D$14:$AE$14</c:f>
              <c:numCache>
                <c:formatCode>#,##0.00</c:formatCode>
                <c:ptCount val="28"/>
                <c:pt idx="20" formatCode="General">
                  <c:v>49</c:v>
                </c:pt>
                <c:pt idx="21" formatCode="General">
                  <c:v>49</c:v>
                </c:pt>
                <c:pt idx="22" formatCode="General">
                  <c:v>49</c:v>
                </c:pt>
                <c:pt idx="23" formatCode="General">
                  <c:v>49</c:v>
                </c:pt>
                <c:pt idx="24" formatCode="General">
                  <c:v>46.5</c:v>
                </c:pt>
                <c:pt idx="25" formatCode="General">
                  <c:v>46.5</c:v>
                </c:pt>
                <c:pt idx="26" formatCode="General">
                  <c:v>46.5</c:v>
                </c:pt>
                <c:pt idx="27" formatCode="General">
                  <c:v>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6-45EE-92CF-5BE6F58CA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43584"/>
        <c:axId val="245527544"/>
      </c:lineChart>
      <c:dateAx>
        <c:axId val="1645435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5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527544"/>
        <c:crosses val="autoZero"/>
        <c:auto val="1"/>
        <c:lblOffset val="100"/>
        <c:baseTimeUnit val="months"/>
        <c:majorUnit val="3"/>
        <c:majorTimeUnit val="months"/>
      </c:dateAx>
      <c:valAx>
        <c:axId val="245527544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4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120284268410759E-2"/>
          <c:y val="0.65690528825852601"/>
          <c:w val="0.58937391526755212"/>
          <c:h val="0.1573347574455401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Off-Road</a:t>
            </a:r>
            <a:r>
              <a:rPr lang="en-US" baseline="0"/>
              <a:t> Electricity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Forecast_Main!$D$76:$AE$76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Forecast_Main!$D$99:$AE$99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431079</c:v>
                </c:pt>
                <c:pt idx="9">
                  <c:v>422832</c:v>
                </c:pt>
                <c:pt idx="10">
                  <c:v>440204</c:v>
                </c:pt>
                <c:pt idx="11">
                  <c:v>433671</c:v>
                </c:pt>
                <c:pt idx="12">
                  <c:v>477625</c:v>
                </c:pt>
                <c:pt idx="13">
                  <c:v>490452</c:v>
                </c:pt>
                <c:pt idx="14">
                  <c:v>605468</c:v>
                </c:pt>
                <c:pt idx="15">
                  <c:v>647036</c:v>
                </c:pt>
                <c:pt idx="16">
                  <c:v>690934</c:v>
                </c:pt>
                <c:pt idx="17">
                  <c:v>710727</c:v>
                </c:pt>
                <c:pt idx="18">
                  <c:v>872188</c:v>
                </c:pt>
                <c:pt idx="19">
                  <c:v>962153</c:v>
                </c:pt>
                <c:pt idx="20">
                  <c:v>1036401</c:v>
                </c:pt>
                <c:pt idx="21">
                  <c:v>1066090.5</c:v>
                </c:pt>
                <c:pt idx="22">
                  <c:v>1308282</c:v>
                </c:pt>
                <c:pt idx="23">
                  <c:v>1443229.5</c:v>
                </c:pt>
                <c:pt idx="24">
                  <c:v>1710061.65</c:v>
                </c:pt>
                <c:pt idx="25">
                  <c:v>1759049.325</c:v>
                </c:pt>
                <c:pt idx="26">
                  <c:v>2158665.2999999998</c:v>
                </c:pt>
                <c:pt idx="27">
                  <c:v>2381328.6749999998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80-4167-973B-2EB7AE9FF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086571233810499E-2"/>
                <c:y val="0.3336781609195402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 of Gallons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Biodiesel</a:t>
            </a:r>
            <a:r>
              <a:rPr lang="en-US" baseline="0"/>
              <a:t> </a:t>
            </a:r>
            <a:r>
              <a:rPr lang="en-US"/>
              <a:t>Carbon Intensity</a:t>
            </a:r>
          </a:p>
        </c:rich>
      </c:tx>
      <c:layout>
        <c:manualLayout>
          <c:xMode val="edge"/>
          <c:yMode val="edge"/>
          <c:x val="0.31321731851791529"/>
          <c:y val="2.2082024412435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047465025023853E-2"/>
          <c:y val="0.12584277676787517"/>
          <c:w val="0.89688066453889848"/>
          <c:h val="0.69012530477691603"/>
        </c:manualLayout>
      </c:layout>
      <c:lineChart>
        <c:grouping val="standard"/>
        <c:varyColors val="0"/>
        <c:ser>
          <c:idx val="0"/>
          <c:order val="0"/>
          <c:tx>
            <c:strRef>
              <c:f>'CI Trend'!$C$18</c:f>
              <c:strCache>
                <c:ptCount val="1"/>
                <c:pt idx="0">
                  <c:v>Oregon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Trend'!$D$11:$AE$11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'CI Trend'!$D$18:$AE$18</c:f>
              <c:numCache>
                <c:formatCode>#,##0.00</c:formatCode>
                <c:ptCount val="28"/>
                <c:pt idx="0">
                  <c:v>56.38</c:v>
                </c:pt>
                <c:pt idx="1">
                  <c:v>51.31</c:v>
                </c:pt>
                <c:pt idx="2">
                  <c:v>51.13</c:v>
                </c:pt>
                <c:pt idx="3">
                  <c:v>48.72</c:v>
                </c:pt>
                <c:pt idx="4">
                  <c:v>46.35</c:v>
                </c:pt>
                <c:pt idx="5">
                  <c:v>47.58</c:v>
                </c:pt>
                <c:pt idx="6">
                  <c:v>47.06</c:v>
                </c:pt>
                <c:pt idx="7">
                  <c:v>47.45</c:v>
                </c:pt>
                <c:pt idx="8">
                  <c:v>45.21</c:v>
                </c:pt>
                <c:pt idx="9">
                  <c:v>46.03</c:v>
                </c:pt>
                <c:pt idx="10">
                  <c:v>45.34</c:v>
                </c:pt>
                <c:pt idx="11">
                  <c:v>44.35</c:v>
                </c:pt>
                <c:pt idx="12">
                  <c:v>39.51</c:v>
                </c:pt>
                <c:pt idx="13">
                  <c:v>38.92</c:v>
                </c:pt>
                <c:pt idx="14">
                  <c:v>38.97</c:v>
                </c:pt>
                <c:pt idx="15">
                  <c:v>37.380000000000003</c:v>
                </c:pt>
                <c:pt idx="16">
                  <c:v>36.65</c:v>
                </c:pt>
                <c:pt idx="17">
                  <c:v>43.71</c:v>
                </c:pt>
                <c:pt idx="18">
                  <c:v>42.81</c:v>
                </c:pt>
                <c:pt idx="19">
                  <c:v>44.65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7-4C50-9A8F-9F4573EB8B8F}"/>
            </c:ext>
          </c:extLst>
        </c:ser>
        <c:ser>
          <c:idx val="1"/>
          <c:order val="1"/>
          <c:tx>
            <c:strRef>
              <c:f>'CI Trend'!$C$19</c:f>
              <c:strCache>
                <c:ptCount val="1"/>
                <c:pt idx="0">
                  <c:v>Lower bound</c:v>
                </c:pt>
              </c:strCache>
            </c:strRef>
          </c:tx>
          <c:spPr>
            <a:ln w="50800" cap="rnd">
              <a:solidFill>
                <a:srgbClr val="FF66CC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Trend'!$D$11:$AE$11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'CI Trend'!$D$19:$AE$19</c:f>
              <c:numCache>
                <c:formatCode>#,##0.00</c:formatCode>
                <c:ptCount val="28"/>
                <c:pt idx="24">
                  <c:v>30.005974580322214</c:v>
                </c:pt>
                <c:pt idx="25">
                  <c:v>30.005974580322214</c:v>
                </c:pt>
                <c:pt idx="26">
                  <c:v>30.005974580322214</c:v>
                </c:pt>
                <c:pt idx="27">
                  <c:v>30.005974580322214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C-4FD9-AB7E-FDD088311F0A}"/>
            </c:ext>
          </c:extLst>
        </c:ser>
        <c:ser>
          <c:idx val="2"/>
          <c:order val="2"/>
          <c:tx>
            <c:strRef>
              <c:f>'CI Trend'!$C$21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rgbClr val="FEC200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Trend'!$D$11:$AE$11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'CI Trend'!$D$21:$AE$21</c:f>
              <c:numCache>
                <c:formatCode>General</c:formatCode>
                <c:ptCount val="28"/>
                <c:pt idx="0">
                  <c:v>17.25</c:v>
                </c:pt>
                <c:pt idx="1">
                  <c:v>13.83</c:v>
                </c:pt>
                <c:pt idx="2">
                  <c:v>17.53</c:v>
                </c:pt>
                <c:pt idx="3">
                  <c:v>18.309999999999999</c:v>
                </c:pt>
                <c:pt idx="4">
                  <c:v>34.76</c:v>
                </c:pt>
                <c:pt idx="5">
                  <c:v>30.84</c:v>
                </c:pt>
                <c:pt idx="6">
                  <c:v>36.82</c:v>
                </c:pt>
                <c:pt idx="7">
                  <c:v>34.15</c:v>
                </c:pt>
                <c:pt idx="8">
                  <c:v>33.97</c:v>
                </c:pt>
                <c:pt idx="9">
                  <c:v>29.93</c:v>
                </c:pt>
                <c:pt idx="10">
                  <c:v>29.61</c:v>
                </c:pt>
                <c:pt idx="11">
                  <c:v>30.67</c:v>
                </c:pt>
                <c:pt idx="12">
                  <c:v>28.46</c:v>
                </c:pt>
                <c:pt idx="13">
                  <c:v>26.98</c:v>
                </c:pt>
                <c:pt idx="14">
                  <c:v>26.15</c:v>
                </c:pt>
                <c:pt idx="15">
                  <c:v>26.34</c:v>
                </c:pt>
                <c:pt idx="16">
                  <c:v>25.84</c:v>
                </c:pt>
                <c:pt idx="17" formatCode="0.00">
                  <c:v>27.23</c:v>
                </c:pt>
                <c:pt idx="18" formatCode="0.00">
                  <c:v>27.01</c:v>
                </c:pt>
                <c:pt idx="19" formatCode="0.00">
                  <c:v>29.93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C-4FD9-AB7E-FDD088311F0A}"/>
            </c:ext>
          </c:extLst>
        </c:ser>
        <c:ser>
          <c:idx val="3"/>
          <c:order val="3"/>
          <c:tx>
            <c:strRef>
              <c:f>'CI Trend'!$C$20</c:f>
              <c:strCache>
                <c:ptCount val="1"/>
                <c:pt idx="0">
                  <c:v>Forecast assumption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'CI Trend'!$D$11:$AE$11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'CI Trend'!$D$20:$AE$20</c:f>
              <c:numCache>
                <c:formatCode>#,##0.00</c:formatCode>
                <c:ptCount val="28"/>
                <c:pt idx="20">
                  <c:v>36</c:v>
                </c:pt>
                <c:pt idx="21">
                  <c:v>36</c:v>
                </c:pt>
                <c:pt idx="22">
                  <c:v>36</c:v>
                </c:pt>
                <c:pt idx="23">
                  <c:v>36</c:v>
                </c:pt>
                <c:pt idx="24">
                  <c:v>31.5</c:v>
                </c:pt>
                <c:pt idx="25">
                  <c:v>31.5</c:v>
                </c:pt>
                <c:pt idx="26">
                  <c:v>31.5</c:v>
                </c:pt>
                <c:pt idx="27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2-4660-A57E-5BCB566AE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445048"/>
        <c:axId val="249441520"/>
      </c:lineChart>
      <c:dateAx>
        <c:axId val="249445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8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441520"/>
        <c:crosses val="autoZero"/>
        <c:auto val="1"/>
        <c:lblOffset val="100"/>
        <c:baseTimeUnit val="months"/>
        <c:majorUnit val="3"/>
        <c:majorTimeUnit val="months"/>
      </c:dateAx>
      <c:valAx>
        <c:axId val="24944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44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50950171341153"/>
          <c:y val="0.6598854069612774"/>
          <c:w val="0.51544096990006971"/>
          <c:h val="0.1384073470298186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Plug-in</a:t>
            </a:r>
            <a:r>
              <a:rPr lang="en-US" baseline="0"/>
              <a:t> Hybrid Electric Vehicles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'Electric Vehicles'!$B$3</c:f>
              <c:strCache>
                <c:ptCount val="1"/>
                <c:pt idx="0">
                  <c:v>PHEV (baseline)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Vehicles'!$B$4:$B$63</c:f>
              <c:numCache>
                <c:formatCode>#,##0</c:formatCode>
                <c:ptCount val="60"/>
                <c:pt idx="0">
                  <c:v>818.66666666666663</c:v>
                </c:pt>
                <c:pt idx="1">
                  <c:v>942.66666666666663</c:v>
                </c:pt>
                <c:pt idx="2">
                  <c:v>1122.3333333333333</c:v>
                </c:pt>
                <c:pt idx="3">
                  <c:v>1472.6666666666667</c:v>
                </c:pt>
                <c:pt idx="4">
                  <c:v>1699.3333333333333</c:v>
                </c:pt>
                <c:pt idx="5">
                  <c:v>1847</c:v>
                </c:pt>
                <c:pt idx="6">
                  <c:v>2134.6666666666665</c:v>
                </c:pt>
                <c:pt idx="7">
                  <c:v>2373</c:v>
                </c:pt>
                <c:pt idx="8">
                  <c:v>2586</c:v>
                </c:pt>
                <c:pt idx="9">
                  <c:v>2815.6666666666665</c:v>
                </c:pt>
                <c:pt idx="10">
                  <c:v>3017.6666666666665</c:v>
                </c:pt>
                <c:pt idx="11">
                  <c:v>3249.3333333333335</c:v>
                </c:pt>
                <c:pt idx="12">
                  <c:v>3593.6666666666665</c:v>
                </c:pt>
                <c:pt idx="13">
                  <c:v>3969.3333333333335</c:v>
                </c:pt>
                <c:pt idx="14">
                  <c:v>4362.666666666667</c:v>
                </c:pt>
                <c:pt idx="15">
                  <c:v>4767</c:v>
                </c:pt>
                <c:pt idx="16">
                  <c:v>5293</c:v>
                </c:pt>
                <c:pt idx="17">
                  <c:v>5721</c:v>
                </c:pt>
                <c:pt idx="18">
                  <c:v>6207.333333333333</c:v>
                </c:pt>
                <c:pt idx="19">
                  <c:v>6611</c:v>
                </c:pt>
                <c:pt idx="20">
                  <c:v>7145.333333333333</c:v>
                </c:pt>
                <c:pt idx="21">
                  <c:v>7715.666666666667</c:v>
                </c:pt>
                <c:pt idx="22">
                  <c:v>8334</c:v>
                </c:pt>
                <c:pt idx="23">
                  <c:v>9007.6666666666661</c:v>
                </c:pt>
                <c:pt idx="24">
                  <c:v>9517.6666666666661</c:v>
                </c:pt>
                <c:pt idx="25">
                  <c:v>10109.666666666666</c:v>
                </c:pt>
                <c:pt idx="26">
                  <c:v>10762.666666666666</c:v>
                </c:pt>
                <c:pt idx="27">
                  <c:v>11348</c:v>
                </c:pt>
                <c:pt idx="28">
                  <c:v>11878.666666666666</c:v>
                </c:pt>
                <c:pt idx="29">
                  <c:v>12072.666666666666</c:v>
                </c:pt>
                <c:pt idx="30">
                  <c:v>12226.666666666666</c:v>
                </c:pt>
                <c:pt idx="31">
                  <c:v>12691.333333333334</c:v>
                </c:pt>
                <c:pt idx="32">
                  <c:v>13292</c:v>
                </c:pt>
                <c:pt idx="33">
                  <c:v>14111.666666666666</c:v>
                </c:pt>
                <c:pt idx="34">
                  <c:v>15382.333333333334</c:v>
                </c:pt>
                <c:pt idx="35">
                  <c:v>16711</c:v>
                </c:pt>
                <c:pt idx="36">
                  <c:v>18033.666666666668</c:v>
                </c:pt>
                <c:pt idx="37">
                  <c:v>19365.666666666668</c:v>
                </c:pt>
                <c:pt idx="38">
                  <c:v>20692</c:v>
                </c:pt>
                <c:pt idx="39">
                  <c:v>22023</c:v>
                </c:pt>
                <c:pt idx="40">
                  <c:v>23399.666666666668</c:v>
                </c:pt>
                <c:pt idx="41">
                  <c:v>24777.666666666668</c:v>
                </c:pt>
                <c:pt idx="42">
                  <c:v>26139</c:v>
                </c:pt>
                <c:pt idx="43">
                  <c:v>27513</c:v>
                </c:pt>
                <c:pt idx="44">
                  <c:v>28905.666666666668</c:v>
                </c:pt>
                <c:pt idx="45">
                  <c:v>30371.333333333332</c:v>
                </c:pt>
                <c:pt idx="46">
                  <c:v>31815.333333333332</c:v>
                </c:pt>
                <c:pt idx="47">
                  <c:v>33209</c:v>
                </c:pt>
                <c:pt idx="48">
                  <c:v>34592.333333333336</c:v>
                </c:pt>
                <c:pt idx="49">
                  <c:v>35910</c:v>
                </c:pt>
                <c:pt idx="50">
                  <c:v>37160.666666666664</c:v>
                </c:pt>
                <c:pt idx="51">
                  <c:v>38417.333333333336</c:v>
                </c:pt>
                <c:pt idx="52">
                  <c:v>39689</c:v>
                </c:pt>
                <c:pt idx="53">
                  <c:v>40990</c:v>
                </c:pt>
                <c:pt idx="54">
                  <c:v>42291</c:v>
                </c:pt>
                <c:pt idx="55">
                  <c:v>43583.333333333336</c:v>
                </c:pt>
                <c:pt idx="56">
                  <c:v>44873.666666666664</c:v>
                </c:pt>
                <c:pt idx="57">
                  <c:v>46151.333333333336</c:v>
                </c:pt>
                <c:pt idx="58">
                  <c:v>47414.333333333336</c:v>
                </c:pt>
                <c:pt idx="59">
                  <c:v>48682.333333333336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B-42B6-8EF6-24830692ED7F}"/>
            </c:ext>
          </c:extLst>
        </c:ser>
        <c:ser>
          <c:idx val="1"/>
          <c:order val="1"/>
          <c:tx>
            <c:strRef>
              <c:f>'Electric Vehicles'!$C$3</c:f>
              <c:strCache>
                <c:ptCount val="1"/>
                <c:pt idx="0">
                  <c:v>PHEV (high)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Vehicles'!$C$4:$C$63</c:f>
              <c:numCache>
                <c:formatCode>#,##0</c:formatCode>
                <c:ptCount val="60"/>
                <c:pt idx="32">
                  <c:v>13292</c:v>
                </c:pt>
                <c:pt idx="33">
                  <c:v>14244.586666666666</c:v>
                </c:pt>
                <c:pt idx="34">
                  <c:v>15669.667808479982</c:v>
                </c:pt>
                <c:pt idx="35">
                  <c:v>17179.849997748632</c:v>
                </c:pt>
                <c:pt idx="36">
                  <c:v>18711.424389674867</c:v>
                </c:pt>
                <c:pt idx="37">
                  <c:v>20280.599073510635</c:v>
                </c:pt>
                <c:pt idx="38">
                  <c:v>21872.401117630576</c:v>
                </c:pt>
                <c:pt idx="39">
                  <c:v>23498.053694801773</c:v>
                </c:pt>
                <c:pt idx="40">
                  <c:v>25201.907103437443</c:v>
                </c:pt>
                <c:pt idx="41">
                  <c:v>26938.059623176367</c:v>
                </c:pt>
                <c:pt idx="42">
                  <c:v>28687.469755429174</c:v>
                </c:pt>
                <c:pt idx="43">
                  <c:v>30482.305103504128</c:v>
                </c:pt>
                <c:pt idx="44">
                  <c:v>32330.096578223005</c:v>
                </c:pt>
                <c:pt idx="45">
                  <c:v>34292.700502530628</c:v>
                </c:pt>
                <c:pt idx="46">
                  <c:v>36266.06825845001</c:v>
                </c:pt>
                <c:pt idx="47">
                  <c:v>38217.359490125935</c:v>
                </c:pt>
                <c:pt idx="48">
                  <c:v>40191.491508788058</c:v>
                </c:pt>
                <c:pt idx="49">
                  <c:v>42124.352259024759</c:v>
                </c:pt>
                <c:pt idx="50">
                  <c:v>44012.69472968761</c:v>
                </c:pt>
                <c:pt idx="51">
                  <c:v>45941.204188339885</c:v>
                </c:pt>
                <c:pt idx="52">
                  <c:v>47921.333388958192</c:v>
                </c:pt>
                <c:pt idx="53">
                  <c:v>49971.401487115829</c:v>
                </c:pt>
                <c:pt idx="54">
                  <c:v>52057.180233256506</c:v>
                </c:pt>
                <c:pt idx="55">
                  <c:v>54168.521448815962</c:v>
                </c:pt>
                <c:pt idx="56">
                  <c:v>56313.926330825088</c:v>
                </c:pt>
                <c:pt idx="57">
                  <c:v>58480.465358108151</c:v>
                </c:pt>
                <c:pt idx="58">
                  <c:v>60665.675079378656</c:v>
                </c:pt>
                <c:pt idx="59">
                  <c:v>62894.712038702608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B-42B6-8EF6-24830692ED7F}"/>
            </c:ext>
          </c:extLst>
        </c:ser>
        <c:ser>
          <c:idx val="2"/>
          <c:order val="2"/>
          <c:tx>
            <c:strRef>
              <c:f>'Electric Vehicles'!$D$3</c:f>
              <c:strCache>
                <c:ptCount val="1"/>
                <c:pt idx="0">
                  <c:v>PHEV (low)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Vehicles'!$D$4:$D$63</c:f>
              <c:numCache>
                <c:formatCode>#,##0</c:formatCode>
                <c:ptCount val="60"/>
                <c:pt idx="32">
                  <c:v>13292</c:v>
                </c:pt>
                <c:pt idx="33">
                  <c:v>13978.746666666666</c:v>
                </c:pt>
                <c:pt idx="34">
                  <c:v>15097.657258186686</c:v>
                </c:pt>
                <c:pt idx="35">
                  <c:v>16250.758130100279</c:v>
                </c:pt>
                <c:pt idx="36">
                  <c:v>17374.489318875632</c:v>
                </c:pt>
                <c:pt idx="37">
                  <c:v>18484.056366653349</c:v>
                </c:pt>
                <c:pt idx="38">
                  <c:v>19565.168610927216</c:v>
                </c:pt>
                <c:pt idx="39">
                  <c:v>20628.034198215591</c:v>
                </c:pt>
                <c:pt idx="40">
                  <c:v>21711.220644570334</c:v>
                </c:pt>
                <c:pt idx="41">
                  <c:v>22772.676311522457</c:v>
                </c:pt>
                <c:pt idx="42">
                  <c:v>23796.124801071022</c:v>
                </c:pt>
                <c:pt idx="43">
                  <c:v>24809.010007655801</c:v>
                </c:pt>
                <c:pt idx="44">
                  <c:v>25816.714668988829</c:v>
                </c:pt>
                <c:pt idx="45">
                  <c:v>26867.588360883572</c:v>
                </c:pt>
                <c:pt idx="46">
                  <c:v>27876.327504376473</c:v>
                </c:pt>
                <c:pt idx="47">
                  <c:v>28818.683242133648</c:v>
                </c:pt>
                <c:pt idx="48">
                  <c:v>29730.94945411649</c:v>
                </c:pt>
                <c:pt idx="49">
                  <c:v>30566.130233837663</c:v>
                </c:pt>
                <c:pt idx="50">
                  <c:v>31325.020315861664</c:v>
                </c:pt>
                <c:pt idx="51">
                  <c:v>32071.092035442136</c:v>
                </c:pt>
                <c:pt idx="52">
                  <c:v>32811.978450623857</c:v>
                </c:pt>
                <c:pt idx="53">
                  <c:v>33559.430838867294</c:v>
                </c:pt>
                <c:pt idx="54">
                  <c:v>34288.994362178215</c:v>
                </c:pt>
                <c:pt idx="55">
                  <c:v>34993.911525995878</c:v>
                </c:pt>
                <c:pt idx="56">
                  <c:v>35680.006303792361</c:v>
                </c:pt>
                <c:pt idx="57">
                  <c:v>36339.106168421269</c:v>
                </c:pt>
                <c:pt idx="58">
                  <c:v>36970.188890608581</c:v>
                </c:pt>
                <c:pt idx="59">
                  <c:v>37589.1795808795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CB-42B6-8EF6-24830692E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915056"/>
        <c:axId val="346914664"/>
      </c:lineChart>
      <c:catAx>
        <c:axId val="34691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914664"/>
        <c:crosses val="autoZero"/>
        <c:auto val="1"/>
        <c:lblAlgn val="ctr"/>
        <c:lblOffset val="100"/>
        <c:noMultiLvlLbl val="0"/>
      </c:catAx>
      <c:valAx>
        <c:axId val="34691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91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Battery </a:t>
            </a:r>
            <a:r>
              <a:rPr lang="en-US" baseline="0"/>
              <a:t>Electric Vehicles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'Electric Vehicles'!$E$3</c:f>
              <c:strCache>
                <c:ptCount val="1"/>
                <c:pt idx="0">
                  <c:v>BEV (baseline)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Vehicles'!$E$4:$E$63</c:f>
              <c:numCache>
                <c:formatCode>#,##0</c:formatCode>
                <c:ptCount val="60"/>
                <c:pt idx="0">
                  <c:v>1169.3333333333333</c:v>
                </c:pt>
                <c:pt idx="1">
                  <c:v>1458.6666666666667</c:v>
                </c:pt>
                <c:pt idx="2">
                  <c:v>1859</c:v>
                </c:pt>
                <c:pt idx="3">
                  <c:v>2210.3333333333335</c:v>
                </c:pt>
                <c:pt idx="4">
                  <c:v>2474.6666666666665</c:v>
                </c:pt>
                <c:pt idx="5">
                  <c:v>2765.3333333333335</c:v>
                </c:pt>
                <c:pt idx="6">
                  <c:v>3119.3333333333335</c:v>
                </c:pt>
                <c:pt idx="7">
                  <c:v>3588</c:v>
                </c:pt>
                <c:pt idx="8">
                  <c:v>3974</c:v>
                </c:pt>
                <c:pt idx="9">
                  <c:v>4410</c:v>
                </c:pt>
                <c:pt idx="10">
                  <c:v>4910.666666666667</c:v>
                </c:pt>
                <c:pt idx="11">
                  <c:v>5387.666666666667</c:v>
                </c:pt>
                <c:pt idx="12">
                  <c:v>5824.666666666667</c:v>
                </c:pt>
                <c:pt idx="13">
                  <c:v>6345.333333333333</c:v>
                </c:pt>
                <c:pt idx="14">
                  <c:v>6855.666666666667</c:v>
                </c:pt>
                <c:pt idx="15">
                  <c:v>7502.333333333333</c:v>
                </c:pt>
                <c:pt idx="16">
                  <c:v>8157.666666666667</c:v>
                </c:pt>
                <c:pt idx="17">
                  <c:v>8797.6666666666661</c:v>
                </c:pt>
                <c:pt idx="18">
                  <c:v>9314.3333333333339</c:v>
                </c:pt>
                <c:pt idx="19">
                  <c:v>9852.6666666666661</c:v>
                </c:pt>
                <c:pt idx="20">
                  <c:v>10380</c:v>
                </c:pt>
                <c:pt idx="21">
                  <c:v>10946.666666666666</c:v>
                </c:pt>
                <c:pt idx="22">
                  <c:v>11520.666666666666</c:v>
                </c:pt>
                <c:pt idx="23">
                  <c:v>12642</c:v>
                </c:pt>
                <c:pt idx="24">
                  <c:v>14263.666666666666</c:v>
                </c:pt>
                <c:pt idx="25">
                  <c:v>15180.666666666666</c:v>
                </c:pt>
                <c:pt idx="26">
                  <c:v>16623.666666666668</c:v>
                </c:pt>
                <c:pt idx="27">
                  <c:v>18037</c:v>
                </c:pt>
                <c:pt idx="28">
                  <c:v>19494.666666666668</c:v>
                </c:pt>
                <c:pt idx="29">
                  <c:v>20220.333333333332</c:v>
                </c:pt>
                <c:pt idx="30">
                  <c:v>20797.333333333332</c:v>
                </c:pt>
                <c:pt idx="31">
                  <c:v>22242.333333333332</c:v>
                </c:pt>
                <c:pt idx="32">
                  <c:v>24126</c:v>
                </c:pt>
                <c:pt idx="33">
                  <c:v>25715</c:v>
                </c:pt>
                <c:pt idx="34">
                  <c:v>27201.333333333332</c:v>
                </c:pt>
                <c:pt idx="35">
                  <c:v>28864.333333333332</c:v>
                </c:pt>
                <c:pt idx="36">
                  <c:v>30739</c:v>
                </c:pt>
                <c:pt idx="37">
                  <c:v>32599</c:v>
                </c:pt>
                <c:pt idx="38">
                  <c:v>34159.333333333336</c:v>
                </c:pt>
                <c:pt idx="39">
                  <c:v>35860.333333333336</c:v>
                </c:pt>
                <c:pt idx="40">
                  <c:v>37574.666666666664</c:v>
                </c:pt>
                <c:pt idx="41">
                  <c:v>39316.333333333336</c:v>
                </c:pt>
                <c:pt idx="42">
                  <c:v>40709.333333333336</c:v>
                </c:pt>
                <c:pt idx="43">
                  <c:v>42431.333333333336</c:v>
                </c:pt>
                <c:pt idx="44">
                  <c:v>44319.333333333336</c:v>
                </c:pt>
                <c:pt idx="45">
                  <c:v>46275.666666666664</c:v>
                </c:pt>
                <c:pt idx="46">
                  <c:v>47901</c:v>
                </c:pt>
                <c:pt idx="47">
                  <c:v>49728.666666666664</c:v>
                </c:pt>
                <c:pt idx="48">
                  <c:v>51633.333333333336</c:v>
                </c:pt>
                <c:pt idx="49">
                  <c:v>53551.666666666664</c:v>
                </c:pt>
                <c:pt idx="50">
                  <c:v>55104</c:v>
                </c:pt>
                <c:pt idx="51">
                  <c:v>57008.333333333336</c:v>
                </c:pt>
                <c:pt idx="52">
                  <c:v>59028.333333333336</c:v>
                </c:pt>
                <c:pt idx="53">
                  <c:v>61056.333333333336</c:v>
                </c:pt>
                <c:pt idx="54">
                  <c:v>62730.333333333336</c:v>
                </c:pt>
                <c:pt idx="55">
                  <c:v>64671.333333333336</c:v>
                </c:pt>
                <c:pt idx="56">
                  <c:v>66710.333333333328</c:v>
                </c:pt>
                <c:pt idx="57">
                  <c:v>68762.333333333328</c:v>
                </c:pt>
                <c:pt idx="58">
                  <c:v>70420</c:v>
                </c:pt>
                <c:pt idx="59">
                  <c:v>72459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64-4906-B0DD-85879E9E56F0}"/>
            </c:ext>
          </c:extLst>
        </c:ser>
        <c:ser>
          <c:idx val="1"/>
          <c:order val="1"/>
          <c:tx>
            <c:strRef>
              <c:f>'Electric Vehicles'!$F$3</c:f>
              <c:strCache>
                <c:ptCount val="1"/>
                <c:pt idx="0">
                  <c:v>BEV (high)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Vehicles'!$F$4:$F$63</c:f>
              <c:numCache>
                <c:formatCode>#,##0</c:formatCode>
                <c:ptCount val="60"/>
                <c:pt idx="32">
                  <c:v>24126</c:v>
                </c:pt>
                <c:pt idx="33">
                  <c:v>26076.89</c:v>
                </c:pt>
                <c:pt idx="34">
                  <c:v>27975.294014463019</c:v>
                </c:pt>
                <c:pt idx="35">
                  <c:v>30105.24083360791</c:v>
                </c:pt>
                <c:pt idx="36">
                  <c:v>32512.079968881895</c:v>
                </c:pt>
                <c:pt idx="37">
                  <c:v>34967.04926308705</c:v>
                </c:pt>
                <c:pt idx="38">
                  <c:v>37165.233720199663</c:v>
                </c:pt>
                <c:pt idx="39">
                  <c:v>39573.394203345873</c:v>
                </c:pt>
                <c:pt idx="40">
                  <c:v>42058.834441070561</c:v>
                </c:pt>
                <c:pt idx="41">
                  <c:v>44639.234451340097</c:v>
                </c:pt>
                <c:pt idx="42">
                  <c:v>46890.416375194189</c:v>
                </c:pt>
                <c:pt idx="43">
                  <c:v>49577.231704687008</c:v>
                </c:pt>
                <c:pt idx="44">
                  <c:v>52526.849929934018</c:v>
                </c:pt>
                <c:pt idx="45">
                  <c:v>55633.380232236581</c:v>
                </c:pt>
                <c:pt idx="46">
                  <c:v>58421.883845906079</c:v>
                </c:pt>
                <c:pt idx="47">
                  <c:v>61527.303974516653</c:v>
                </c:pt>
                <c:pt idx="48">
                  <c:v>64806.781944778755</c:v>
                </c:pt>
                <c:pt idx="49">
                  <c:v>68186.650169058237</c:v>
                </c:pt>
                <c:pt idx="50">
                  <c:v>71186.016040527873</c:v>
                </c:pt>
                <c:pt idx="51">
                  <c:v>74713.916313314563</c:v>
                </c:pt>
                <c:pt idx="52">
                  <c:v>78481.994348227323</c:v>
                </c:pt>
                <c:pt idx="53">
                  <c:v>82355.581682851669</c:v>
                </c:pt>
                <c:pt idx="54">
                  <c:v>85848.883356880979</c:v>
                </c:pt>
                <c:pt idx="55">
                  <c:v>89792.950054567584</c:v>
                </c:pt>
                <c:pt idx="56">
                  <c:v>93970.895031023349</c:v>
                </c:pt>
                <c:pt idx="57">
                  <c:v>98270.98930783596</c:v>
                </c:pt>
                <c:pt idx="58">
                  <c:v>102114.09160414184</c:v>
                </c:pt>
                <c:pt idx="59">
                  <c:v>106602.50040479933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4-4906-B0DD-85879E9E56F0}"/>
            </c:ext>
          </c:extLst>
        </c:ser>
        <c:ser>
          <c:idx val="2"/>
          <c:order val="2"/>
          <c:tx>
            <c:strRef>
              <c:f>'Electric Vehicles'!$G$3</c:f>
              <c:strCache>
                <c:ptCount val="1"/>
                <c:pt idx="0">
                  <c:v>BEV (low)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Vehicles'!$G$4:$G$63</c:f>
              <c:numCache>
                <c:formatCode>#,##0</c:formatCode>
                <c:ptCount val="60"/>
                <c:pt idx="32">
                  <c:v>24126</c:v>
                </c:pt>
                <c:pt idx="33">
                  <c:v>25353.110000000004</c:v>
                </c:pt>
                <c:pt idx="34">
                  <c:v>26438.229352203649</c:v>
                </c:pt>
                <c:pt idx="35">
                  <c:v>27658.002245901091</c:v>
                </c:pt>
                <c:pt idx="36">
                  <c:v>29039.450674801334</c:v>
                </c:pt>
                <c:pt idx="37">
                  <c:v>30361.020118854161</c:v>
                </c:pt>
                <c:pt idx="38">
                  <c:v>31358.818465510023</c:v>
                </c:pt>
                <c:pt idx="39">
                  <c:v>32449.981599537517</c:v>
                </c:pt>
                <c:pt idx="40">
                  <c:v>33514.530481863614</c:v>
                </c:pt>
                <c:pt idx="41">
                  <c:v>34565.283141077045</c:v>
                </c:pt>
                <c:pt idx="42">
                  <c:v>35271.471489672265</c:v>
                </c:pt>
                <c:pt idx="43">
                  <c:v>36234.378502513602</c:v>
                </c:pt>
                <c:pt idx="44">
                  <c:v>37303.126716740138</c:v>
                </c:pt>
                <c:pt idx="45">
                  <c:v>38390.205447395558</c:v>
                </c:pt>
                <c:pt idx="46">
                  <c:v>39162.725821579377</c:v>
                </c:pt>
                <c:pt idx="47">
                  <c:v>40069.542017821928</c:v>
                </c:pt>
                <c:pt idx="48">
                  <c:v>41003.209672010482</c:v>
                </c:pt>
                <c:pt idx="49">
                  <c:v>41911.553855286809</c:v>
                </c:pt>
                <c:pt idx="50">
                  <c:v>42497.795155182575</c:v>
                </c:pt>
                <c:pt idx="51">
                  <c:v>43329.0050554388</c:v>
                </c:pt>
                <c:pt idx="52">
                  <c:v>44214.364647848466</c:v>
                </c:pt>
                <c:pt idx="53">
                  <c:v>45070.194803211984</c:v>
                </c:pt>
                <c:pt idx="54">
                  <c:v>45629.845074945129</c:v>
                </c:pt>
                <c:pt idx="55">
                  <c:v>46357.27462924859</c:v>
                </c:pt>
                <c:pt idx="56">
                  <c:v>47123.497915755375</c:v>
                </c:pt>
                <c:pt idx="57">
                  <c:v>47866.157282613683</c:v>
                </c:pt>
                <c:pt idx="58">
                  <c:v>48302.083493940918</c:v>
                </c:pt>
                <c:pt idx="59">
                  <c:v>48976.131455450377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64-4906-B0DD-85879E9E5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881528"/>
        <c:axId val="347879176"/>
      </c:lineChart>
      <c:catAx>
        <c:axId val="34788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879176"/>
        <c:crosses val="autoZero"/>
        <c:auto val="1"/>
        <c:lblAlgn val="ctr"/>
        <c:lblOffset val="100"/>
        <c:noMultiLvlLbl val="0"/>
      </c:catAx>
      <c:valAx>
        <c:axId val="34787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88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</a:t>
            </a:r>
            <a:r>
              <a:rPr lang="en-US" baseline="0"/>
              <a:t>Electric Vehicles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45948969493567"/>
          <c:y val="0.12003236245954693"/>
          <c:w val="0.8484858654963211"/>
          <c:h val="0.74502127768009585"/>
        </c:manualLayout>
      </c:layout>
      <c:lineChart>
        <c:grouping val="standard"/>
        <c:varyColors val="0"/>
        <c:ser>
          <c:idx val="0"/>
          <c:order val="0"/>
          <c:tx>
            <c:strRef>
              <c:f>'Electric Vehicles'!$H$3</c:f>
              <c:strCache>
                <c:ptCount val="1"/>
                <c:pt idx="0">
                  <c:v>Total (baseline)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'Electric Vehicles'!$A$4:$A$63</c:f>
              <c:strCache>
                <c:ptCount val="6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  <c:pt idx="20">
                  <c:v>Q1-2018</c:v>
                </c:pt>
                <c:pt idx="21">
                  <c:v>Q2-2018</c:v>
                </c:pt>
                <c:pt idx="22">
                  <c:v>Q3-2018</c:v>
                </c:pt>
                <c:pt idx="23">
                  <c:v>Q4-2018</c:v>
                </c:pt>
                <c:pt idx="24">
                  <c:v>Q1-2019</c:v>
                </c:pt>
                <c:pt idx="25">
                  <c:v>Q2-2019</c:v>
                </c:pt>
                <c:pt idx="26">
                  <c:v>Q3-2019</c:v>
                </c:pt>
                <c:pt idx="27">
                  <c:v>Q4-2019</c:v>
                </c:pt>
                <c:pt idx="28">
                  <c:v>Q1-2020</c:v>
                </c:pt>
                <c:pt idx="29">
                  <c:v>Q2-2020</c:v>
                </c:pt>
                <c:pt idx="30">
                  <c:v>Q3-2020</c:v>
                </c:pt>
                <c:pt idx="31">
                  <c:v>Q4-2020</c:v>
                </c:pt>
                <c:pt idx="32">
                  <c:v>Q1-2021</c:v>
                </c:pt>
                <c:pt idx="33">
                  <c:v>Q2-2021</c:v>
                </c:pt>
                <c:pt idx="34">
                  <c:v>Q3-2021</c:v>
                </c:pt>
                <c:pt idx="35">
                  <c:v>Q4-2021</c:v>
                </c:pt>
                <c:pt idx="36">
                  <c:v>Q1-2022</c:v>
                </c:pt>
                <c:pt idx="37">
                  <c:v>Q2-2022</c:v>
                </c:pt>
                <c:pt idx="38">
                  <c:v>Q3-2022</c:v>
                </c:pt>
                <c:pt idx="39">
                  <c:v>Q4-2022</c:v>
                </c:pt>
                <c:pt idx="40">
                  <c:v>Q1-2023</c:v>
                </c:pt>
                <c:pt idx="41">
                  <c:v>Q2-2023</c:v>
                </c:pt>
                <c:pt idx="42">
                  <c:v>Q3-2023</c:v>
                </c:pt>
                <c:pt idx="43">
                  <c:v>Q4-2023</c:v>
                </c:pt>
                <c:pt idx="44">
                  <c:v>Q1-2024</c:v>
                </c:pt>
                <c:pt idx="45">
                  <c:v>Q2-2024</c:v>
                </c:pt>
                <c:pt idx="46">
                  <c:v>Q3-2024</c:v>
                </c:pt>
                <c:pt idx="47">
                  <c:v>Q4-2024</c:v>
                </c:pt>
                <c:pt idx="48">
                  <c:v>Q1-2025</c:v>
                </c:pt>
                <c:pt idx="49">
                  <c:v>Q2-2025</c:v>
                </c:pt>
                <c:pt idx="50">
                  <c:v>Q3-2025</c:v>
                </c:pt>
                <c:pt idx="51">
                  <c:v>Q4-2025</c:v>
                </c:pt>
                <c:pt idx="52">
                  <c:v>Q1-2026</c:v>
                </c:pt>
                <c:pt idx="53">
                  <c:v>Q2-2026</c:v>
                </c:pt>
                <c:pt idx="54">
                  <c:v>Q3-2026</c:v>
                </c:pt>
                <c:pt idx="55">
                  <c:v>Q4-2026</c:v>
                </c:pt>
                <c:pt idx="56">
                  <c:v>Q1-2027</c:v>
                </c:pt>
                <c:pt idx="57">
                  <c:v>Q2-2027</c:v>
                </c:pt>
                <c:pt idx="58">
                  <c:v>Q3-2027</c:v>
                </c:pt>
                <c:pt idx="59">
                  <c:v>Q4-2027</c:v>
                </c:pt>
              </c:strCache>
            </c:strRef>
          </c:cat>
          <c:val>
            <c:numRef>
              <c:f>'Electric Vehicles'!$H$4:$H$63</c:f>
              <c:numCache>
                <c:formatCode>#,##0</c:formatCode>
                <c:ptCount val="60"/>
                <c:pt idx="0">
                  <c:v>1988</c:v>
                </c:pt>
                <c:pt idx="1">
                  <c:v>2401.3333333333335</c:v>
                </c:pt>
                <c:pt idx="2">
                  <c:v>2981.333333333333</c:v>
                </c:pt>
                <c:pt idx="3">
                  <c:v>3683</c:v>
                </c:pt>
                <c:pt idx="4">
                  <c:v>4174</c:v>
                </c:pt>
                <c:pt idx="5">
                  <c:v>4612.3333333333339</c:v>
                </c:pt>
                <c:pt idx="6">
                  <c:v>5254</c:v>
                </c:pt>
                <c:pt idx="7">
                  <c:v>5961</c:v>
                </c:pt>
                <c:pt idx="8">
                  <c:v>6560</c:v>
                </c:pt>
                <c:pt idx="9">
                  <c:v>7225.6666666666661</c:v>
                </c:pt>
                <c:pt idx="10">
                  <c:v>7928.3333333333339</c:v>
                </c:pt>
                <c:pt idx="11">
                  <c:v>8637</c:v>
                </c:pt>
                <c:pt idx="12">
                  <c:v>9418.3333333333339</c:v>
                </c:pt>
                <c:pt idx="13">
                  <c:v>10314.666666666666</c:v>
                </c:pt>
                <c:pt idx="14">
                  <c:v>11218.333333333334</c:v>
                </c:pt>
                <c:pt idx="15">
                  <c:v>12269.333333333332</c:v>
                </c:pt>
                <c:pt idx="16">
                  <c:v>13450.666666666668</c:v>
                </c:pt>
                <c:pt idx="17">
                  <c:v>14518.666666666666</c:v>
                </c:pt>
                <c:pt idx="18">
                  <c:v>15521.666666666668</c:v>
                </c:pt>
                <c:pt idx="19">
                  <c:v>16463.666666666664</c:v>
                </c:pt>
                <c:pt idx="20">
                  <c:v>17525.333333333332</c:v>
                </c:pt>
                <c:pt idx="21">
                  <c:v>18662.333333333332</c:v>
                </c:pt>
                <c:pt idx="22">
                  <c:v>19854.666666666664</c:v>
                </c:pt>
                <c:pt idx="23">
                  <c:v>21649.666666666664</c:v>
                </c:pt>
                <c:pt idx="24">
                  <c:v>23781.333333333332</c:v>
                </c:pt>
                <c:pt idx="25">
                  <c:v>25290.333333333332</c:v>
                </c:pt>
                <c:pt idx="26">
                  <c:v>27386.333333333336</c:v>
                </c:pt>
                <c:pt idx="27">
                  <c:v>29385</c:v>
                </c:pt>
                <c:pt idx="28">
                  <c:v>31373.333333333336</c:v>
                </c:pt>
                <c:pt idx="29">
                  <c:v>32293</c:v>
                </c:pt>
                <c:pt idx="30">
                  <c:v>33024</c:v>
                </c:pt>
                <c:pt idx="31">
                  <c:v>34933.666666666664</c:v>
                </c:pt>
                <c:pt idx="32">
                  <c:v>37418</c:v>
                </c:pt>
                <c:pt idx="33">
                  <c:v>39826.666666666664</c:v>
                </c:pt>
                <c:pt idx="34">
                  <c:v>42583.666666666664</c:v>
                </c:pt>
                <c:pt idx="35">
                  <c:v>45575.333333333328</c:v>
                </c:pt>
                <c:pt idx="36">
                  <c:v>48772.666666666672</c:v>
                </c:pt>
                <c:pt idx="37">
                  <c:v>51964.666666666672</c:v>
                </c:pt>
                <c:pt idx="38">
                  <c:v>54851.333333333336</c:v>
                </c:pt>
                <c:pt idx="39">
                  <c:v>57883.333333333336</c:v>
                </c:pt>
                <c:pt idx="40">
                  <c:v>60974.333333333328</c:v>
                </c:pt>
                <c:pt idx="41">
                  <c:v>64094</c:v>
                </c:pt>
                <c:pt idx="42">
                  <c:v>66848.333333333343</c:v>
                </c:pt>
                <c:pt idx="43">
                  <c:v>69944.333333333343</c:v>
                </c:pt>
                <c:pt idx="44">
                  <c:v>73225</c:v>
                </c:pt>
                <c:pt idx="45">
                  <c:v>76647</c:v>
                </c:pt>
                <c:pt idx="46">
                  <c:v>79716.333333333328</c:v>
                </c:pt>
                <c:pt idx="47">
                  <c:v>82937.666666666657</c:v>
                </c:pt>
                <c:pt idx="48">
                  <c:v>86225.666666666672</c:v>
                </c:pt>
                <c:pt idx="49">
                  <c:v>89461.666666666657</c:v>
                </c:pt>
                <c:pt idx="50">
                  <c:v>92264.666666666657</c:v>
                </c:pt>
                <c:pt idx="51">
                  <c:v>95425.666666666672</c:v>
                </c:pt>
                <c:pt idx="52">
                  <c:v>98717.333333333343</c:v>
                </c:pt>
                <c:pt idx="53">
                  <c:v>102046.33333333334</c:v>
                </c:pt>
                <c:pt idx="54">
                  <c:v>105021.33333333334</c:v>
                </c:pt>
                <c:pt idx="55">
                  <c:v>108254.66666666667</c:v>
                </c:pt>
                <c:pt idx="56">
                  <c:v>111584</c:v>
                </c:pt>
                <c:pt idx="57">
                  <c:v>114913.66666666666</c:v>
                </c:pt>
                <c:pt idx="58">
                  <c:v>117834.33333333334</c:v>
                </c:pt>
                <c:pt idx="59">
                  <c:v>121141.33333333334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24-4740-A444-3B2B1319C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422656"/>
        <c:axId val="434422264"/>
      </c:lineChart>
      <c:catAx>
        <c:axId val="43442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422264"/>
        <c:crosses val="autoZero"/>
        <c:auto val="1"/>
        <c:lblAlgn val="ctr"/>
        <c:lblOffset val="100"/>
        <c:noMultiLvlLbl val="0"/>
      </c:catAx>
      <c:valAx>
        <c:axId val="43442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42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Quarterly changes, year-over-year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591822995606254E-2"/>
          <c:y val="9.3543487098035547E-2"/>
          <c:w val="0.89931179561852925"/>
          <c:h val="0.8075722001425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 Vehicles'!$L$3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 Vehicles'!$A$8:$A$33</c:f>
              <c:strCache>
                <c:ptCount val="26"/>
                <c:pt idx="0">
                  <c:v>Q1-2014</c:v>
                </c:pt>
                <c:pt idx="1">
                  <c:v>Q2-2014</c:v>
                </c:pt>
                <c:pt idx="2">
                  <c:v>Q3-2014</c:v>
                </c:pt>
                <c:pt idx="3">
                  <c:v>Q4-2014</c:v>
                </c:pt>
                <c:pt idx="4">
                  <c:v>Q1-2015</c:v>
                </c:pt>
                <c:pt idx="5">
                  <c:v>Q2-2015</c:v>
                </c:pt>
                <c:pt idx="6">
                  <c:v>Q3-2015</c:v>
                </c:pt>
                <c:pt idx="7">
                  <c:v>Q4-2015</c:v>
                </c:pt>
                <c:pt idx="8">
                  <c:v>Q1-2016</c:v>
                </c:pt>
                <c:pt idx="9">
                  <c:v>Q2-2016</c:v>
                </c:pt>
                <c:pt idx="10">
                  <c:v>Q3-2016</c:v>
                </c:pt>
                <c:pt idx="11">
                  <c:v>Q4-2016</c:v>
                </c:pt>
                <c:pt idx="12">
                  <c:v>Q1-2017</c:v>
                </c:pt>
                <c:pt idx="13">
                  <c:v>Q2-2017</c:v>
                </c:pt>
                <c:pt idx="14">
                  <c:v>Q3-2017</c:v>
                </c:pt>
                <c:pt idx="15">
                  <c:v>Q4-2017</c:v>
                </c:pt>
                <c:pt idx="16">
                  <c:v>Q1-2018</c:v>
                </c:pt>
                <c:pt idx="17">
                  <c:v>Q2-2018</c:v>
                </c:pt>
                <c:pt idx="18">
                  <c:v>Q3-2018</c:v>
                </c:pt>
                <c:pt idx="19">
                  <c:v>Q4-2018</c:v>
                </c:pt>
                <c:pt idx="20">
                  <c:v>Q1-2019</c:v>
                </c:pt>
                <c:pt idx="21">
                  <c:v>Q2-2019</c:v>
                </c:pt>
                <c:pt idx="22">
                  <c:v>Q3-2019</c:v>
                </c:pt>
                <c:pt idx="23">
                  <c:v>Q4-2019</c:v>
                </c:pt>
                <c:pt idx="24">
                  <c:v>Q1-2020</c:v>
                </c:pt>
                <c:pt idx="25">
                  <c:v>Q2-2020</c:v>
                </c:pt>
              </c:strCache>
            </c:strRef>
          </c:cat>
          <c:val>
            <c:numRef>
              <c:f>'Electric Vehicles'!$L$8:$L$33</c:f>
              <c:numCache>
                <c:formatCode>0%</c:formatCode>
                <c:ptCount val="26"/>
                <c:pt idx="0">
                  <c:v>1.0757328990228014</c:v>
                </c:pt>
                <c:pt idx="1">
                  <c:v>0.95933521923620946</c:v>
                </c:pt>
                <c:pt idx="2">
                  <c:v>0.90198990198990203</c:v>
                </c:pt>
                <c:pt idx="3">
                  <c:v>0.6113626075147125</c:v>
                </c:pt>
                <c:pt idx="4">
                  <c:v>0.5217732444095724</c:v>
                </c:pt>
                <c:pt idx="5">
                  <c:v>0.52445406966251573</c:v>
                </c:pt>
                <c:pt idx="6">
                  <c:v>0.41364772017489071</c:v>
                </c:pt>
                <c:pt idx="7">
                  <c:v>0.36929344008990039</c:v>
                </c:pt>
                <c:pt idx="8">
                  <c:v>0.38966228409383863</c:v>
                </c:pt>
                <c:pt idx="9">
                  <c:v>0.40973126553806094</c:v>
                </c:pt>
                <c:pt idx="10">
                  <c:v>0.44570860488235953</c:v>
                </c:pt>
                <c:pt idx="11">
                  <c:v>0.46707016823963876</c:v>
                </c:pt>
                <c:pt idx="12">
                  <c:v>0.47286893609127167</c:v>
                </c:pt>
                <c:pt idx="13">
                  <c:v>0.4412999664091366</c:v>
                </c:pt>
                <c:pt idx="14">
                  <c:v>0.42283007334963307</c:v>
                </c:pt>
                <c:pt idx="15">
                  <c:v>0.38682609607719742</c:v>
                </c:pt>
                <c:pt idx="16">
                  <c:v>0.34995906543233191</c:v>
                </c:pt>
                <c:pt idx="17">
                  <c:v>0.34865699469789679</c:v>
                </c:pt>
                <c:pt idx="18">
                  <c:v>0.34260552035227154</c:v>
                </c:pt>
                <c:pt idx="19">
                  <c:v>0.36252710129582</c:v>
                </c:pt>
                <c:pt idx="20">
                  <c:v>0.33201156932263487</c:v>
                </c:pt>
                <c:pt idx="21">
                  <c:v>0.31027778977837284</c:v>
                </c:pt>
                <c:pt idx="22">
                  <c:v>0.2914166866650667</c:v>
                </c:pt>
                <c:pt idx="23">
                  <c:v>0.25981571254116864</c:v>
                </c:pt>
                <c:pt idx="24">
                  <c:v>0.24806500192624248</c:v>
                </c:pt>
                <c:pt idx="25">
                  <c:v>0.19417059579939999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E-4B74-B8E9-2806189225CA}"/>
            </c:ext>
          </c:extLst>
        </c:ser>
        <c:ser>
          <c:idx val="1"/>
          <c:order val="1"/>
          <c:tx>
            <c:strRef>
              <c:f>'Electric Vehicles'!$M$3</c:f>
              <c:strCache>
                <c:ptCount val="1"/>
                <c:pt idx="0">
                  <c:v>BEV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 Vehicles'!$A$8:$A$33</c:f>
              <c:strCache>
                <c:ptCount val="26"/>
                <c:pt idx="0">
                  <c:v>Q1-2014</c:v>
                </c:pt>
                <c:pt idx="1">
                  <c:v>Q2-2014</c:v>
                </c:pt>
                <c:pt idx="2">
                  <c:v>Q3-2014</c:v>
                </c:pt>
                <c:pt idx="3">
                  <c:v>Q4-2014</c:v>
                </c:pt>
                <c:pt idx="4">
                  <c:v>Q1-2015</c:v>
                </c:pt>
                <c:pt idx="5">
                  <c:v>Q2-2015</c:v>
                </c:pt>
                <c:pt idx="6">
                  <c:v>Q3-2015</c:v>
                </c:pt>
                <c:pt idx="7">
                  <c:v>Q4-2015</c:v>
                </c:pt>
                <c:pt idx="8">
                  <c:v>Q1-2016</c:v>
                </c:pt>
                <c:pt idx="9">
                  <c:v>Q2-2016</c:v>
                </c:pt>
                <c:pt idx="10">
                  <c:v>Q3-2016</c:v>
                </c:pt>
                <c:pt idx="11">
                  <c:v>Q4-2016</c:v>
                </c:pt>
                <c:pt idx="12">
                  <c:v>Q1-2017</c:v>
                </c:pt>
                <c:pt idx="13">
                  <c:v>Q2-2017</c:v>
                </c:pt>
                <c:pt idx="14">
                  <c:v>Q3-2017</c:v>
                </c:pt>
                <c:pt idx="15">
                  <c:v>Q4-2017</c:v>
                </c:pt>
                <c:pt idx="16">
                  <c:v>Q1-2018</c:v>
                </c:pt>
                <c:pt idx="17">
                  <c:v>Q2-2018</c:v>
                </c:pt>
                <c:pt idx="18">
                  <c:v>Q3-2018</c:v>
                </c:pt>
                <c:pt idx="19">
                  <c:v>Q4-2018</c:v>
                </c:pt>
                <c:pt idx="20">
                  <c:v>Q1-2019</c:v>
                </c:pt>
                <c:pt idx="21">
                  <c:v>Q2-2019</c:v>
                </c:pt>
                <c:pt idx="22">
                  <c:v>Q3-2019</c:v>
                </c:pt>
                <c:pt idx="23">
                  <c:v>Q4-2019</c:v>
                </c:pt>
                <c:pt idx="24">
                  <c:v>Q1-2020</c:v>
                </c:pt>
                <c:pt idx="25">
                  <c:v>Q2-2020</c:v>
                </c:pt>
              </c:strCache>
            </c:strRef>
          </c:cat>
          <c:val>
            <c:numRef>
              <c:f>'Electric Vehicles'!$M$8:$M$33</c:f>
              <c:numCache>
                <c:formatCode>0%</c:formatCode>
                <c:ptCount val="26"/>
                <c:pt idx="0">
                  <c:v>1.1163055872291903</c:v>
                </c:pt>
                <c:pt idx="1">
                  <c:v>0.8957952468007313</c:v>
                </c:pt>
                <c:pt idx="2">
                  <c:v>0.67796306257844718</c:v>
                </c:pt>
                <c:pt idx="3">
                  <c:v>0.62328457246267521</c:v>
                </c:pt>
                <c:pt idx="4">
                  <c:v>0.6058728448275863</c:v>
                </c:pt>
                <c:pt idx="5">
                  <c:v>0.59474445515911278</c:v>
                </c:pt>
                <c:pt idx="6">
                  <c:v>0.5742680059841847</c:v>
                </c:pt>
                <c:pt idx="7">
                  <c:v>0.50157933853586045</c:v>
                </c:pt>
                <c:pt idx="8">
                  <c:v>0.46569367555779229</c:v>
                </c:pt>
                <c:pt idx="9">
                  <c:v>0.43885109599395311</c:v>
                </c:pt>
                <c:pt idx="10">
                  <c:v>0.39607656801520497</c:v>
                </c:pt>
                <c:pt idx="11">
                  <c:v>0.39250139206830403</c:v>
                </c:pt>
                <c:pt idx="12">
                  <c:v>0.40053794208538407</c:v>
                </c:pt>
                <c:pt idx="13">
                  <c:v>0.38647825173355743</c:v>
                </c:pt>
                <c:pt idx="14">
                  <c:v>0.35863276121942911</c:v>
                </c:pt>
                <c:pt idx="15">
                  <c:v>0.31328031279157598</c:v>
                </c:pt>
                <c:pt idx="16">
                  <c:v>0.27242266988109343</c:v>
                </c:pt>
                <c:pt idx="17">
                  <c:v>0.24426931383321326</c:v>
                </c:pt>
                <c:pt idx="18">
                  <c:v>0.23687506710088391</c:v>
                </c:pt>
                <c:pt idx="19">
                  <c:v>0.28310440489884314</c:v>
                </c:pt>
                <c:pt idx="20">
                  <c:v>0.37414900449582533</c:v>
                </c:pt>
                <c:pt idx="21">
                  <c:v>0.38678440925700364</c:v>
                </c:pt>
                <c:pt idx="22">
                  <c:v>0.44294311671778264</c:v>
                </c:pt>
                <c:pt idx="23">
                  <c:v>0.42675209618731214</c:v>
                </c:pt>
                <c:pt idx="24">
                  <c:v>0.3667359958869858</c:v>
                </c:pt>
                <c:pt idx="25">
                  <c:v>0.33197927188090115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E-4B74-B8E9-2806189225CA}"/>
            </c:ext>
          </c:extLst>
        </c:ser>
        <c:ser>
          <c:idx val="2"/>
          <c:order val="2"/>
          <c:tx>
            <c:strRef>
              <c:f>'Electric Vehicles'!$N$3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'Electric Vehicles'!$A$8:$A$33</c:f>
              <c:strCache>
                <c:ptCount val="26"/>
                <c:pt idx="0">
                  <c:v>Q1-2014</c:v>
                </c:pt>
                <c:pt idx="1">
                  <c:v>Q2-2014</c:v>
                </c:pt>
                <c:pt idx="2">
                  <c:v>Q3-2014</c:v>
                </c:pt>
                <c:pt idx="3">
                  <c:v>Q4-2014</c:v>
                </c:pt>
                <c:pt idx="4">
                  <c:v>Q1-2015</c:v>
                </c:pt>
                <c:pt idx="5">
                  <c:v>Q2-2015</c:v>
                </c:pt>
                <c:pt idx="6">
                  <c:v>Q3-2015</c:v>
                </c:pt>
                <c:pt idx="7">
                  <c:v>Q4-2015</c:v>
                </c:pt>
                <c:pt idx="8">
                  <c:v>Q1-2016</c:v>
                </c:pt>
                <c:pt idx="9">
                  <c:v>Q2-2016</c:v>
                </c:pt>
                <c:pt idx="10">
                  <c:v>Q3-2016</c:v>
                </c:pt>
                <c:pt idx="11">
                  <c:v>Q4-2016</c:v>
                </c:pt>
                <c:pt idx="12">
                  <c:v>Q1-2017</c:v>
                </c:pt>
                <c:pt idx="13">
                  <c:v>Q2-2017</c:v>
                </c:pt>
                <c:pt idx="14">
                  <c:v>Q3-2017</c:v>
                </c:pt>
                <c:pt idx="15">
                  <c:v>Q4-2017</c:v>
                </c:pt>
                <c:pt idx="16">
                  <c:v>Q1-2018</c:v>
                </c:pt>
                <c:pt idx="17">
                  <c:v>Q2-2018</c:v>
                </c:pt>
                <c:pt idx="18">
                  <c:v>Q3-2018</c:v>
                </c:pt>
                <c:pt idx="19">
                  <c:v>Q4-2018</c:v>
                </c:pt>
                <c:pt idx="20">
                  <c:v>Q1-2019</c:v>
                </c:pt>
                <c:pt idx="21">
                  <c:v>Q2-2019</c:v>
                </c:pt>
                <c:pt idx="22">
                  <c:v>Q3-2019</c:v>
                </c:pt>
                <c:pt idx="23">
                  <c:v>Q4-2019</c:v>
                </c:pt>
                <c:pt idx="24">
                  <c:v>Q1-2020</c:v>
                </c:pt>
                <c:pt idx="25">
                  <c:v>Q2-2020</c:v>
                </c:pt>
              </c:strCache>
            </c:strRef>
          </c:cat>
          <c:val>
            <c:numRef>
              <c:f>'Electric Vehicles'!$N$8:$N$33</c:f>
              <c:numCache>
                <c:formatCode>0%</c:formatCode>
                <c:ptCount val="26"/>
                <c:pt idx="0">
                  <c:v>1.0995975855130786</c:v>
                </c:pt>
                <c:pt idx="1">
                  <c:v>0.9207384786229873</c:v>
                </c:pt>
                <c:pt idx="2">
                  <c:v>0.7622987477638643</c:v>
                </c:pt>
                <c:pt idx="3">
                  <c:v>0.61851751289709478</c:v>
                </c:pt>
                <c:pt idx="4">
                  <c:v>0.571633924293244</c:v>
                </c:pt>
                <c:pt idx="5">
                  <c:v>0.56659680566596782</c:v>
                </c:pt>
                <c:pt idx="6">
                  <c:v>0.50900900900900914</c:v>
                </c:pt>
                <c:pt idx="7">
                  <c:v>0.44891796678409657</c:v>
                </c:pt>
                <c:pt idx="8">
                  <c:v>0.43572154471544722</c:v>
                </c:pt>
                <c:pt idx="9">
                  <c:v>0.42750380587719716</c:v>
                </c:pt>
                <c:pt idx="10">
                  <c:v>0.41496741643893209</c:v>
                </c:pt>
                <c:pt idx="11">
                  <c:v>0.42055497665084318</c:v>
                </c:pt>
                <c:pt idx="12">
                  <c:v>0.42813661298885153</c:v>
                </c:pt>
                <c:pt idx="13">
                  <c:v>0.40757497414684596</c:v>
                </c:pt>
                <c:pt idx="14">
                  <c:v>0.38359827663051549</c:v>
                </c:pt>
                <c:pt idx="15">
                  <c:v>0.34185503151488805</c:v>
                </c:pt>
                <c:pt idx="16">
                  <c:v>0.30293417922283883</c:v>
                </c:pt>
                <c:pt idx="17">
                  <c:v>0.28540269997244927</c:v>
                </c:pt>
                <c:pt idx="18">
                  <c:v>0.27915816600450949</c:v>
                </c:pt>
                <c:pt idx="19">
                  <c:v>0.31499665931040077</c:v>
                </c:pt>
                <c:pt idx="20">
                  <c:v>0.3569689592209373</c:v>
                </c:pt>
                <c:pt idx="21">
                  <c:v>0.35515387500669804</c:v>
                </c:pt>
                <c:pt idx="22">
                  <c:v>0.37933986971996547</c:v>
                </c:pt>
                <c:pt idx="23">
                  <c:v>0.35729572433755741</c:v>
                </c:pt>
                <c:pt idx="24">
                  <c:v>0.31924198250728875</c:v>
                </c:pt>
                <c:pt idx="25">
                  <c:v>0.27689103873680332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E-4B74-B8E9-280618922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420696"/>
        <c:axId val="434423440"/>
      </c:barChart>
      <c:catAx>
        <c:axId val="43442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6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423440"/>
        <c:crosses val="autoZero"/>
        <c:auto val="1"/>
        <c:lblAlgn val="ctr"/>
        <c:lblOffset val="100"/>
        <c:noMultiLvlLbl val="0"/>
      </c:catAx>
      <c:valAx>
        <c:axId val="43442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420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998250295685193"/>
          <c:y val="0.13020164029715911"/>
          <c:w val="0.36537996819691626"/>
          <c:h val="5.7692594117307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growth in Electric Vehicles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650758535877278E-2"/>
          <c:y val="0.11416949187186375"/>
          <c:w val="0.89293193163642648"/>
          <c:h val="0.76560033558699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'Electric Vehicles'!$B$3</c:f>
              <c:strCache>
                <c:ptCount val="1"/>
                <c:pt idx="0">
                  <c:v>PHEV (baseline)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'Electric Vehicles'!$A$68:$A$81</c:f>
              <c:numCache>
                <c:formatCode>General</c:formatCode>
                <c:ptCount val="1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</c:numCache>
            </c:numRef>
          </c:cat>
          <c:val>
            <c:numRef>
              <c:f>'Electric Vehicles'!$B$68:$B$81</c:f>
              <c:numCache>
                <c:formatCode>0.0%</c:formatCode>
                <c:ptCount val="14"/>
                <c:pt idx="0">
                  <c:v>0.84880250975591109</c:v>
                </c:pt>
                <c:pt idx="1">
                  <c:v>0.44880390696134409</c:v>
                </c:pt>
                <c:pt idx="2">
                  <c:v>0.43055476204079324</c:v>
                </c:pt>
                <c:pt idx="3">
                  <c:v>0.42771276808179226</c:v>
                </c:pt>
                <c:pt idx="4">
                  <c:v>0.3512175336028085</c:v>
                </c:pt>
                <c:pt idx="5">
                  <c:v>0.29610384233189802</c:v>
                </c:pt>
                <c:pt idx="6">
                  <c:v>0.17085948855559296</c:v>
                </c:pt>
                <c:pt idx="7">
                  <c:v>0.21725170836559754</c:v>
                </c:pt>
                <c:pt idx="8">
                  <c:v>0.19383542020462302</c:v>
                </c:pt>
                <c:pt idx="9">
                  <c:v>0.17041913204363424</c:v>
                </c:pt>
                <c:pt idx="10">
                  <c:v>0.1370028438826455</c:v>
                </c:pt>
                <c:pt idx="11">
                  <c:v>0.1370028438826455</c:v>
                </c:pt>
                <c:pt idx="12">
                  <c:v>0.1370028438826455</c:v>
                </c:pt>
                <c:pt idx="13">
                  <c:v>0.1370028438826455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2-48BD-96A6-030ADE46C6E3}"/>
            </c:ext>
          </c:extLst>
        </c:ser>
        <c:ser>
          <c:idx val="2"/>
          <c:order val="1"/>
          <c:tx>
            <c:strRef>
              <c:f>'Electric Vehicles'!$E$3</c:f>
              <c:strCache>
                <c:ptCount val="1"/>
                <c:pt idx="0">
                  <c:v>BEV (baseline)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'Electric Vehicles'!$A$68:$A$81</c:f>
              <c:numCache>
                <c:formatCode>General</c:formatCode>
                <c:ptCount val="1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</c:numCache>
            </c:numRef>
          </c:cat>
          <c:val>
            <c:numRef>
              <c:f>'Electric Vehicles'!$E$68:$E$81</c:f>
              <c:numCache>
                <c:formatCode>0.0%</c:formatCode>
                <c:ptCount val="14"/>
                <c:pt idx="0">
                  <c:v>0.78389408719888509</c:v>
                </c:pt>
                <c:pt idx="1">
                  <c:v>0.56372412253780491</c:v>
                </c:pt>
                <c:pt idx="2">
                  <c:v>0.41995111245918593</c:v>
                </c:pt>
                <c:pt idx="3">
                  <c:v>0.3616681745074386</c:v>
                </c:pt>
                <c:pt idx="4">
                  <c:v>0.25931325957164075</c:v>
                </c:pt>
                <c:pt idx="5">
                  <c:v>0.40923146818301737</c:v>
                </c:pt>
                <c:pt idx="6">
                  <c:v>0.29092374489769379</c:v>
                </c:pt>
                <c:pt idx="7">
                  <c:v>0.26428374009630207</c:v>
                </c:pt>
                <c:pt idx="8">
                  <c:v>0.2179660466532482</c:v>
                </c:pt>
                <c:pt idx="9">
                  <c:v>0.17100373049354117</c:v>
                </c:pt>
                <c:pt idx="10">
                  <c:v>0.12404141433381995</c:v>
                </c:pt>
                <c:pt idx="11">
                  <c:v>7.7079098174112917E-2</c:v>
                </c:pt>
                <c:pt idx="12">
                  <c:v>7.7079098174112917E-2</c:v>
                </c:pt>
                <c:pt idx="13">
                  <c:v>7.7079098174112917E-2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2-48BD-96A6-030ADE46C6E3}"/>
            </c:ext>
          </c:extLst>
        </c:ser>
        <c:ser>
          <c:idx val="0"/>
          <c:order val="2"/>
          <c:tx>
            <c:strRef>
              <c:f>'Electric Vehicles'!$H$3</c:f>
              <c:strCache>
                <c:ptCount val="1"/>
                <c:pt idx="0">
                  <c:v>Total (baseline)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'Electric Vehicles'!$A$68:$A$81</c:f>
              <c:numCache>
                <c:formatCode>General</c:formatCode>
                <c:ptCount val="1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</c:numCache>
            </c:numRef>
          </c:cat>
          <c:val>
            <c:numRef>
              <c:f>'Electric Vehicles'!$H$68:$H$81</c:f>
              <c:numCache>
                <c:formatCode>0.0%</c:formatCode>
                <c:ptCount val="14"/>
                <c:pt idx="0">
                  <c:v>0.80947498567594467</c:v>
                </c:pt>
                <c:pt idx="1">
                  <c:v>0.51744883674421693</c:v>
                </c:pt>
                <c:pt idx="2">
                  <c:v>0.42402776404950981</c:v>
                </c:pt>
                <c:pt idx="3">
                  <c:v>0.38717588807823389</c:v>
                </c:pt>
                <c:pt idx="4">
                  <c:v>0.29584575012231462</c:v>
                </c:pt>
                <c:pt idx="5">
                  <c:v>0.36429009022940995</c:v>
                </c:pt>
                <c:pt idx="6">
                  <c:v>0.24357775195336484</c:v>
                </c:pt>
                <c:pt idx="7">
                  <c:v>0.25663759395449626</c:v>
                </c:pt>
                <c:pt idx="8">
                  <c:v>0.2906122597040377</c:v>
                </c:pt>
                <c:pt idx="9">
                  <c:v>0.22667609803627631</c:v>
                </c:pt>
                <c:pt idx="10">
                  <c:v>0.19348051065259808</c:v>
                </c:pt>
                <c:pt idx="11">
                  <c:v>0.16271179571193017</c:v>
                </c:pt>
                <c:pt idx="12">
                  <c:v>0.1394196854879175</c:v>
                </c:pt>
                <c:pt idx="13">
                  <c:v>0.12422400752262863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C2-48BD-96A6-030ADE46C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512312"/>
        <c:axId val="434513096"/>
      </c:barChart>
      <c:catAx>
        <c:axId val="43451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513096"/>
        <c:crosses val="autoZero"/>
        <c:auto val="1"/>
        <c:lblAlgn val="ctr"/>
        <c:lblOffset val="100"/>
        <c:noMultiLvlLbl val="0"/>
      </c:catAx>
      <c:valAx>
        <c:axId val="43451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51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972538727193"/>
          <c:y val="0.13026689014357215"/>
          <c:w val="0.56786499092079679"/>
          <c:h val="6.0482541021607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Diesel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Forecast_Main!$D$76:$AE$76</c:f>
              <c:numCache>
                <c:formatCode>m/d/yyyy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Forecast_Main!$D$83:$AE$83</c:f>
              <c:numCache>
                <c:formatCode>#,##0</c:formatCode>
                <c:ptCount val="28"/>
                <c:pt idx="0">
                  <c:v>200546412.40000001</c:v>
                </c:pt>
                <c:pt idx="1">
                  <c:v>158442194</c:v>
                </c:pt>
                <c:pt idx="2">
                  <c:v>184357269.94999999</c:v>
                </c:pt>
                <c:pt idx="3">
                  <c:v>165547124.84999999</c:v>
                </c:pt>
                <c:pt idx="4">
                  <c:v>140610590</c:v>
                </c:pt>
                <c:pt idx="5">
                  <c:v>185101028.80000001</c:v>
                </c:pt>
                <c:pt idx="6">
                  <c:v>193155530.75</c:v>
                </c:pt>
                <c:pt idx="7">
                  <c:v>163876928.19999999</c:v>
                </c:pt>
                <c:pt idx="8">
                  <c:v>161928057.75</c:v>
                </c:pt>
                <c:pt idx="9">
                  <c:v>181643251.14999998</c:v>
                </c:pt>
                <c:pt idx="10">
                  <c:v>204800544.40000001</c:v>
                </c:pt>
                <c:pt idx="11">
                  <c:v>168174070.40000001</c:v>
                </c:pt>
                <c:pt idx="12">
                  <c:v>174790251.40000001</c:v>
                </c:pt>
                <c:pt idx="13">
                  <c:v>169817565.84999999</c:v>
                </c:pt>
                <c:pt idx="14">
                  <c:v>191951959.25</c:v>
                </c:pt>
                <c:pt idx="15">
                  <c:v>182741766.59999999</c:v>
                </c:pt>
                <c:pt idx="16">
                  <c:v>140374588.90000001</c:v>
                </c:pt>
                <c:pt idx="17">
                  <c:v>179069252.5</c:v>
                </c:pt>
                <c:pt idx="18">
                  <c:v>176043337.09999999</c:v>
                </c:pt>
                <c:pt idx="19">
                  <c:v>177031913.89999998</c:v>
                </c:pt>
                <c:pt idx="20">
                  <c:v>161178038.22882986</c:v>
                </c:pt>
                <c:pt idx="21">
                  <c:v>199778952.44797099</c:v>
                </c:pt>
                <c:pt idx="22">
                  <c:v>177184210.06003809</c:v>
                </c:pt>
                <c:pt idx="23">
                  <c:v>179264108.94673952</c:v>
                </c:pt>
                <c:pt idx="24">
                  <c:v>145108562.84790868</c:v>
                </c:pt>
                <c:pt idx="25">
                  <c:v>184452679.55952922</c:v>
                </c:pt>
                <c:pt idx="26">
                  <c:v>170358771.00371325</c:v>
                </c:pt>
                <c:pt idx="27">
                  <c:v>173329851.25105202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10-4083-82EA-527008730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70760"/>
        <c:axId val="399670200"/>
      </c:lineChart>
      <c:dateAx>
        <c:axId val="366170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70200"/>
        <c:crosses val="autoZero"/>
        <c:auto val="1"/>
        <c:lblOffset val="100"/>
        <c:baseTimeUnit val="months"/>
        <c:majorUnit val="6"/>
        <c:majorTimeUnit val="months"/>
      </c:dateAx>
      <c:valAx>
        <c:axId val="399670200"/>
        <c:scaling>
          <c:orientation val="minMax"/>
          <c:min val="1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1707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6666666666666666E-2"/>
                <c:y val="0.34763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 of Gallons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101600</xdr:colOff>
      <xdr:row>30</xdr:row>
      <xdr:rowOff>38101</xdr:rowOff>
    </xdr:from>
    <xdr:to>
      <xdr:col>31</xdr:col>
      <xdr:colOff>50801</xdr:colOff>
      <xdr:row>50</xdr:row>
      <xdr:rowOff>177801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177800</xdr:colOff>
      <xdr:row>30</xdr:row>
      <xdr:rowOff>50800</xdr:rowOff>
    </xdr:from>
    <xdr:to>
      <xdr:col>18</xdr:col>
      <xdr:colOff>12700</xdr:colOff>
      <xdr:row>51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120649</xdr:colOff>
      <xdr:row>30</xdr:row>
      <xdr:rowOff>50800</xdr:rowOff>
    </xdr:from>
    <xdr:to>
      <xdr:col>24</xdr:col>
      <xdr:colOff>317500</xdr:colOff>
      <xdr:row>51</xdr:row>
      <xdr:rowOff>76199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549276</xdr:colOff>
      <xdr:row>33</xdr:row>
      <xdr:rowOff>38100</xdr:rowOff>
    </xdr:from>
    <xdr:to>
      <xdr:col>22</xdr:col>
      <xdr:colOff>558800</xdr:colOff>
      <xdr:row>47</xdr:row>
      <xdr:rowOff>66676</xdr:rowOff>
    </xdr:to>
    <xdr:cxnSp macro="">
      <xdr:nvCxnSpPr>
        <xdr:cNvPr id="5" name="Straight Connector 4"/>
        <xdr:cNvCxnSpPr/>
      </xdr:nvCxnSpPr>
      <xdr:spPr>
        <a:xfrm flipV="1">
          <a:off x="24768176" y="7226300"/>
          <a:ext cx="9524" cy="2695576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203200</xdr:colOff>
      <xdr:row>33</xdr:row>
      <xdr:rowOff>25400</xdr:rowOff>
    </xdr:from>
    <xdr:to>
      <xdr:col>16</xdr:col>
      <xdr:colOff>203200</xdr:colOff>
      <xdr:row>47</xdr:row>
      <xdr:rowOff>139700</xdr:rowOff>
    </xdr:to>
    <xdr:cxnSp macro="">
      <xdr:nvCxnSpPr>
        <xdr:cNvPr id="6" name="Straight Connector 5"/>
        <xdr:cNvCxnSpPr/>
      </xdr:nvCxnSpPr>
      <xdr:spPr>
        <a:xfrm flipV="1">
          <a:off x="19240500" y="7213600"/>
          <a:ext cx="0" cy="2781300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342902</xdr:colOff>
      <xdr:row>32</xdr:row>
      <xdr:rowOff>177800</xdr:rowOff>
    </xdr:from>
    <xdr:to>
      <xdr:col>29</xdr:col>
      <xdr:colOff>368300</xdr:colOff>
      <xdr:row>46</xdr:row>
      <xdr:rowOff>158752</xdr:rowOff>
    </xdr:to>
    <xdr:cxnSp macro="">
      <xdr:nvCxnSpPr>
        <xdr:cNvPr id="7" name="Straight Connector 6"/>
        <xdr:cNvCxnSpPr/>
      </xdr:nvCxnSpPr>
      <xdr:spPr>
        <a:xfrm flipV="1">
          <a:off x="30607002" y="7175500"/>
          <a:ext cx="25398" cy="2647952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628657</xdr:colOff>
      <xdr:row>35</xdr:row>
      <xdr:rowOff>152400</xdr:rowOff>
    </xdr:from>
    <xdr:to>
      <xdr:col>15</xdr:col>
      <xdr:colOff>469900</xdr:colOff>
      <xdr:row>56</xdr:row>
      <xdr:rowOff>98424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641351</xdr:colOff>
      <xdr:row>35</xdr:row>
      <xdr:rowOff>142875</xdr:rowOff>
    </xdr:from>
    <xdr:to>
      <xdr:col>21</xdr:col>
      <xdr:colOff>914401</xdr:colOff>
      <xdr:row>56</xdr:row>
      <xdr:rowOff>50800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1079501</xdr:colOff>
      <xdr:row>35</xdr:row>
      <xdr:rowOff>127000</xdr:rowOff>
    </xdr:from>
    <xdr:to>
      <xdr:col>28</xdr:col>
      <xdr:colOff>25401</xdr:colOff>
      <xdr:row>56</xdr:row>
      <xdr:rowOff>50800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488948</xdr:colOff>
      <xdr:row>3</xdr:row>
      <xdr:rowOff>107948</xdr:rowOff>
    </xdr:from>
    <xdr:to>
      <xdr:col>21</xdr:col>
      <xdr:colOff>1079499</xdr:colOff>
      <xdr:row>29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19048</xdr:colOff>
      <xdr:row>59</xdr:row>
      <xdr:rowOff>63508</xdr:rowOff>
    </xdr:from>
    <xdr:to>
      <xdr:col>17</xdr:col>
      <xdr:colOff>368300</xdr:colOff>
      <xdr:row>84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0.53081</cdr:x>
      <cdr:y>0.2</cdr:y>
    </cdr:from>
    <cdr:to>
      <cdr:x>0.53514</cdr:x>
      <cdr:y>0.87733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117852" y="952492"/>
          <a:ext cx="25400" cy="3225800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18</xdr:row>
      <xdr:rowOff>114300</xdr:rowOff>
    </xdr:from>
    <xdr:to>
      <xdr:col>7</xdr:col>
      <xdr:colOff>504824</xdr:colOff>
      <xdr:row>36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142875</xdr:rowOff>
    </xdr:from>
    <xdr:to>
      <xdr:col>7</xdr:col>
      <xdr:colOff>485775</xdr:colOff>
      <xdr:row>18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88900</xdr:colOff>
      <xdr:row>0</xdr:row>
      <xdr:rowOff>136525</xdr:rowOff>
    </xdr:from>
    <xdr:to>
      <xdr:col>15</xdr:col>
      <xdr:colOff>479425</xdr:colOff>
      <xdr:row>18</xdr:row>
      <xdr:rowOff>22225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101600</xdr:colOff>
      <xdr:row>18</xdr:row>
      <xdr:rowOff>76200</xdr:rowOff>
    </xdr:from>
    <xdr:to>
      <xdr:col>15</xdr:col>
      <xdr:colOff>492125</xdr:colOff>
      <xdr:row>35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63500</xdr:colOff>
      <xdr:row>18</xdr:row>
      <xdr:rowOff>76200</xdr:rowOff>
    </xdr:from>
    <xdr:to>
      <xdr:col>23</xdr:col>
      <xdr:colOff>454025</xdr:colOff>
      <xdr:row>35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127000</xdr:colOff>
      <xdr:row>36</xdr:row>
      <xdr:rowOff>76200</xdr:rowOff>
    </xdr:from>
    <xdr:to>
      <xdr:col>7</xdr:col>
      <xdr:colOff>517525</xdr:colOff>
      <xdr:row>53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127000</xdr:colOff>
      <xdr:row>36</xdr:row>
      <xdr:rowOff>50800</xdr:rowOff>
    </xdr:from>
    <xdr:to>
      <xdr:col>15</xdr:col>
      <xdr:colOff>517525</xdr:colOff>
      <xdr:row>53</xdr:row>
      <xdr:rowOff>127000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63500</xdr:colOff>
      <xdr:row>36</xdr:row>
      <xdr:rowOff>25400</xdr:rowOff>
    </xdr:from>
    <xdr:to>
      <xdr:col>31</xdr:col>
      <xdr:colOff>454025</xdr:colOff>
      <xdr:row>53</xdr:row>
      <xdr:rowOff>101600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127000</xdr:colOff>
      <xdr:row>54</xdr:row>
      <xdr:rowOff>50800</xdr:rowOff>
    </xdr:from>
    <xdr:to>
      <xdr:col>15</xdr:col>
      <xdr:colOff>517525</xdr:colOff>
      <xdr:row>71</xdr:row>
      <xdr:rowOff>127000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127000</xdr:colOff>
      <xdr:row>54</xdr:row>
      <xdr:rowOff>76200</xdr:rowOff>
    </xdr:from>
    <xdr:to>
      <xdr:col>23</xdr:col>
      <xdr:colOff>517525</xdr:colOff>
      <xdr:row>71</xdr:row>
      <xdr:rowOff>152400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101600</xdr:colOff>
      <xdr:row>36</xdr:row>
      <xdr:rowOff>50800</xdr:rowOff>
    </xdr:from>
    <xdr:to>
      <xdr:col>23</xdr:col>
      <xdr:colOff>492125</xdr:colOff>
      <xdr:row>53</xdr:row>
      <xdr:rowOff>127000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127000</xdr:colOff>
      <xdr:row>54</xdr:row>
      <xdr:rowOff>63500</xdr:rowOff>
    </xdr:from>
    <xdr:to>
      <xdr:col>7</xdr:col>
      <xdr:colOff>517525</xdr:colOff>
      <xdr:row>71</xdr:row>
      <xdr:rowOff>139700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ing%20Documents/ODOT%20inputs%20for%202022%20Clean%20Fuels%20Forec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Work"/>
      <sheetName val="Chart1"/>
      <sheetName val="History and April 2021 forecast"/>
      <sheetName val="VMT forecast to HCAS April 2021"/>
      <sheetName val="HUS Annual Weight Mile Data"/>
    </sheetNames>
    <sheetDataSet>
      <sheetData sheetId="0">
        <row r="19">
          <cell r="C19">
            <v>355.92802</v>
          </cell>
          <cell r="P19">
            <v>129.41483548273226</v>
          </cell>
        </row>
        <row r="20">
          <cell r="C20">
            <v>310.42334299999999</v>
          </cell>
          <cell r="P20">
            <v>139.85280476098541</v>
          </cell>
        </row>
        <row r="21">
          <cell r="C21">
            <v>391.43768722222222</v>
          </cell>
          <cell r="P21">
            <v>157.08360436039368</v>
          </cell>
        </row>
        <row r="22">
          <cell r="C22">
            <v>361.63871294444436</v>
          </cell>
          <cell r="P22">
            <v>154.29719845709835</v>
          </cell>
        </row>
        <row r="23">
          <cell r="J23">
            <v>-4.8001570576607588E-2</v>
          </cell>
          <cell r="Q23">
            <v>8.9836741702601808E-2</v>
          </cell>
        </row>
        <row r="24">
          <cell r="J24">
            <v>0.25778986141638049</v>
          </cell>
          <cell r="Q24">
            <v>9.7181913167163625E-2</v>
          </cell>
        </row>
        <row r="25">
          <cell r="J25">
            <v>5.2416447766105101E-2</v>
          </cell>
          <cell r="Q25">
            <v>3.6199559936407333E-3</v>
          </cell>
        </row>
        <row r="26">
          <cell r="J26">
            <v>4.7500788150101059E-2</v>
          </cell>
          <cell r="Q26">
            <v>-1.0068379460876242E-2</v>
          </cell>
        </row>
        <row r="27">
          <cell r="J27">
            <v>2.3156813194762593E-2</v>
          </cell>
          <cell r="Q27">
            <v>-5.9806628849324528E-2</v>
          </cell>
        </row>
        <row r="28">
          <cell r="J28">
            <v>-1.2756656355854545E-2</v>
          </cell>
          <cell r="Q28">
            <v>-3.5804175229106505E-2</v>
          </cell>
        </row>
        <row r="29">
          <cell r="J29">
            <v>2.3783529361156575E-3</v>
          </cell>
          <cell r="Q29">
            <v>4.0827154544802458E-3</v>
          </cell>
        </row>
        <row r="30">
          <cell r="J30">
            <v>-2.1759032150188151E-3</v>
          </cell>
          <cell r="Q30">
            <v>9.74108393066353E-3</v>
          </cell>
        </row>
        <row r="45">
          <cell r="C45">
            <v>1.8666000423515072E-3</v>
          </cell>
          <cell r="P45">
            <v>2.3188081308633812E-3</v>
          </cell>
        </row>
        <row r="46">
          <cell r="C46">
            <v>-1.1531428822663781E-2</v>
          </cell>
          <cell r="P46">
            <v>-8.3545452485587202E-3</v>
          </cell>
        </row>
        <row r="47">
          <cell r="C47">
            <v>-0.12787605835788152</v>
          </cell>
          <cell r="P47">
            <v>6.6416092904754809E-2</v>
          </cell>
        </row>
        <row r="48">
          <cell r="C48">
            <v>7.0898136691411873E-2</v>
          </cell>
          <cell r="P48">
            <v>4.1733485307821061E-2</v>
          </cell>
        </row>
        <row r="49">
          <cell r="C49">
            <v>1.987567130875334E-3</v>
          </cell>
          <cell r="P49">
            <v>-1.9503980515335972E-2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NEDY Michael  * DAS" refreshedDate="44359.313580208334" createdVersion="5" refreshedVersion="6" minRefreshableVersion="3" recordCount="1220">
  <cacheSource type="external" connectionId="4"/>
  <cacheFields count="6">
    <cacheField name="data_type" numFmtId="0">
      <sharedItems count="6">
        <s v="volume"/>
        <s v="CI"/>
        <s v="credit"/>
        <s v="deficit"/>
        <s v="volume_OR" u="1"/>
        <s v="volume_EX" u="1"/>
      </sharedItems>
    </cacheField>
    <cacheField name="fuel_name" numFmtId="0">
      <sharedItems count="22">
        <s v="Fossil_LNG"/>
        <s v="Gasoline"/>
        <s v="Gasoline_E10"/>
        <s v="Liq_Petroleum"/>
        <s v="Diesel_Renew"/>
        <s v="Liq_Pet_Renew"/>
        <s v="Ethanol"/>
        <s v="Biodiesel"/>
        <s v="Bio_CNG"/>
        <s v="Bio_LNG"/>
        <s v="Diesel"/>
        <s v="Diesel_B20"/>
        <s v="Diesel_B5"/>
        <s v="Electricity_Off"/>
        <s v="Electricity_On"/>
        <s v="Ethanol&lt;55"/>
        <s v="Ethanol&gt;75"/>
        <s v="Ethanol55-65"/>
        <s v="Ethanol65-75"/>
        <s v="Fossil_CNG"/>
        <s v="electricity_res"/>
        <s v="Diesel_B5_InState" u="1"/>
      </sharedItems>
    </cacheField>
    <cacheField name="period" numFmtId="0">
      <sharedItems containsSemiMixedTypes="0" containsNonDate="0" containsDate="1" containsString="0" minDate="2016-01-01T00:00:00" maxDate="2020-10-02T00:00:00" count="20">
        <d v="2016-01-01T00:00:00"/>
        <d v="2016-04-01T00:00:00"/>
        <d v="2016-07-01T00:00:00"/>
        <d v="2016-10-01T00:00:00"/>
        <d v="2017-01-01T00:00:00"/>
        <d v="2017-04-01T00:00:00"/>
        <d v="2017-07-01T00:00:00"/>
        <d v="2018-04-01T00:00:00"/>
        <d v="2018-07-01T00:00:00"/>
        <d v="2018-10-01T00:00:00"/>
        <d v="2019-01-01T00:00:00"/>
        <d v="2019-04-01T00:00:00"/>
        <d v="2020-04-01T00:00:00"/>
        <d v="2020-07-01T00:00:00"/>
        <d v="2020-10-01T00:00:00"/>
        <d v="2017-10-01T00:00:00"/>
        <d v="2018-01-01T00:00:00"/>
        <d v="2019-07-01T00:00:00"/>
        <d v="2019-10-01T00:00:00"/>
        <d v="2020-01-01T00:00:00"/>
      </sharedItems>
    </cacheField>
    <cacheField name="quantity" numFmtId="0">
      <sharedItems containsString="0" containsBlank="1" containsNumber="1" minValue="-16668278" maxValue="405339401"/>
    </cacheField>
    <cacheField name="fuel_category" numFmtId="0">
      <sharedItems count="8">
        <s v="Natural Gas"/>
        <s v="Gasoline"/>
        <s v="Liq_Petroleum_Gas"/>
        <s v="Diesel"/>
        <s v="Ethanol"/>
        <s v="Biodiesel"/>
        <s v="Diesel_Renew"/>
        <s v="Electricity"/>
      </sharedItems>
    </cacheField>
    <cacheField name="fuel_type" numFmtId="0">
      <sharedItems count="5">
        <s v="Alternative"/>
        <s v="Fossil"/>
        <s v="Ethanol"/>
        <s v="Biodiesel"/>
        <s v="Diesel_Renew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NNEDY Michael  * DAS" refreshedDate="44432.374145949078" createdVersion="5" refreshedVersion="6" minRefreshableVersion="3" recordCount="241">
  <cacheSource type="external" connectionId="3"/>
  <cacheFields count="7">
    <cacheField name="Period" numFmtId="0">
      <sharedItems containsSemiMixedTypes="0" containsNonDate="0" containsDate="1" containsString="0" minDate="2018-01-01T00:00:00" maxDate="2021-01-02T00:00:00" count="4">
        <d v="2018-01-01T00:00:00"/>
        <d v="2019-01-01T00:00:00"/>
        <d v="2020-01-01T00:00:00"/>
        <d v="2021-01-01T00:00:00"/>
      </sharedItems>
    </cacheField>
    <cacheField name="CFP_ID" numFmtId="0">
      <sharedItems containsString="0" containsBlank="1" containsNumber="1" containsInteger="1" minValue="1000" maxValue="7765" count="82">
        <n v="3360"/>
        <n v="3367"/>
        <n v="3368"/>
        <n v="3383"/>
        <n v="3697"/>
        <n v="3702"/>
        <n v="3758"/>
        <n v="3805"/>
        <n v="3919"/>
        <n v="3994"/>
        <n v="4015"/>
        <n v="4054"/>
        <n v="4061"/>
        <n v="4063"/>
        <n v="4094"/>
        <n v="4137"/>
        <n v="4285"/>
        <n v="4305"/>
        <n v="4552"/>
        <n v="4664"/>
        <n v="4727"/>
        <n v="4728"/>
        <n v="4735"/>
        <n v="4736"/>
        <n v="4740"/>
        <n v="4754"/>
        <n v="4755"/>
        <n v="4764"/>
        <n v="4766"/>
        <n v="4769"/>
        <n v="4783"/>
        <n v="4789"/>
        <n v="4791"/>
        <n v="4792"/>
        <n v="4793"/>
        <n v="4803"/>
        <n v="4804"/>
        <n v="4810"/>
        <n v="4827"/>
        <n v="4831"/>
        <n v="4846"/>
        <n v="4887"/>
        <n v="4888"/>
        <n v="5026"/>
        <n v="5046"/>
        <n v="5049"/>
        <n v="5073"/>
        <n v="5078"/>
        <n v="5095"/>
        <n v="5214"/>
        <n v="5715"/>
        <n v="5934"/>
        <n v="5953"/>
        <n v="5981"/>
        <n v="6094"/>
        <n v="6129"/>
        <n v="6130"/>
        <n v="6137"/>
        <n v="6169"/>
        <n v="6268"/>
        <n v="6320"/>
        <n v="6322"/>
        <n v="6326"/>
        <n v="6412"/>
        <n v="7765"/>
        <n v="3514"/>
        <n v="4060"/>
        <n v="4320"/>
        <n v="4805"/>
        <n v="5769"/>
        <n v="6274"/>
        <n v="6497"/>
        <m/>
        <n v="3683"/>
        <n v="5504"/>
        <n v="6459"/>
        <n v="1000"/>
        <n v="1001"/>
        <n v="1166"/>
        <n v="3652"/>
        <n v="4528"/>
        <n v="6523"/>
      </sharedItems>
    </cacheField>
    <cacheField name="City" numFmtId="0">
      <sharedItems count="97">
        <s v="Ord"/>
        <s v="Seattle"/>
        <s v="Central City"/>
        <s v="Janesville"/>
        <s v="Boardman"/>
        <s v="Burley"/>
        <s v="Stockton"/>
        <s v="Quata"/>
        <s v="Hamilton"/>
        <s v="Costa Pinto"/>
        <s v="Delta"/>
        <s v="Sinclair"/>
        <s v="Heron Lake"/>
        <s v="Garden City"/>
        <s v="Redfield"/>
        <s v="Atwater"/>
        <s v="Aberdeen"/>
        <s v="Huron"/>
        <s v="Singapore"/>
        <s v="Deerfield"/>
        <s v="Albert Lea"/>
        <s v="Sgt. Bluff"/>
        <s v="St. Joseph"/>
        <s v="Batesville"/>
        <s v="Chancellor"/>
        <s v="Marcus"/>
        <s v="Yuma"/>
        <s v="Big Stone City"/>
        <s v="Oakley"/>
        <s v="Trenton"/>
        <s v="Lakota"/>
        <s v="Mina"/>
        <s v="Watertown"/>
        <s v="Sterling"/>
        <s v="Granite Falls"/>
        <s v="Coon Rapids"/>
        <s v="Mitchell"/>
        <s v="Hudson"/>
        <s v="Emmetsburg"/>
        <s v="Groton"/>
        <s v="Richardton"/>
        <s v="Benson"/>
        <s v="Wentworth"/>
        <s v="Winthrop"/>
        <s v="Adams"/>
        <s v="Guymon"/>
        <s v="Mexico"/>
        <s v="Columbus"/>
        <s v="Velva"/>
        <s v="Jackson"/>
        <s v="Corning"/>
        <s v="St. Ansgar"/>
        <s v="Shenandoah"/>
        <s v="Plainview"/>
        <s v="Madrid"/>
        <s v="Sutherland"/>
        <s v="Liberal"/>
        <s v="Bridgeport"/>
        <s v="Shiheung-City"/>
        <s v="Foam Lake"/>
        <s v="Ulju-gun"/>
        <s v="Salem"/>
        <s v="Mason City"/>
        <s v="Lloydminster"/>
        <s v="Hankinson"/>
        <s v="Geismar"/>
        <s v="Louisville"/>
        <s v="Waynesburg"/>
        <s v="Beatrice"/>
        <s v="Hoquiam"/>
        <s v="St Joseph"/>
        <s v="El Paso"/>
        <s v="Newton"/>
        <s v="Quatá"/>
        <s v="Piracicaba"/>
        <s v="Sioux City"/>
        <s v="Blaine"/>
        <s v="Groton_x000a_"/>
        <s v="Ravenna"/>
        <s v="Kansas City"/>
        <s v="PYEONGTAEK-SI"/>
        <s v="Ulsan"/>
        <s v="Onida"/>
        <s v="Athens"/>
        <s v="Avondale"/>
        <s v="Sacramento"/>
        <s v="Iowa Falls"/>
        <s v="Euless"/>
        <s v="Springfield"/>
        <s v="SAINT-THOMAS"/>
        <s v="Sacremento"/>
        <s v="Dickinson"/>
        <s v="Seneca"/>
        <s v="Rodeo"/>
        <s v="CAMPBELLSPORT"/>
        <s v="OUTLOOK"/>
        <s v="Kersey"/>
      </sharedItems>
    </cacheField>
    <cacheField name="State" numFmtId="0">
      <sharedItems count="43">
        <s v="NE"/>
        <s v="WA"/>
        <s v="MN"/>
        <s v="OR"/>
        <s v="ID"/>
        <s v="CA"/>
        <s v="BRAZIL"/>
        <s v="CANADA"/>
        <s v="WY"/>
        <s v="KS"/>
        <s v="SD"/>
        <s v="SINGAPORE"/>
        <s v="MO"/>
        <s v="IA"/>
        <s v="AR"/>
        <s v="CO"/>
        <s v="ND"/>
        <s v="OK"/>
        <s v="KOREA"/>
        <s v="LA"/>
        <s v="KY"/>
        <s v="OH"/>
        <s v="TX"/>
        <s v="SP"/>
        <s v="Ontario"/>
        <s v="British Columbia"/>
        <s v=""/>
        <s v="GYEONGGI-DO"/>
        <s v="Kyonggi-do"/>
        <s v="Saskatchewan"/>
        <s v="Ulju-gun"/>
        <s v="Alberta"/>
        <s v="TN"/>
        <s v="QC"/>
        <s v="IL"/>
        <s v="WI"/>
        <s v="Quebec"/>
        <s v="PA"/>
        <s v="South Dakota" u="1"/>
        <s v="Iowa" u="1"/>
        <s v="Colorado" u="1"/>
        <s v="Asia" u="1"/>
        <s v="Nebraska" u="1"/>
      </sharedItems>
    </cacheField>
    <cacheField name="fuel_name" numFmtId="0">
      <sharedItems count="13">
        <s v="Ethanol"/>
        <s v="Biodiesel"/>
        <s v="Diesel_Renew"/>
        <s v="Natural Gas"/>
        <s v="Compressed Natural Gas_x000a_ "/>
        <s v="Hydrogen_x000a_ "/>
        <s v="Biodiesel_x000a_ "/>
        <s v="Ethanol_x000a_ "/>
        <s v="Liquefied Petroleum Gas_x000a_ "/>
        <s v="Renewable Diesel_x000a_ "/>
        <s v="Renewable Diesel"/>
        <s v="Renewable Propane_x000a_ "/>
        <s v="Compressed Natural Gas" u="1"/>
      </sharedItems>
    </cacheField>
    <cacheField name="Total Cap" numFmtId="0">
      <sharedItems containsString="0" containsBlank="1" containsNumber="1" minValue="489175" maxValue="1730000000"/>
    </cacheField>
    <cacheField name="CI" numFmtId="0">
      <sharedItems containsSemiMixedTypes="0" containsString="0" containsNumber="1" minValue="-150" maxValue="154.63999999999999" count="146">
        <n v="62.64"/>
        <n v="28.59"/>
        <n v="58.51"/>
        <n v="62.4"/>
        <n v="52.644999999999996"/>
        <n v="54"/>
        <n v="55.3"/>
        <n v="49.27"/>
        <n v="30.083333333333332"/>
        <n v="41.24"/>
        <n v="20.38"/>
        <n v="56.55"/>
        <n v="65.13"/>
        <n v="65.180000000000007"/>
        <n v="61.8"/>
        <n v="62.555000000000007"/>
        <n v="56.760000000000005"/>
        <n v="64.7"/>
        <n v="32.478750000000005"/>
        <n v="49.16"/>
        <n v="27.900000000000002"/>
        <n v="50"/>
        <n v="50.46"/>
        <n v="32.524999999999999"/>
        <n v="53.284999999999997"/>
        <n v="63.405000000000001"/>
        <n v="55.48"/>
        <n v="67.819999999999993"/>
        <n v="60.663333333333334"/>
        <n v="57.55"/>
        <n v="69.22"/>
        <n v="67.989999999999995"/>
        <n v="67.010000000000005"/>
        <n v="57.6"/>
        <n v="62.1"/>
        <n v="66.599999999999994"/>
        <n v="58.388333333333343"/>
        <n v="67.52"/>
        <n v="65.78"/>
        <n v="67.3"/>
        <n v="67.180000000000007"/>
        <n v="60.349999999999994"/>
        <n v="63.414999999999992"/>
        <n v="68.040000000000006"/>
        <n v="58.475000000000001"/>
        <n v="35.880000000000003"/>
        <n v="50.85"/>
        <n v="69.27"/>
        <n v="52.25"/>
        <n v="54.861666666666672"/>
        <n v="66.16"/>
        <n v="64.489999999999995"/>
        <n v="62.67"/>
        <n v="57.68"/>
        <n v="59.58"/>
        <n v="57.63"/>
        <n v="69.435000000000002"/>
        <n v="55.23"/>
        <n v="26.84"/>
        <n v="59.24"/>
        <n v="20"/>
        <n v="15.43"/>
        <n v="40.772500000000001"/>
        <n v="51.33"/>
        <n v="60.11"/>
        <n v="34.866666666666667"/>
        <n v="63.96"/>
        <n v="43.97"/>
        <n v="42.959999999999994"/>
        <n v="43.025999999999996"/>
        <n v="37.28"/>
        <n v="25.7"/>
        <n v="34.1"/>
        <n v="51.48"/>
        <n v="58.38"/>
        <n v="54.629999999999995"/>
        <n v="59.489999999999995"/>
        <n v="59.99666666666667"/>
        <n v="31.509999999999998"/>
        <n v="30.140000000000004"/>
        <n v="26.92"/>
        <n v="45.263333333333328"/>
        <n v="54.596000000000004"/>
        <n v="53"/>
        <n v="58.994999999999997"/>
        <n v="60.709999999999994"/>
        <n v="56.594999999999999"/>
        <n v="50.25"/>
        <n v="36.167500000000004"/>
        <n v="54.94"/>
        <n v="27.48"/>
        <n v="36.969000000000001"/>
        <n v="33.988"/>
        <n v="61.605000000000004"/>
        <n v="56.77"/>
        <n v="37.366666666666667"/>
        <n v="30.862499999999997"/>
        <n v="51.98"/>
        <n v="45.3"/>
        <n v="154.63999999999999"/>
        <n v="35.166666666666664"/>
        <n v="52.995000000000005"/>
        <n v="54.25"/>
        <n v="20.99"/>
        <n v="43.775000000000006"/>
        <n v="56.6"/>
        <n v="54.88"/>
        <n v="30.88666666666667"/>
        <n v="29.704999999999998"/>
        <n v="49.38"/>
        <n v="52.64"/>
        <n v="52.18"/>
        <n v="58.424999999999997"/>
        <n v="58.41"/>
        <n v="52.24"/>
        <n v="61.174999999999997"/>
        <n v="49.457499999999996"/>
        <n v="54.53"/>
        <n v="54.13"/>
        <n v="44.043333333333329"/>
        <n v="43.3"/>
        <n v="52.73"/>
        <n v="50.2"/>
        <n v="24.936666666666664"/>
        <n v="34.43333333333333"/>
        <n v="44.656666666666666"/>
        <n v="32.214285714285715"/>
        <n v="31.964285714285715"/>
        <n v="36.549999999999997"/>
        <n v="47.88"/>
        <n v="70.55"/>
        <n v="45"/>
        <n v="36.04"/>
        <n v="65"/>
        <n v="59.75"/>
        <n v="-150"/>
        <n v="34.952500000000001"/>
        <n v="58.164999999999999"/>
        <n v="70"/>
        <n v="57.680000000000007" u="1"/>
        <n v="58.388333333333328" u="1"/>
        <n v="55.29999999999999" u="1"/>
        <n v="30.886666666666667" u="1"/>
        <n v="32.478749999999998" u="1"/>
        <n v="49.457500000000003" u="1"/>
        <n v="52.64500000000000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NNEDY Michael  * DAS" refreshedDate="44432.582454976851" createdVersion="5" refreshedVersion="6" minRefreshableVersion="3" recordCount="1344">
  <cacheSource type="external" connectionId="1"/>
  <cacheFields count="6">
    <cacheField name="data_type" numFmtId="0">
      <sharedItems count="6">
        <s v="credit"/>
        <s v="deficit"/>
        <s v="volume"/>
        <s v="CI"/>
        <s v="volume_OR" u="1"/>
        <s v="volume_EX" u="1"/>
      </sharedItems>
    </cacheField>
    <cacheField name="fuel_name" numFmtId="0">
      <sharedItems count="23">
        <s v="Bio_CNG"/>
        <s v="Biodiesel"/>
        <s v="Bio_LNG"/>
        <s v="Diesel"/>
        <s v="Diesel_B20"/>
        <s v="Diesel_B5"/>
        <s v="Electricity_Off"/>
        <s v="Electricity_On"/>
        <s v="Ethanol&lt;55"/>
        <s v="Ethanol&gt;75"/>
        <s v="Ethanol55-65"/>
        <s v="Ethanol65-75"/>
        <s v="Fossil_CNG"/>
        <s v="Fossil_LNG"/>
        <s v="Gasoline"/>
        <s v="Gasoline_E10"/>
        <s v="Liq_Petroleum"/>
        <s v="Diesel_Renew"/>
        <s v="Liq_Pet_Renew"/>
        <s v="electricity_res"/>
        <s v="hydrogen"/>
        <s v="Ethanol"/>
        <s v="Diesel_B5_InState" u="1"/>
      </sharedItems>
    </cacheField>
    <cacheField name="period" numFmtId="0">
      <sharedItems containsSemiMixedTypes="0" containsNonDate="0" containsDate="1" containsString="0" minDate="2016-01-01T00:00:00" maxDate="2021-01-02T00:00:00" count="21">
        <d v="2016-01-01T00:00:00"/>
        <d v="2016-04-01T00:00:00"/>
        <d v="2016-07-01T00:00:00"/>
        <d v="2016-10-01T00:00:00"/>
        <d v="2017-01-01T00:00:00"/>
        <d v="2019-07-01T00:00:00"/>
        <d v="2019-10-01T00:00:00"/>
        <d v="2017-04-01T00:00:00"/>
        <d v="2017-07-01T00:00:00"/>
        <d v="2017-10-01T00:00:00"/>
        <d v="2018-01-01T00:00:00"/>
        <d v="2018-04-01T00:00:00"/>
        <d v="2018-07-01T00:00:00"/>
        <d v="2018-10-01T00:00:00"/>
        <d v="2019-01-01T00:00:00"/>
        <d v="2019-04-01T00:00:00"/>
        <d v="2020-01-01T00:00:00"/>
        <d v="2020-04-01T00:00:00"/>
        <d v="2020-07-01T00:00:00"/>
        <d v="2020-10-01T00:00:00"/>
        <d v="2021-01-01T00:00:00"/>
      </sharedItems>
    </cacheField>
    <cacheField name="quantity" numFmtId="0">
      <sharedItems containsString="0" containsBlank="1" containsNumber="1" minValue="-16074050" maxValue="405345801"/>
    </cacheField>
    <cacheField name="fuel_category" numFmtId="0">
      <sharedItems count="9">
        <s v="Natural Gas"/>
        <s v="Diesel"/>
        <s v="Electricity"/>
        <s v="Ethanol"/>
        <s v="Gasoline"/>
        <s v="Liq_Petroleum_Gas"/>
        <s v="Hydrogen"/>
        <s v="Biodiesel"/>
        <s v="Diesel_Renew"/>
      </sharedItems>
    </cacheField>
    <cacheField name="fuel_type" numFmtId="0">
      <sharedItems count="5">
        <s v="Alternative"/>
        <s v="Fossil"/>
        <s v="Ethanol"/>
        <s v="Biodiesel"/>
        <s v="Diesel_Renew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ENNEDY Michael  * DAS" refreshedDate="44433.529958449071" createdVersion="6" refreshedVersion="6" minRefreshableVersion="3" recordCount="204">
  <cacheSource type="external" connectionId="5"/>
  <cacheFields count="5">
    <cacheField name="forecast_date" numFmtId="0">
      <sharedItems containsSemiMixedTypes="0" containsNonDate="0" containsDate="1" containsString="0" minDate="2018-01-01T00:00:00" maxDate="2022-01-02T00:00:00" count="5">
        <d v="2018-01-01T00:00:00"/>
        <d v="2019-01-01T00:00:00"/>
        <d v="2020-01-01T00:00:00"/>
        <d v="2021-01-01T00:00:00"/>
        <d v="2022-01-01T00:00:00"/>
      </sharedItems>
    </cacheField>
    <cacheField name="period" numFmtId="0">
      <sharedItems containsSemiMixedTypes="0" containsNonDate="0" containsDate="1" containsString="0" minDate="2018-01-01T00:00:00" maxDate="2022-01-02T00:00:00" count="5">
        <d v="2018-01-01T00:00:00"/>
        <d v="2019-01-01T00:00:00"/>
        <d v="2020-01-01T00:00:00"/>
        <d v="2021-01-01T00:00:00"/>
        <d v="2022-01-01T00:00:00"/>
      </sharedItems>
    </cacheField>
    <cacheField name="fuel_name" numFmtId="0">
      <sharedItems count="21">
        <s v="Biodiesel"/>
        <s v="Biogas"/>
        <s v="CBOB"/>
        <s v="diesel"/>
        <s v="Diesel_Renew"/>
        <s v="EEReon"/>
        <s v="EERng"/>
        <s v="Electricity_On"/>
        <s v="Ethanol"/>
        <s v="Fossil_CNG"/>
        <s v="Fossil_LNG"/>
        <s v="gasoline"/>
        <s v="gasoline_E10"/>
        <s v="Hydrogen"/>
        <s v="Jet_Fuel"/>
        <s v="KWh_vehicle"/>
        <s v="Liq_Petroleum"/>
        <s v="Electricity_Off"/>
        <s v="Natural_Gas"/>
        <s v="Renewable Diesel"/>
        <s v="EER" u="1"/>
      </sharedItems>
    </cacheField>
    <cacheField name="parameter_name" numFmtId="0">
      <sharedItems count="6">
        <s v="CI_Actual"/>
        <s v="EnDen"/>
        <s v="CI_Target"/>
        <s v="Parameter"/>
        <s v="Growth Rate"/>
        <s v="Blend Rate"/>
      </sharedItems>
    </cacheField>
    <cacheField name="value" numFmtId="0">
      <sharedItems containsString="0" containsBlank="1" containsNumber="1" minValue="-0.106" maxValue="4474.20669839165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0">
  <r>
    <x v="0"/>
    <x v="0"/>
    <x v="0"/>
    <n v="0"/>
    <x v="0"/>
    <x v="0"/>
  </r>
  <r>
    <x v="0"/>
    <x v="1"/>
    <x v="0"/>
    <n v="375239852"/>
    <x v="1"/>
    <x v="1"/>
  </r>
  <r>
    <x v="0"/>
    <x v="2"/>
    <x v="0"/>
    <n v="6826453"/>
    <x v="1"/>
    <x v="1"/>
  </r>
  <r>
    <x v="0"/>
    <x v="3"/>
    <x v="0"/>
    <n v="18821"/>
    <x v="2"/>
    <x v="0"/>
  </r>
  <r>
    <x v="0"/>
    <x v="4"/>
    <x v="0"/>
    <n v="0"/>
    <x v="3"/>
    <x v="0"/>
  </r>
  <r>
    <x v="0"/>
    <x v="5"/>
    <x v="0"/>
    <n v="0"/>
    <x v="2"/>
    <x v="0"/>
  </r>
  <r>
    <x v="1"/>
    <x v="6"/>
    <x v="0"/>
    <n v="64.5"/>
    <x v="4"/>
    <x v="2"/>
  </r>
  <r>
    <x v="1"/>
    <x v="7"/>
    <x v="0"/>
    <n v="56.38"/>
    <x v="5"/>
    <x v="3"/>
  </r>
  <r>
    <x v="1"/>
    <x v="4"/>
    <x v="0"/>
    <m/>
    <x v="6"/>
    <x v="4"/>
  </r>
  <r>
    <x v="2"/>
    <x v="8"/>
    <x v="1"/>
    <n v="0"/>
    <x v="0"/>
    <x v="0"/>
  </r>
  <r>
    <x v="2"/>
    <x v="7"/>
    <x v="1"/>
    <n v="65175"/>
    <x v="3"/>
    <x v="0"/>
  </r>
  <r>
    <x v="2"/>
    <x v="9"/>
    <x v="1"/>
    <n v="315"/>
    <x v="0"/>
    <x v="0"/>
  </r>
  <r>
    <x v="2"/>
    <x v="10"/>
    <x v="1"/>
    <n v="998"/>
    <x v="3"/>
    <x v="1"/>
  </r>
  <r>
    <x v="2"/>
    <x v="11"/>
    <x v="1"/>
    <n v="0"/>
    <x v="3"/>
    <x v="1"/>
  </r>
  <r>
    <x v="2"/>
    <x v="12"/>
    <x v="1"/>
    <n v="185"/>
    <x v="3"/>
    <x v="1"/>
  </r>
  <r>
    <x v="2"/>
    <x v="13"/>
    <x v="1"/>
    <n v="0"/>
    <x v="7"/>
    <x v="0"/>
  </r>
  <r>
    <x v="2"/>
    <x v="14"/>
    <x v="1"/>
    <n v="500"/>
    <x v="7"/>
    <x v="0"/>
  </r>
  <r>
    <x v="2"/>
    <x v="15"/>
    <x v="1"/>
    <n v="40149"/>
    <x v="4"/>
    <x v="0"/>
  </r>
  <r>
    <x v="2"/>
    <x v="16"/>
    <x v="1"/>
    <n v="0"/>
    <x v="4"/>
    <x v="0"/>
  </r>
  <r>
    <x v="2"/>
    <x v="17"/>
    <x v="1"/>
    <n v="40120"/>
    <x v="4"/>
    <x v="0"/>
  </r>
  <r>
    <x v="2"/>
    <x v="18"/>
    <x v="1"/>
    <n v="42330"/>
    <x v="4"/>
    <x v="0"/>
  </r>
  <r>
    <x v="2"/>
    <x v="19"/>
    <x v="1"/>
    <n v="112"/>
    <x v="0"/>
    <x v="0"/>
  </r>
  <r>
    <x v="2"/>
    <x v="0"/>
    <x v="1"/>
    <n v="0"/>
    <x v="0"/>
    <x v="0"/>
  </r>
  <r>
    <x v="2"/>
    <x v="1"/>
    <x v="1"/>
    <n v="703"/>
    <x v="1"/>
    <x v="1"/>
  </r>
  <r>
    <x v="2"/>
    <x v="2"/>
    <x v="1"/>
    <n v="388"/>
    <x v="1"/>
    <x v="1"/>
  </r>
  <r>
    <x v="2"/>
    <x v="3"/>
    <x v="1"/>
    <n v="28"/>
    <x v="2"/>
    <x v="0"/>
  </r>
  <r>
    <x v="2"/>
    <x v="4"/>
    <x v="1"/>
    <n v="0"/>
    <x v="3"/>
    <x v="0"/>
  </r>
  <r>
    <x v="2"/>
    <x v="5"/>
    <x v="1"/>
    <n v="0"/>
    <x v="2"/>
    <x v="0"/>
  </r>
  <r>
    <x v="2"/>
    <x v="20"/>
    <x v="1"/>
    <n v="8574"/>
    <x v="7"/>
    <x v="0"/>
  </r>
  <r>
    <x v="3"/>
    <x v="8"/>
    <x v="1"/>
    <n v="0"/>
    <x v="0"/>
    <x v="0"/>
  </r>
  <r>
    <x v="3"/>
    <x v="7"/>
    <x v="1"/>
    <n v="1256"/>
    <x v="3"/>
    <x v="0"/>
  </r>
  <r>
    <x v="3"/>
    <x v="9"/>
    <x v="1"/>
    <n v="0"/>
    <x v="0"/>
    <x v="0"/>
  </r>
  <r>
    <x v="3"/>
    <x v="10"/>
    <x v="1"/>
    <n v="47111"/>
    <x v="3"/>
    <x v="1"/>
  </r>
  <r>
    <x v="3"/>
    <x v="11"/>
    <x v="1"/>
    <n v="0"/>
    <x v="3"/>
    <x v="1"/>
  </r>
  <r>
    <x v="3"/>
    <x v="12"/>
    <x v="1"/>
    <n v="213"/>
    <x v="3"/>
    <x v="1"/>
  </r>
  <r>
    <x v="3"/>
    <x v="13"/>
    <x v="1"/>
    <n v="0"/>
    <x v="7"/>
    <x v="0"/>
  </r>
  <r>
    <x v="3"/>
    <x v="14"/>
    <x v="1"/>
    <n v="0"/>
    <x v="7"/>
    <x v="0"/>
  </r>
  <r>
    <x v="3"/>
    <x v="15"/>
    <x v="1"/>
    <n v="1516"/>
    <x v="4"/>
    <x v="0"/>
  </r>
  <r>
    <x v="3"/>
    <x v="16"/>
    <x v="1"/>
    <n v="0"/>
    <x v="4"/>
    <x v="0"/>
  </r>
  <r>
    <x v="3"/>
    <x v="17"/>
    <x v="1"/>
    <n v="1817"/>
    <x v="4"/>
    <x v="0"/>
  </r>
  <r>
    <x v="3"/>
    <x v="18"/>
    <x v="1"/>
    <n v="480"/>
    <x v="4"/>
    <x v="0"/>
  </r>
  <r>
    <x v="3"/>
    <x v="19"/>
    <x v="1"/>
    <n v="0"/>
    <x v="0"/>
    <x v="0"/>
  </r>
  <r>
    <x v="3"/>
    <x v="0"/>
    <x v="1"/>
    <n v="0"/>
    <x v="0"/>
    <x v="0"/>
  </r>
  <r>
    <x v="3"/>
    <x v="1"/>
    <x v="1"/>
    <n v="91755"/>
    <x v="1"/>
    <x v="1"/>
  </r>
  <r>
    <x v="3"/>
    <x v="2"/>
    <x v="1"/>
    <n v="414"/>
    <x v="1"/>
    <x v="1"/>
  </r>
  <r>
    <x v="3"/>
    <x v="3"/>
    <x v="1"/>
    <n v="0"/>
    <x v="2"/>
    <x v="0"/>
  </r>
  <r>
    <x v="3"/>
    <x v="4"/>
    <x v="1"/>
    <n v="0"/>
    <x v="3"/>
    <x v="0"/>
  </r>
  <r>
    <x v="3"/>
    <x v="5"/>
    <x v="1"/>
    <n v="0"/>
    <x v="2"/>
    <x v="0"/>
  </r>
  <r>
    <x v="0"/>
    <x v="8"/>
    <x v="1"/>
    <n v="0"/>
    <x v="0"/>
    <x v="0"/>
  </r>
  <r>
    <x v="0"/>
    <x v="7"/>
    <x v="1"/>
    <n v="11119753"/>
    <x v="3"/>
    <x v="0"/>
  </r>
  <r>
    <x v="0"/>
    <x v="9"/>
    <x v="1"/>
    <n v="81346"/>
    <x v="0"/>
    <x v="0"/>
  </r>
  <r>
    <x v="0"/>
    <x v="10"/>
    <x v="1"/>
    <n v="157566921"/>
    <x v="3"/>
    <x v="1"/>
  </r>
  <r>
    <x v="0"/>
    <x v="11"/>
    <x v="1"/>
    <n v="0"/>
    <x v="3"/>
    <x v="1"/>
  </r>
  <r>
    <x v="0"/>
    <x v="12"/>
    <x v="1"/>
    <n v="921340"/>
    <x v="3"/>
    <x v="1"/>
  </r>
  <r>
    <x v="0"/>
    <x v="13"/>
    <x v="1"/>
    <n v="0"/>
    <x v="7"/>
    <x v="0"/>
  </r>
  <r>
    <x v="0"/>
    <x v="14"/>
    <x v="1"/>
    <n v="10979"/>
    <x v="7"/>
    <x v="0"/>
  </r>
  <r>
    <x v="0"/>
    <x v="15"/>
    <x v="1"/>
    <n v="10636624"/>
    <x v="4"/>
    <x v="0"/>
  </r>
  <r>
    <x v="0"/>
    <x v="16"/>
    <x v="1"/>
    <n v="0"/>
    <x v="4"/>
    <x v="0"/>
  </r>
  <r>
    <x v="0"/>
    <x v="17"/>
    <x v="1"/>
    <n v="13543571"/>
    <x v="4"/>
    <x v="0"/>
  </r>
  <r>
    <x v="0"/>
    <x v="18"/>
    <x v="1"/>
    <n v="16846719"/>
    <x v="4"/>
    <x v="0"/>
  </r>
  <r>
    <x v="0"/>
    <x v="19"/>
    <x v="1"/>
    <n v="83529"/>
    <x v="0"/>
    <x v="0"/>
  </r>
  <r>
    <x v="0"/>
    <x v="0"/>
    <x v="1"/>
    <n v="0"/>
    <x v="0"/>
    <x v="0"/>
  </r>
  <r>
    <x v="0"/>
    <x v="1"/>
    <x v="1"/>
    <n v="326790235"/>
    <x v="1"/>
    <x v="1"/>
  </r>
  <r>
    <x v="0"/>
    <x v="2"/>
    <x v="1"/>
    <n v="1428586"/>
    <x v="1"/>
    <x v="1"/>
  </r>
  <r>
    <x v="0"/>
    <x v="3"/>
    <x v="1"/>
    <n v="18876"/>
    <x v="2"/>
    <x v="0"/>
  </r>
  <r>
    <x v="0"/>
    <x v="4"/>
    <x v="1"/>
    <n v="0"/>
    <x v="3"/>
    <x v="0"/>
  </r>
  <r>
    <x v="0"/>
    <x v="5"/>
    <x v="1"/>
    <n v="0"/>
    <x v="2"/>
    <x v="0"/>
  </r>
  <r>
    <x v="1"/>
    <x v="6"/>
    <x v="1"/>
    <n v="62.85"/>
    <x v="4"/>
    <x v="2"/>
  </r>
  <r>
    <x v="1"/>
    <x v="7"/>
    <x v="1"/>
    <n v="51.31"/>
    <x v="5"/>
    <x v="3"/>
  </r>
  <r>
    <x v="1"/>
    <x v="4"/>
    <x v="1"/>
    <m/>
    <x v="6"/>
    <x v="4"/>
  </r>
  <r>
    <x v="2"/>
    <x v="8"/>
    <x v="2"/>
    <n v="1655"/>
    <x v="0"/>
    <x v="0"/>
  </r>
  <r>
    <x v="2"/>
    <x v="7"/>
    <x v="2"/>
    <n v="76526"/>
    <x v="3"/>
    <x v="0"/>
  </r>
  <r>
    <x v="2"/>
    <x v="9"/>
    <x v="2"/>
    <n v="379"/>
    <x v="0"/>
    <x v="0"/>
  </r>
  <r>
    <x v="2"/>
    <x v="10"/>
    <x v="2"/>
    <n v="102"/>
    <x v="3"/>
    <x v="1"/>
  </r>
  <r>
    <x v="2"/>
    <x v="11"/>
    <x v="2"/>
    <n v="0"/>
    <x v="3"/>
    <x v="1"/>
  </r>
  <r>
    <x v="2"/>
    <x v="12"/>
    <x v="2"/>
    <n v="213"/>
    <x v="3"/>
    <x v="1"/>
  </r>
  <r>
    <x v="2"/>
    <x v="13"/>
    <x v="2"/>
    <n v="0"/>
    <x v="7"/>
    <x v="0"/>
  </r>
  <r>
    <x v="2"/>
    <x v="14"/>
    <x v="2"/>
    <n v="684"/>
    <x v="7"/>
    <x v="0"/>
  </r>
  <r>
    <x v="2"/>
    <x v="15"/>
    <x v="2"/>
    <n v="37633"/>
    <x v="4"/>
    <x v="0"/>
  </r>
  <r>
    <x v="2"/>
    <x v="16"/>
    <x v="2"/>
    <n v="622"/>
    <x v="4"/>
    <x v="0"/>
  </r>
  <r>
    <x v="2"/>
    <x v="17"/>
    <x v="2"/>
    <n v="51501"/>
    <x v="4"/>
    <x v="0"/>
  </r>
  <r>
    <x v="2"/>
    <x v="18"/>
    <x v="2"/>
    <n v="51234"/>
    <x v="4"/>
    <x v="0"/>
  </r>
  <r>
    <x v="2"/>
    <x v="19"/>
    <x v="2"/>
    <n v="346"/>
    <x v="0"/>
    <x v="0"/>
  </r>
  <r>
    <x v="2"/>
    <x v="0"/>
    <x v="2"/>
    <n v="0"/>
    <x v="0"/>
    <x v="0"/>
  </r>
  <r>
    <x v="2"/>
    <x v="1"/>
    <x v="2"/>
    <n v="123"/>
    <x v="1"/>
    <x v="1"/>
  </r>
  <r>
    <x v="2"/>
    <x v="2"/>
    <x v="2"/>
    <n v="415"/>
    <x v="1"/>
    <x v="1"/>
  </r>
  <r>
    <x v="2"/>
    <x v="3"/>
    <x v="2"/>
    <n v="13"/>
    <x v="2"/>
    <x v="0"/>
  </r>
  <r>
    <x v="2"/>
    <x v="4"/>
    <x v="2"/>
    <n v="0"/>
    <x v="3"/>
    <x v="0"/>
  </r>
  <r>
    <x v="2"/>
    <x v="5"/>
    <x v="2"/>
    <n v="0"/>
    <x v="2"/>
    <x v="0"/>
  </r>
  <r>
    <x v="2"/>
    <x v="20"/>
    <x v="2"/>
    <n v="8573"/>
    <x v="7"/>
    <x v="0"/>
  </r>
  <r>
    <x v="3"/>
    <x v="8"/>
    <x v="2"/>
    <n v="0"/>
    <x v="0"/>
    <x v="0"/>
  </r>
  <r>
    <x v="3"/>
    <x v="7"/>
    <x v="2"/>
    <n v="1287"/>
    <x v="3"/>
    <x v="0"/>
  </r>
  <r>
    <x v="3"/>
    <x v="9"/>
    <x v="2"/>
    <n v="0"/>
    <x v="0"/>
    <x v="0"/>
  </r>
  <r>
    <x v="3"/>
    <x v="10"/>
    <x v="2"/>
    <n v="54209"/>
    <x v="3"/>
    <x v="1"/>
  </r>
  <r>
    <x v="3"/>
    <x v="11"/>
    <x v="2"/>
    <n v="0"/>
    <x v="3"/>
    <x v="1"/>
  </r>
  <r>
    <x v="3"/>
    <x v="12"/>
    <x v="2"/>
    <n v="194"/>
    <x v="3"/>
    <x v="1"/>
  </r>
  <r>
    <x v="3"/>
    <x v="13"/>
    <x v="2"/>
    <n v="0"/>
    <x v="7"/>
    <x v="0"/>
  </r>
  <r>
    <x v="3"/>
    <x v="14"/>
    <x v="2"/>
    <n v="0"/>
    <x v="7"/>
    <x v="0"/>
  </r>
  <r>
    <x v="3"/>
    <x v="15"/>
    <x v="2"/>
    <n v="2383"/>
    <x v="4"/>
    <x v="0"/>
  </r>
  <r>
    <x v="3"/>
    <x v="16"/>
    <x v="2"/>
    <n v="0"/>
    <x v="4"/>
    <x v="0"/>
  </r>
  <r>
    <x v="3"/>
    <x v="17"/>
    <x v="2"/>
    <n v="1447"/>
    <x v="4"/>
    <x v="0"/>
  </r>
  <r>
    <x v="3"/>
    <x v="18"/>
    <x v="2"/>
    <n v="2618"/>
    <x v="4"/>
    <x v="0"/>
  </r>
  <r>
    <x v="3"/>
    <x v="19"/>
    <x v="2"/>
    <n v="0"/>
    <x v="0"/>
    <x v="0"/>
  </r>
  <r>
    <x v="3"/>
    <x v="0"/>
    <x v="2"/>
    <n v="0"/>
    <x v="0"/>
    <x v="0"/>
  </r>
  <r>
    <x v="3"/>
    <x v="1"/>
    <x v="2"/>
    <n v="105333"/>
    <x v="1"/>
    <x v="1"/>
  </r>
  <r>
    <x v="3"/>
    <x v="2"/>
    <x v="2"/>
    <n v="451"/>
    <x v="1"/>
    <x v="1"/>
  </r>
  <r>
    <x v="3"/>
    <x v="3"/>
    <x v="2"/>
    <n v="0"/>
    <x v="2"/>
    <x v="0"/>
  </r>
  <r>
    <x v="3"/>
    <x v="4"/>
    <x v="2"/>
    <n v="0"/>
    <x v="3"/>
    <x v="0"/>
  </r>
  <r>
    <x v="3"/>
    <x v="5"/>
    <x v="2"/>
    <n v="0"/>
    <x v="2"/>
    <x v="0"/>
  </r>
  <r>
    <x v="0"/>
    <x v="8"/>
    <x v="2"/>
    <n v="218045"/>
    <x v="0"/>
    <x v="0"/>
  </r>
  <r>
    <x v="0"/>
    <x v="7"/>
    <x v="2"/>
    <n v="13040561"/>
    <x v="3"/>
    <x v="0"/>
  </r>
  <r>
    <x v="0"/>
    <x v="9"/>
    <x v="2"/>
    <n v="98006"/>
    <x v="0"/>
    <x v="0"/>
  </r>
  <r>
    <x v="0"/>
    <x v="10"/>
    <x v="2"/>
    <n v="184886343"/>
    <x v="3"/>
    <x v="1"/>
  </r>
  <r>
    <x v="0"/>
    <x v="11"/>
    <x v="2"/>
    <n v="0"/>
    <x v="3"/>
    <x v="1"/>
  </r>
  <r>
    <x v="0"/>
    <x v="12"/>
    <x v="2"/>
    <n v="-556919"/>
    <x v="3"/>
    <x v="1"/>
  </r>
  <r>
    <x v="0"/>
    <x v="13"/>
    <x v="2"/>
    <n v="0"/>
    <x v="7"/>
    <x v="0"/>
  </r>
  <r>
    <x v="0"/>
    <x v="14"/>
    <x v="2"/>
    <n v="15031"/>
    <x v="7"/>
    <x v="0"/>
  </r>
  <r>
    <x v="0"/>
    <x v="15"/>
    <x v="2"/>
    <n v="9704693"/>
    <x v="4"/>
    <x v="0"/>
  </r>
  <r>
    <x v="0"/>
    <x v="16"/>
    <x v="2"/>
    <n v="341382"/>
    <x v="4"/>
    <x v="0"/>
  </r>
  <r>
    <x v="0"/>
    <x v="17"/>
    <x v="2"/>
    <n v="16763834"/>
    <x v="4"/>
    <x v="0"/>
  </r>
  <r>
    <x v="0"/>
    <x v="18"/>
    <x v="2"/>
    <n v="19851146"/>
    <x v="4"/>
    <x v="0"/>
  </r>
  <r>
    <x v="0"/>
    <x v="19"/>
    <x v="2"/>
    <n v="253637"/>
    <x v="0"/>
    <x v="0"/>
  </r>
  <r>
    <x v="0"/>
    <x v="0"/>
    <x v="2"/>
    <n v="0"/>
    <x v="0"/>
    <x v="0"/>
  </r>
  <r>
    <x v="0"/>
    <x v="1"/>
    <x v="2"/>
    <n v="377613067"/>
    <x v="1"/>
    <x v="1"/>
  </r>
  <r>
    <x v="0"/>
    <x v="2"/>
    <x v="2"/>
    <n v="1836989"/>
    <x v="1"/>
    <x v="1"/>
  </r>
  <r>
    <x v="0"/>
    <x v="3"/>
    <x v="2"/>
    <n v="7995"/>
    <x v="2"/>
    <x v="0"/>
  </r>
  <r>
    <x v="0"/>
    <x v="4"/>
    <x v="2"/>
    <n v="0"/>
    <x v="3"/>
    <x v="0"/>
  </r>
  <r>
    <x v="0"/>
    <x v="5"/>
    <x v="2"/>
    <n v="0"/>
    <x v="2"/>
    <x v="0"/>
  </r>
  <r>
    <x v="1"/>
    <x v="6"/>
    <x v="2"/>
    <n v="63"/>
    <x v="4"/>
    <x v="2"/>
  </r>
  <r>
    <x v="1"/>
    <x v="7"/>
    <x v="2"/>
    <n v="51.13"/>
    <x v="5"/>
    <x v="3"/>
  </r>
  <r>
    <x v="1"/>
    <x v="4"/>
    <x v="2"/>
    <m/>
    <x v="6"/>
    <x v="4"/>
  </r>
  <r>
    <x v="2"/>
    <x v="8"/>
    <x v="3"/>
    <n v="2486"/>
    <x v="0"/>
    <x v="0"/>
  </r>
  <r>
    <x v="2"/>
    <x v="7"/>
    <x v="3"/>
    <n v="69420"/>
    <x v="3"/>
    <x v="0"/>
  </r>
  <r>
    <x v="2"/>
    <x v="9"/>
    <x v="3"/>
    <n v="357"/>
    <x v="0"/>
    <x v="0"/>
  </r>
  <r>
    <x v="2"/>
    <x v="10"/>
    <x v="3"/>
    <n v="495"/>
    <x v="3"/>
    <x v="1"/>
  </r>
  <r>
    <x v="2"/>
    <x v="11"/>
    <x v="3"/>
    <n v="0"/>
    <x v="3"/>
    <x v="1"/>
  </r>
  <r>
    <x v="2"/>
    <x v="12"/>
    <x v="3"/>
    <n v="100"/>
    <x v="3"/>
    <x v="1"/>
  </r>
  <r>
    <x v="2"/>
    <x v="13"/>
    <x v="3"/>
    <n v="0"/>
    <x v="7"/>
    <x v="0"/>
  </r>
  <r>
    <x v="2"/>
    <x v="14"/>
    <x v="3"/>
    <n v="640"/>
    <x v="7"/>
    <x v="0"/>
  </r>
  <r>
    <x v="2"/>
    <x v="15"/>
    <x v="3"/>
    <n v="37148"/>
    <x v="4"/>
    <x v="0"/>
  </r>
  <r>
    <x v="2"/>
    <x v="16"/>
    <x v="3"/>
    <n v="0"/>
    <x v="4"/>
    <x v="0"/>
  </r>
  <r>
    <x v="2"/>
    <x v="17"/>
    <x v="3"/>
    <n v="36170"/>
    <x v="4"/>
    <x v="0"/>
  </r>
  <r>
    <x v="2"/>
    <x v="18"/>
    <x v="3"/>
    <n v="38364"/>
    <x v="4"/>
    <x v="0"/>
  </r>
  <r>
    <x v="2"/>
    <x v="19"/>
    <x v="3"/>
    <n v="292"/>
    <x v="0"/>
    <x v="0"/>
  </r>
  <r>
    <x v="2"/>
    <x v="0"/>
    <x v="3"/>
    <n v="0"/>
    <x v="0"/>
    <x v="0"/>
  </r>
  <r>
    <x v="2"/>
    <x v="1"/>
    <x v="3"/>
    <n v="122"/>
    <x v="1"/>
    <x v="1"/>
  </r>
  <r>
    <x v="2"/>
    <x v="2"/>
    <x v="3"/>
    <n v="39"/>
    <x v="1"/>
    <x v="1"/>
  </r>
  <r>
    <x v="2"/>
    <x v="3"/>
    <x v="3"/>
    <n v="31"/>
    <x v="2"/>
    <x v="0"/>
  </r>
  <r>
    <x v="2"/>
    <x v="4"/>
    <x v="3"/>
    <n v="0"/>
    <x v="3"/>
    <x v="0"/>
  </r>
  <r>
    <x v="2"/>
    <x v="5"/>
    <x v="3"/>
    <n v="0"/>
    <x v="2"/>
    <x v="0"/>
  </r>
  <r>
    <x v="2"/>
    <x v="20"/>
    <x v="3"/>
    <n v="8574"/>
    <x v="7"/>
    <x v="0"/>
  </r>
  <r>
    <x v="3"/>
    <x v="8"/>
    <x v="3"/>
    <n v="0"/>
    <x v="0"/>
    <x v="0"/>
  </r>
  <r>
    <x v="3"/>
    <x v="7"/>
    <x v="3"/>
    <n v="483"/>
    <x v="3"/>
    <x v="0"/>
  </r>
  <r>
    <x v="3"/>
    <x v="9"/>
    <x v="3"/>
    <n v="0"/>
    <x v="0"/>
    <x v="0"/>
  </r>
  <r>
    <x v="3"/>
    <x v="10"/>
    <x v="3"/>
    <n v="48337"/>
    <x v="3"/>
    <x v="1"/>
  </r>
  <r>
    <x v="3"/>
    <x v="11"/>
    <x v="3"/>
    <n v="0"/>
    <x v="3"/>
    <x v="1"/>
  </r>
  <r>
    <x v="3"/>
    <x v="12"/>
    <x v="3"/>
    <n v="169"/>
    <x v="3"/>
    <x v="1"/>
  </r>
  <r>
    <x v="3"/>
    <x v="13"/>
    <x v="3"/>
    <n v="0"/>
    <x v="7"/>
    <x v="0"/>
  </r>
  <r>
    <x v="3"/>
    <x v="14"/>
    <x v="3"/>
    <n v="0"/>
    <x v="7"/>
    <x v="0"/>
  </r>
  <r>
    <x v="3"/>
    <x v="15"/>
    <x v="3"/>
    <n v="0"/>
    <x v="4"/>
    <x v="0"/>
  </r>
  <r>
    <x v="3"/>
    <x v="16"/>
    <x v="3"/>
    <n v="0"/>
    <x v="4"/>
    <x v="0"/>
  </r>
  <r>
    <x v="3"/>
    <x v="17"/>
    <x v="3"/>
    <n v="2771"/>
    <x v="4"/>
    <x v="0"/>
  </r>
  <r>
    <x v="3"/>
    <x v="18"/>
    <x v="3"/>
    <n v="905"/>
    <x v="4"/>
    <x v="0"/>
  </r>
  <r>
    <x v="3"/>
    <x v="19"/>
    <x v="3"/>
    <n v="0"/>
    <x v="0"/>
    <x v="0"/>
  </r>
  <r>
    <x v="3"/>
    <x v="0"/>
    <x v="3"/>
    <n v="0"/>
    <x v="0"/>
    <x v="0"/>
  </r>
  <r>
    <x v="3"/>
    <x v="1"/>
    <x v="3"/>
    <n v="89375"/>
    <x v="1"/>
    <x v="1"/>
  </r>
  <r>
    <x v="3"/>
    <x v="2"/>
    <x v="3"/>
    <n v="387"/>
    <x v="1"/>
    <x v="1"/>
  </r>
  <r>
    <x v="3"/>
    <x v="3"/>
    <x v="3"/>
    <n v="0"/>
    <x v="2"/>
    <x v="0"/>
  </r>
  <r>
    <x v="3"/>
    <x v="4"/>
    <x v="3"/>
    <n v="0"/>
    <x v="3"/>
    <x v="0"/>
  </r>
  <r>
    <x v="3"/>
    <x v="5"/>
    <x v="3"/>
    <n v="0"/>
    <x v="2"/>
    <x v="0"/>
  </r>
  <r>
    <x v="0"/>
    <x v="8"/>
    <x v="3"/>
    <n v="336127"/>
    <x v="0"/>
    <x v="0"/>
  </r>
  <r>
    <x v="0"/>
    <x v="7"/>
    <x v="3"/>
    <n v="11380628"/>
    <x v="3"/>
    <x v="0"/>
  </r>
  <r>
    <x v="0"/>
    <x v="9"/>
    <x v="3"/>
    <n v="92354"/>
    <x v="0"/>
    <x v="0"/>
  </r>
  <r>
    <x v="0"/>
    <x v="10"/>
    <x v="3"/>
    <n v="163486021"/>
    <x v="3"/>
    <x v="1"/>
  </r>
  <r>
    <x v="0"/>
    <x v="11"/>
    <x v="3"/>
    <n v="0"/>
    <x v="3"/>
    <x v="1"/>
  </r>
  <r>
    <x v="0"/>
    <x v="12"/>
    <x v="3"/>
    <n v="2169583"/>
    <x v="3"/>
    <x v="1"/>
  </r>
  <r>
    <x v="0"/>
    <x v="13"/>
    <x v="3"/>
    <n v="0"/>
    <x v="7"/>
    <x v="0"/>
  </r>
  <r>
    <x v="0"/>
    <x v="14"/>
    <x v="3"/>
    <n v="14084"/>
    <x v="7"/>
    <x v="0"/>
  </r>
  <r>
    <x v="0"/>
    <x v="15"/>
    <x v="3"/>
    <n v="10227805"/>
    <x v="4"/>
    <x v="0"/>
  </r>
  <r>
    <x v="0"/>
    <x v="16"/>
    <x v="3"/>
    <n v="0"/>
    <x v="4"/>
    <x v="0"/>
  </r>
  <r>
    <x v="0"/>
    <x v="17"/>
    <x v="3"/>
    <n v="11612820"/>
    <x v="4"/>
    <x v="0"/>
  </r>
  <r>
    <x v="0"/>
    <x v="18"/>
    <x v="3"/>
    <n v="15078450"/>
    <x v="4"/>
    <x v="0"/>
  </r>
  <r>
    <x v="0"/>
    <x v="19"/>
    <x v="3"/>
    <n v="212524"/>
    <x v="0"/>
    <x v="0"/>
  </r>
  <r>
    <x v="0"/>
    <x v="0"/>
    <x v="3"/>
    <n v="0"/>
    <x v="0"/>
    <x v="0"/>
  </r>
  <r>
    <x v="0"/>
    <x v="1"/>
    <x v="3"/>
    <n v="320334675"/>
    <x v="1"/>
    <x v="1"/>
  </r>
  <r>
    <x v="0"/>
    <x v="2"/>
    <x v="3"/>
    <n v="17687671"/>
    <x v="1"/>
    <x v="1"/>
  </r>
  <r>
    <x v="0"/>
    <x v="3"/>
    <x v="3"/>
    <n v="19358"/>
    <x v="2"/>
    <x v="0"/>
  </r>
  <r>
    <x v="0"/>
    <x v="4"/>
    <x v="3"/>
    <n v="0"/>
    <x v="3"/>
    <x v="0"/>
  </r>
  <r>
    <x v="0"/>
    <x v="5"/>
    <x v="3"/>
    <n v="0"/>
    <x v="2"/>
    <x v="0"/>
  </r>
  <r>
    <x v="1"/>
    <x v="6"/>
    <x v="3"/>
    <n v="62.48"/>
    <x v="4"/>
    <x v="2"/>
  </r>
  <r>
    <x v="1"/>
    <x v="7"/>
    <x v="3"/>
    <n v="48.72"/>
    <x v="5"/>
    <x v="3"/>
  </r>
  <r>
    <x v="1"/>
    <x v="4"/>
    <x v="3"/>
    <m/>
    <x v="6"/>
    <x v="4"/>
  </r>
  <r>
    <x v="2"/>
    <x v="8"/>
    <x v="4"/>
    <n v="1673"/>
    <x v="0"/>
    <x v="0"/>
  </r>
  <r>
    <x v="2"/>
    <x v="7"/>
    <x v="4"/>
    <n v="57466"/>
    <x v="3"/>
    <x v="0"/>
  </r>
  <r>
    <x v="2"/>
    <x v="9"/>
    <x v="4"/>
    <n v="383"/>
    <x v="0"/>
    <x v="0"/>
  </r>
  <r>
    <x v="2"/>
    <x v="10"/>
    <x v="4"/>
    <n v="322"/>
    <x v="3"/>
    <x v="1"/>
  </r>
  <r>
    <x v="2"/>
    <x v="11"/>
    <x v="4"/>
    <n v="0"/>
    <x v="3"/>
    <x v="1"/>
  </r>
  <r>
    <x v="2"/>
    <x v="12"/>
    <x v="4"/>
    <n v="158"/>
    <x v="3"/>
    <x v="1"/>
  </r>
  <r>
    <x v="2"/>
    <x v="13"/>
    <x v="4"/>
    <n v="0"/>
    <x v="7"/>
    <x v="0"/>
  </r>
  <r>
    <x v="2"/>
    <x v="14"/>
    <x v="4"/>
    <n v="649"/>
    <x v="7"/>
    <x v="0"/>
  </r>
  <r>
    <x v="2"/>
    <x v="15"/>
    <x v="4"/>
    <n v="35320"/>
    <x v="4"/>
    <x v="0"/>
  </r>
  <r>
    <x v="2"/>
    <x v="16"/>
    <x v="4"/>
    <n v="0"/>
    <x v="4"/>
    <x v="0"/>
  </r>
  <r>
    <x v="2"/>
    <x v="17"/>
    <x v="4"/>
    <n v="44266"/>
    <x v="4"/>
    <x v="0"/>
  </r>
  <r>
    <x v="2"/>
    <x v="18"/>
    <x v="4"/>
    <n v="41545"/>
    <x v="4"/>
    <x v="0"/>
  </r>
  <r>
    <x v="2"/>
    <x v="19"/>
    <x v="4"/>
    <n v="308"/>
    <x v="0"/>
    <x v="0"/>
  </r>
  <r>
    <x v="2"/>
    <x v="0"/>
    <x v="4"/>
    <n v="0"/>
    <x v="0"/>
    <x v="0"/>
  </r>
  <r>
    <x v="2"/>
    <x v="1"/>
    <x v="4"/>
    <n v="194"/>
    <x v="1"/>
    <x v="1"/>
  </r>
  <r>
    <x v="2"/>
    <x v="2"/>
    <x v="4"/>
    <n v="86"/>
    <x v="1"/>
    <x v="1"/>
  </r>
  <r>
    <x v="2"/>
    <x v="3"/>
    <x v="4"/>
    <n v="32"/>
    <x v="2"/>
    <x v="0"/>
  </r>
  <r>
    <x v="2"/>
    <x v="4"/>
    <x v="4"/>
    <n v="0"/>
    <x v="3"/>
    <x v="0"/>
  </r>
  <r>
    <x v="2"/>
    <x v="5"/>
    <x v="4"/>
    <n v="0"/>
    <x v="2"/>
    <x v="0"/>
  </r>
  <r>
    <x v="2"/>
    <x v="20"/>
    <x v="4"/>
    <n v="10301"/>
    <x v="7"/>
    <x v="0"/>
  </r>
  <r>
    <x v="3"/>
    <x v="8"/>
    <x v="4"/>
    <n v="0"/>
    <x v="0"/>
    <x v="0"/>
  </r>
  <r>
    <x v="3"/>
    <x v="7"/>
    <x v="4"/>
    <n v="514"/>
    <x v="3"/>
    <x v="0"/>
  </r>
  <r>
    <x v="3"/>
    <x v="9"/>
    <x v="4"/>
    <n v="0"/>
    <x v="0"/>
    <x v="0"/>
  </r>
  <r>
    <x v="3"/>
    <x v="10"/>
    <x v="4"/>
    <n v="45529"/>
    <x v="3"/>
    <x v="1"/>
  </r>
  <r>
    <x v="3"/>
    <x v="11"/>
    <x v="4"/>
    <n v="0"/>
    <x v="3"/>
    <x v="1"/>
  </r>
  <r>
    <x v="3"/>
    <x v="12"/>
    <x v="4"/>
    <n v="262"/>
    <x v="3"/>
    <x v="1"/>
  </r>
  <r>
    <x v="3"/>
    <x v="13"/>
    <x v="4"/>
    <n v="0"/>
    <x v="7"/>
    <x v="0"/>
  </r>
  <r>
    <x v="3"/>
    <x v="14"/>
    <x v="4"/>
    <n v="0"/>
    <x v="7"/>
    <x v="0"/>
  </r>
  <r>
    <x v="3"/>
    <x v="15"/>
    <x v="4"/>
    <n v="0"/>
    <x v="4"/>
    <x v="0"/>
  </r>
  <r>
    <x v="3"/>
    <x v="16"/>
    <x v="4"/>
    <n v="0"/>
    <x v="4"/>
    <x v="0"/>
  </r>
  <r>
    <x v="3"/>
    <x v="17"/>
    <x v="4"/>
    <n v="7370"/>
    <x v="4"/>
    <x v="0"/>
  </r>
  <r>
    <x v="3"/>
    <x v="18"/>
    <x v="4"/>
    <n v="3234"/>
    <x v="4"/>
    <x v="0"/>
  </r>
  <r>
    <x v="3"/>
    <x v="19"/>
    <x v="4"/>
    <n v="0"/>
    <x v="0"/>
    <x v="0"/>
  </r>
  <r>
    <x v="3"/>
    <x v="0"/>
    <x v="4"/>
    <n v="0"/>
    <x v="0"/>
    <x v="0"/>
  </r>
  <r>
    <x v="3"/>
    <x v="1"/>
    <x v="4"/>
    <n v="81068"/>
    <x v="1"/>
    <x v="1"/>
  </r>
  <r>
    <x v="3"/>
    <x v="2"/>
    <x v="4"/>
    <n v="823"/>
    <x v="1"/>
    <x v="1"/>
  </r>
  <r>
    <x v="3"/>
    <x v="3"/>
    <x v="4"/>
    <n v="0"/>
    <x v="2"/>
    <x v="0"/>
  </r>
  <r>
    <x v="3"/>
    <x v="4"/>
    <x v="4"/>
    <n v="0"/>
    <x v="3"/>
    <x v="0"/>
  </r>
  <r>
    <x v="3"/>
    <x v="5"/>
    <x v="4"/>
    <n v="0"/>
    <x v="2"/>
    <x v="0"/>
  </r>
  <r>
    <x v="0"/>
    <x v="8"/>
    <x v="4"/>
    <n v="319232"/>
    <x v="0"/>
    <x v="0"/>
  </r>
  <r>
    <x v="0"/>
    <x v="7"/>
    <x v="4"/>
    <n v="9024384"/>
    <x v="3"/>
    <x v="0"/>
  </r>
  <r>
    <x v="0"/>
    <x v="9"/>
    <x v="4"/>
    <n v="99904"/>
    <x v="0"/>
    <x v="0"/>
  </r>
  <r>
    <x v="0"/>
    <x v="10"/>
    <x v="4"/>
    <n v="139086543"/>
    <x v="3"/>
    <x v="1"/>
  </r>
  <r>
    <x v="0"/>
    <x v="11"/>
    <x v="4"/>
    <n v="0"/>
    <x v="3"/>
    <x v="1"/>
  </r>
  <r>
    <x v="0"/>
    <x v="12"/>
    <x v="4"/>
    <n v="1604260"/>
    <x v="3"/>
    <x v="1"/>
  </r>
  <r>
    <x v="0"/>
    <x v="13"/>
    <x v="4"/>
    <n v="0"/>
    <x v="7"/>
    <x v="0"/>
  </r>
  <r>
    <x v="0"/>
    <x v="14"/>
    <x v="4"/>
    <n v="14322"/>
    <x v="7"/>
    <x v="0"/>
  </r>
  <r>
    <x v="0"/>
    <x v="15"/>
    <x v="4"/>
    <n v="9776863"/>
    <x v="4"/>
    <x v="0"/>
  </r>
  <r>
    <x v="0"/>
    <x v="16"/>
    <x v="4"/>
    <n v="0"/>
    <x v="4"/>
    <x v="0"/>
  </r>
  <r>
    <x v="0"/>
    <x v="17"/>
    <x v="4"/>
    <n v="12743468"/>
    <x v="4"/>
    <x v="0"/>
  </r>
  <r>
    <x v="0"/>
    <x v="18"/>
    <x v="4"/>
    <n v="15727391"/>
    <x v="4"/>
    <x v="0"/>
  </r>
  <r>
    <x v="0"/>
    <x v="19"/>
    <x v="4"/>
    <n v="234492"/>
    <x v="0"/>
    <x v="0"/>
  </r>
  <r>
    <x v="0"/>
    <x v="0"/>
    <x v="4"/>
    <n v="0"/>
    <x v="0"/>
    <x v="0"/>
  </r>
  <r>
    <x v="0"/>
    <x v="1"/>
    <x v="4"/>
    <n v="263889421"/>
    <x v="1"/>
    <x v="1"/>
  </r>
  <r>
    <x v="0"/>
    <x v="2"/>
    <x v="4"/>
    <n v="15472789"/>
    <x v="1"/>
    <x v="1"/>
  </r>
  <r>
    <x v="0"/>
    <x v="3"/>
    <x v="4"/>
    <n v="20826"/>
    <x v="2"/>
    <x v="0"/>
  </r>
  <r>
    <x v="0"/>
    <x v="4"/>
    <x v="4"/>
    <n v="0"/>
    <x v="3"/>
    <x v="0"/>
  </r>
  <r>
    <x v="0"/>
    <x v="5"/>
    <x v="4"/>
    <n v="0"/>
    <x v="2"/>
    <x v="0"/>
  </r>
  <r>
    <x v="1"/>
    <x v="6"/>
    <x v="4"/>
    <n v="62.68"/>
    <x v="4"/>
    <x v="2"/>
  </r>
  <r>
    <x v="1"/>
    <x v="7"/>
    <x v="4"/>
    <n v="46.35"/>
    <x v="5"/>
    <x v="3"/>
  </r>
  <r>
    <x v="1"/>
    <x v="4"/>
    <x v="4"/>
    <m/>
    <x v="6"/>
    <x v="4"/>
  </r>
  <r>
    <x v="2"/>
    <x v="8"/>
    <x v="5"/>
    <n v="2277"/>
    <x v="0"/>
    <x v="0"/>
  </r>
  <r>
    <x v="2"/>
    <x v="7"/>
    <x v="5"/>
    <n v="83384"/>
    <x v="3"/>
    <x v="0"/>
  </r>
  <r>
    <x v="2"/>
    <x v="9"/>
    <x v="5"/>
    <n v="442"/>
    <x v="0"/>
    <x v="0"/>
  </r>
  <r>
    <x v="2"/>
    <x v="10"/>
    <x v="5"/>
    <n v="690"/>
    <x v="3"/>
    <x v="1"/>
  </r>
  <r>
    <x v="2"/>
    <x v="11"/>
    <x v="5"/>
    <n v="0"/>
    <x v="3"/>
    <x v="1"/>
  </r>
  <r>
    <x v="2"/>
    <x v="12"/>
    <x v="5"/>
    <n v="311"/>
    <x v="3"/>
    <x v="1"/>
  </r>
  <r>
    <x v="2"/>
    <x v="13"/>
    <x v="5"/>
    <n v="0"/>
    <x v="7"/>
    <x v="0"/>
  </r>
  <r>
    <x v="2"/>
    <x v="14"/>
    <x v="5"/>
    <n v="822"/>
    <x v="7"/>
    <x v="0"/>
  </r>
  <r>
    <x v="2"/>
    <x v="15"/>
    <x v="5"/>
    <n v="41860"/>
    <x v="4"/>
    <x v="0"/>
  </r>
  <r>
    <x v="2"/>
    <x v="16"/>
    <x v="5"/>
    <n v="0"/>
    <x v="4"/>
    <x v="0"/>
  </r>
  <r>
    <x v="2"/>
    <x v="17"/>
    <x v="5"/>
    <n v="52398"/>
    <x v="4"/>
    <x v="0"/>
  </r>
  <r>
    <x v="2"/>
    <x v="18"/>
    <x v="5"/>
    <n v="36241"/>
    <x v="4"/>
    <x v="0"/>
  </r>
  <r>
    <x v="2"/>
    <x v="19"/>
    <x v="5"/>
    <n v="297"/>
    <x v="0"/>
    <x v="0"/>
  </r>
  <r>
    <x v="2"/>
    <x v="0"/>
    <x v="5"/>
    <n v="0"/>
    <x v="0"/>
    <x v="0"/>
  </r>
  <r>
    <x v="2"/>
    <x v="1"/>
    <x v="5"/>
    <n v="841"/>
    <x v="1"/>
    <x v="1"/>
  </r>
  <r>
    <x v="2"/>
    <x v="2"/>
    <x v="5"/>
    <n v="113"/>
    <x v="1"/>
    <x v="1"/>
  </r>
  <r>
    <x v="2"/>
    <x v="3"/>
    <x v="5"/>
    <n v="68"/>
    <x v="2"/>
    <x v="0"/>
  </r>
  <r>
    <x v="2"/>
    <x v="4"/>
    <x v="5"/>
    <n v="0"/>
    <x v="3"/>
    <x v="0"/>
  </r>
  <r>
    <x v="2"/>
    <x v="5"/>
    <x v="5"/>
    <n v="0"/>
    <x v="2"/>
    <x v="0"/>
  </r>
  <r>
    <x v="2"/>
    <x v="20"/>
    <x v="5"/>
    <n v="10301"/>
    <x v="7"/>
    <x v="0"/>
  </r>
  <r>
    <x v="3"/>
    <x v="8"/>
    <x v="5"/>
    <n v="0"/>
    <x v="0"/>
    <x v="0"/>
  </r>
  <r>
    <x v="3"/>
    <x v="7"/>
    <x v="5"/>
    <n v="906"/>
    <x v="3"/>
    <x v="0"/>
  </r>
  <r>
    <x v="3"/>
    <x v="9"/>
    <x v="5"/>
    <n v="0"/>
    <x v="0"/>
    <x v="0"/>
  </r>
  <r>
    <x v="3"/>
    <x v="10"/>
    <x v="5"/>
    <n v="60739"/>
    <x v="3"/>
    <x v="1"/>
  </r>
  <r>
    <x v="3"/>
    <x v="11"/>
    <x v="5"/>
    <n v="0"/>
    <x v="3"/>
    <x v="1"/>
  </r>
  <r>
    <x v="3"/>
    <x v="12"/>
    <x v="5"/>
    <n v="335"/>
    <x v="3"/>
    <x v="1"/>
  </r>
  <r>
    <x v="3"/>
    <x v="13"/>
    <x v="5"/>
    <n v="0"/>
    <x v="7"/>
    <x v="0"/>
  </r>
  <r>
    <x v="3"/>
    <x v="14"/>
    <x v="5"/>
    <n v="0"/>
    <x v="7"/>
    <x v="0"/>
  </r>
  <r>
    <x v="3"/>
    <x v="15"/>
    <x v="5"/>
    <n v="8226"/>
    <x v="4"/>
    <x v="0"/>
  </r>
  <r>
    <x v="3"/>
    <x v="16"/>
    <x v="5"/>
    <n v="0"/>
    <x v="4"/>
    <x v="0"/>
  </r>
  <r>
    <x v="3"/>
    <x v="17"/>
    <x v="5"/>
    <n v="2800"/>
    <x v="4"/>
    <x v="0"/>
  </r>
  <r>
    <x v="3"/>
    <x v="18"/>
    <x v="5"/>
    <n v="2470"/>
    <x v="4"/>
    <x v="0"/>
  </r>
  <r>
    <x v="3"/>
    <x v="19"/>
    <x v="5"/>
    <n v="0"/>
    <x v="0"/>
    <x v="0"/>
  </r>
  <r>
    <x v="3"/>
    <x v="0"/>
    <x v="5"/>
    <n v="0"/>
    <x v="0"/>
    <x v="0"/>
  </r>
  <r>
    <x v="3"/>
    <x v="1"/>
    <x v="5"/>
    <n v="108298"/>
    <x v="1"/>
    <x v="1"/>
  </r>
  <r>
    <x v="3"/>
    <x v="2"/>
    <x v="5"/>
    <n v="1039"/>
    <x v="1"/>
    <x v="1"/>
  </r>
  <r>
    <x v="3"/>
    <x v="3"/>
    <x v="5"/>
    <n v="0"/>
    <x v="2"/>
    <x v="0"/>
  </r>
  <r>
    <x v="3"/>
    <x v="4"/>
    <x v="5"/>
    <n v="0"/>
    <x v="3"/>
    <x v="0"/>
  </r>
  <r>
    <x v="3"/>
    <x v="5"/>
    <x v="5"/>
    <n v="0"/>
    <x v="2"/>
    <x v="0"/>
  </r>
  <r>
    <x v="0"/>
    <x v="8"/>
    <x v="5"/>
    <n v="423939"/>
    <x v="0"/>
    <x v="0"/>
  </r>
  <r>
    <x v="0"/>
    <x v="7"/>
    <x v="5"/>
    <n v="13381643"/>
    <x v="3"/>
    <x v="0"/>
  </r>
  <r>
    <x v="0"/>
    <x v="9"/>
    <x v="5"/>
    <n v="115353"/>
    <x v="0"/>
    <x v="0"/>
  </r>
  <r>
    <x v="0"/>
    <x v="10"/>
    <x v="5"/>
    <n v="184749867"/>
    <x v="3"/>
    <x v="1"/>
  </r>
  <r>
    <x v="0"/>
    <x v="11"/>
    <x v="5"/>
    <n v="0"/>
    <x v="3"/>
    <x v="1"/>
  </r>
  <r>
    <x v="0"/>
    <x v="12"/>
    <x v="5"/>
    <n v="369644"/>
    <x v="3"/>
    <x v="1"/>
  </r>
  <r>
    <x v="0"/>
    <x v="13"/>
    <x v="5"/>
    <n v="0"/>
    <x v="7"/>
    <x v="0"/>
  </r>
  <r>
    <x v="0"/>
    <x v="14"/>
    <x v="5"/>
    <n v="18144"/>
    <x v="7"/>
    <x v="0"/>
  </r>
  <r>
    <x v="0"/>
    <x v="15"/>
    <x v="5"/>
    <n v="9310276"/>
    <x v="4"/>
    <x v="0"/>
  </r>
  <r>
    <x v="0"/>
    <x v="16"/>
    <x v="5"/>
    <n v="0"/>
    <x v="4"/>
    <x v="0"/>
  </r>
  <r>
    <x v="0"/>
    <x v="17"/>
    <x v="5"/>
    <n v="17354390"/>
    <x v="4"/>
    <x v="0"/>
  </r>
  <r>
    <x v="0"/>
    <x v="18"/>
    <x v="5"/>
    <n v="14239785"/>
    <x v="4"/>
    <x v="0"/>
  </r>
  <r>
    <x v="0"/>
    <x v="19"/>
    <x v="5"/>
    <n v="224761"/>
    <x v="0"/>
    <x v="0"/>
  </r>
  <r>
    <x v="0"/>
    <x v="0"/>
    <x v="5"/>
    <n v="0"/>
    <x v="0"/>
    <x v="0"/>
  </r>
  <r>
    <x v="0"/>
    <x v="1"/>
    <x v="5"/>
    <n v="350623417"/>
    <x v="1"/>
    <x v="1"/>
  </r>
  <r>
    <x v="0"/>
    <x v="2"/>
    <x v="5"/>
    <n v="19442225"/>
    <x v="1"/>
    <x v="1"/>
  </r>
  <r>
    <x v="0"/>
    <x v="3"/>
    <x v="5"/>
    <n v="43505"/>
    <x v="2"/>
    <x v="0"/>
  </r>
  <r>
    <x v="0"/>
    <x v="4"/>
    <x v="5"/>
    <n v="0"/>
    <x v="3"/>
    <x v="0"/>
  </r>
  <r>
    <x v="0"/>
    <x v="5"/>
    <x v="5"/>
    <n v="0"/>
    <x v="2"/>
    <x v="0"/>
  </r>
  <r>
    <x v="1"/>
    <x v="6"/>
    <x v="5"/>
    <n v="63.04"/>
    <x v="4"/>
    <x v="2"/>
  </r>
  <r>
    <x v="1"/>
    <x v="7"/>
    <x v="5"/>
    <n v="47.58"/>
    <x v="5"/>
    <x v="3"/>
  </r>
  <r>
    <x v="1"/>
    <x v="4"/>
    <x v="5"/>
    <m/>
    <x v="6"/>
    <x v="4"/>
  </r>
  <r>
    <x v="2"/>
    <x v="8"/>
    <x v="6"/>
    <n v="2237"/>
    <x v="0"/>
    <x v="0"/>
  </r>
  <r>
    <x v="2"/>
    <x v="7"/>
    <x v="6"/>
    <n v="92219"/>
    <x v="3"/>
    <x v="0"/>
  </r>
  <r>
    <x v="2"/>
    <x v="9"/>
    <x v="6"/>
    <n v="397"/>
    <x v="0"/>
    <x v="0"/>
  </r>
  <r>
    <x v="2"/>
    <x v="10"/>
    <x v="6"/>
    <n v="489"/>
    <x v="3"/>
    <x v="1"/>
  </r>
  <r>
    <x v="2"/>
    <x v="11"/>
    <x v="6"/>
    <n v="0"/>
    <x v="3"/>
    <x v="1"/>
  </r>
  <r>
    <x v="2"/>
    <x v="12"/>
    <x v="6"/>
    <n v="306"/>
    <x v="3"/>
    <x v="1"/>
  </r>
  <r>
    <x v="2"/>
    <x v="13"/>
    <x v="6"/>
    <n v="0"/>
    <x v="7"/>
    <x v="0"/>
  </r>
  <r>
    <x v="2"/>
    <x v="14"/>
    <x v="6"/>
    <n v="1095"/>
    <x v="7"/>
    <x v="0"/>
  </r>
  <r>
    <x v="2"/>
    <x v="15"/>
    <x v="6"/>
    <n v="33280"/>
    <x v="4"/>
    <x v="0"/>
  </r>
  <r>
    <x v="2"/>
    <x v="16"/>
    <x v="6"/>
    <n v="0"/>
    <x v="4"/>
    <x v="0"/>
  </r>
  <r>
    <x v="2"/>
    <x v="17"/>
    <x v="6"/>
    <n v="47958"/>
    <x v="4"/>
    <x v="0"/>
  </r>
  <r>
    <x v="2"/>
    <x v="18"/>
    <x v="6"/>
    <n v="65353"/>
    <x v="4"/>
    <x v="0"/>
  </r>
  <r>
    <x v="2"/>
    <x v="19"/>
    <x v="6"/>
    <n v="327"/>
    <x v="0"/>
    <x v="0"/>
  </r>
  <r>
    <x v="2"/>
    <x v="0"/>
    <x v="6"/>
    <n v="0"/>
    <x v="0"/>
    <x v="0"/>
  </r>
  <r>
    <x v="2"/>
    <x v="1"/>
    <x v="6"/>
    <n v="677"/>
    <x v="1"/>
    <x v="1"/>
  </r>
  <r>
    <x v="2"/>
    <x v="2"/>
    <x v="6"/>
    <n v="80"/>
    <x v="1"/>
    <x v="1"/>
  </r>
  <r>
    <x v="2"/>
    <x v="3"/>
    <x v="6"/>
    <n v="38"/>
    <x v="2"/>
    <x v="0"/>
  </r>
  <r>
    <x v="2"/>
    <x v="4"/>
    <x v="6"/>
    <n v="0"/>
    <x v="3"/>
    <x v="0"/>
  </r>
  <r>
    <x v="2"/>
    <x v="5"/>
    <x v="6"/>
    <n v="0"/>
    <x v="2"/>
    <x v="0"/>
  </r>
  <r>
    <x v="2"/>
    <x v="20"/>
    <x v="6"/>
    <n v="10301"/>
    <x v="7"/>
    <x v="0"/>
  </r>
  <r>
    <x v="3"/>
    <x v="8"/>
    <x v="6"/>
    <n v="0"/>
    <x v="0"/>
    <x v="0"/>
  </r>
  <r>
    <x v="3"/>
    <x v="7"/>
    <x v="6"/>
    <n v="2144"/>
    <x v="3"/>
    <x v="0"/>
  </r>
  <r>
    <x v="3"/>
    <x v="9"/>
    <x v="6"/>
    <n v="0"/>
    <x v="0"/>
    <x v="0"/>
  </r>
  <r>
    <x v="3"/>
    <x v="10"/>
    <x v="6"/>
    <n v="63246"/>
    <x v="3"/>
    <x v="1"/>
  </r>
  <r>
    <x v="3"/>
    <x v="11"/>
    <x v="6"/>
    <n v="0"/>
    <x v="3"/>
    <x v="1"/>
  </r>
  <r>
    <x v="3"/>
    <x v="12"/>
    <x v="6"/>
    <n v="309"/>
    <x v="3"/>
    <x v="1"/>
  </r>
  <r>
    <x v="3"/>
    <x v="13"/>
    <x v="6"/>
    <n v="0"/>
    <x v="7"/>
    <x v="0"/>
  </r>
  <r>
    <x v="3"/>
    <x v="14"/>
    <x v="6"/>
    <n v="0"/>
    <x v="7"/>
    <x v="0"/>
  </r>
  <r>
    <x v="3"/>
    <x v="15"/>
    <x v="6"/>
    <n v="0"/>
    <x v="4"/>
    <x v="0"/>
  </r>
  <r>
    <x v="3"/>
    <x v="16"/>
    <x v="6"/>
    <n v="0"/>
    <x v="4"/>
    <x v="0"/>
  </r>
  <r>
    <x v="3"/>
    <x v="17"/>
    <x v="6"/>
    <n v="3123"/>
    <x v="4"/>
    <x v="0"/>
  </r>
  <r>
    <x v="3"/>
    <x v="18"/>
    <x v="6"/>
    <n v="12273"/>
    <x v="4"/>
    <x v="0"/>
  </r>
  <r>
    <x v="3"/>
    <x v="19"/>
    <x v="6"/>
    <n v="0"/>
    <x v="0"/>
    <x v="0"/>
  </r>
  <r>
    <x v="3"/>
    <x v="0"/>
    <x v="6"/>
    <n v="0"/>
    <x v="0"/>
    <x v="0"/>
  </r>
  <r>
    <x v="3"/>
    <x v="1"/>
    <x v="6"/>
    <n v="122947"/>
    <x v="1"/>
    <x v="1"/>
  </r>
  <r>
    <x v="3"/>
    <x v="2"/>
    <x v="6"/>
    <n v="1360"/>
    <x v="1"/>
    <x v="1"/>
  </r>
  <r>
    <x v="3"/>
    <x v="3"/>
    <x v="6"/>
    <n v="0"/>
    <x v="2"/>
    <x v="0"/>
  </r>
  <r>
    <x v="3"/>
    <x v="4"/>
    <x v="6"/>
    <n v="0"/>
    <x v="3"/>
    <x v="0"/>
  </r>
  <r>
    <x v="3"/>
    <x v="5"/>
    <x v="6"/>
    <n v="0"/>
    <x v="2"/>
    <x v="0"/>
  </r>
  <r>
    <x v="0"/>
    <x v="8"/>
    <x v="6"/>
    <n v="362447"/>
    <x v="0"/>
    <x v="0"/>
  </r>
  <r>
    <x v="3"/>
    <x v="1"/>
    <x v="7"/>
    <n v="152102"/>
    <x v="1"/>
    <x v="1"/>
  </r>
  <r>
    <x v="3"/>
    <x v="2"/>
    <x v="7"/>
    <n v="2519"/>
    <x v="1"/>
    <x v="1"/>
  </r>
  <r>
    <x v="3"/>
    <x v="3"/>
    <x v="7"/>
    <n v="0"/>
    <x v="2"/>
    <x v="0"/>
  </r>
  <r>
    <x v="3"/>
    <x v="4"/>
    <x v="7"/>
    <n v="0"/>
    <x v="3"/>
    <x v="0"/>
  </r>
  <r>
    <x v="3"/>
    <x v="5"/>
    <x v="7"/>
    <n v="0"/>
    <x v="2"/>
    <x v="0"/>
  </r>
  <r>
    <x v="0"/>
    <x v="8"/>
    <x v="7"/>
    <n v="322942"/>
    <x v="0"/>
    <x v="0"/>
  </r>
  <r>
    <x v="0"/>
    <x v="7"/>
    <x v="7"/>
    <n v="13219212"/>
    <x v="3"/>
    <x v="0"/>
  </r>
  <r>
    <x v="0"/>
    <x v="9"/>
    <x v="7"/>
    <n v="111748"/>
    <x v="0"/>
    <x v="0"/>
  </r>
  <r>
    <x v="0"/>
    <x v="10"/>
    <x v="7"/>
    <n v="184700513"/>
    <x v="3"/>
    <x v="1"/>
  </r>
  <r>
    <x v="0"/>
    <x v="11"/>
    <x v="7"/>
    <n v="16659"/>
    <x v="3"/>
    <x v="1"/>
  </r>
  <r>
    <x v="0"/>
    <x v="12"/>
    <x v="7"/>
    <n v="-3232199"/>
    <x v="3"/>
    <x v="1"/>
  </r>
  <r>
    <x v="0"/>
    <x v="13"/>
    <x v="7"/>
    <n v="422832"/>
    <x v="7"/>
    <x v="0"/>
  </r>
  <r>
    <x v="0"/>
    <x v="14"/>
    <x v="7"/>
    <n v="26424"/>
    <x v="7"/>
    <x v="0"/>
  </r>
  <r>
    <x v="0"/>
    <x v="15"/>
    <x v="7"/>
    <n v="8861240"/>
    <x v="4"/>
    <x v="0"/>
  </r>
  <r>
    <x v="0"/>
    <x v="16"/>
    <x v="7"/>
    <n v="0"/>
    <x v="4"/>
    <x v="0"/>
  </r>
  <r>
    <x v="0"/>
    <x v="17"/>
    <x v="7"/>
    <n v="24546488"/>
    <x v="4"/>
    <x v="0"/>
  </r>
  <r>
    <x v="0"/>
    <x v="18"/>
    <x v="7"/>
    <n v="4791519"/>
    <x v="4"/>
    <x v="0"/>
  </r>
  <r>
    <x v="0"/>
    <x v="19"/>
    <x v="7"/>
    <n v="347101"/>
    <x v="0"/>
    <x v="0"/>
  </r>
  <r>
    <x v="0"/>
    <x v="0"/>
    <x v="7"/>
    <n v="0"/>
    <x v="0"/>
    <x v="0"/>
  </r>
  <r>
    <x v="0"/>
    <x v="1"/>
    <x v="7"/>
    <n v="396147902"/>
    <x v="1"/>
    <x v="1"/>
  </r>
  <r>
    <x v="0"/>
    <x v="2"/>
    <x v="7"/>
    <n v="20979029"/>
    <x v="1"/>
    <x v="1"/>
  </r>
  <r>
    <x v="0"/>
    <x v="3"/>
    <x v="7"/>
    <n v="152677"/>
    <x v="2"/>
    <x v="0"/>
  </r>
  <r>
    <x v="0"/>
    <x v="4"/>
    <x v="7"/>
    <n v="202848"/>
    <x v="3"/>
    <x v="0"/>
  </r>
  <r>
    <x v="0"/>
    <x v="5"/>
    <x v="7"/>
    <n v="0"/>
    <x v="2"/>
    <x v="0"/>
  </r>
  <r>
    <x v="1"/>
    <x v="6"/>
    <x v="7"/>
    <n v="61.12"/>
    <x v="4"/>
    <x v="2"/>
  </r>
  <r>
    <x v="1"/>
    <x v="7"/>
    <x v="7"/>
    <n v="46.03"/>
    <x v="5"/>
    <x v="3"/>
  </r>
  <r>
    <x v="1"/>
    <x v="4"/>
    <x v="7"/>
    <n v="36.380000000000003"/>
    <x v="6"/>
    <x v="4"/>
  </r>
  <r>
    <x v="2"/>
    <x v="8"/>
    <x v="8"/>
    <n v="1512"/>
    <x v="0"/>
    <x v="0"/>
  </r>
  <r>
    <x v="2"/>
    <x v="7"/>
    <x v="8"/>
    <n v="101480"/>
    <x v="3"/>
    <x v="0"/>
  </r>
  <r>
    <x v="2"/>
    <x v="9"/>
    <x v="8"/>
    <n v="409"/>
    <x v="0"/>
    <x v="0"/>
  </r>
  <r>
    <x v="2"/>
    <x v="10"/>
    <x v="8"/>
    <n v="626"/>
    <x v="3"/>
    <x v="1"/>
  </r>
  <r>
    <x v="2"/>
    <x v="11"/>
    <x v="8"/>
    <n v="0"/>
    <x v="3"/>
    <x v="1"/>
  </r>
  <r>
    <x v="2"/>
    <x v="12"/>
    <x v="8"/>
    <n v="1053"/>
    <x v="3"/>
    <x v="1"/>
  </r>
  <r>
    <x v="2"/>
    <x v="13"/>
    <x v="8"/>
    <n v="4382"/>
    <x v="7"/>
    <x v="0"/>
  </r>
  <r>
    <x v="2"/>
    <x v="14"/>
    <x v="8"/>
    <n v="968"/>
    <x v="7"/>
    <x v="0"/>
  </r>
  <r>
    <x v="2"/>
    <x v="15"/>
    <x v="8"/>
    <n v="33147"/>
    <x v="4"/>
    <x v="0"/>
  </r>
  <r>
    <x v="2"/>
    <x v="16"/>
    <x v="8"/>
    <n v="0"/>
    <x v="4"/>
    <x v="0"/>
  </r>
  <r>
    <x v="2"/>
    <x v="17"/>
    <x v="8"/>
    <n v="92640"/>
    <x v="4"/>
    <x v="0"/>
  </r>
  <r>
    <x v="2"/>
    <x v="18"/>
    <x v="8"/>
    <n v="14563"/>
    <x v="4"/>
    <x v="0"/>
  </r>
  <r>
    <x v="2"/>
    <x v="19"/>
    <x v="8"/>
    <n v="486"/>
    <x v="0"/>
    <x v="0"/>
  </r>
  <r>
    <x v="2"/>
    <x v="0"/>
    <x v="8"/>
    <n v="0"/>
    <x v="0"/>
    <x v="0"/>
  </r>
  <r>
    <x v="2"/>
    <x v="1"/>
    <x v="8"/>
    <n v="401"/>
    <x v="1"/>
    <x v="1"/>
  </r>
  <r>
    <x v="2"/>
    <x v="2"/>
    <x v="8"/>
    <n v="87"/>
    <x v="1"/>
    <x v="1"/>
  </r>
  <r>
    <x v="2"/>
    <x v="3"/>
    <x v="8"/>
    <n v="238"/>
    <x v="2"/>
    <x v="0"/>
  </r>
  <r>
    <x v="2"/>
    <x v="4"/>
    <x v="8"/>
    <n v="1800"/>
    <x v="3"/>
    <x v="0"/>
  </r>
  <r>
    <x v="2"/>
    <x v="5"/>
    <x v="8"/>
    <n v="0"/>
    <x v="2"/>
    <x v="0"/>
  </r>
  <r>
    <x v="2"/>
    <x v="20"/>
    <x v="8"/>
    <n v="14223"/>
    <x v="7"/>
    <x v="0"/>
  </r>
  <r>
    <x v="3"/>
    <x v="8"/>
    <x v="8"/>
    <n v="0"/>
    <x v="0"/>
    <x v="0"/>
  </r>
  <r>
    <x v="3"/>
    <x v="7"/>
    <x v="8"/>
    <n v="1096"/>
    <x v="3"/>
    <x v="0"/>
  </r>
  <r>
    <x v="3"/>
    <x v="9"/>
    <x v="8"/>
    <n v="0"/>
    <x v="0"/>
    <x v="0"/>
  </r>
  <r>
    <x v="3"/>
    <x v="10"/>
    <x v="8"/>
    <n v="85850"/>
    <x v="3"/>
    <x v="1"/>
  </r>
  <r>
    <x v="3"/>
    <x v="11"/>
    <x v="8"/>
    <n v="0"/>
    <x v="3"/>
    <x v="1"/>
  </r>
  <r>
    <x v="3"/>
    <x v="12"/>
    <x v="8"/>
    <n v="534"/>
    <x v="3"/>
    <x v="1"/>
  </r>
  <r>
    <x v="3"/>
    <x v="13"/>
    <x v="8"/>
    <n v="0"/>
    <x v="7"/>
    <x v="0"/>
  </r>
  <r>
    <x v="3"/>
    <x v="14"/>
    <x v="8"/>
    <n v="0"/>
    <x v="7"/>
    <x v="0"/>
  </r>
  <r>
    <x v="3"/>
    <x v="15"/>
    <x v="8"/>
    <n v="0"/>
    <x v="4"/>
    <x v="0"/>
  </r>
  <r>
    <x v="3"/>
    <x v="16"/>
    <x v="8"/>
    <n v="0"/>
    <x v="4"/>
    <x v="0"/>
  </r>
  <r>
    <x v="3"/>
    <x v="17"/>
    <x v="8"/>
    <n v="5393"/>
    <x v="4"/>
    <x v="0"/>
  </r>
  <r>
    <x v="3"/>
    <x v="18"/>
    <x v="8"/>
    <n v="10"/>
    <x v="4"/>
    <x v="0"/>
  </r>
  <r>
    <x v="3"/>
    <x v="19"/>
    <x v="8"/>
    <n v="0"/>
    <x v="0"/>
    <x v="0"/>
  </r>
  <r>
    <x v="3"/>
    <x v="0"/>
    <x v="8"/>
    <n v="0"/>
    <x v="0"/>
    <x v="0"/>
  </r>
  <r>
    <x v="3"/>
    <x v="1"/>
    <x v="8"/>
    <n v="148748"/>
    <x v="1"/>
    <x v="1"/>
  </r>
  <r>
    <x v="3"/>
    <x v="2"/>
    <x v="8"/>
    <n v="2359"/>
    <x v="1"/>
    <x v="1"/>
  </r>
  <r>
    <x v="3"/>
    <x v="3"/>
    <x v="8"/>
    <n v="0"/>
    <x v="2"/>
    <x v="0"/>
  </r>
  <r>
    <x v="3"/>
    <x v="4"/>
    <x v="8"/>
    <n v="0"/>
    <x v="3"/>
    <x v="0"/>
  </r>
  <r>
    <x v="3"/>
    <x v="5"/>
    <x v="8"/>
    <n v="0"/>
    <x v="2"/>
    <x v="0"/>
  </r>
  <r>
    <x v="0"/>
    <x v="8"/>
    <x v="8"/>
    <n v="368794"/>
    <x v="0"/>
    <x v="0"/>
  </r>
  <r>
    <x v="0"/>
    <x v="7"/>
    <x v="8"/>
    <n v="14939801"/>
    <x v="3"/>
    <x v="0"/>
  </r>
  <r>
    <x v="0"/>
    <x v="9"/>
    <x v="8"/>
    <n v="105494"/>
    <x v="0"/>
    <x v="0"/>
  </r>
  <r>
    <x v="0"/>
    <x v="10"/>
    <x v="8"/>
    <n v="208472910"/>
    <x v="3"/>
    <x v="1"/>
  </r>
  <r>
    <x v="0"/>
    <x v="11"/>
    <x v="8"/>
    <n v="0"/>
    <x v="3"/>
    <x v="1"/>
  </r>
  <r>
    <x v="0"/>
    <x v="12"/>
    <x v="8"/>
    <n v="-3865648"/>
    <x v="3"/>
    <x v="1"/>
  </r>
  <r>
    <x v="0"/>
    <x v="13"/>
    <x v="8"/>
    <n v="440204"/>
    <x v="7"/>
    <x v="0"/>
  </r>
  <r>
    <x v="0"/>
    <x v="14"/>
    <x v="8"/>
    <n v="34852"/>
    <x v="7"/>
    <x v="0"/>
  </r>
  <r>
    <x v="0"/>
    <x v="15"/>
    <x v="8"/>
    <n v="9273634"/>
    <x v="4"/>
    <x v="0"/>
  </r>
  <r>
    <x v="0"/>
    <x v="16"/>
    <x v="8"/>
    <n v="0"/>
    <x v="4"/>
    <x v="0"/>
  </r>
  <r>
    <x v="0"/>
    <x v="17"/>
    <x v="8"/>
    <n v="29679739"/>
    <x v="4"/>
    <x v="0"/>
  </r>
  <r>
    <x v="0"/>
    <x v="18"/>
    <x v="8"/>
    <n v="5968474"/>
    <x v="4"/>
    <x v="0"/>
  </r>
  <r>
    <x v="0"/>
    <x v="19"/>
    <x v="8"/>
    <n v="321762"/>
    <x v="0"/>
    <x v="0"/>
  </r>
  <r>
    <x v="0"/>
    <x v="0"/>
    <x v="8"/>
    <n v="0"/>
    <x v="0"/>
    <x v="0"/>
  </r>
  <r>
    <x v="0"/>
    <x v="1"/>
    <x v="8"/>
    <n v="389448668"/>
    <x v="1"/>
    <x v="1"/>
  </r>
  <r>
    <x v="0"/>
    <x v="2"/>
    <x v="8"/>
    <n v="19554903"/>
    <x v="1"/>
    <x v="1"/>
  </r>
  <r>
    <x v="0"/>
    <x v="3"/>
    <x v="8"/>
    <n v="162962"/>
    <x v="2"/>
    <x v="0"/>
  </r>
  <r>
    <x v="0"/>
    <x v="4"/>
    <x v="8"/>
    <n v="226799"/>
    <x v="3"/>
    <x v="0"/>
  </r>
  <r>
    <x v="0"/>
    <x v="5"/>
    <x v="8"/>
    <n v="0"/>
    <x v="2"/>
    <x v="0"/>
  </r>
  <r>
    <x v="1"/>
    <x v="6"/>
    <x v="8"/>
    <n v="60.81"/>
    <x v="4"/>
    <x v="2"/>
  </r>
  <r>
    <x v="1"/>
    <x v="7"/>
    <x v="8"/>
    <n v="45.34"/>
    <x v="5"/>
    <x v="3"/>
  </r>
  <r>
    <x v="1"/>
    <x v="4"/>
    <x v="8"/>
    <n v="37.42"/>
    <x v="6"/>
    <x v="4"/>
  </r>
  <r>
    <x v="2"/>
    <x v="8"/>
    <x v="9"/>
    <n v="1801"/>
    <x v="0"/>
    <x v="0"/>
  </r>
  <r>
    <x v="2"/>
    <x v="7"/>
    <x v="9"/>
    <n v="91173"/>
    <x v="3"/>
    <x v="0"/>
  </r>
  <r>
    <x v="2"/>
    <x v="9"/>
    <x v="9"/>
    <n v="314"/>
    <x v="0"/>
    <x v="0"/>
  </r>
  <r>
    <x v="2"/>
    <x v="10"/>
    <x v="9"/>
    <n v="1089"/>
    <x v="3"/>
    <x v="1"/>
  </r>
  <r>
    <x v="2"/>
    <x v="11"/>
    <x v="9"/>
    <n v="0"/>
    <x v="3"/>
    <x v="1"/>
  </r>
  <r>
    <x v="2"/>
    <x v="12"/>
    <x v="9"/>
    <n v="1046"/>
    <x v="3"/>
    <x v="1"/>
  </r>
  <r>
    <x v="2"/>
    <x v="13"/>
    <x v="9"/>
    <n v="4313"/>
    <x v="7"/>
    <x v="0"/>
  </r>
  <r>
    <x v="2"/>
    <x v="14"/>
    <x v="9"/>
    <n v="1214"/>
    <x v="7"/>
    <x v="0"/>
  </r>
  <r>
    <x v="2"/>
    <x v="15"/>
    <x v="9"/>
    <n v="35201"/>
    <x v="4"/>
    <x v="0"/>
  </r>
  <r>
    <x v="2"/>
    <x v="16"/>
    <x v="9"/>
    <n v="0"/>
    <x v="4"/>
    <x v="0"/>
  </r>
  <r>
    <x v="2"/>
    <x v="17"/>
    <x v="9"/>
    <n v="95805"/>
    <x v="4"/>
    <x v="0"/>
  </r>
  <r>
    <x v="2"/>
    <x v="18"/>
    <x v="9"/>
    <n v="6624"/>
    <x v="4"/>
    <x v="0"/>
  </r>
  <r>
    <x v="2"/>
    <x v="19"/>
    <x v="9"/>
    <n v="387"/>
    <x v="0"/>
    <x v="0"/>
  </r>
  <r>
    <x v="2"/>
    <x v="0"/>
    <x v="9"/>
    <n v="43"/>
    <x v="0"/>
    <x v="0"/>
  </r>
  <r>
    <x v="2"/>
    <x v="1"/>
    <x v="9"/>
    <n v="1794"/>
    <x v="1"/>
    <x v="1"/>
  </r>
  <r>
    <x v="2"/>
    <x v="2"/>
    <x v="9"/>
    <n v="201"/>
    <x v="1"/>
    <x v="1"/>
  </r>
  <r>
    <x v="2"/>
    <x v="3"/>
    <x v="9"/>
    <n v="535"/>
    <x v="2"/>
    <x v="0"/>
  </r>
  <r>
    <x v="2"/>
    <x v="4"/>
    <x v="9"/>
    <n v="4035"/>
    <x v="3"/>
    <x v="0"/>
  </r>
  <r>
    <x v="2"/>
    <x v="5"/>
    <x v="9"/>
    <n v="0"/>
    <x v="2"/>
    <x v="0"/>
  </r>
  <r>
    <x v="2"/>
    <x v="20"/>
    <x v="9"/>
    <n v="14223"/>
    <x v="7"/>
    <x v="0"/>
  </r>
  <r>
    <x v="3"/>
    <x v="8"/>
    <x v="9"/>
    <n v="0"/>
    <x v="0"/>
    <x v="0"/>
  </r>
  <r>
    <x v="3"/>
    <x v="7"/>
    <x v="9"/>
    <n v="593"/>
    <x v="3"/>
    <x v="0"/>
  </r>
  <r>
    <x v="3"/>
    <x v="9"/>
    <x v="9"/>
    <n v="0"/>
    <x v="0"/>
    <x v="0"/>
  </r>
  <r>
    <x v="3"/>
    <x v="10"/>
    <x v="9"/>
    <n v="71455"/>
    <x v="3"/>
    <x v="1"/>
  </r>
  <r>
    <x v="3"/>
    <x v="11"/>
    <x v="9"/>
    <n v="0"/>
    <x v="3"/>
    <x v="1"/>
  </r>
  <r>
    <x v="3"/>
    <x v="12"/>
    <x v="9"/>
    <n v="488"/>
    <x v="3"/>
    <x v="1"/>
  </r>
  <r>
    <x v="3"/>
    <x v="13"/>
    <x v="9"/>
    <n v="0"/>
    <x v="7"/>
    <x v="0"/>
  </r>
  <r>
    <x v="3"/>
    <x v="14"/>
    <x v="9"/>
    <n v="0"/>
    <x v="7"/>
    <x v="0"/>
  </r>
  <r>
    <x v="3"/>
    <x v="15"/>
    <x v="9"/>
    <n v="3765"/>
    <x v="4"/>
    <x v="0"/>
  </r>
  <r>
    <x v="3"/>
    <x v="16"/>
    <x v="9"/>
    <n v="0"/>
    <x v="4"/>
    <x v="0"/>
  </r>
  <r>
    <x v="3"/>
    <x v="17"/>
    <x v="9"/>
    <n v="3490"/>
    <x v="4"/>
    <x v="0"/>
  </r>
  <r>
    <x v="3"/>
    <x v="18"/>
    <x v="9"/>
    <n v="206"/>
    <x v="4"/>
    <x v="0"/>
  </r>
  <r>
    <x v="3"/>
    <x v="19"/>
    <x v="9"/>
    <n v="0"/>
    <x v="0"/>
    <x v="0"/>
  </r>
  <r>
    <x v="3"/>
    <x v="0"/>
    <x v="9"/>
    <n v="0"/>
    <x v="0"/>
    <x v="0"/>
  </r>
  <r>
    <x v="3"/>
    <x v="1"/>
    <x v="9"/>
    <n v="141307"/>
    <x v="1"/>
    <x v="1"/>
  </r>
  <r>
    <x v="3"/>
    <x v="2"/>
    <x v="9"/>
    <n v="1816"/>
    <x v="1"/>
    <x v="1"/>
  </r>
  <r>
    <x v="3"/>
    <x v="3"/>
    <x v="9"/>
    <n v="0"/>
    <x v="2"/>
    <x v="0"/>
  </r>
  <r>
    <x v="3"/>
    <x v="4"/>
    <x v="9"/>
    <n v="0"/>
    <x v="3"/>
    <x v="0"/>
  </r>
  <r>
    <x v="3"/>
    <x v="5"/>
    <x v="9"/>
    <n v="0"/>
    <x v="2"/>
    <x v="0"/>
  </r>
  <r>
    <x v="0"/>
    <x v="8"/>
    <x v="9"/>
    <n v="457503"/>
    <x v="0"/>
    <x v="0"/>
  </r>
  <r>
    <x v="0"/>
    <x v="7"/>
    <x v="9"/>
    <n v="13234476"/>
    <x v="3"/>
    <x v="0"/>
  </r>
  <r>
    <x v="0"/>
    <x v="9"/>
    <x v="9"/>
    <n v="81027"/>
    <x v="0"/>
    <x v="0"/>
  </r>
  <r>
    <x v="0"/>
    <x v="10"/>
    <x v="9"/>
    <n v="172121556"/>
    <x v="3"/>
    <x v="1"/>
  </r>
  <r>
    <x v="0"/>
    <x v="11"/>
    <x v="9"/>
    <n v="0"/>
    <x v="3"/>
    <x v="1"/>
  </r>
  <r>
    <x v="0"/>
    <x v="12"/>
    <x v="9"/>
    <n v="-4155248"/>
    <x v="3"/>
    <x v="1"/>
  </r>
  <r>
    <x v="0"/>
    <x v="13"/>
    <x v="9"/>
    <n v="433671"/>
    <x v="7"/>
    <x v="0"/>
  </r>
  <r>
    <x v="0"/>
    <x v="14"/>
    <x v="9"/>
    <n v="43869"/>
    <x v="7"/>
    <x v="0"/>
  </r>
  <r>
    <x v="0"/>
    <x v="15"/>
    <x v="9"/>
    <n v="8795011"/>
    <x v="4"/>
    <x v="0"/>
  </r>
  <r>
    <x v="0"/>
    <x v="16"/>
    <x v="9"/>
    <n v="0"/>
    <x v="4"/>
    <x v="0"/>
  </r>
  <r>
    <x v="0"/>
    <x v="17"/>
    <x v="9"/>
    <n v="30617772"/>
    <x v="4"/>
    <x v="0"/>
  </r>
  <r>
    <x v="0"/>
    <x v="18"/>
    <x v="9"/>
    <n v="2689426"/>
    <x v="4"/>
    <x v="0"/>
  </r>
  <r>
    <x v="0"/>
    <x v="19"/>
    <x v="9"/>
    <n v="242110"/>
    <x v="0"/>
    <x v="0"/>
  </r>
  <r>
    <x v="0"/>
    <x v="0"/>
    <x v="9"/>
    <n v="76765"/>
    <x v="0"/>
    <x v="0"/>
  </r>
  <r>
    <x v="0"/>
    <x v="1"/>
    <x v="9"/>
    <n v="366263564"/>
    <x v="1"/>
    <x v="1"/>
  </r>
  <r>
    <x v="0"/>
    <x v="2"/>
    <x v="9"/>
    <n v="13918141"/>
    <x v="1"/>
    <x v="1"/>
  </r>
  <r>
    <x v="0"/>
    <x v="3"/>
    <x v="9"/>
    <n v="286715"/>
    <x v="2"/>
    <x v="0"/>
  </r>
  <r>
    <x v="0"/>
    <x v="4"/>
    <x v="9"/>
    <n v="488983"/>
    <x v="3"/>
    <x v="0"/>
  </r>
  <r>
    <x v="0"/>
    <x v="5"/>
    <x v="9"/>
    <n v="0"/>
    <x v="2"/>
    <x v="0"/>
  </r>
  <r>
    <x v="1"/>
    <x v="6"/>
    <x v="9"/>
    <n v="59.73"/>
    <x v="4"/>
    <x v="2"/>
  </r>
  <r>
    <x v="1"/>
    <x v="7"/>
    <x v="9"/>
    <n v="44.35"/>
    <x v="5"/>
    <x v="3"/>
  </r>
  <r>
    <x v="1"/>
    <x v="4"/>
    <x v="9"/>
    <n v="34.96"/>
    <x v="6"/>
    <x v="4"/>
  </r>
  <r>
    <x v="2"/>
    <x v="8"/>
    <x v="10"/>
    <n v="1629"/>
    <x v="0"/>
    <x v="0"/>
  </r>
  <r>
    <x v="2"/>
    <x v="7"/>
    <x v="10"/>
    <n v="83643"/>
    <x v="3"/>
    <x v="0"/>
  </r>
  <r>
    <x v="2"/>
    <x v="9"/>
    <x v="10"/>
    <n v="276"/>
    <x v="0"/>
    <x v="0"/>
  </r>
  <r>
    <x v="2"/>
    <x v="10"/>
    <x v="10"/>
    <n v="2324"/>
    <x v="3"/>
    <x v="1"/>
  </r>
  <r>
    <x v="2"/>
    <x v="11"/>
    <x v="10"/>
    <n v="0"/>
    <x v="3"/>
    <x v="1"/>
  </r>
  <r>
    <x v="2"/>
    <x v="12"/>
    <x v="10"/>
    <n v="18"/>
    <x v="3"/>
    <x v="1"/>
  </r>
  <r>
    <x v="2"/>
    <x v="13"/>
    <x v="10"/>
    <n v="4662"/>
    <x v="7"/>
    <x v="0"/>
  </r>
  <r>
    <x v="2"/>
    <x v="14"/>
    <x v="10"/>
    <n v="1187"/>
    <x v="7"/>
    <x v="0"/>
  </r>
  <r>
    <x v="2"/>
    <x v="15"/>
    <x v="10"/>
    <n v="27189"/>
    <x v="4"/>
    <x v="0"/>
  </r>
  <r>
    <x v="2"/>
    <x v="16"/>
    <x v="10"/>
    <n v="0"/>
    <x v="4"/>
    <x v="0"/>
  </r>
  <r>
    <x v="2"/>
    <x v="17"/>
    <x v="10"/>
    <n v="79909"/>
    <x v="4"/>
    <x v="0"/>
  </r>
  <r>
    <x v="2"/>
    <x v="18"/>
    <x v="10"/>
    <n v="6067"/>
    <x v="4"/>
    <x v="0"/>
  </r>
  <r>
    <x v="2"/>
    <x v="19"/>
    <x v="10"/>
    <n v="383"/>
    <x v="0"/>
    <x v="0"/>
  </r>
  <r>
    <x v="2"/>
    <x v="0"/>
    <x v="10"/>
    <n v="10"/>
    <x v="0"/>
    <x v="0"/>
  </r>
  <r>
    <x v="2"/>
    <x v="1"/>
    <x v="10"/>
    <n v="1564"/>
    <x v="1"/>
    <x v="1"/>
  </r>
  <r>
    <x v="2"/>
    <x v="2"/>
    <x v="10"/>
    <n v="0"/>
    <x v="1"/>
    <x v="1"/>
  </r>
  <r>
    <x v="2"/>
    <x v="3"/>
    <x v="10"/>
    <n v="1219"/>
    <x v="2"/>
    <x v="0"/>
  </r>
  <r>
    <x v="2"/>
    <x v="4"/>
    <x v="10"/>
    <n v="907"/>
    <x v="3"/>
    <x v="0"/>
  </r>
  <r>
    <x v="2"/>
    <x v="5"/>
    <x v="10"/>
    <n v="0"/>
    <x v="2"/>
    <x v="0"/>
  </r>
  <r>
    <x v="2"/>
    <x v="20"/>
    <x v="10"/>
    <n v="18317"/>
    <x v="7"/>
    <x v="0"/>
  </r>
  <r>
    <x v="3"/>
    <x v="8"/>
    <x v="10"/>
    <n v="0"/>
    <x v="0"/>
    <x v="0"/>
  </r>
  <r>
    <x v="3"/>
    <x v="7"/>
    <x v="10"/>
    <n v="1869"/>
    <x v="3"/>
    <x v="0"/>
  </r>
  <r>
    <x v="3"/>
    <x v="9"/>
    <x v="10"/>
    <n v="0"/>
    <x v="0"/>
    <x v="0"/>
  </r>
  <r>
    <x v="3"/>
    <x v="10"/>
    <x v="10"/>
    <n v="83000"/>
    <x v="3"/>
    <x v="1"/>
  </r>
  <r>
    <x v="3"/>
    <x v="11"/>
    <x v="10"/>
    <n v="3"/>
    <x v="3"/>
    <x v="1"/>
  </r>
  <r>
    <x v="3"/>
    <x v="12"/>
    <x v="10"/>
    <n v="1056"/>
    <x v="3"/>
    <x v="1"/>
  </r>
  <r>
    <x v="3"/>
    <x v="13"/>
    <x v="10"/>
    <n v="0"/>
    <x v="7"/>
    <x v="0"/>
  </r>
  <r>
    <x v="3"/>
    <x v="14"/>
    <x v="10"/>
    <n v="0"/>
    <x v="7"/>
    <x v="0"/>
  </r>
  <r>
    <x v="3"/>
    <x v="15"/>
    <x v="10"/>
    <n v="0"/>
    <x v="4"/>
    <x v="0"/>
  </r>
  <r>
    <x v="3"/>
    <x v="16"/>
    <x v="10"/>
    <n v="0"/>
    <x v="4"/>
    <x v="0"/>
  </r>
  <r>
    <x v="3"/>
    <x v="17"/>
    <x v="10"/>
    <n v="4010"/>
    <x v="4"/>
    <x v="0"/>
  </r>
  <r>
    <x v="3"/>
    <x v="18"/>
    <x v="10"/>
    <n v="282"/>
    <x v="4"/>
    <x v="0"/>
  </r>
  <r>
    <x v="3"/>
    <x v="19"/>
    <x v="10"/>
    <n v="0"/>
    <x v="0"/>
    <x v="0"/>
  </r>
  <r>
    <x v="3"/>
    <x v="0"/>
    <x v="10"/>
    <n v="0"/>
    <x v="0"/>
    <x v="0"/>
  </r>
  <r>
    <x v="3"/>
    <x v="1"/>
    <x v="10"/>
    <n v="155569"/>
    <x v="1"/>
    <x v="1"/>
  </r>
  <r>
    <x v="3"/>
    <x v="2"/>
    <x v="10"/>
    <n v="3929"/>
    <x v="1"/>
    <x v="1"/>
  </r>
  <r>
    <x v="3"/>
    <x v="3"/>
    <x v="10"/>
    <n v="0"/>
    <x v="2"/>
    <x v="0"/>
  </r>
  <r>
    <x v="3"/>
    <x v="4"/>
    <x v="10"/>
    <n v="0"/>
    <x v="3"/>
    <x v="0"/>
  </r>
  <r>
    <x v="3"/>
    <x v="5"/>
    <x v="10"/>
    <n v="0"/>
    <x v="2"/>
    <x v="0"/>
  </r>
  <r>
    <x v="0"/>
    <x v="8"/>
    <x v="10"/>
    <n v="429380"/>
    <x v="0"/>
    <x v="0"/>
  </r>
  <r>
    <x v="0"/>
    <x v="7"/>
    <x v="10"/>
    <n v="11226878"/>
    <x v="3"/>
    <x v="0"/>
  </r>
  <r>
    <x v="0"/>
    <x v="9"/>
    <x v="10"/>
    <n v="74326"/>
    <x v="0"/>
    <x v="0"/>
  </r>
  <r>
    <x v="0"/>
    <x v="10"/>
    <x v="10"/>
    <n v="173067446"/>
    <x v="3"/>
    <x v="1"/>
  </r>
  <r>
    <x v="0"/>
    <x v="11"/>
    <x v="10"/>
    <n v="-1915"/>
    <x v="3"/>
    <x v="1"/>
  </r>
  <r>
    <x v="0"/>
    <x v="12"/>
    <x v="10"/>
    <n v="1815092"/>
    <x v="3"/>
    <x v="1"/>
  </r>
  <r>
    <x v="0"/>
    <x v="13"/>
    <x v="10"/>
    <n v="477625"/>
    <x v="7"/>
    <x v="0"/>
  </r>
  <r>
    <x v="0"/>
    <x v="14"/>
    <x v="10"/>
    <n v="43384"/>
    <x v="7"/>
    <x v="0"/>
  </r>
  <r>
    <x v="0"/>
    <x v="15"/>
    <x v="10"/>
    <n v="7797055"/>
    <x v="4"/>
    <x v="0"/>
  </r>
  <r>
    <x v="0"/>
    <x v="16"/>
    <x v="10"/>
    <n v="0"/>
    <x v="4"/>
    <x v="0"/>
  </r>
  <r>
    <x v="0"/>
    <x v="17"/>
    <x v="10"/>
    <n v="26435068"/>
    <x v="4"/>
    <x v="0"/>
  </r>
  <r>
    <x v="0"/>
    <x v="18"/>
    <x v="10"/>
    <n v="2402287"/>
    <x v="4"/>
    <x v="0"/>
  </r>
  <r>
    <x v="0"/>
    <x v="19"/>
    <x v="10"/>
    <n v="263261"/>
    <x v="0"/>
    <x v="0"/>
  </r>
  <r>
    <x v="0"/>
    <x v="0"/>
    <x v="10"/>
    <n v="27631"/>
    <x v="0"/>
    <x v="0"/>
  </r>
  <r>
    <x v="0"/>
    <x v="1"/>
    <x v="10"/>
    <n v="354689704"/>
    <x v="1"/>
    <x v="1"/>
  </r>
  <r>
    <x v="0"/>
    <x v="2"/>
    <x v="10"/>
    <n v="19781062"/>
    <x v="1"/>
    <x v="1"/>
  </r>
  <r>
    <x v="0"/>
    <x v="3"/>
    <x v="10"/>
    <n v="495110"/>
    <x v="2"/>
    <x v="0"/>
  </r>
  <r>
    <x v="0"/>
    <x v="4"/>
    <x v="10"/>
    <n v="161527"/>
    <x v="3"/>
    <x v="0"/>
  </r>
  <r>
    <x v="0"/>
    <x v="5"/>
    <x v="10"/>
    <n v="0"/>
    <x v="2"/>
    <x v="0"/>
  </r>
  <r>
    <x v="1"/>
    <x v="6"/>
    <x v="10"/>
    <n v="60.13"/>
    <x v="4"/>
    <x v="2"/>
  </r>
  <r>
    <x v="1"/>
    <x v="7"/>
    <x v="10"/>
    <n v="39.51"/>
    <x v="5"/>
    <x v="3"/>
  </r>
  <r>
    <x v="1"/>
    <x v="4"/>
    <x v="10"/>
    <n v="53.91"/>
    <x v="6"/>
    <x v="4"/>
  </r>
  <r>
    <x v="2"/>
    <x v="8"/>
    <x v="11"/>
    <n v="1786"/>
    <x v="0"/>
    <x v="0"/>
  </r>
  <r>
    <x v="2"/>
    <x v="7"/>
    <x v="11"/>
    <n v="121921"/>
    <x v="3"/>
    <x v="0"/>
  </r>
  <r>
    <x v="2"/>
    <x v="9"/>
    <x v="11"/>
    <n v="311"/>
    <x v="0"/>
    <x v="0"/>
  </r>
  <r>
    <x v="2"/>
    <x v="10"/>
    <x v="11"/>
    <n v="1374"/>
    <x v="3"/>
    <x v="1"/>
  </r>
  <r>
    <x v="2"/>
    <x v="11"/>
    <x v="11"/>
    <n v="0"/>
    <x v="3"/>
    <x v="1"/>
  </r>
  <r>
    <x v="2"/>
    <x v="12"/>
    <x v="11"/>
    <n v="219"/>
    <x v="3"/>
    <x v="1"/>
  </r>
  <r>
    <x v="2"/>
    <x v="13"/>
    <x v="11"/>
    <n v="4756"/>
    <x v="7"/>
    <x v="0"/>
  </r>
  <r>
    <x v="2"/>
    <x v="14"/>
    <x v="11"/>
    <n v="1500"/>
    <x v="7"/>
    <x v="0"/>
  </r>
  <r>
    <x v="2"/>
    <x v="15"/>
    <x v="11"/>
    <n v="34844"/>
    <x v="4"/>
    <x v="0"/>
  </r>
  <r>
    <x v="2"/>
    <x v="16"/>
    <x v="11"/>
    <n v="469"/>
    <x v="4"/>
    <x v="0"/>
  </r>
  <r>
    <x v="2"/>
    <x v="17"/>
    <x v="11"/>
    <n v="88120"/>
    <x v="4"/>
    <x v="0"/>
  </r>
  <r>
    <x v="2"/>
    <x v="18"/>
    <x v="11"/>
    <n v="13083"/>
    <x v="4"/>
    <x v="0"/>
  </r>
  <r>
    <x v="2"/>
    <x v="19"/>
    <x v="11"/>
    <n v="399"/>
    <x v="0"/>
    <x v="0"/>
  </r>
  <r>
    <x v="2"/>
    <x v="0"/>
    <x v="11"/>
    <n v="0"/>
    <x v="0"/>
    <x v="0"/>
  </r>
  <r>
    <x v="2"/>
    <x v="1"/>
    <x v="11"/>
    <n v="2099"/>
    <x v="1"/>
    <x v="1"/>
  </r>
  <r>
    <x v="2"/>
    <x v="2"/>
    <x v="11"/>
    <n v="0"/>
    <x v="1"/>
    <x v="1"/>
  </r>
  <r>
    <x v="2"/>
    <x v="3"/>
    <x v="11"/>
    <n v="1385"/>
    <x v="2"/>
    <x v="0"/>
  </r>
  <r>
    <x v="2"/>
    <x v="4"/>
    <x v="11"/>
    <n v="3104"/>
    <x v="3"/>
    <x v="0"/>
  </r>
  <r>
    <x v="2"/>
    <x v="5"/>
    <x v="11"/>
    <n v="0"/>
    <x v="2"/>
    <x v="0"/>
  </r>
  <r>
    <x v="2"/>
    <x v="20"/>
    <x v="11"/>
    <n v="18317"/>
    <x v="7"/>
    <x v="0"/>
  </r>
  <r>
    <x v="3"/>
    <x v="8"/>
    <x v="11"/>
    <n v="0"/>
    <x v="0"/>
    <x v="0"/>
  </r>
  <r>
    <x v="3"/>
    <x v="7"/>
    <x v="11"/>
    <n v="1406"/>
    <x v="3"/>
    <x v="0"/>
  </r>
  <r>
    <x v="3"/>
    <x v="9"/>
    <x v="11"/>
    <n v="0"/>
    <x v="0"/>
    <x v="0"/>
  </r>
  <r>
    <x v="3"/>
    <x v="10"/>
    <x v="11"/>
    <n v="79497"/>
    <x v="3"/>
    <x v="1"/>
  </r>
  <r>
    <x v="3"/>
    <x v="11"/>
    <x v="11"/>
    <n v="11"/>
    <x v="3"/>
    <x v="1"/>
  </r>
  <r>
    <x v="3"/>
    <x v="12"/>
    <x v="11"/>
    <n v="1593"/>
    <x v="3"/>
    <x v="1"/>
  </r>
  <r>
    <x v="2"/>
    <x v="5"/>
    <x v="12"/>
    <n v="916"/>
    <x v="2"/>
    <x v="0"/>
  </r>
  <r>
    <x v="2"/>
    <x v="20"/>
    <x v="12"/>
    <n v="24872"/>
    <x v="7"/>
    <x v="0"/>
  </r>
  <r>
    <x v="3"/>
    <x v="8"/>
    <x v="12"/>
    <n v="0"/>
    <x v="0"/>
    <x v="0"/>
  </r>
  <r>
    <x v="3"/>
    <x v="7"/>
    <x v="12"/>
    <n v="3928"/>
    <x v="3"/>
    <x v="0"/>
  </r>
  <r>
    <x v="3"/>
    <x v="9"/>
    <x v="12"/>
    <n v="0"/>
    <x v="0"/>
    <x v="0"/>
  </r>
  <r>
    <x v="3"/>
    <x v="10"/>
    <x v="12"/>
    <n v="110368"/>
    <x v="3"/>
    <x v="1"/>
  </r>
  <r>
    <x v="3"/>
    <x v="11"/>
    <x v="12"/>
    <n v="18"/>
    <x v="3"/>
    <x v="1"/>
  </r>
  <r>
    <x v="3"/>
    <x v="12"/>
    <x v="12"/>
    <n v="1318"/>
    <x v="3"/>
    <x v="1"/>
  </r>
  <r>
    <x v="3"/>
    <x v="13"/>
    <x v="12"/>
    <n v="0"/>
    <x v="7"/>
    <x v="0"/>
  </r>
  <r>
    <x v="3"/>
    <x v="14"/>
    <x v="12"/>
    <n v="0"/>
    <x v="7"/>
    <x v="0"/>
  </r>
  <r>
    <x v="3"/>
    <x v="15"/>
    <x v="12"/>
    <n v="3"/>
    <x v="4"/>
    <x v="0"/>
  </r>
  <r>
    <x v="3"/>
    <x v="16"/>
    <x v="12"/>
    <n v="0"/>
    <x v="4"/>
    <x v="0"/>
  </r>
  <r>
    <x v="3"/>
    <x v="17"/>
    <x v="12"/>
    <n v="0"/>
    <x v="4"/>
    <x v="0"/>
  </r>
  <r>
    <x v="3"/>
    <x v="18"/>
    <x v="12"/>
    <n v="0"/>
    <x v="4"/>
    <x v="0"/>
  </r>
  <r>
    <x v="3"/>
    <x v="19"/>
    <x v="12"/>
    <n v="0"/>
    <x v="0"/>
    <x v="0"/>
  </r>
  <r>
    <x v="3"/>
    <x v="0"/>
    <x v="12"/>
    <n v="0"/>
    <x v="0"/>
    <x v="0"/>
  </r>
  <r>
    <x v="3"/>
    <x v="1"/>
    <x v="12"/>
    <n v="150469"/>
    <x v="1"/>
    <x v="1"/>
  </r>
  <r>
    <x v="3"/>
    <x v="2"/>
    <x v="12"/>
    <n v="5007"/>
    <x v="1"/>
    <x v="1"/>
  </r>
  <r>
    <x v="3"/>
    <x v="3"/>
    <x v="12"/>
    <n v="0"/>
    <x v="2"/>
    <x v="0"/>
  </r>
  <r>
    <x v="3"/>
    <x v="4"/>
    <x v="12"/>
    <n v="208"/>
    <x v="3"/>
    <x v="0"/>
  </r>
  <r>
    <x v="3"/>
    <x v="5"/>
    <x v="12"/>
    <n v="0"/>
    <x v="2"/>
    <x v="0"/>
  </r>
  <r>
    <x v="0"/>
    <x v="8"/>
    <x v="12"/>
    <n v="633956"/>
    <x v="0"/>
    <x v="0"/>
  </r>
  <r>
    <x v="0"/>
    <x v="7"/>
    <x v="12"/>
    <n v="16372107"/>
    <x v="3"/>
    <x v="0"/>
  </r>
  <r>
    <x v="0"/>
    <x v="9"/>
    <x v="12"/>
    <n v="67090"/>
    <x v="0"/>
    <x v="0"/>
  </r>
  <r>
    <x v="0"/>
    <x v="10"/>
    <x v="12"/>
    <n v="183303723"/>
    <x v="3"/>
    <x v="1"/>
  </r>
  <r>
    <x v="0"/>
    <x v="11"/>
    <x v="12"/>
    <n v="-11347"/>
    <x v="3"/>
    <x v="1"/>
  </r>
  <r>
    <x v="0"/>
    <x v="12"/>
    <x v="12"/>
    <n v="-4586197"/>
    <x v="3"/>
    <x v="1"/>
  </r>
  <r>
    <x v="0"/>
    <x v="13"/>
    <x v="12"/>
    <n v="710727"/>
    <x v="7"/>
    <x v="0"/>
  </r>
  <r>
    <x v="0"/>
    <x v="14"/>
    <x v="12"/>
    <n v="37633"/>
    <x v="7"/>
    <x v="0"/>
  </r>
  <r>
    <x v="0"/>
    <x v="15"/>
    <x v="12"/>
    <n v="13932401"/>
    <x v="4"/>
    <x v="0"/>
  </r>
  <r>
    <x v="0"/>
    <x v="16"/>
    <x v="12"/>
    <n v="53494"/>
    <x v="4"/>
    <x v="0"/>
  </r>
  <r>
    <x v="0"/>
    <x v="17"/>
    <x v="12"/>
    <n v="19133423"/>
    <x v="4"/>
    <x v="0"/>
  </r>
  <r>
    <x v="0"/>
    <x v="18"/>
    <x v="12"/>
    <n v="347882"/>
    <x v="4"/>
    <x v="0"/>
  </r>
  <r>
    <x v="0"/>
    <x v="19"/>
    <x v="12"/>
    <n v="244130"/>
    <x v="0"/>
    <x v="0"/>
  </r>
  <r>
    <x v="0"/>
    <x v="0"/>
    <x v="12"/>
    <n v="0"/>
    <x v="0"/>
    <x v="0"/>
  </r>
  <r>
    <x v="0"/>
    <x v="1"/>
    <x v="12"/>
    <n v="262658633"/>
    <x v="1"/>
    <x v="1"/>
  </r>
  <r>
    <x v="0"/>
    <x v="2"/>
    <x v="12"/>
    <n v="-12343846"/>
    <x v="1"/>
    <x v="1"/>
  </r>
  <r>
    <x v="0"/>
    <x v="3"/>
    <x v="12"/>
    <n v="68331"/>
    <x v="2"/>
    <x v="0"/>
  </r>
  <r>
    <x v="0"/>
    <x v="4"/>
    <x v="12"/>
    <n v="6250013"/>
    <x v="3"/>
    <x v="0"/>
  </r>
  <r>
    <x v="0"/>
    <x v="5"/>
    <x v="12"/>
    <n v="168376"/>
    <x v="2"/>
    <x v="0"/>
  </r>
  <r>
    <x v="1"/>
    <x v="6"/>
    <x v="12"/>
    <n v="55.78"/>
    <x v="4"/>
    <x v="2"/>
  </r>
  <r>
    <x v="1"/>
    <x v="7"/>
    <x v="12"/>
    <n v="43.71"/>
    <x v="5"/>
    <x v="3"/>
  </r>
  <r>
    <x v="1"/>
    <x v="4"/>
    <x v="12"/>
    <n v="30.18"/>
    <x v="6"/>
    <x v="4"/>
  </r>
  <r>
    <x v="2"/>
    <x v="8"/>
    <x v="13"/>
    <n v="3265"/>
    <x v="0"/>
    <x v="0"/>
  </r>
  <r>
    <x v="2"/>
    <x v="7"/>
    <x v="13"/>
    <n v="126284"/>
    <x v="3"/>
    <x v="0"/>
  </r>
  <r>
    <x v="2"/>
    <x v="9"/>
    <x v="13"/>
    <n v="360"/>
    <x v="0"/>
    <x v="0"/>
  </r>
  <r>
    <x v="2"/>
    <x v="10"/>
    <x v="13"/>
    <n v="1553"/>
    <x v="3"/>
    <x v="1"/>
  </r>
  <r>
    <x v="2"/>
    <x v="11"/>
    <x v="13"/>
    <n v="0"/>
    <x v="3"/>
    <x v="1"/>
  </r>
  <r>
    <x v="2"/>
    <x v="12"/>
    <x v="13"/>
    <n v="671"/>
    <x v="3"/>
    <x v="1"/>
  </r>
  <r>
    <x v="2"/>
    <x v="13"/>
    <x v="13"/>
    <n v="7824"/>
    <x v="7"/>
    <x v="0"/>
  </r>
  <r>
    <x v="2"/>
    <x v="14"/>
    <x v="13"/>
    <n v="2384"/>
    <x v="7"/>
    <x v="0"/>
  </r>
  <r>
    <x v="2"/>
    <x v="15"/>
    <x v="13"/>
    <n v="72658"/>
    <x v="4"/>
    <x v="0"/>
  </r>
  <r>
    <x v="2"/>
    <x v="16"/>
    <x v="13"/>
    <n v="0"/>
    <x v="4"/>
    <x v="0"/>
  </r>
  <r>
    <x v="2"/>
    <x v="17"/>
    <x v="13"/>
    <n v="73079"/>
    <x v="4"/>
    <x v="0"/>
  </r>
  <r>
    <x v="2"/>
    <x v="18"/>
    <x v="13"/>
    <n v="70"/>
    <x v="4"/>
    <x v="0"/>
  </r>
  <r>
    <x v="2"/>
    <x v="19"/>
    <x v="13"/>
    <n v="166"/>
    <x v="0"/>
    <x v="0"/>
  </r>
  <r>
    <x v="2"/>
    <x v="0"/>
    <x v="13"/>
    <n v="0"/>
    <x v="0"/>
    <x v="0"/>
  </r>
  <r>
    <x v="2"/>
    <x v="1"/>
    <x v="13"/>
    <n v="1354"/>
    <x v="1"/>
    <x v="1"/>
  </r>
  <r>
    <x v="2"/>
    <x v="2"/>
    <x v="13"/>
    <n v="1752"/>
    <x v="1"/>
    <x v="1"/>
  </r>
  <r>
    <x v="2"/>
    <x v="3"/>
    <x v="13"/>
    <n v="141"/>
    <x v="2"/>
    <x v="0"/>
  </r>
  <r>
    <x v="2"/>
    <x v="4"/>
    <x v="13"/>
    <n v="1896"/>
    <x v="3"/>
    <x v="0"/>
  </r>
  <r>
    <x v="2"/>
    <x v="5"/>
    <x v="13"/>
    <n v="720"/>
    <x v="2"/>
    <x v="0"/>
  </r>
  <r>
    <x v="2"/>
    <x v="20"/>
    <x v="13"/>
    <n v="24872"/>
    <x v="7"/>
    <x v="0"/>
  </r>
  <r>
    <x v="3"/>
    <x v="8"/>
    <x v="13"/>
    <n v="0"/>
    <x v="0"/>
    <x v="0"/>
  </r>
  <r>
    <x v="3"/>
    <x v="7"/>
    <x v="13"/>
    <n v="1445"/>
    <x v="3"/>
    <x v="0"/>
  </r>
  <r>
    <x v="3"/>
    <x v="9"/>
    <x v="13"/>
    <n v="0"/>
    <x v="0"/>
    <x v="0"/>
  </r>
  <r>
    <x v="3"/>
    <x v="10"/>
    <x v="13"/>
    <n v="110125"/>
    <x v="3"/>
    <x v="1"/>
  </r>
  <r>
    <x v="3"/>
    <x v="11"/>
    <x v="13"/>
    <n v="20"/>
    <x v="3"/>
    <x v="1"/>
  </r>
  <r>
    <x v="3"/>
    <x v="12"/>
    <x v="13"/>
    <n v="1113"/>
    <x v="3"/>
    <x v="1"/>
  </r>
  <r>
    <x v="3"/>
    <x v="13"/>
    <x v="13"/>
    <n v="0"/>
    <x v="7"/>
    <x v="0"/>
  </r>
  <r>
    <x v="3"/>
    <x v="14"/>
    <x v="13"/>
    <n v="0"/>
    <x v="7"/>
    <x v="0"/>
  </r>
  <r>
    <x v="3"/>
    <x v="15"/>
    <x v="13"/>
    <n v="6032"/>
    <x v="4"/>
    <x v="0"/>
  </r>
  <r>
    <x v="3"/>
    <x v="16"/>
    <x v="13"/>
    <n v="0"/>
    <x v="4"/>
    <x v="0"/>
  </r>
  <r>
    <x v="3"/>
    <x v="17"/>
    <x v="13"/>
    <n v="4652"/>
    <x v="4"/>
    <x v="0"/>
  </r>
  <r>
    <x v="3"/>
    <x v="18"/>
    <x v="13"/>
    <n v="788"/>
    <x v="4"/>
    <x v="0"/>
  </r>
  <r>
    <x v="3"/>
    <x v="19"/>
    <x v="13"/>
    <n v="0"/>
    <x v="0"/>
    <x v="0"/>
  </r>
  <r>
    <x v="3"/>
    <x v="0"/>
    <x v="13"/>
    <n v="0"/>
    <x v="0"/>
    <x v="0"/>
  </r>
  <r>
    <x v="3"/>
    <x v="1"/>
    <x v="13"/>
    <n v="226250"/>
    <x v="1"/>
    <x v="1"/>
  </r>
  <r>
    <x v="3"/>
    <x v="2"/>
    <x v="13"/>
    <n v="5377"/>
    <x v="1"/>
    <x v="1"/>
  </r>
  <r>
    <x v="3"/>
    <x v="3"/>
    <x v="13"/>
    <n v="0"/>
    <x v="2"/>
    <x v="0"/>
  </r>
  <r>
    <x v="3"/>
    <x v="4"/>
    <x v="13"/>
    <n v="302"/>
    <x v="3"/>
    <x v="0"/>
  </r>
  <r>
    <x v="3"/>
    <x v="5"/>
    <x v="13"/>
    <n v="0"/>
    <x v="2"/>
    <x v="0"/>
  </r>
  <r>
    <x v="0"/>
    <x v="8"/>
    <x v="13"/>
    <n v="663940"/>
    <x v="0"/>
    <x v="0"/>
  </r>
  <r>
    <x v="0"/>
    <x v="7"/>
    <x v="13"/>
    <n v="18513397"/>
    <x v="3"/>
    <x v="0"/>
  </r>
  <r>
    <x v="0"/>
    <x v="9"/>
    <x v="13"/>
    <n v="86146"/>
    <x v="0"/>
    <x v="0"/>
  </r>
  <r>
    <x v="0"/>
    <x v="10"/>
    <x v="13"/>
    <n v="180614224"/>
    <x v="3"/>
    <x v="1"/>
  </r>
  <r>
    <x v="0"/>
    <x v="11"/>
    <x v="13"/>
    <n v="-12518"/>
    <x v="3"/>
    <x v="1"/>
  </r>
  <r>
    <x v="0"/>
    <x v="12"/>
    <x v="13"/>
    <n v="-5078722"/>
    <x v="3"/>
    <x v="1"/>
  </r>
  <r>
    <x v="0"/>
    <x v="13"/>
    <x v="13"/>
    <n v="872188"/>
    <x v="7"/>
    <x v="0"/>
  </r>
  <r>
    <x v="0"/>
    <x v="14"/>
    <x v="13"/>
    <n v="88353"/>
    <x v="7"/>
    <x v="0"/>
  </r>
  <r>
    <x v="0"/>
    <x v="15"/>
    <x v="13"/>
    <n v="19053482"/>
    <x v="4"/>
    <x v="0"/>
  </r>
  <r>
    <x v="0"/>
    <x v="16"/>
    <x v="13"/>
    <n v="-312"/>
    <x v="4"/>
    <x v="0"/>
  </r>
  <r>
    <x v="0"/>
    <x v="17"/>
    <x v="13"/>
    <n v="21871120"/>
    <x v="4"/>
    <x v="0"/>
  </r>
  <r>
    <x v="0"/>
    <x v="18"/>
    <x v="13"/>
    <n v="-316619"/>
    <x v="4"/>
    <x v="0"/>
  </r>
  <r>
    <x v="0"/>
    <x v="19"/>
    <x v="13"/>
    <n v="122573"/>
    <x v="0"/>
    <x v="0"/>
  </r>
  <r>
    <x v="0"/>
    <x v="0"/>
    <x v="13"/>
    <n v="0"/>
    <x v="0"/>
    <x v="0"/>
  </r>
  <r>
    <x v="0"/>
    <x v="1"/>
    <x v="13"/>
    <n v="405339401"/>
    <x v="1"/>
    <x v="1"/>
  </r>
  <r>
    <x v="0"/>
    <x v="2"/>
    <x v="13"/>
    <n v="-16668278"/>
    <x v="1"/>
    <x v="1"/>
  </r>
  <r>
    <x v="0"/>
    <x v="3"/>
    <x v="13"/>
    <n v="263280"/>
    <x v="2"/>
    <x v="0"/>
  </r>
  <r>
    <x v="0"/>
    <x v="4"/>
    <x v="13"/>
    <n v="386406"/>
    <x v="3"/>
    <x v="0"/>
  </r>
  <r>
    <x v="0"/>
    <x v="5"/>
    <x v="13"/>
    <n v="147499"/>
    <x v="2"/>
    <x v="0"/>
  </r>
  <r>
    <x v="1"/>
    <x v="6"/>
    <x v="13"/>
    <n v="55.03"/>
    <x v="4"/>
    <x v="2"/>
  </r>
  <r>
    <x v="1"/>
    <x v="7"/>
    <x v="13"/>
    <n v="42.81"/>
    <x v="5"/>
    <x v="3"/>
  </r>
  <r>
    <x v="1"/>
    <x v="4"/>
    <x v="13"/>
    <n v="64.48"/>
    <x v="6"/>
    <x v="4"/>
  </r>
  <r>
    <x v="2"/>
    <x v="8"/>
    <x v="14"/>
    <n v="3243"/>
    <x v="0"/>
    <x v="0"/>
  </r>
  <r>
    <x v="2"/>
    <x v="7"/>
    <x v="14"/>
    <n v="126047"/>
    <x v="3"/>
    <x v="0"/>
  </r>
  <r>
    <x v="2"/>
    <x v="9"/>
    <x v="14"/>
    <n v="312"/>
    <x v="0"/>
    <x v="0"/>
  </r>
  <r>
    <x v="2"/>
    <x v="10"/>
    <x v="14"/>
    <n v="2354"/>
    <x v="3"/>
    <x v="1"/>
  </r>
  <r>
    <x v="2"/>
    <x v="11"/>
    <x v="14"/>
    <n v="5"/>
    <x v="3"/>
    <x v="1"/>
  </r>
  <r>
    <x v="2"/>
    <x v="12"/>
    <x v="14"/>
    <n v="606"/>
    <x v="3"/>
    <x v="1"/>
  </r>
  <r>
    <x v="2"/>
    <x v="13"/>
    <x v="14"/>
    <n v="8573"/>
    <x v="7"/>
    <x v="0"/>
  </r>
  <r>
    <x v="2"/>
    <x v="14"/>
    <x v="14"/>
    <n v="3073"/>
    <x v="7"/>
    <x v="0"/>
  </r>
  <r>
    <x v="2"/>
    <x v="15"/>
    <x v="14"/>
    <n v="98924"/>
    <x v="4"/>
    <x v="0"/>
  </r>
  <r>
    <x v="2"/>
    <x v="16"/>
    <x v="14"/>
    <n v="0"/>
    <x v="4"/>
    <x v="0"/>
  </r>
  <r>
    <x v="2"/>
    <x v="17"/>
    <x v="14"/>
    <n v="29552"/>
    <x v="4"/>
    <x v="0"/>
  </r>
  <r>
    <x v="2"/>
    <x v="18"/>
    <x v="14"/>
    <n v="0"/>
    <x v="4"/>
    <x v="0"/>
  </r>
  <r>
    <x v="2"/>
    <x v="19"/>
    <x v="14"/>
    <n v="190"/>
    <x v="0"/>
    <x v="0"/>
  </r>
  <r>
    <x v="2"/>
    <x v="0"/>
    <x v="14"/>
    <n v="0"/>
    <x v="0"/>
    <x v="0"/>
  </r>
  <r>
    <x v="2"/>
    <x v="1"/>
    <x v="14"/>
    <n v="362"/>
    <x v="1"/>
    <x v="1"/>
  </r>
  <r>
    <x v="2"/>
    <x v="2"/>
    <x v="14"/>
    <n v="1603"/>
    <x v="1"/>
    <x v="1"/>
  </r>
  <r>
    <x v="2"/>
    <x v="3"/>
    <x v="14"/>
    <n v="194"/>
    <x v="2"/>
    <x v="0"/>
  </r>
  <r>
    <x v="2"/>
    <x v="4"/>
    <x v="14"/>
    <n v="29176"/>
    <x v="3"/>
    <x v="0"/>
  </r>
  <r>
    <x v="2"/>
    <x v="5"/>
    <x v="14"/>
    <n v="936"/>
    <x v="2"/>
    <x v="0"/>
  </r>
  <r>
    <x v="2"/>
    <x v="20"/>
    <x v="14"/>
    <n v="24872"/>
    <x v="7"/>
    <x v="0"/>
  </r>
  <r>
    <x v="3"/>
    <x v="8"/>
    <x v="14"/>
    <n v="0"/>
    <x v="0"/>
    <x v="0"/>
  </r>
  <r>
    <x v="3"/>
    <x v="7"/>
    <x v="14"/>
    <n v="3193"/>
    <x v="3"/>
    <x v="0"/>
  </r>
  <r>
    <x v="3"/>
    <x v="9"/>
    <x v="14"/>
    <n v="0"/>
    <x v="0"/>
    <x v="0"/>
  </r>
  <r>
    <x v="3"/>
    <x v="10"/>
    <x v="14"/>
    <n v="111457"/>
    <x v="3"/>
    <x v="1"/>
  </r>
  <r>
    <x v="3"/>
    <x v="11"/>
    <x v="14"/>
    <n v="56"/>
    <x v="3"/>
    <x v="1"/>
  </r>
  <r>
    <x v="3"/>
    <x v="12"/>
    <x v="14"/>
    <n v="1172"/>
    <x v="3"/>
    <x v="1"/>
  </r>
  <r>
    <x v="3"/>
    <x v="13"/>
    <x v="14"/>
    <n v="0"/>
    <x v="7"/>
    <x v="0"/>
  </r>
  <r>
    <x v="3"/>
    <x v="14"/>
    <x v="14"/>
    <n v="0"/>
    <x v="7"/>
    <x v="0"/>
  </r>
  <r>
    <x v="3"/>
    <x v="15"/>
    <x v="14"/>
    <n v="1252"/>
    <x v="4"/>
    <x v="0"/>
  </r>
  <r>
    <x v="3"/>
    <x v="16"/>
    <x v="14"/>
    <n v="0"/>
    <x v="4"/>
    <x v="0"/>
  </r>
  <r>
    <x v="3"/>
    <x v="17"/>
    <x v="14"/>
    <n v="3455"/>
    <x v="4"/>
    <x v="0"/>
  </r>
  <r>
    <x v="3"/>
    <x v="18"/>
    <x v="14"/>
    <n v="0"/>
    <x v="4"/>
    <x v="0"/>
  </r>
  <r>
    <x v="3"/>
    <x v="19"/>
    <x v="14"/>
    <n v="0"/>
    <x v="0"/>
    <x v="0"/>
  </r>
  <r>
    <x v="3"/>
    <x v="0"/>
    <x v="14"/>
    <n v="0"/>
    <x v="0"/>
    <x v="0"/>
  </r>
  <r>
    <x v="3"/>
    <x v="1"/>
    <x v="14"/>
    <n v="180114"/>
    <x v="1"/>
    <x v="1"/>
  </r>
  <r>
    <x v="3"/>
    <x v="2"/>
    <x v="14"/>
    <n v="5456"/>
    <x v="1"/>
    <x v="1"/>
  </r>
  <r>
    <x v="3"/>
    <x v="3"/>
    <x v="14"/>
    <n v="0"/>
    <x v="2"/>
    <x v="0"/>
  </r>
  <r>
    <x v="3"/>
    <x v="4"/>
    <x v="14"/>
    <n v="141"/>
    <x v="3"/>
    <x v="0"/>
  </r>
  <r>
    <x v="3"/>
    <x v="5"/>
    <x v="14"/>
    <n v="0"/>
    <x v="2"/>
    <x v="0"/>
  </r>
  <r>
    <x v="0"/>
    <x v="8"/>
    <x v="14"/>
    <n v="708102"/>
    <x v="0"/>
    <x v="0"/>
  </r>
  <r>
    <x v="0"/>
    <x v="7"/>
    <x v="14"/>
    <n v="18868338"/>
    <x v="3"/>
    <x v="0"/>
  </r>
  <r>
    <x v="0"/>
    <x v="9"/>
    <x v="14"/>
    <n v="74656"/>
    <x v="0"/>
    <x v="0"/>
  </r>
  <r>
    <x v="0"/>
    <x v="10"/>
    <x v="14"/>
    <n v="181497985"/>
    <x v="3"/>
    <x v="1"/>
  </r>
  <r>
    <x v="0"/>
    <x v="11"/>
    <x v="14"/>
    <n v="-24341"/>
    <x v="3"/>
    <x v="1"/>
  </r>
  <r>
    <x v="0"/>
    <x v="12"/>
    <x v="14"/>
    <n v="-4926757"/>
    <x v="3"/>
    <x v="1"/>
  </r>
  <r>
    <x v="0"/>
    <x v="13"/>
    <x v="14"/>
    <n v="962153"/>
    <x v="7"/>
    <x v="0"/>
  </r>
  <r>
    <x v="0"/>
    <x v="14"/>
    <x v="14"/>
    <n v="114318"/>
    <x v="7"/>
    <x v="0"/>
  </r>
  <r>
    <x v="0"/>
    <x v="15"/>
    <x v="14"/>
    <n v="27292139"/>
    <x v="4"/>
    <x v="0"/>
  </r>
  <r>
    <x v="0"/>
    <x v="16"/>
    <x v="14"/>
    <n v="0"/>
    <x v="4"/>
    <x v="0"/>
  </r>
  <r>
    <x v="0"/>
    <x v="17"/>
    <x v="14"/>
    <n v="8254879"/>
    <x v="4"/>
    <x v="0"/>
  </r>
  <r>
    <x v="0"/>
    <x v="18"/>
    <x v="14"/>
    <n v="0"/>
    <x v="4"/>
    <x v="0"/>
  </r>
  <r>
    <x v="0"/>
    <x v="19"/>
    <x v="14"/>
    <n v="139075"/>
    <x v="0"/>
    <x v="0"/>
  </r>
  <r>
    <x v="0"/>
    <x v="0"/>
    <x v="14"/>
    <n v="0"/>
    <x v="0"/>
    <x v="0"/>
  </r>
  <r>
    <x v="0"/>
    <x v="1"/>
    <x v="14"/>
    <n v="323973840"/>
    <x v="1"/>
    <x v="1"/>
  </r>
  <r>
    <x v="0"/>
    <x v="2"/>
    <x v="14"/>
    <n v="-15905614"/>
    <x v="1"/>
    <x v="1"/>
  </r>
  <r>
    <x v="0"/>
    <x v="3"/>
    <x v="14"/>
    <n v="329840"/>
    <x v="2"/>
    <x v="0"/>
  </r>
  <r>
    <x v="0"/>
    <x v="4"/>
    <x v="14"/>
    <n v="3942228"/>
    <x v="3"/>
    <x v="0"/>
  </r>
  <r>
    <x v="0"/>
    <x v="5"/>
    <x v="14"/>
    <n v="191566"/>
    <x v="2"/>
    <x v="0"/>
  </r>
  <r>
    <x v="1"/>
    <x v="6"/>
    <x v="14"/>
    <n v="52.89"/>
    <x v="4"/>
    <x v="2"/>
  </r>
  <r>
    <x v="1"/>
    <x v="7"/>
    <x v="14"/>
    <n v="44.65"/>
    <x v="5"/>
    <x v="3"/>
  </r>
  <r>
    <x v="1"/>
    <x v="4"/>
    <x v="14"/>
    <n v="39.46"/>
    <x v="6"/>
    <x v="4"/>
  </r>
  <r>
    <x v="2"/>
    <x v="8"/>
    <x v="0"/>
    <n v="0"/>
    <x v="0"/>
    <x v="0"/>
  </r>
  <r>
    <x v="2"/>
    <x v="7"/>
    <x v="0"/>
    <n v="58529"/>
    <x v="3"/>
    <x v="0"/>
  </r>
  <r>
    <x v="2"/>
    <x v="9"/>
    <x v="0"/>
    <n v="474"/>
    <x v="0"/>
    <x v="0"/>
  </r>
  <r>
    <x v="2"/>
    <x v="10"/>
    <x v="0"/>
    <n v="230"/>
    <x v="3"/>
    <x v="1"/>
  </r>
  <r>
    <x v="2"/>
    <x v="11"/>
    <x v="0"/>
    <n v="0"/>
    <x v="3"/>
    <x v="1"/>
  </r>
  <r>
    <x v="2"/>
    <x v="12"/>
    <x v="0"/>
    <n v="129"/>
    <x v="3"/>
    <x v="1"/>
  </r>
  <r>
    <x v="2"/>
    <x v="13"/>
    <x v="0"/>
    <n v="0"/>
    <x v="7"/>
    <x v="0"/>
  </r>
  <r>
    <x v="2"/>
    <x v="14"/>
    <x v="0"/>
    <n v="321"/>
    <x v="7"/>
    <x v="0"/>
  </r>
  <r>
    <x v="2"/>
    <x v="15"/>
    <x v="0"/>
    <n v="35773"/>
    <x v="4"/>
    <x v="0"/>
  </r>
  <r>
    <x v="2"/>
    <x v="16"/>
    <x v="0"/>
    <n v="2223"/>
    <x v="4"/>
    <x v="0"/>
  </r>
  <r>
    <x v="2"/>
    <x v="17"/>
    <x v="0"/>
    <n v="40263"/>
    <x v="4"/>
    <x v="0"/>
  </r>
  <r>
    <x v="2"/>
    <x v="18"/>
    <x v="0"/>
    <n v="60400"/>
    <x v="4"/>
    <x v="0"/>
  </r>
  <r>
    <x v="2"/>
    <x v="19"/>
    <x v="0"/>
    <n v="61"/>
    <x v="0"/>
    <x v="0"/>
  </r>
  <r>
    <x v="2"/>
    <x v="0"/>
    <x v="0"/>
    <n v="0"/>
    <x v="0"/>
    <x v="0"/>
  </r>
  <r>
    <x v="2"/>
    <x v="1"/>
    <x v="0"/>
    <n v="0"/>
    <x v="1"/>
    <x v="1"/>
  </r>
  <r>
    <x v="2"/>
    <x v="2"/>
    <x v="0"/>
    <n v="351"/>
    <x v="1"/>
    <x v="1"/>
  </r>
  <r>
    <x v="2"/>
    <x v="3"/>
    <x v="0"/>
    <n v="28"/>
    <x v="2"/>
    <x v="0"/>
  </r>
  <r>
    <x v="2"/>
    <x v="4"/>
    <x v="0"/>
    <n v="0"/>
    <x v="3"/>
    <x v="0"/>
  </r>
  <r>
    <x v="2"/>
    <x v="5"/>
    <x v="0"/>
    <n v="0"/>
    <x v="2"/>
    <x v="0"/>
  </r>
  <r>
    <x v="2"/>
    <x v="20"/>
    <x v="0"/>
    <n v="8573"/>
    <x v="7"/>
    <x v="0"/>
  </r>
  <r>
    <x v="3"/>
    <x v="8"/>
    <x v="0"/>
    <n v="0"/>
    <x v="0"/>
    <x v="0"/>
  </r>
  <r>
    <x v="3"/>
    <x v="7"/>
    <x v="0"/>
    <n v="148"/>
    <x v="3"/>
    <x v="0"/>
  </r>
  <r>
    <x v="3"/>
    <x v="9"/>
    <x v="0"/>
    <n v="0"/>
    <x v="0"/>
    <x v="0"/>
  </r>
  <r>
    <x v="3"/>
    <x v="10"/>
    <x v="0"/>
    <n v="56065"/>
    <x v="3"/>
    <x v="1"/>
  </r>
  <r>
    <x v="3"/>
    <x v="11"/>
    <x v="0"/>
    <n v="0"/>
    <x v="3"/>
    <x v="1"/>
  </r>
  <r>
    <x v="3"/>
    <x v="12"/>
    <x v="0"/>
    <n v="455"/>
    <x v="3"/>
    <x v="1"/>
  </r>
  <r>
    <x v="3"/>
    <x v="13"/>
    <x v="0"/>
    <n v="0"/>
    <x v="7"/>
    <x v="0"/>
  </r>
  <r>
    <x v="3"/>
    <x v="14"/>
    <x v="0"/>
    <n v="0"/>
    <x v="7"/>
    <x v="0"/>
  </r>
  <r>
    <x v="3"/>
    <x v="15"/>
    <x v="0"/>
    <n v="0"/>
    <x v="4"/>
    <x v="0"/>
  </r>
  <r>
    <x v="3"/>
    <x v="16"/>
    <x v="0"/>
    <n v="0"/>
    <x v="4"/>
    <x v="0"/>
  </r>
  <r>
    <x v="3"/>
    <x v="17"/>
    <x v="0"/>
    <n v="0"/>
    <x v="4"/>
    <x v="0"/>
  </r>
  <r>
    <x v="3"/>
    <x v="18"/>
    <x v="0"/>
    <n v="0"/>
    <x v="4"/>
    <x v="0"/>
  </r>
  <r>
    <x v="3"/>
    <x v="19"/>
    <x v="0"/>
    <n v="0"/>
    <x v="0"/>
    <x v="0"/>
  </r>
  <r>
    <x v="3"/>
    <x v="0"/>
    <x v="0"/>
    <n v="0"/>
    <x v="0"/>
    <x v="0"/>
  </r>
  <r>
    <x v="3"/>
    <x v="1"/>
    <x v="0"/>
    <n v="104547"/>
    <x v="1"/>
    <x v="1"/>
  </r>
  <r>
    <x v="3"/>
    <x v="2"/>
    <x v="0"/>
    <n v="484"/>
    <x v="1"/>
    <x v="1"/>
  </r>
  <r>
    <x v="3"/>
    <x v="3"/>
    <x v="0"/>
    <n v="0"/>
    <x v="2"/>
    <x v="0"/>
  </r>
  <r>
    <x v="3"/>
    <x v="4"/>
    <x v="0"/>
    <n v="0"/>
    <x v="3"/>
    <x v="0"/>
  </r>
  <r>
    <x v="3"/>
    <x v="5"/>
    <x v="0"/>
    <n v="0"/>
    <x v="2"/>
    <x v="0"/>
  </r>
  <r>
    <x v="0"/>
    <x v="8"/>
    <x v="0"/>
    <n v="0"/>
    <x v="0"/>
    <x v="0"/>
  </r>
  <r>
    <x v="0"/>
    <x v="7"/>
    <x v="0"/>
    <n v="11353817"/>
    <x v="3"/>
    <x v="0"/>
  </r>
  <r>
    <x v="0"/>
    <x v="9"/>
    <x v="0"/>
    <n v="88727"/>
    <x v="0"/>
    <x v="0"/>
  </r>
  <r>
    <x v="0"/>
    <x v="10"/>
    <x v="0"/>
    <n v="190787754"/>
    <x v="3"/>
    <x v="1"/>
  </r>
  <r>
    <x v="0"/>
    <x v="11"/>
    <x v="0"/>
    <n v="0"/>
    <x v="3"/>
    <x v="1"/>
  </r>
  <r>
    <x v="0"/>
    <x v="12"/>
    <x v="0"/>
    <n v="10272272"/>
    <x v="3"/>
    <x v="1"/>
  </r>
  <r>
    <x v="0"/>
    <x v="13"/>
    <x v="0"/>
    <n v="0"/>
    <x v="7"/>
    <x v="0"/>
  </r>
  <r>
    <x v="0"/>
    <x v="14"/>
    <x v="0"/>
    <n v="7061"/>
    <x v="7"/>
    <x v="0"/>
  </r>
  <r>
    <x v="0"/>
    <x v="15"/>
    <x v="0"/>
    <n v="10084584"/>
    <x v="4"/>
    <x v="0"/>
  </r>
  <r>
    <x v="0"/>
    <x v="16"/>
    <x v="0"/>
    <n v="1219304"/>
    <x v="4"/>
    <x v="0"/>
  </r>
  <r>
    <x v="0"/>
    <x v="17"/>
    <x v="0"/>
    <n v="14139186"/>
    <x v="4"/>
    <x v="0"/>
  </r>
  <r>
    <x v="0"/>
    <x v="18"/>
    <x v="0"/>
    <n v="24779263"/>
    <x v="4"/>
    <x v="0"/>
  </r>
  <r>
    <x v="0"/>
    <x v="19"/>
    <x v="0"/>
    <n v="47944"/>
    <x v="0"/>
    <x v="0"/>
  </r>
  <r>
    <x v="0"/>
    <x v="7"/>
    <x v="6"/>
    <n v="14467683"/>
    <x v="3"/>
    <x v="0"/>
  </r>
  <r>
    <x v="0"/>
    <x v="9"/>
    <x v="6"/>
    <n v="104296"/>
    <x v="0"/>
    <x v="0"/>
  </r>
  <r>
    <x v="0"/>
    <x v="10"/>
    <x v="6"/>
    <n v="193087164"/>
    <x v="3"/>
    <x v="1"/>
  </r>
  <r>
    <x v="0"/>
    <x v="11"/>
    <x v="6"/>
    <n v="0"/>
    <x v="3"/>
    <x v="1"/>
  </r>
  <r>
    <x v="0"/>
    <x v="12"/>
    <x v="6"/>
    <n v="71965"/>
    <x v="3"/>
    <x v="1"/>
  </r>
  <r>
    <x v="0"/>
    <x v="13"/>
    <x v="6"/>
    <n v="0"/>
    <x v="7"/>
    <x v="0"/>
  </r>
  <r>
    <x v="0"/>
    <x v="14"/>
    <x v="6"/>
    <n v="24117"/>
    <x v="7"/>
    <x v="0"/>
  </r>
  <r>
    <x v="0"/>
    <x v="15"/>
    <x v="6"/>
    <n v="9212448"/>
    <x v="4"/>
    <x v="0"/>
  </r>
  <r>
    <x v="0"/>
    <x v="16"/>
    <x v="6"/>
    <n v="0"/>
    <x v="4"/>
    <x v="0"/>
  </r>
  <r>
    <x v="0"/>
    <x v="17"/>
    <x v="6"/>
    <n v="15301245"/>
    <x v="4"/>
    <x v="0"/>
  </r>
  <r>
    <x v="0"/>
    <x v="18"/>
    <x v="6"/>
    <n v="21952322"/>
    <x v="4"/>
    <x v="0"/>
  </r>
  <r>
    <x v="0"/>
    <x v="19"/>
    <x v="6"/>
    <n v="249111"/>
    <x v="0"/>
    <x v="0"/>
  </r>
  <r>
    <x v="0"/>
    <x v="0"/>
    <x v="6"/>
    <n v="0"/>
    <x v="0"/>
    <x v="0"/>
  </r>
  <r>
    <x v="0"/>
    <x v="1"/>
    <x v="6"/>
    <n v="398951677"/>
    <x v="1"/>
    <x v="1"/>
  </r>
  <r>
    <x v="0"/>
    <x v="2"/>
    <x v="6"/>
    <n v="26862864"/>
    <x v="1"/>
    <x v="1"/>
  </r>
  <r>
    <x v="0"/>
    <x v="3"/>
    <x v="6"/>
    <n v="24333"/>
    <x v="2"/>
    <x v="0"/>
  </r>
  <r>
    <x v="0"/>
    <x v="4"/>
    <x v="6"/>
    <n v="0"/>
    <x v="3"/>
    <x v="0"/>
  </r>
  <r>
    <x v="0"/>
    <x v="5"/>
    <x v="6"/>
    <n v="0"/>
    <x v="2"/>
    <x v="0"/>
  </r>
  <r>
    <x v="1"/>
    <x v="6"/>
    <x v="6"/>
    <n v="63.49"/>
    <x v="4"/>
    <x v="2"/>
  </r>
  <r>
    <x v="1"/>
    <x v="7"/>
    <x v="6"/>
    <n v="47.06"/>
    <x v="5"/>
    <x v="3"/>
  </r>
  <r>
    <x v="1"/>
    <x v="4"/>
    <x v="6"/>
    <m/>
    <x v="6"/>
    <x v="4"/>
  </r>
  <r>
    <x v="2"/>
    <x v="8"/>
    <x v="15"/>
    <n v="2478"/>
    <x v="0"/>
    <x v="0"/>
  </r>
  <r>
    <x v="2"/>
    <x v="7"/>
    <x v="15"/>
    <n v="88392"/>
    <x v="3"/>
    <x v="0"/>
  </r>
  <r>
    <x v="2"/>
    <x v="9"/>
    <x v="15"/>
    <n v="129"/>
    <x v="0"/>
    <x v="0"/>
  </r>
  <r>
    <x v="2"/>
    <x v="10"/>
    <x v="15"/>
    <n v="418"/>
    <x v="3"/>
    <x v="1"/>
  </r>
  <r>
    <x v="2"/>
    <x v="11"/>
    <x v="15"/>
    <n v="0"/>
    <x v="3"/>
    <x v="1"/>
  </r>
  <r>
    <x v="2"/>
    <x v="12"/>
    <x v="15"/>
    <n v="214"/>
    <x v="3"/>
    <x v="1"/>
  </r>
  <r>
    <x v="2"/>
    <x v="13"/>
    <x v="15"/>
    <n v="0"/>
    <x v="7"/>
    <x v="0"/>
  </r>
  <r>
    <x v="2"/>
    <x v="14"/>
    <x v="15"/>
    <n v="946"/>
    <x v="7"/>
    <x v="0"/>
  </r>
  <r>
    <x v="2"/>
    <x v="15"/>
    <x v="15"/>
    <n v="32285"/>
    <x v="4"/>
    <x v="0"/>
  </r>
  <r>
    <x v="2"/>
    <x v="16"/>
    <x v="15"/>
    <n v="0"/>
    <x v="4"/>
    <x v="0"/>
  </r>
  <r>
    <x v="2"/>
    <x v="17"/>
    <x v="15"/>
    <n v="70276"/>
    <x v="4"/>
    <x v="0"/>
  </r>
  <r>
    <x v="2"/>
    <x v="18"/>
    <x v="15"/>
    <n v="39825"/>
    <x v="4"/>
    <x v="0"/>
  </r>
  <r>
    <x v="2"/>
    <x v="19"/>
    <x v="15"/>
    <n v="272"/>
    <x v="0"/>
    <x v="0"/>
  </r>
  <r>
    <x v="2"/>
    <x v="0"/>
    <x v="15"/>
    <n v="0"/>
    <x v="0"/>
    <x v="0"/>
  </r>
  <r>
    <x v="2"/>
    <x v="1"/>
    <x v="15"/>
    <n v="331"/>
    <x v="1"/>
    <x v="1"/>
  </r>
  <r>
    <x v="2"/>
    <x v="2"/>
    <x v="15"/>
    <n v="75"/>
    <x v="1"/>
    <x v="1"/>
  </r>
  <r>
    <x v="2"/>
    <x v="3"/>
    <x v="15"/>
    <n v="61"/>
    <x v="2"/>
    <x v="0"/>
  </r>
  <r>
    <x v="2"/>
    <x v="4"/>
    <x v="15"/>
    <n v="2863"/>
    <x v="3"/>
    <x v="0"/>
  </r>
  <r>
    <x v="2"/>
    <x v="5"/>
    <x v="15"/>
    <n v="0"/>
    <x v="2"/>
    <x v="0"/>
  </r>
  <r>
    <x v="2"/>
    <x v="20"/>
    <x v="15"/>
    <n v="10301"/>
    <x v="7"/>
    <x v="0"/>
  </r>
  <r>
    <x v="3"/>
    <x v="8"/>
    <x v="15"/>
    <n v="0"/>
    <x v="0"/>
    <x v="0"/>
  </r>
  <r>
    <x v="3"/>
    <x v="7"/>
    <x v="15"/>
    <n v="1286"/>
    <x v="3"/>
    <x v="0"/>
  </r>
  <r>
    <x v="3"/>
    <x v="9"/>
    <x v="15"/>
    <n v="0"/>
    <x v="0"/>
    <x v="0"/>
  </r>
  <r>
    <x v="3"/>
    <x v="10"/>
    <x v="15"/>
    <n v="52953"/>
    <x v="3"/>
    <x v="1"/>
  </r>
  <r>
    <x v="3"/>
    <x v="11"/>
    <x v="15"/>
    <n v="0"/>
    <x v="3"/>
    <x v="1"/>
  </r>
  <r>
    <x v="3"/>
    <x v="12"/>
    <x v="15"/>
    <n v="367"/>
    <x v="3"/>
    <x v="1"/>
  </r>
  <r>
    <x v="3"/>
    <x v="13"/>
    <x v="15"/>
    <n v="0"/>
    <x v="7"/>
    <x v="0"/>
  </r>
  <r>
    <x v="3"/>
    <x v="14"/>
    <x v="15"/>
    <n v="0"/>
    <x v="7"/>
    <x v="0"/>
  </r>
  <r>
    <x v="3"/>
    <x v="15"/>
    <x v="15"/>
    <n v="0"/>
    <x v="4"/>
    <x v="0"/>
  </r>
  <r>
    <x v="3"/>
    <x v="16"/>
    <x v="15"/>
    <n v="0"/>
    <x v="4"/>
    <x v="0"/>
  </r>
  <r>
    <x v="3"/>
    <x v="17"/>
    <x v="15"/>
    <n v="3653"/>
    <x v="4"/>
    <x v="0"/>
  </r>
  <r>
    <x v="3"/>
    <x v="18"/>
    <x v="15"/>
    <n v="17390"/>
    <x v="4"/>
    <x v="0"/>
  </r>
  <r>
    <x v="3"/>
    <x v="19"/>
    <x v="15"/>
    <n v="0"/>
    <x v="0"/>
    <x v="0"/>
  </r>
  <r>
    <x v="3"/>
    <x v="0"/>
    <x v="15"/>
    <n v="0"/>
    <x v="0"/>
    <x v="0"/>
  </r>
  <r>
    <x v="3"/>
    <x v="1"/>
    <x v="15"/>
    <n v="109770"/>
    <x v="1"/>
    <x v="1"/>
  </r>
  <r>
    <x v="3"/>
    <x v="2"/>
    <x v="15"/>
    <n v="1037"/>
    <x v="1"/>
    <x v="1"/>
  </r>
  <r>
    <x v="3"/>
    <x v="3"/>
    <x v="15"/>
    <n v="0"/>
    <x v="2"/>
    <x v="0"/>
  </r>
  <r>
    <x v="3"/>
    <x v="4"/>
    <x v="15"/>
    <n v="0"/>
    <x v="3"/>
    <x v="0"/>
  </r>
  <r>
    <x v="3"/>
    <x v="5"/>
    <x v="15"/>
    <n v="0"/>
    <x v="2"/>
    <x v="0"/>
  </r>
  <r>
    <x v="0"/>
    <x v="8"/>
    <x v="15"/>
    <n v="402283"/>
    <x v="0"/>
    <x v="0"/>
  </r>
  <r>
    <x v="0"/>
    <x v="7"/>
    <x v="15"/>
    <n v="14095269"/>
    <x v="3"/>
    <x v="0"/>
  </r>
  <r>
    <x v="0"/>
    <x v="9"/>
    <x v="15"/>
    <n v="33816"/>
    <x v="0"/>
    <x v="0"/>
  </r>
  <r>
    <x v="0"/>
    <x v="10"/>
    <x v="15"/>
    <n v="161636376"/>
    <x v="3"/>
    <x v="1"/>
  </r>
  <r>
    <x v="0"/>
    <x v="11"/>
    <x v="15"/>
    <n v="0"/>
    <x v="3"/>
    <x v="1"/>
  </r>
  <r>
    <x v="0"/>
    <x v="12"/>
    <x v="15"/>
    <n v="2358476"/>
    <x v="3"/>
    <x v="1"/>
  </r>
  <r>
    <x v="0"/>
    <x v="13"/>
    <x v="15"/>
    <n v="0"/>
    <x v="7"/>
    <x v="0"/>
  </r>
  <r>
    <x v="0"/>
    <x v="14"/>
    <x v="15"/>
    <n v="22967"/>
    <x v="7"/>
    <x v="0"/>
  </r>
  <r>
    <x v="0"/>
    <x v="15"/>
    <x v="15"/>
    <n v="8937202"/>
    <x v="4"/>
    <x v="0"/>
  </r>
  <r>
    <x v="0"/>
    <x v="16"/>
    <x v="15"/>
    <n v="0"/>
    <x v="4"/>
    <x v="0"/>
  </r>
  <r>
    <x v="0"/>
    <x v="17"/>
    <x v="15"/>
    <n v="22286606"/>
    <x v="4"/>
    <x v="0"/>
  </r>
  <r>
    <x v="0"/>
    <x v="18"/>
    <x v="15"/>
    <n v="9236517"/>
    <x v="4"/>
    <x v="0"/>
  </r>
  <r>
    <x v="0"/>
    <x v="19"/>
    <x v="15"/>
    <n v="205210"/>
    <x v="0"/>
    <x v="0"/>
  </r>
  <r>
    <x v="0"/>
    <x v="0"/>
    <x v="15"/>
    <n v="0"/>
    <x v="0"/>
    <x v="0"/>
  </r>
  <r>
    <x v="0"/>
    <x v="1"/>
    <x v="15"/>
    <n v="357091065"/>
    <x v="1"/>
    <x v="1"/>
  </r>
  <r>
    <x v="0"/>
    <x v="2"/>
    <x v="15"/>
    <n v="20220327"/>
    <x v="1"/>
    <x v="1"/>
  </r>
  <r>
    <x v="0"/>
    <x v="3"/>
    <x v="15"/>
    <n v="39627"/>
    <x v="2"/>
    <x v="0"/>
  </r>
  <r>
    <x v="0"/>
    <x v="4"/>
    <x v="15"/>
    <n v="337496"/>
    <x v="3"/>
    <x v="0"/>
  </r>
  <r>
    <x v="0"/>
    <x v="5"/>
    <x v="15"/>
    <n v="0"/>
    <x v="2"/>
    <x v="0"/>
  </r>
  <r>
    <x v="1"/>
    <x v="6"/>
    <x v="15"/>
    <n v="61.33"/>
    <x v="4"/>
    <x v="2"/>
  </r>
  <r>
    <x v="1"/>
    <x v="7"/>
    <x v="15"/>
    <n v="47.45"/>
    <x v="5"/>
    <x v="3"/>
  </r>
  <r>
    <x v="1"/>
    <x v="4"/>
    <x v="15"/>
    <n v="33.64"/>
    <x v="6"/>
    <x v="4"/>
  </r>
  <r>
    <x v="2"/>
    <x v="8"/>
    <x v="16"/>
    <n v="876"/>
    <x v="0"/>
    <x v="0"/>
  </r>
  <r>
    <x v="2"/>
    <x v="7"/>
    <x v="16"/>
    <n v="73382"/>
    <x v="3"/>
    <x v="0"/>
  </r>
  <r>
    <x v="2"/>
    <x v="9"/>
    <x v="16"/>
    <n v="327"/>
    <x v="0"/>
    <x v="0"/>
  </r>
  <r>
    <x v="2"/>
    <x v="10"/>
    <x v="16"/>
    <n v="625"/>
    <x v="3"/>
    <x v="1"/>
  </r>
  <r>
    <x v="2"/>
    <x v="11"/>
    <x v="16"/>
    <n v="0"/>
    <x v="3"/>
    <x v="1"/>
  </r>
  <r>
    <x v="2"/>
    <x v="12"/>
    <x v="16"/>
    <n v="562"/>
    <x v="3"/>
    <x v="1"/>
  </r>
  <r>
    <x v="2"/>
    <x v="13"/>
    <x v="16"/>
    <n v="4288"/>
    <x v="7"/>
    <x v="0"/>
  </r>
  <r>
    <x v="2"/>
    <x v="14"/>
    <x v="16"/>
    <n v="539"/>
    <x v="7"/>
    <x v="0"/>
  </r>
  <r>
    <x v="2"/>
    <x v="15"/>
    <x v="16"/>
    <n v="30356"/>
    <x v="4"/>
    <x v="0"/>
  </r>
  <r>
    <x v="2"/>
    <x v="16"/>
    <x v="16"/>
    <n v="0"/>
    <x v="4"/>
    <x v="0"/>
  </r>
  <r>
    <x v="2"/>
    <x v="17"/>
    <x v="16"/>
    <n v="68913"/>
    <x v="4"/>
    <x v="0"/>
  </r>
  <r>
    <x v="2"/>
    <x v="18"/>
    <x v="16"/>
    <n v="21805"/>
    <x v="4"/>
    <x v="0"/>
  </r>
  <r>
    <x v="2"/>
    <x v="19"/>
    <x v="16"/>
    <n v="472"/>
    <x v="0"/>
    <x v="0"/>
  </r>
  <r>
    <x v="2"/>
    <x v="0"/>
    <x v="16"/>
    <n v="0"/>
    <x v="0"/>
    <x v="0"/>
  </r>
  <r>
    <x v="2"/>
    <x v="1"/>
    <x v="16"/>
    <n v="128"/>
    <x v="1"/>
    <x v="1"/>
  </r>
  <r>
    <x v="2"/>
    <x v="2"/>
    <x v="16"/>
    <n v="133"/>
    <x v="1"/>
    <x v="1"/>
  </r>
  <r>
    <x v="2"/>
    <x v="3"/>
    <x v="16"/>
    <n v="199"/>
    <x v="2"/>
    <x v="0"/>
  </r>
  <r>
    <x v="2"/>
    <x v="4"/>
    <x v="16"/>
    <n v="1967"/>
    <x v="3"/>
    <x v="0"/>
  </r>
  <r>
    <x v="2"/>
    <x v="5"/>
    <x v="16"/>
    <n v="0"/>
    <x v="2"/>
    <x v="0"/>
  </r>
  <r>
    <x v="2"/>
    <x v="20"/>
    <x v="16"/>
    <n v="14222"/>
    <x v="7"/>
    <x v="0"/>
  </r>
  <r>
    <x v="3"/>
    <x v="8"/>
    <x v="16"/>
    <n v="0"/>
    <x v="0"/>
    <x v="0"/>
  </r>
  <r>
    <x v="3"/>
    <x v="7"/>
    <x v="16"/>
    <n v="659"/>
    <x v="3"/>
    <x v="0"/>
  </r>
  <r>
    <x v="3"/>
    <x v="9"/>
    <x v="16"/>
    <n v="0"/>
    <x v="0"/>
    <x v="0"/>
  </r>
  <r>
    <x v="3"/>
    <x v="10"/>
    <x v="16"/>
    <n v="66852"/>
    <x v="3"/>
    <x v="1"/>
  </r>
  <r>
    <x v="3"/>
    <x v="11"/>
    <x v="16"/>
    <n v="0"/>
    <x v="3"/>
    <x v="1"/>
  </r>
  <r>
    <x v="3"/>
    <x v="12"/>
    <x v="16"/>
    <n v="549"/>
    <x v="3"/>
    <x v="1"/>
  </r>
  <r>
    <x v="3"/>
    <x v="13"/>
    <x v="16"/>
    <n v="0"/>
    <x v="7"/>
    <x v="0"/>
  </r>
  <r>
    <x v="3"/>
    <x v="14"/>
    <x v="16"/>
    <n v="0"/>
    <x v="7"/>
    <x v="0"/>
  </r>
  <r>
    <x v="3"/>
    <x v="15"/>
    <x v="16"/>
    <n v="292"/>
    <x v="4"/>
    <x v="0"/>
  </r>
  <r>
    <x v="3"/>
    <x v="16"/>
    <x v="16"/>
    <n v="0"/>
    <x v="4"/>
    <x v="0"/>
  </r>
  <r>
    <x v="3"/>
    <x v="17"/>
    <x v="16"/>
    <n v="3494"/>
    <x v="4"/>
    <x v="0"/>
  </r>
  <r>
    <x v="3"/>
    <x v="18"/>
    <x v="16"/>
    <n v="203"/>
    <x v="4"/>
    <x v="0"/>
  </r>
  <r>
    <x v="3"/>
    <x v="19"/>
    <x v="16"/>
    <n v="0"/>
    <x v="0"/>
    <x v="0"/>
  </r>
  <r>
    <x v="3"/>
    <x v="0"/>
    <x v="16"/>
    <n v="0"/>
    <x v="0"/>
    <x v="0"/>
  </r>
  <r>
    <x v="3"/>
    <x v="1"/>
    <x v="16"/>
    <n v="122722"/>
    <x v="1"/>
    <x v="1"/>
  </r>
  <r>
    <x v="3"/>
    <x v="2"/>
    <x v="16"/>
    <n v="2325"/>
    <x v="1"/>
    <x v="1"/>
  </r>
  <r>
    <x v="3"/>
    <x v="3"/>
    <x v="16"/>
    <n v="0"/>
    <x v="2"/>
    <x v="0"/>
  </r>
  <r>
    <x v="3"/>
    <x v="4"/>
    <x v="16"/>
    <n v="18"/>
    <x v="3"/>
    <x v="0"/>
  </r>
  <r>
    <x v="3"/>
    <x v="5"/>
    <x v="16"/>
    <n v="0"/>
    <x v="2"/>
    <x v="0"/>
  </r>
  <r>
    <x v="0"/>
    <x v="8"/>
    <x v="16"/>
    <n v="187421"/>
    <x v="0"/>
    <x v="0"/>
  </r>
  <r>
    <x v="0"/>
    <x v="7"/>
    <x v="16"/>
    <n v="10797938"/>
    <x v="3"/>
    <x v="0"/>
  </r>
  <r>
    <x v="0"/>
    <x v="9"/>
    <x v="16"/>
    <n v="84406"/>
    <x v="0"/>
    <x v="0"/>
  </r>
  <r>
    <x v="0"/>
    <x v="10"/>
    <x v="16"/>
    <n v="162000728"/>
    <x v="3"/>
    <x v="1"/>
  </r>
  <r>
    <x v="0"/>
    <x v="11"/>
    <x v="16"/>
    <n v="0"/>
    <x v="3"/>
    <x v="1"/>
  </r>
  <r>
    <x v="0"/>
    <x v="12"/>
    <x v="16"/>
    <n v="-76495"/>
    <x v="3"/>
    <x v="1"/>
  </r>
  <r>
    <x v="0"/>
    <x v="13"/>
    <x v="16"/>
    <n v="431079"/>
    <x v="7"/>
    <x v="0"/>
  </r>
  <r>
    <x v="0"/>
    <x v="14"/>
    <x v="16"/>
    <n v="18643"/>
    <x v="7"/>
    <x v="0"/>
  </r>
  <r>
    <x v="0"/>
    <x v="15"/>
    <x v="16"/>
    <n v="8411434"/>
    <x v="4"/>
    <x v="0"/>
  </r>
  <r>
    <x v="0"/>
    <x v="16"/>
    <x v="16"/>
    <n v="0"/>
    <x v="4"/>
    <x v="0"/>
  </r>
  <r>
    <x v="0"/>
    <x v="17"/>
    <x v="16"/>
    <n v="23044585"/>
    <x v="4"/>
    <x v="0"/>
  </r>
  <r>
    <x v="0"/>
    <x v="18"/>
    <x v="16"/>
    <n v="8661266"/>
    <x v="4"/>
    <x v="0"/>
  </r>
  <r>
    <x v="0"/>
    <x v="19"/>
    <x v="16"/>
    <n v="384241"/>
    <x v="0"/>
    <x v="0"/>
  </r>
  <r>
    <x v="0"/>
    <x v="0"/>
    <x v="16"/>
    <n v="0"/>
    <x v="0"/>
    <x v="0"/>
  </r>
  <r>
    <x v="0"/>
    <x v="1"/>
    <x v="16"/>
    <n v="321842960"/>
    <x v="1"/>
    <x v="1"/>
  </r>
  <r>
    <x v="0"/>
    <x v="2"/>
    <x v="16"/>
    <n v="18561719"/>
    <x v="1"/>
    <x v="1"/>
  </r>
  <r>
    <x v="0"/>
    <x v="3"/>
    <x v="16"/>
    <n v="138064"/>
    <x v="2"/>
    <x v="0"/>
  </r>
  <r>
    <x v="0"/>
    <x v="4"/>
    <x v="16"/>
    <n v="301585"/>
    <x v="3"/>
    <x v="0"/>
  </r>
  <r>
    <x v="0"/>
    <x v="5"/>
    <x v="16"/>
    <n v="0"/>
    <x v="2"/>
    <x v="0"/>
  </r>
  <r>
    <x v="1"/>
    <x v="6"/>
    <x v="16"/>
    <n v="61.85"/>
    <x v="4"/>
    <x v="2"/>
  </r>
  <r>
    <x v="1"/>
    <x v="7"/>
    <x v="16"/>
    <n v="45.21"/>
    <x v="5"/>
    <x v="3"/>
  </r>
  <r>
    <x v="1"/>
    <x v="4"/>
    <x v="16"/>
    <n v="48.76"/>
    <x v="6"/>
    <x v="4"/>
  </r>
  <r>
    <x v="2"/>
    <x v="8"/>
    <x v="7"/>
    <n v="1337"/>
    <x v="0"/>
    <x v="0"/>
  </r>
  <r>
    <x v="2"/>
    <x v="7"/>
    <x v="7"/>
    <n v="88804"/>
    <x v="3"/>
    <x v="0"/>
  </r>
  <r>
    <x v="2"/>
    <x v="9"/>
    <x v="7"/>
    <n v="433"/>
    <x v="0"/>
    <x v="0"/>
  </r>
  <r>
    <x v="2"/>
    <x v="10"/>
    <x v="7"/>
    <n v="1068"/>
    <x v="3"/>
    <x v="1"/>
  </r>
  <r>
    <x v="2"/>
    <x v="11"/>
    <x v="7"/>
    <n v="12"/>
    <x v="3"/>
    <x v="1"/>
  </r>
  <r>
    <x v="2"/>
    <x v="12"/>
    <x v="7"/>
    <n v="870"/>
    <x v="3"/>
    <x v="1"/>
  </r>
  <r>
    <x v="2"/>
    <x v="13"/>
    <x v="7"/>
    <n v="4206"/>
    <x v="7"/>
    <x v="0"/>
  </r>
  <r>
    <x v="2"/>
    <x v="14"/>
    <x v="7"/>
    <n v="761"/>
    <x v="7"/>
    <x v="0"/>
  </r>
  <r>
    <x v="2"/>
    <x v="15"/>
    <x v="7"/>
    <n v="31671"/>
    <x v="4"/>
    <x v="0"/>
  </r>
  <r>
    <x v="2"/>
    <x v="16"/>
    <x v="7"/>
    <n v="0"/>
    <x v="4"/>
    <x v="0"/>
  </r>
  <r>
    <x v="2"/>
    <x v="17"/>
    <x v="7"/>
    <n v="73362"/>
    <x v="4"/>
    <x v="0"/>
  </r>
  <r>
    <x v="2"/>
    <x v="18"/>
    <x v="7"/>
    <n v="11729"/>
    <x v="4"/>
    <x v="0"/>
  </r>
  <r>
    <x v="2"/>
    <x v="19"/>
    <x v="7"/>
    <n v="514"/>
    <x v="0"/>
    <x v="0"/>
  </r>
  <r>
    <x v="2"/>
    <x v="0"/>
    <x v="7"/>
    <n v="0"/>
    <x v="0"/>
    <x v="0"/>
  </r>
  <r>
    <x v="2"/>
    <x v="1"/>
    <x v="7"/>
    <n v="1205"/>
    <x v="1"/>
    <x v="1"/>
  </r>
  <r>
    <x v="2"/>
    <x v="2"/>
    <x v="7"/>
    <n v="84"/>
    <x v="1"/>
    <x v="1"/>
  </r>
  <r>
    <x v="2"/>
    <x v="3"/>
    <x v="7"/>
    <n v="218"/>
    <x v="2"/>
    <x v="0"/>
  </r>
  <r>
    <x v="2"/>
    <x v="4"/>
    <x v="7"/>
    <n v="1637"/>
    <x v="3"/>
    <x v="0"/>
  </r>
  <r>
    <x v="2"/>
    <x v="5"/>
    <x v="7"/>
    <n v="0"/>
    <x v="2"/>
    <x v="0"/>
  </r>
  <r>
    <x v="2"/>
    <x v="20"/>
    <x v="7"/>
    <n v="14222"/>
    <x v="7"/>
    <x v="0"/>
  </r>
  <r>
    <x v="3"/>
    <x v="8"/>
    <x v="7"/>
    <n v="0"/>
    <x v="0"/>
    <x v="0"/>
  </r>
  <r>
    <x v="3"/>
    <x v="7"/>
    <x v="7"/>
    <n v="1134"/>
    <x v="3"/>
    <x v="0"/>
  </r>
  <r>
    <x v="3"/>
    <x v="9"/>
    <x v="7"/>
    <n v="0"/>
    <x v="0"/>
    <x v="0"/>
  </r>
  <r>
    <x v="3"/>
    <x v="10"/>
    <x v="7"/>
    <n v="76577"/>
    <x v="3"/>
    <x v="1"/>
  </r>
  <r>
    <x v="3"/>
    <x v="11"/>
    <x v="7"/>
    <n v="0"/>
    <x v="3"/>
    <x v="1"/>
  </r>
  <r>
    <x v="3"/>
    <x v="12"/>
    <x v="7"/>
    <n v="437"/>
    <x v="3"/>
    <x v="1"/>
  </r>
  <r>
    <x v="3"/>
    <x v="13"/>
    <x v="7"/>
    <n v="0"/>
    <x v="7"/>
    <x v="0"/>
  </r>
  <r>
    <x v="3"/>
    <x v="14"/>
    <x v="7"/>
    <n v="0"/>
    <x v="7"/>
    <x v="0"/>
  </r>
  <r>
    <x v="3"/>
    <x v="15"/>
    <x v="7"/>
    <n v="0"/>
    <x v="4"/>
    <x v="0"/>
  </r>
  <r>
    <x v="3"/>
    <x v="16"/>
    <x v="7"/>
    <n v="0"/>
    <x v="4"/>
    <x v="0"/>
  </r>
  <r>
    <x v="3"/>
    <x v="17"/>
    <x v="7"/>
    <n v="2984"/>
    <x v="4"/>
    <x v="0"/>
  </r>
  <r>
    <x v="3"/>
    <x v="18"/>
    <x v="7"/>
    <n v="0"/>
    <x v="4"/>
    <x v="0"/>
  </r>
  <r>
    <x v="3"/>
    <x v="19"/>
    <x v="7"/>
    <n v="0"/>
    <x v="0"/>
    <x v="0"/>
  </r>
  <r>
    <x v="3"/>
    <x v="0"/>
    <x v="7"/>
    <n v="0"/>
    <x v="0"/>
    <x v="0"/>
  </r>
  <r>
    <x v="3"/>
    <x v="13"/>
    <x v="11"/>
    <n v="0"/>
    <x v="7"/>
    <x v="0"/>
  </r>
  <r>
    <x v="3"/>
    <x v="14"/>
    <x v="11"/>
    <n v="0"/>
    <x v="7"/>
    <x v="0"/>
  </r>
  <r>
    <x v="3"/>
    <x v="15"/>
    <x v="11"/>
    <n v="388"/>
    <x v="4"/>
    <x v="0"/>
  </r>
  <r>
    <x v="3"/>
    <x v="16"/>
    <x v="11"/>
    <n v="0"/>
    <x v="4"/>
    <x v="0"/>
  </r>
  <r>
    <x v="3"/>
    <x v="17"/>
    <x v="11"/>
    <n v="8574"/>
    <x v="4"/>
    <x v="0"/>
  </r>
  <r>
    <x v="3"/>
    <x v="18"/>
    <x v="11"/>
    <n v="9"/>
    <x v="4"/>
    <x v="0"/>
  </r>
  <r>
    <x v="3"/>
    <x v="19"/>
    <x v="11"/>
    <n v="0"/>
    <x v="0"/>
    <x v="0"/>
  </r>
  <r>
    <x v="3"/>
    <x v="0"/>
    <x v="11"/>
    <n v="0"/>
    <x v="0"/>
    <x v="0"/>
  </r>
  <r>
    <x v="3"/>
    <x v="1"/>
    <x v="11"/>
    <n v="165206"/>
    <x v="1"/>
    <x v="1"/>
  </r>
  <r>
    <x v="3"/>
    <x v="2"/>
    <x v="11"/>
    <n v="4353"/>
    <x v="1"/>
    <x v="1"/>
  </r>
  <r>
    <x v="3"/>
    <x v="3"/>
    <x v="11"/>
    <n v="0"/>
    <x v="2"/>
    <x v="0"/>
  </r>
  <r>
    <x v="3"/>
    <x v="4"/>
    <x v="11"/>
    <n v="0"/>
    <x v="3"/>
    <x v="0"/>
  </r>
  <r>
    <x v="3"/>
    <x v="5"/>
    <x v="11"/>
    <n v="0"/>
    <x v="2"/>
    <x v="0"/>
  </r>
  <r>
    <x v="0"/>
    <x v="8"/>
    <x v="11"/>
    <n v="471796"/>
    <x v="0"/>
    <x v="0"/>
  </r>
  <r>
    <x v="0"/>
    <x v="7"/>
    <x v="11"/>
    <n v="16376995"/>
    <x v="3"/>
    <x v="0"/>
  </r>
  <r>
    <x v="0"/>
    <x v="9"/>
    <x v="11"/>
    <n v="83726"/>
    <x v="0"/>
    <x v="0"/>
  </r>
  <r>
    <x v="0"/>
    <x v="10"/>
    <x v="11"/>
    <n v="167000751"/>
    <x v="3"/>
    <x v="1"/>
  </r>
  <r>
    <x v="0"/>
    <x v="11"/>
    <x v="11"/>
    <n v="-6563"/>
    <x v="3"/>
    <x v="1"/>
  </r>
  <r>
    <x v="0"/>
    <x v="12"/>
    <x v="11"/>
    <n v="2970595"/>
    <x v="3"/>
    <x v="1"/>
  </r>
  <r>
    <x v="0"/>
    <x v="13"/>
    <x v="11"/>
    <n v="490452"/>
    <x v="7"/>
    <x v="0"/>
  </r>
  <r>
    <x v="0"/>
    <x v="14"/>
    <x v="11"/>
    <n v="54052"/>
    <x v="7"/>
    <x v="0"/>
  </r>
  <r>
    <x v="0"/>
    <x v="15"/>
    <x v="11"/>
    <n v="9379218"/>
    <x v="4"/>
    <x v="0"/>
  </r>
  <r>
    <x v="0"/>
    <x v="16"/>
    <x v="11"/>
    <n v="298937"/>
    <x v="4"/>
    <x v="0"/>
  </r>
  <r>
    <x v="0"/>
    <x v="17"/>
    <x v="11"/>
    <n v="27263997"/>
    <x v="4"/>
    <x v="0"/>
  </r>
  <r>
    <x v="0"/>
    <x v="18"/>
    <x v="11"/>
    <n v="5458262"/>
    <x v="4"/>
    <x v="0"/>
  </r>
  <r>
    <x v="0"/>
    <x v="19"/>
    <x v="11"/>
    <n v="282897"/>
    <x v="0"/>
    <x v="0"/>
  </r>
  <r>
    <x v="0"/>
    <x v="0"/>
    <x v="11"/>
    <n v="0"/>
    <x v="0"/>
    <x v="0"/>
  </r>
  <r>
    <x v="0"/>
    <x v="1"/>
    <x v="11"/>
    <n v="375127081"/>
    <x v="1"/>
    <x v="1"/>
  </r>
  <r>
    <x v="0"/>
    <x v="2"/>
    <x v="11"/>
    <n v="20857756"/>
    <x v="1"/>
    <x v="1"/>
  </r>
  <r>
    <x v="0"/>
    <x v="3"/>
    <x v="11"/>
    <n v="365157"/>
    <x v="2"/>
    <x v="0"/>
  </r>
  <r>
    <x v="0"/>
    <x v="4"/>
    <x v="11"/>
    <n v="455869"/>
    <x v="3"/>
    <x v="0"/>
  </r>
  <r>
    <x v="0"/>
    <x v="5"/>
    <x v="11"/>
    <n v="0"/>
    <x v="2"/>
    <x v="0"/>
  </r>
  <r>
    <x v="1"/>
    <x v="6"/>
    <x v="11"/>
    <n v="59.68"/>
    <x v="4"/>
    <x v="2"/>
  </r>
  <r>
    <x v="1"/>
    <x v="7"/>
    <x v="11"/>
    <n v="38.92"/>
    <x v="5"/>
    <x v="3"/>
  </r>
  <r>
    <x v="1"/>
    <x v="4"/>
    <x v="11"/>
    <n v="44.74"/>
    <x v="6"/>
    <x v="4"/>
  </r>
  <r>
    <x v="2"/>
    <x v="8"/>
    <x v="17"/>
    <n v="1863"/>
    <x v="0"/>
    <x v="0"/>
  </r>
  <r>
    <x v="2"/>
    <x v="7"/>
    <x v="17"/>
    <n v="125305"/>
    <x v="3"/>
    <x v="0"/>
  </r>
  <r>
    <x v="2"/>
    <x v="9"/>
    <x v="17"/>
    <n v="226"/>
    <x v="0"/>
    <x v="0"/>
  </r>
  <r>
    <x v="2"/>
    <x v="10"/>
    <x v="17"/>
    <n v="1316"/>
    <x v="3"/>
    <x v="1"/>
  </r>
  <r>
    <x v="2"/>
    <x v="11"/>
    <x v="17"/>
    <n v="0"/>
    <x v="3"/>
    <x v="1"/>
  </r>
  <r>
    <x v="2"/>
    <x v="12"/>
    <x v="17"/>
    <n v="132"/>
    <x v="3"/>
    <x v="1"/>
  </r>
  <r>
    <x v="2"/>
    <x v="13"/>
    <x v="17"/>
    <n v="5787"/>
    <x v="7"/>
    <x v="0"/>
  </r>
  <r>
    <x v="2"/>
    <x v="14"/>
    <x v="17"/>
    <n v="1965"/>
    <x v="7"/>
    <x v="0"/>
  </r>
  <r>
    <x v="2"/>
    <x v="15"/>
    <x v="17"/>
    <n v="51580"/>
    <x v="4"/>
    <x v="0"/>
  </r>
  <r>
    <x v="2"/>
    <x v="16"/>
    <x v="17"/>
    <n v="0"/>
    <x v="4"/>
    <x v="0"/>
  </r>
  <r>
    <x v="2"/>
    <x v="17"/>
    <x v="17"/>
    <n v="104296"/>
    <x v="4"/>
    <x v="0"/>
  </r>
  <r>
    <x v="2"/>
    <x v="18"/>
    <x v="17"/>
    <n v="2282"/>
    <x v="4"/>
    <x v="0"/>
  </r>
  <r>
    <x v="2"/>
    <x v="19"/>
    <x v="17"/>
    <n v="435"/>
    <x v="0"/>
    <x v="0"/>
  </r>
  <r>
    <x v="2"/>
    <x v="0"/>
    <x v="17"/>
    <n v="0"/>
    <x v="0"/>
    <x v="0"/>
  </r>
  <r>
    <x v="2"/>
    <x v="1"/>
    <x v="17"/>
    <n v="2409"/>
    <x v="1"/>
    <x v="1"/>
  </r>
  <r>
    <x v="2"/>
    <x v="2"/>
    <x v="17"/>
    <n v="0"/>
    <x v="1"/>
    <x v="1"/>
  </r>
  <r>
    <x v="2"/>
    <x v="3"/>
    <x v="17"/>
    <n v="375"/>
    <x v="2"/>
    <x v="0"/>
  </r>
  <r>
    <x v="2"/>
    <x v="4"/>
    <x v="17"/>
    <n v="98814"/>
    <x v="3"/>
    <x v="0"/>
  </r>
  <r>
    <x v="2"/>
    <x v="5"/>
    <x v="17"/>
    <n v="1268"/>
    <x v="2"/>
    <x v="0"/>
  </r>
  <r>
    <x v="2"/>
    <x v="20"/>
    <x v="17"/>
    <n v="18318"/>
    <x v="7"/>
    <x v="0"/>
  </r>
  <r>
    <x v="3"/>
    <x v="8"/>
    <x v="17"/>
    <n v="0"/>
    <x v="0"/>
    <x v="0"/>
  </r>
  <r>
    <x v="3"/>
    <x v="7"/>
    <x v="17"/>
    <n v="1513"/>
    <x v="3"/>
    <x v="0"/>
  </r>
  <r>
    <x v="3"/>
    <x v="9"/>
    <x v="17"/>
    <n v="0"/>
    <x v="0"/>
    <x v="0"/>
  </r>
  <r>
    <x v="3"/>
    <x v="10"/>
    <x v="17"/>
    <n v="89450"/>
    <x v="3"/>
    <x v="1"/>
  </r>
  <r>
    <x v="3"/>
    <x v="11"/>
    <x v="17"/>
    <n v="13"/>
    <x v="3"/>
    <x v="1"/>
  </r>
  <r>
    <x v="3"/>
    <x v="12"/>
    <x v="17"/>
    <n v="1623"/>
    <x v="3"/>
    <x v="1"/>
  </r>
  <r>
    <x v="3"/>
    <x v="13"/>
    <x v="17"/>
    <n v="0"/>
    <x v="7"/>
    <x v="0"/>
  </r>
  <r>
    <x v="3"/>
    <x v="14"/>
    <x v="17"/>
    <n v="0"/>
    <x v="7"/>
    <x v="0"/>
  </r>
  <r>
    <x v="3"/>
    <x v="15"/>
    <x v="17"/>
    <n v="354"/>
    <x v="4"/>
    <x v="0"/>
  </r>
  <r>
    <x v="3"/>
    <x v="16"/>
    <x v="17"/>
    <n v="0"/>
    <x v="4"/>
    <x v="0"/>
  </r>
  <r>
    <x v="3"/>
    <x v="17"/>
    <x v="17"/>
    <n v="11085"/>
    <x v="4"/>
    <x v="0"/>
  </r>
  <r>
    <x v="3"/>
    <x v="18"/>
    <x v="17"/>
    <n v="4"/>
    <x v="4"/>
    <x v="0"/>
  </r>
  <r>
    <x v="3"/>
    <x v="19"/>
    <x v="17"/>
    <n v="0"/>
    <x v="0"/>
    <x v="0"/>
  </r>
  <r>
    <x v="3"/>
    <x v="0"/>
    <x v="17"/>
    <n v="0"/>
    <x v="0"/>
    <x v="0"/>
  </r>
  <r>
    <x v="3"/>
    <x v="1"/>
    <x v="17"/>
    <n v="167815"/>
    <x v="1"/>
    <x v="1"/>
  </r>
  <r>
    <x v="3"/>
    <x v="2"/>
    <x v="17"/>
    <n v="3916"/>
    <x v="1"/>
    <x v="1"/>
  </r>
  <r>
    <x v="3"/>
    <x v="3"/>
    <x v="17"/>
    <n v="0"/>
    <x v="2"/>
    <x v="0"/>
  </r>
  <r>
    <x v="3"/>
    <x v="4"/>
    <x v="17"/>
    <n v="0"/>
    <x v="3"/>
    <x v="0"/>
  </r>
  <r>
    <x v="3"/>
    <x v="5"/>
    <x v="17"/>
    <n v="0"/>
    <x v="2"/>
    <x v="0"/>
  </r>
  <r>
    <x v="0"/>
    <x v="8"/>
    <x v="17"/>
    <n v="495990"/>
    <x v="0"/>
    <x v="0"/>
  </r>
  <r>
    <x v="0"/>
    <x v="7"/>
    <x v="17"/>
    <n v="16836304"/>
    <x v="3"/>
    <x v="0"/>
  </r>
  <r>
    <x v="0"/>
    <x v="9"/>
    <x v="17"/>
    <n v="60935"/>
    <x v="0"/>
    <x v="0"/>
  </r>
  <r>
    <x v="0"/>
    <x v="10"/>
    <x v="17"/>
    <n v="188320552"/>
    <x v="3"/>
    <x v="1"/>
  </r>
  <r>
    <x v="0"/>
    <x v="11"/>
    <x v="17"/>
    <n v="-7587"/>
    <x v="3"/>
    <x v="1"/>
  </r>
  <r>
    <x v="0"/>
    <x v="12"/>
    <x v="17"/>
    <n v="3828923"/>
    <x v="3"/>
    <x v="1"/>
  </r>
  <r>
    <x v="0"/>
    <x v="13"/>
    <x v="17"/>
    <n v="605468"/>
    <x v="7"/>
    <x v="0"/>
  </r>
  <r>
    <x v="0"/>
    <x v="14"/>
    <x v="17"/>
    <n v="70193"/>
    <x v="7"/>
    <x v="0"/>
  </r>
  <r>
    <x v="0"/>
    <x v="15"/>
    <x v="17"/>
    <n v="14044376"/>
    <x v="4"/>
    <x v="0"/>
  </r>
  <r>
    <x v="0"/>
    <x v="16"/>
    <x v="17"/>
    <n v="0"/>
    <x v="4"/>
    <x v="0"/>
  </r>
  <r>
    <x v="0"/>
    <x v="17"/>
    <x v="17"/>
    <n v="30484265"/>
    <x v="4"/>
    <x v="0"/>
  </r>
  <r>
    <x v="0"/>
    <x v="18"/>
    <x v="17"/>
    <n v="962825"/>
    <x v="4"/>
    <x v="0"/>
  </r>
  <r>
    <x v="0"/>
    <x v="19"/>
    <x v="17"/>
    <n v="307650"/>
    <x v="0"/>
    <x v="0"/>
  </r>
  <r>
    <x v="0"/>
    <x v="0"/>
    <x v="17"/>
    <n v="0"/>
    <x v="0"/>
    <x v="0"/>
  </r>
  <r>
    <x v="0"/>
    <x v="1"/>
    <x v="17"/>
    <n v="380415507"/>
    <x v="1"/>
    <x v="1"/>
  </r>
  <r>
    <x v="0"/>
    <x v="2"/>
    <x v="17"/>
    <n v="18078829"/>
    <x v="1"/>
    <x v="1"/>
  </r>
  <r>
    <x v="0"/>
    <x v="3"/>
    <x v="17"/>
    <n v="257693"/>
    <x v="2"/>
    <x v="0"/>
  </r>
  <r>
    <x v="0"/>
    <x v="4"/>
    <x v="17"/>
    <n v="11311233"/>
    <x v="3"/>
    <x v="0"/>
  </r>
  <r>
    <x v="0"/>
    <x v="5"/>
    <x v="17"/>
    <n v="229264"/>
    <x v="2"/>
    <x v="0"/>
  </r>
  <r>
    <x v="1"/>
    <x v="6"/>
    <x v="17"/>
    <n v="57.02"/>
    <x v="4"/>
    <x v="2"/>
  </r>
  <r>
    <x v="1"/>
    <x v="7"/>
    <x v="17"/>
    <n v="38.97"/>
    <x v="5"/>
    <x v="3"/>
  </r>
  <r>
    <x v="1"/>
    <x v="4"/>
    <x v="17"/>
    <n v="29.88"/>
    <x v="6"/>
    <x v="4"/>
  </r>
  <r>
    <x v="2"/>
    <x v="8"/>
    <x v="18"/>
    <n v="2366"/>
    <x v="0"/>
    <x v="0"/>
  </r>
  <r>
    <x v="2"/>
    <x v="7"/>
    <x v="18"/>
    <n v="116165"/>
    <x v="3"/>
    <x v="0"/>
  </r>
  <r>
    <x v="2"/>
    <x v="9"/>
    <x v="18"/>
    <n v="280"/>
    <x v="0"/>
    <x v="0"/>
  </r>
  <r>
    <x v="2"/>
    <x v="10"/>
    <x v="18"/>
    <n v="201"/>
    <x v="3"/>
    <x v="1"/>
  </r>
  <r>
    <x v="2"/>
    <x v="11"/>
    <x v="18"/>
    <n v="0"/>
    <x v="3"/>
    <x v="1"/>
  </r>
  <r>
    <x v="2"/>
    <x v="12"/>
    <x v="18"/>
    <n v="106"/>
    <x v="3"/>
    <x v="1"/>
  </r>
  <r>
    <x v="2"/>
    <x v="13"/>
    <x v="18"/>
    <n v="6098"/>
    <x v="7"/>
    <x v="0"/>
  </r>
  <r>
    <x v="2"/>
    <x v="14"/>
    <x v="18"/>
    <n v="1940"/>
    <x v="7"/>
    <x v="0"/>
  </r>
  <r>
    <x v="2"/>
    <x v="15"/>
    <x v="18"/>
    <n v="55045"/>
    <x v="4"/>
    <x v="0"/>
  </r>
  <r>
    <x v="2"/>
    <x v="16"/>
    <x v="18"/>
    <n v="271"/>
    <x v="4"/>
    <x v="0"/>
  </r>
  <r>
    <x v="2"/>
    <x v="17"/>
    <x v="18"/>
    <n v="89853"/>
    <x v="4"/>
    <x v="0"/>
  </r>
  <r>
    <x v="2"/>
    <x v="18"/>
    <x v="18"/>
    <n v="760"/>
    <x v="4"/>
    <x v="0"/>
  </r>
  <r>
    <x v="2"/>
    <x v="19"/>
    <x v="18"/>
    <n v="419"/>
    <x v="0"/>
    <x v="0"/>
  </r>
  <r>
    <x v="2"/>
    <x v="0"/>
    <x v="18"/>
    <n v="0"/>
    <x v="0"/>
    <x v="0"/>
  </r>
  <r>
    <x v="2"/>
    <x v="1"/>
    <x v="18"/>
    <n v="2"/>
    <x v="1"/>
    <x v="1"/>
  </r>
  <r>
    <x v="2"/>
    <x v="2"/>
    <x v="18"/>
    <n v="0"/>
    <x v="1"/>
    <x v="1"/>
  </r>
  <r>
    <x v="2"/>
    <x v="3"/>
    <x v="18"/>
    <n v="700"/>
    <x v="2"/>
    <x v="0"/>
  </r>
  <r>
    <x v="2"/>
    <x v="4"/>
    <x v="18"/>
    <n v="42517"/>
    <x v="3"/>
    <x v="0"/>
  </r>
  <r>
    <x v="2"/>
    <x v="5"/>
    <x v="18"/>
    <n v="1235"/>
    <x v="2"/>
    <x v="0"/>
  </r>
  <r>
    <x v="2"/>
    <x v="20"/>
    <x v="18"/>
    <n v="18318"/>
    <x v="7"/>
    <x v="0"/>
  </r>
  <r>
    <x v="3"/>
    <x v="8"/>
    <x v="18"/>
    <n v="0"/>
    <x v="0"/>
    <x v="0"/>
  </r>
  <r>
    <x v="3"/>
    <x v="7"/>
    <x v="18"/>
    <n v="942"/>
    <x v="3"/>
    <x v="0"/>
  </r>
  <r>
    <x v="3"/>
    <x v="9"/>
    <x v="18"/>
    <n v="0"/>
    <x v="0"/>
    <x v="0"/>
  </r>
  <r>
    <x v="3"/>
    <x v="10"/>
    <x v="18"/>
    <n v="85252"/>
    <x v="3"/>
    <x v="1"/>
  </r>
  <r>
    <x v="3"/>
    <x v="11"/>
    <x v="18"/>
    <n v="9"/>
    <x v="3"/>
    <x v="1"/>
  </r>
  <r>
    <x v="3"/>
    <x v="12"/>
    <x v="18"/>
    <n v="1064"/>
    <x v="3"/>
    <x v="1"/>
  </r>
  <r>
    <x v="3"/>
    <x v="13"/>
    <x v="18"/>
    <n v="0"/>
    <x v="7"/>
    <x v="0"/>
  </r>
  <r>
    <x v="3"/>
    <x v="14"/>
    <x v="18"/>
    <n v="0"/>
    <x v="7"/>
    <x v="0"/>
  </r>
  <r>
    <x v="3"/>
    <x v="15"/>
    <x v="18"/>
    <n v="4915"/>
    <x v="4"/>
    <x v="0"/>
  </r>
  <r>
    <x v="3"/>
    <x v="16"/>
    <x v="18"/>
    <n v="0"/>
    <x v="4"/>
    <x v="0"/>
  </r>
  <r>
    <x v="3"/>
    <x v="17"/>
    <x v="18"/>
    <n v="1691"/>
    <x v="4"/>
    <x v="0"/>
  </r>
  <r>
    <x v="3"/>
    <x v="18"/>
    <x v="18"/>
    <n v="0"/>
    <x v="4"/>
    <x v="0"/>
  </r>
  <r>
    <x v="3"/>
    <x v="19"/>
    <x v="18"/>
    <n v="0"/>
    <x v="0"/>
    <x v="0"/>
  </r>
  <r>
    <x v="3"/>
    <x v="0"/>
    <x v="18"/>
    <n v="0"/>
    <x v="0"/>
    <x v="0"/>
  </r>
  <r>
    <x v="3"/>
    <x v="1"/>
    <x v="18"/>
    <n v="168167"/>
    <x v="1"/>
    <x v="1"/>
  </r>
  <r>
    <x v="3"/>
    <x v="2"/>
    <x v="18"/>
    <n v="3907"/>
    <x v="1"/>
    <x v="1"/>
  </r>
  <r>
    <x v="3"/>
    <x v="3"/>
    <x v="18"/>
    <n v="0"/>
    <x v="2"/>
    <x v="0"/>
  </r>
  <r>
    <x v="3"/>
    <x v="4"/>
    <x v="18"/>
    <n v="0"/>
    <x v="3"/>
    <x v="0"/>
  </r>
  <r>
    <x v="3"/>
    <x v="5"/>
    <x v="18"/>
    <n v="0"/>
    <x v="2"/>
    <x v="0"/>
  </r>
  <r>
    <x v="0"/>
    <x v="8"/>
    <x v="18"/>
    <n v="530766"/>
    <x v="0"/>
    <x v="0"/>
  </r>
  <r>
    <x v="0"/>
    <x v="7"/>
    <x v="18"/>
    <n v="15256559"/>
    <x v="3"/>
    <x v="0"/>
  </r>
  <r>
    <x v="0"/>
    <x v="9"/>
    <x v="18"/>
    <n v="75549"/>
    <x v="0"/>
    <x v="0"/>
  </r>
  <r>
    <x v="0"/>
    <x v="10"/>
    <x v="18"/>
    <n v="181735667"/>
    <x v="3"/>
    <x v="1"/>
  </r>
  <r>
    <x v="0"/>
    <x v="11"/>
    <x v="18"/>
    <n v="-5258"/>
    <x v="3"/>
    <x v="1"/>
  </r>
  <r>
    <x v="0"/>
    <x v="12"/>
    <x v="18"/>
    <n v="1063480"/>
    <x v="3"/>
    <x v="1"/>
  </r>
  <r>
    <x v="0"/>
    <x v="13"/>
    <x v="18"/>
    <n v="647036"/>
    <x v="7"/>
    <x v="0"/>
  </r>
  <r>
    <x v="0"/>
    <x v="14"/>
    <x v="18"/>
    <n v="69198"/>
    <x v="7"/>
    <x v="0"/>
  </r>
  <r>
    <x v="0"/>
    <x v="15"/>
    <x v="18"/>
    <n v="13891154"/>
    <x v="4"/>
    <x v="0"/>
  </r>
  <r>
    <x v="0"/>
    <x v="16"/>
    <x v="18"/>
    <n v="172797"/>
    <x v="4"/>
    <x v="0"/>
  </r>
  <r>
    <x v="0"/>
    <x v="17"/>
    <x v="18"/>
    <n v="27523886"/>
    <x v="4"/>
    <x v="0"/>
  </r>
  <r>
    <x v="0"/>
    <x v="18"/>
    <x v="18"/>
    <n v="323008"/>
    <x v="4"/>
    <x v="0"/>
  </r>
  <r>
    <x v="0"/>
    <x v="19"/>
    <x v="18"/>
    <n v="300748"/>
    <x v="0"/>
    <x v="0"/>
  </r>
  <r>
    <x v="0"/>
    <x v="0"/>
    <x v="18"/>
    <n v="0"/>
    <x v="0"/>
    <x v="0"/>
  </r>
  <r>
    <x v="0"/>
    <x v="1"/>
    <x v="18"/>
    <n v="386761381"/>
    <x v="1"/>
    <x v="1"/>
  </r>
  <r>
    <x v="0"/>
    <x v="2"/>
    <x v="18"/>
    <n v="17233972"/>
    <x v="1"/>
    <x v="1"/>
  </r>
  <r>
    <x v="0"/>
    <x v="3"/>
    <x v="18"/>
    <n v="485144"/>
    <x v="2"/>
    <x v="0"/>
  </r>
  <r>
    <x v="0"/>
    <x v="4"/>
    <x v="18"/>
    <n v="4743246"/>
    <x v="3"/>
    <x v="0"/>
  </r>
  <r>
    <x v="0"/>
    <x v="5"/>
    <x v="18"/>
    <n v="223209"/>
    <x v="2"/>
    <x v="0"/>
  </r>
  <r>
    <x v="1"/>
    <x v="6"/>
    <x v="18"/>
    <n v="55.81"/>
    <x v="4"/>
    <x v="2"/>
  </r>
  <r>
    <x v="1"/>
    <x v="7"/>
    <x v="18"/>
    <n v="37.380000000000003"/>
    <x v="5"/>
    <x v="3"/>
  </r>
  <r>
    <x v="1"/>
    <x v="4"/>
    <x v="18"/>
    <n v="28.12"/>
    <x v="6"/>
    <x v="4"/>
  </r>
  <r>
    <x v="2"/>
    <x v="8"/>
    <x v="19"/>
    <n v="2235"/>
    <x v="0"/>
    <x v="0"/>
  </r>
  <r>
    <x v="2"/>
    <x v="7"/>
    <x v="19"/>
    <n v="117045"/>
    <x v="3"/>
    <x v="0"/>
  </r>
  <r>
    <x v="2"/>
    <x v="9"/>
    <x v="19"/>
    <n v="219"/>
    <x v="0"/>
    <x v="0"/>
  </r>
  <r>
    <x v="2"/>
    <x v="10"/>
    <x v="19"/>
    <n v="411"/>
    <x v="3"/>
    <x v="1"/>
  </r>
  <r>
    <x v="2"/>
    <x v="11"/>
    <x v="19"/>
    <n v="21"/>
    <x v="3"/>
    <x v="1"/>
  </r>
  <r>
    <x v="2"/>
    <x v="12"/>
    <x v="19"/>
    <n v="619"/>
    <x v="3"/>
    <x v="1"/>
  </r>
  <r>
    <x v="2"/>
    <x v="13"/>
    <x v="19"/>
    <n v="6390"/>
    <x v="7"/>
    <x v="0"/>
  </r>
  <r>
    <x v="2"/>
    <x v="14"/>
    <x v="19"/>
    <n v="1529"/>
    <x v="7"/>
    <x v="0"/>
  </r>
  <r>
    <x v="2"/>
    <x v="15"/>
    <x v="19"/>
    <n v="45329"/>
    <x v="4"/>
    <x v="0"/>
  </r>
  <r>
    <x v="2"/>
    <x v="16"/>
    <x v="19"/>
    <n v="0"/>
    <x v="4"/>
    <x v="0"/>
  </r>
  <r>
    <x v="2"/>
    <x v="17"/>
    <x v="19"/>
    <n v="79069"/>
    <x v="4"/>
    <x v="0"/>
  </r>
  <r>
    <x v="2"/>
    <x v="18"/>
    <x v="19"/>
    <n v="19"/>
    <x v="4"/>
    <x v="0"/>
  </r>
  <r>
    <x v="2"/>
    <x v="19"/>
    <x v="19"/>
    <n v="342"/>
    <x v="0"/>
    <x v="0"/>
  </r>
  <r>
    <x v="2"/>
    <x v="0"/>
    <x v="19"/>
    <n v="0"/>
    <x v="0"/>
    <x v="0"/>
  </r>
  <r>
    <x v="2"/>
    <x v="1"/>
    <x v="19"/>
    <n v="2173"/>
    <x v="1"/>
    <x v="1"/>
  </r>
  <r>
    <x v="2"/>
    <x v="2"/>
    <x v="19"/>
    <n v="1529"/>
    <x v="1"/>
    <x v="1"/>
  </r>
  <r>
    <x v="2"/>
    <x v="3"/>
    <x v="19"/>
    <n v="305"/>
    <x v="2"/>
    <x v="0"/>
  </r>
  <r>
    <x v="2"/>
    <x v="4"/>
    <x v="19"/>
    <n v="70541"/>
    <x v="3"/>
    <x v="0"/>
  </r>
  <r>
    <x v="2"/>
    <x v="5"/>
    <x v="19"/>
    <n v="1182"/>
    <x v="2"/>
    <x v="0"/>
  </r>
  <r>
    <x v="2"/>
    <x v="20"/>
    <x v="19"/>
    <n v="24872"/>
    <x v="7"/>
    <x v="0"/>
  </r>
  <r>
    <x v="3"/>
    <x v="8"/>
    <x v="19"/>
    <n v="0"/>
    <x v="0"/>
    <x v="0"/>
  </r>
  <r>
    <x v="3"/>
    <x v="7"/>
    <x v="19"/>
    <n v="159"/>
    <x v="3"/>
    <x v="0"/>
  </r>
  <r>
    <x v="3"/>
    <x v="9"/>
    <x v="19"/>
    <n v="0"/>
    <x v="0"/>
    <x v="0"/>
  </r>
  <r>
    <x v="3"/>
    <x v="10"/>
    <x v="19"/>
    <n v="86983"/>
    <x v="3"/>
    <x v="1"/>
  </r>
  <r>
    <x v="3"/>
    <x v="11"/>
    <x v="19"/>
    <n v="61"/>
    <x v="3"/>
    <x v="1"/>
  </r>
  <r>
    <x v="3"/>
    <x v="12"/>
    <x v="19"/>
    <n v="1617"/>
    <x v="3"/>
    <x v="1"/>
  </r>
  <r>
    <x v="3"/>
    <x v="13"/>
    <x v="19"/>
    <n v="0"/>
    <x v="7"/>
    <x v="0"/>
  </r>
  <r>
    <x v="3"/>
    <x v="14"/>
    <x v="19"/>
    <n v="0"/>
    <x v="7"/>
    <x v="0"/>
  </r>
  <r>
    <x v="3"/>
    <x v="15"/>
    <x v="19"/>
    <n v="106"/>
    <x v="4"/>
    <x v="0"/>
  </r>
  <r>
    <x v="3"/>
    <x v="16"/>
    <x v="19"/>
    <n v="4"/>
    <x v="4"/>
    <x v="0"/>
  </r>
  <r>
    <x v="3"/>
    <x v="17"/>
    <x v="19"/>
    <n v="1334"/>
    <x v="4"/>
    <x v="0"/>
  </r>
  <r>
    <x v="3"/>
    <x v="18"/>
    <x v="19"/>
    <n v="0"/>
    <x v="4"/>
    <x v="0"/>
  </r>
  <r>
    <x v="3"/>
    <x v="19"/>
    <x v="19"/>
    <n v="0"/>
    <x v="0"/>
    <x v="0"/>
  </r>
  <r>
    <x v="3"/>
    <x v="0"/>
    <x v="19"/>
    <n v="0"/>
    <x v="0"/>
    <x v="0"/>
  </r>
  <r>
    <x v="3"/>
    <x v="1"/>
    <x v="19"/>
    <n v="189739"/>
    <x v="1"/>
    <x v="1"/>
  </r>
  <r>
    <x v="3"/>
    <x v="2"/>
    <x v="19"/>
    <n v="5726"/>
    <x v="1"/>
    <x v="1"/>
  </r>
  <r>
    <x v="3"/>
    <x v="3"/>
    <x v="19"/>
    <n v="0"/>
    <x v="2"/>
    <x v="0"/>
  </r>
  <r>
    <x v="3"/>
    <x v="4"/>
    <x v="19"/>
    <n v="117"/>
    <x v="3"/>
    <x v="0"/>
  </r>
  <r>
    <x v="3"/>
    <x v="5"/>
    <x v="19"/>
    <n v="0"/>
    <x v="2"/>
    <x v="0"/>
  </r>
  <r>
    <x v="0"/>
    <x v="8"/>
    <x v="19"/>
    <n v="586566"/>
    <x v="0"/>
    <x v="0"/>
  </r>
  <r>
    <x v="0"/>
    <x v="7"/>
    <x v="19"/>
    <n v="15543670"/>
    <x v="3"/>
    <x v="0"/>
  </r>
  <r>
    <x v="0"/>
    <x v="9"/>
    <x v="19"/>
    <n v="61614"/>
    <x v="0"/>
    <x v="0"/>
  </r>
  <r>
    <x v="0"/>
    <x v="10"/>
    <x v="19"/>
    <n v="144013743"/>
    <x v="3"/>
    <x v="1"/>
  </r>
  <r>
    <x v="0"/>
    <x v="11"/>
    <x v="19"/>
    <n v="-29358"/>
    <x v="3"/>
    <x v="1"/>
  </r>
  <r>
    <x v="0"/>
    <x v="12"/>
    <x v="19"/>
    <n v="-3933088"/>
    <x v="3"/>
    <x v="1"/>
  </r>
  <r>
    <x v="0"/>
    <x v="13"/>
    <x v="19"/>
    <n v="690934"/>
    <x v="7"/>
    <x v="0"/>
  </r>
  <r>
    <x v="0"/>
    <x v="14"/>
    <x v="19"/>
    <n v="54300"/>
    <x v="7"/>
    <x v="0"/>
  </r>
  <r>
    <x v="0"/>
    <x v="15"/>
    <x v="19"/>
    <n v="12854775"/>
    <x v="4"/>
    <x v="0"/>
  </r>
  <r>
    <x v="0"/>
    <x v="16"/>
    <x v="19"/>
    <n v="9787"/>
    <x v="4"/>
    <x v="0"/>
  </r>
  <r>
    <x v="0"/>
    <x v="17"/>
    <x v="19"/>
    <n v="24578817"/>
    <x v="4"/>
    <x v="0"/>
  </r>
  <r>
    <x v="0"/>
    <x v="18"/>
    <x v="19"/>
    <n v="8231"/>
    <x v="4"/>
    <x v="0"/>
  </r>
  <r>
    <x v="0"/>
    <x v="19"/>
    <x v="19"/>
    <n v="266542"/>
    <x v="0"/>
    <x v="0"/>
  </r>
  <r>
    <x v="0"/>
    <x v="0"/>
    <x v="19"/>
    <n v="0"/>
    <x v="0"/>
    <x v="0"/>
  </r>
  <r>
    <x v="0"/>
    <x v="1"/>
    <x v="19"/>
    <n v="338058278"/>
    <x v="1"/>
    <x v="1"/>
  </r>
  <r>
    <x v="0"/>
    <x v="2"/>
    <x v="19"/>
    <n v="-13380169"/>
    <x v="1"/>
    <x v="1"/>
  </r>
  <r>
    <x v="0"/>
    <x v="3"/>
    <x v="19"/>
    <n v="458192"/>
    <x v="2"/>
    <x v="0"/>
  </r>
  <r>
    <x v="0"/>
    <x v="4"/>
    <x v="19"/>
    <n v="7874290"/>
    <x v="3"/>
    <x v="0"/>
  </r>
  <r>
    <x v="0"/>
    <x v="5"/>
    <x v="19"/>
    <n v="217376"/>
    <x v="2"/>
    <x v="0"/>
  </r>
  <r>
    <x v="1"/>
    <x v="6"/>
    <x v="19"/>
    <n v="55.33"/>
    <x v="4"/>
    <x v="2"/>
  </r>
  <r>
    <x v="1"/>
    <x v="7"/>
    <x v="19"/>
    <n v="36.65"/>
    <x v="5"/>
    <x v="3"/>
  </r>
  <r>
    <x v="1"/>
    <x v="4"/>
    <x v="19"/>
    <n v="27.29"/>
    <x v="6"/>
    <x v="4"/>
  </r>
  <r>
    <x v="2"/>
    <x v="8"/>
    <x v="12"/>
    <n v="2386"/>
    <x v="0"/>
    <x v="0"/>
  </r>
  <r>
    <x v="2"/>
    <x v="7"/>
    <x v="12"/>
    <n v="112442"/>
    <x v="3"/>
    <x v="0"/>
  </r>
  <r>
    <x v="2"/>
    <x v="9"/>
    <x v="12"/>
    <n v="241"/>
    <x v="0"/>
    <x v="0"/>
  </r>
  <r>
    <x v="2"/>
    <x v="10"/>
    <x v="12"/>
    <n v="179"/>
    <x v="3"/>
    <x v="1"/>
  </r>
  <r>
    <x v="2"/>
    <x v="11"/>
    <x v="12"/>
    <n v="0"/>
    <x v="3"/>
    <x v="1"/>
  </r>
  <r>
    <x v="2"/>
    <x v="12"/>
    <x v="12"/>
    <n v="506"/>
    <x v="3"/>
    <x v="1"/>
  </r>
  <r>
    <x v="2"/>
    <x v="13"/>
    <x v="12"/>
    <n v="6453"/>
    <x v="7"/>
    <x v="0"/>
  </r>
  <r>
    <x v="2"/>
    <x v="14"/>
    <x v="12"/>
    <n v="1032"/>
    <x v="7"/>
    <x v="0"/>
  </r>
  <r>
    <x v="2"/>
    <x v="15"/>
    <x v="12"/>
    <n v="47983"/>
    <x v="4"/>
    <x v="0"/>
  </r>
  <r>
    <x v="2"/>
    <x v="16"/>
    <x v="12"/>
    <n v="98"/>
    <x v="4"/>
    <x v="0"/>
  </r>
  <r>
    <x v="2"/>
    <x v="17"/>
    <x v="12"/>
    <n v="59775"/>
    <x v="4"/>
    <x v="0"/>
  </r>
  <r>
    <x v="2"/>
    <x v="18"/>
    <x v="12"/>
    <n v="788"/>
    <x v="4"/>
    <x v="0"/>
  </r>
  <r>
    <x v="2"/>
    <x v="19"/>
    <x v="12"/>
    <n v="273"/>
    <x v="0"/>
    <x v="0"/>
  </r>
  <r>
    <x v="2"/>
    <x v="0"/>
    <x v="12"/>
    <n v="0"/>
    <x v="0"/>
    <x v="0"/>
  </r>
  <r>
    <x v="2"/>
    <x v="1"/>
    <x v="12"/>
    <n v="4738"/>
    <x v="1"/>
    <x v="1"/>
  </r>
  <r>
    <x v="2"/>
    <x v="2"/>
    <x v="12"/>
    <n v="1365"/>
    <x v="1"/>
    <x v="1"/>
  </r>
  <r>
    <x v="2"/>
    <x v="3"/>
    <x v="12"/>
    <n v="45"/>
    <x v="2"/>
    <x v="0"/>
  </r>
  <r>
    <x v="2"/>
    <x v="4"/>
    <x v="12"/>
    <n v="53761"/>
    <x v="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1">
  <r>
    <x v="0"/>
    <x v="0"/>
    <x v="0"/>
    <x v="0"/>
    <x v="0"/>
    <m/>
    <x v="0"/>
  </r>
  <r>
    <x v="0"/>
    <x v="1"/>
    <x v="1"/>
    <x v="1"/>
    <x v="1"/>
    <n v="5000000"/>
    <x v="1"/>
  </r>
  <r>
    <x v="0"/>
    <x v="2"/>
    <x v="2"/>
    <x v="0"/>
    <x v="0"/>
    <m/>
    <x v="2"/>
  </r>
  <r>
    <x v="0"/>
    <x v="3"/>
    <x v="3"/>
    <x v="2"/>
    <x v="0"/>
    <m/>
    <x v="3"/>
  </r>
  <r>
    <x v="0"/>
    <x v="4"/>
    <x v="4"/>
    <x v="3"/>
    <x v="0"/>
    <n v="43045800"/>
    <x v="4"/>
  </r>
  <r>
    <x v="0"/>
    <x v="4"/>
    <x v="5"/>
    <x v="4"/>
    <x v="0"/>
    <n v="75330150"/>
    <x v="5"/>
  </r>
  <r>
    <x v="0"/>
    <x v="4"/>
    <x v="6"/>
    <x v="5"/>
    <x v="0"/>
    <m/>
    <x v="6"/>
  </r>
  <r>
    <x v="0"/>
    <x v="5"/>
    <x v="7"/>
    <x v="6"/>
    <x v="0"/>
    <n v="51038199"/>
    <x v="7"/>
  </r>
  <r>
    <x v="0"/>
    <x v="6"/>
    <x v="8"/>
    <x v="7"/>
    <x v="1"/>
    <n v="16642847"/>
    <x v="8"/>
  </r>
  <r>
    <x v="0"/>
    <x v="7"/>
    <x v="9"/>
    <x v="6"/>
    <x v="0"/>
    <m/>
    <x v="9"/>
  </r>
  <r>
    <x v="0"/>
    <x v="8"/>
    <x v="10"/>
    <x v="7"/>
    <x v="1"/>
    <n v="489175"/>
    <x v="10"/>
  </r>
  <r>
    <x v="0"/>
    <x v="9"/>
    <x v="11"/>
    <x v="8"/>
    <x v="2"/>
    <n v="108983768"/>
    <x v="11"/>
  </r>
  <r>
    <x v="0"/>
    <x v="10"/>
    <x v="12"/>
    <x v="2"/>
    <x v="0"/>
    <m/>
    <x v="12"/>
  </r>
  <r>
    <x v="0"/>
    <x v="11"/>
    <x v="13"/>
    <x v="9"/>
    <x v="0"/>
    <m/>
    <x v="13"/>
  </r>
  <r>
    <x v="0"/>
    <x v="12"/>
    <x v="14"/>
    <x v="10"/>
    <x v="0"/>
    <n v="70000000"/>
    <x v="14"/>
  </r>
  <r>
    <x v="0"/>
    <x v="13"/>
    <x v="15"/>
    <x v="2"/>
    <x v="0"/>
    <n v="65000000"/>
    <x v="15"/>
  </r>
  <r>
    <x v="0"/>
    <x v="14"/>
    <x v="16"/>
    <x v="10"/>
    <x v="0"/>
    <m/>
    <x v="16"/>
  </r>
  <r>
    <x v="0"/>
    <x v="14"/>
    <x v="17"/>
    <x v="10"/>
    <x v="0"/>
    <n v="40000000"/>
    <x v="17"/>
  </r>
  <r>
    <x v="0"/>
    <x v="15"/>
    <x v="18"/>
    <x v="11"/>
    <x v="2"/>
    <n v="290756447"/>
    <x v="18"/>
  </r>
  <r>
    <x v="0"/>
    <x v="16"/>
    <x v="19"/>
    <x v="12"/>
    <x v="1"/>
    <n v="33000000"/>
    <x v="19"/>
  </r>
  <r>
    <x v="0"/>
    <x v="17"/>
    <x v="20"/>
    <x v="2"/>
    <x v="1"/>
    <n v="30000000"/>
    <x v="20"/>
  </r>
  <r>
    <x v="0"/>
    <x v="18"/>
    <x v="21"/>
    <x v="13"/>
    <x v="1"/>
    <n v="75508819"/>
    <x v="21"/>
  </r>
  <r>
    <x v="0"/>
    <x v="18"/>
    <x v="22"/>
    <x v="12"/>
    <x v="1"/>
    <n v="41601085"/>
    <x v="22"/>
  </r>
  <r>
    <x v="0"/>
    <x v="19"/>
    <x v="23"/>
    <x v="14"/>
    <x v="1"/>
    <n v="59000000"/>
    <x v="23"/>
  </r>
  <r>
    <x v="0"/>
    <x v="20"/>
    <x v="24"/>
    <x v="10"/>
    <x v="0"/>
    <n v="128722000"/>
    <x v="24"/>
  </r>
  <r>
    <x v="0"/>
    <x v="21"/>
    <x v="25"/>
    <x v="13"/>
    <x v="0"/>
    <n v="185000000"/>
    <x v="25"/>
  </r>
  <r>
    <x v="0"/>
    <x v="22"/>
    <x v="26"/>
    <x v="15"/>
    <x v="0"/>
    <m/>
    <x v="26"/>
  </r>
  <r>
    <x v="0"/>
    <x v="23"/>
    <x v="27"/>
    <x v="10"/>
    <x v="0"/>
    <n v="90000000"/>
    <x v="27"/>
  </r>
  <r>
    <x v="0"/>
    <x v="24"/>
    <x v="28"/>
    <x v="9"/>
    <x v="0"/>
    <n v="54600000"/>
    <x v="28"/>
  </r>
  <r>
    <x v="0"/>
    <x v="25"/>
    <x v="29"/>
    <x v="0"/>
    <x v="0"/>
    <m/>
    <x v="29"/>
  </r>
  <r>
    <x v="0"/>
    <x v="26"/>
    <x v="30"/>
    <x v="13"/>
    <x v="0"/>
    <m/>
    <x v="30"/>
  </r>
  <r>
    <x v="0"/>
    <x v="27"/>
    <x v="31"/>
    <x v="10"/>
    <x v="0"/>
    <m/>
    <x v="31"/>
  </r>
  <r>
    <x v="0"/>
    <x v="27"/>
    <x v="32"/>
    <x v="10"/>
    <x v="0"/>
    <m/>
    <x v="32"/>
  </r>
  <r>
    <x v="0"/>
    <x v="28"/>
    <x v="33"/>
    <x v="15"/>
    <x v="0"/>
    <n v="60000000"/>
    <x v="33"/>
  </r>
  <r>
    <x v="0"/>
    <x v="29"/>
    <x v="34"/>
    <x v="2"/>
    <x v="0"/>
    <m/>
    <x v="34"/>
  </r>
  <r>
    <x v="0"/>
    <x v="30"/>
    <x v="35"/>
    <x v="13"/>
    <x v="0"/>
    <n v="60000000"/>
    <x v="35"/>
  </r>
  <r>
    <x v="0"/>
    <x v="31"/>
    <x v="36"/>
    <x v="10"/>
    <x v="0"/>
    <n v="81555600"/>
    <x v="36"/>
  </r>
  <r>
    <x v="0"/>
    <x v="32"/>
    <x v="37"/>
    <x v="10"/>
    <x v="0"/>
    <n v="70000000"/>
    <x v="37"/>
  </r>
  <r>
    <x v="0"/>
    <x v="33"/>
    <x v="38"/>
    <x v="13"/>
    <x v="0"/>
    <m/>
    <x v="38"/>
  </r>
  <r>
    <x v="0"/>
    <x v="34"/>
    <x v="39"/>
    <x v="10"/>
    <x v="0"/>
    <n v="65000000"/>
    <x v="39"/>
  </r>
  <r>
    <x v="0"/>
    <x v="35"/>
    <x v="40"/>
    <x v="16"/>
    <x v="0"/>
    <n v="170000000"/>
    <x v="40"/>
  </r>
  <r>
    <x v="0"/>
    <x v="36"/>
    <x v="41"/>
    <x v="2"/>
    <x v="0"/>
    <n v="53269178"/>
    <x v="41"/>
  </r>
  <r>
    <x v="0"/>
    <x v="37"/>
    <x v="42"/>
    <x v="10"/>
    <x v="0"/>
    <n v="60000000"/>
    <x v="42"/>
  </r>
  <r>
    <x v="0"/>
    <x v="38"/>
    <x v="43"/>
    <x v="2"/>
    <x v="0"/>
    <m/>
    <x v="43"/>
  </r>
  <r>
    <x v="0"/>
    <x v="39"/>
    <x v="44"/>
    <x v="0"/>
    <x v="0"/>
    <n v="84000000"/>
    <x v="44"/>
  </r>
  <r>
    <x v="0"/>
    <x v="40"/>
    <x v="45"/>
    <x v="17"/>
    <x v="1"/>
    <n v="34675000"/>
    <x v="45"/>
  </r>
  <r>
    <x v="0"/>
    <x v="41"/>
    <x v="46"/>
    <x v="12"/>
    <x v="1"/>
    <n v="50000000"/>
    <x v="46"/>
  </r>
  <r>
    <x v="0"/>
    <x v="42"/>
    <x v="47"/>
    <x v="0"/>
    <x v="0"/>
    <m/>
    <x v="47"/>
  </r>
  <r>
    <x v="0"/>
    <x v="42"/>
    <x v="48"/>
    <x v="3"/>
    <x v="1"/>
    <n v="94500000"/>
    <x v="48"/>
  </r>
  <r>
    <x v="0"/>
    <x v="43"/>
    <x v="49"/>
    <x v="0"/>
    <x v="0"/>
    <n v="82125000"/>
    <x v="49"/>
  </r>
  <r>
    <x v="0"/>
    <x v="44"/>
    <x v="50"/>
    <x v="13"/>
    <x v="0"/>
    <n v="80000000"/>
    <x v="50"/>
  </r>
  <r>
    <x v="0"/>
    <x v="45"/>
    <x v="51"/>
    <x v="13"/>
    <x v="0"/>
    <n v="130000000"/>
    <x v="51"/>
  </r>
  <r>
    <x v="0"/>
    <x v="46"/>
    <x v="52"/>
    <x v="13"/>
    <x v="0"/>
    <m/>
    <x v="52"/>
  </r>
  <r>
    <x v="0"/>
    <x v="47"/>
    <x v="53"/>
    <x v="0"/>
    <x v="0"/>
    <n v="109000000"/>
    <x v="53"/>
  </r>
  <r>
    <x v="0"/>
    <x v="48"/>
    <x v="54"/>
    <x v="0"/>
    <x v="0"/>
    <n v="46000000"/>
    <x v="54"/>
  </r>
  <r>
    <x v="0"/>
    <x v="49"/>
    <x v="55"/>
    <x v="0"/>
    <x v="0"/>
    <n v="26500000"/>
    <x v="55"/>
  </r>
  <r>
    <x v="0"/>
    <x v="50"/>
    <x v="56"/>
    <x v="9"/>
    <x v="0"/>
    <m/>
    <x v="56"/>
  </r>
  <r>
    <x v="0"/>
    <x v="51"/>
    <x v="57"/>
    <x v="0"/>
    <x v="0"/>
    <m/>
    <x v="57"/>
  </r>
  <r>
    <x v="0"/>
    <x v="52"/>
    <x v="58"/>
    <x v="18"/>
    <x v="1"/>
    <n v="16706637"/>
    <x v="58"/>
  </r>
  <r>
    <x v="0"/>
    <x v="53"/>
    <x v="59"/>
    <x v="7"/>
    <x v="1"/>
    <n v="5284016"/>
    <x v="59"/>
  </r>
  <r>
    <x v="0"/>
    <x v="54"/>
    <x v="60"/>
    <x v="18"/>
    <x v="1"/>
    <n v="33285679"/>
    <x v="60"/>
  </r>
  <r>
    <x v="0"/>
    <x v="55"/>
    <x v="61"/>
    <x v="3"/>
    <x v="1"/>
    <n v="10000000"/>
    <x v="61"/>
  </r>
  <r>
    <x v="0"/>
    <x v="56"/>
    <x v="62"/>
    <x v="13"/>
    <x v="1"/>
    <n v="30000000"/>
    <x v="62"/>
  </r>
  <r>
    <x v="0"/>
    <x v="57"/>
    <x v="63"/>
    <x v="7"/>
    <x v="1"/>
    <m/>
    <x v="63"/>
  </r>
  <r>
    <x v="0"/>
    <x v="58"/>
    <x v="64"/>
    <x v="16"/>
    <x v="0"/>
    <m/>
    <x v="64"/>
  </r>
  <r>
    <x v="0"/>
    <x v="59"/>
    <x v="65"/>
    <x v="19"/>
    <x v="2"/>
    <n v="75000000"/>
    <x v="65"/>
  </r>
  <r>
    <x v="0"/>
    <x v="60"/>
    <x v="66"/>
    <x v="20"/>
    <x v="3"/>
    <n v="9306082"/>
    <x v="66"/>
  </r>
  <r>
    <x v="0"/>
    <x v="60"/>
    <x v="67"/>
    <x v="21"/>
    <x v="3"/>
    <n v="7817109"/>
    <x v="67"/>
  </r>
  <r>
    <x v="0"/>
    <x v="61"/>
    <x v="68"/>
    <x v="0"/>
    <x v="1"/>
    <n v="62500000"/>
    <x v="68"/>
  </r>
  <r>
    <x v="0"/>
    <x v="62"/>
    <x v="69"/>
    <x v="1"/>
    <x v="1"/>
    <n v="100000000"/>
    <x v="69"/>
  </r>
  <r>
    <x v="0"/>
    <x v="63"/>
    <x v="70"/>
    <x v="12"/>
    <x v="1"/>
    <n v="30000000"/>
    <x v="70"/>
  </r>
  <r>
    <x v="0"/>
    <x v="64"/>
    <x v="71"/>
    <x v="22"/>
    <x v="1"/>
    <n v="15000000"/>
    <x v="71"/>
  </r>
  <r>
    <x v="1"/>
    <x v="0"/>
    <x v="0"/>
    <x v="0"/>
    <x v="0"/>
    <n v="65000000"/>
    <x v="0"/>
  </r>
  <r>
    <x v="1"/>
    <x v="1"/>
    <x v="1"/>
    <x v="1"/>
    <x v="1"/>
    <n v="5000000"/>
    <x v="1"/>
  </r>
  <r>
    <x v="1"/>
    <x v="2"/>
    <x v="2"/>
    <x v="0"/>
    <x v="0"/>
    <n v="116000000"/>
    <x v="2"/>
  </r>
  <r>
    <x v="1"/>
    <x v="3"/>
    <x v="3"/>
    <x v="2"/>
    <x v="0"/>
    <n v="149000000"/>
    <x v="3"/>
  </r>
  <r>
    <x v="1"/>
    <x v="65"/>
    <x v="72"/>
    <x v="13"/>
    <x v="1"/>
    <n v="30000000"/>
    <x v="72"/>
  </r>
  <r>
    <x v="1"/>
    <x v="4"/>
    <x v="4"/>
    <x v="3"/>
    <x v="0"/>
    <n v="43045800"/>
    <x v="73"/>
  </r>
  <r>
    <x v="1"/>
    <x v="4"/>
    <x v="5"/>
    <x v="4"/>
    <x v="0"/>
    <n v="75330150"/>
    <x v="5"/>
  </r>
  <r>
    <x v="1"/>
    <x v="4"/>
    <x v="6"/>
    <x v="5"/>
    <x v="0"/>
    <n v="60000000"/>
    <x v="6"/>
  </r>
  <r>
    <x v="1"/>
    <x v="5"/>
    <x v="73"/>
    <x v="23"/>
    <x v="0"/>
    <n v="51038199"/>
    <x v="7"/>
  </r>
  <r>
    <x v="1"/>
    <x v="6"/>
    <x v="8"/>
    <x v="24"/>
    <x v="1"/>
    <n v="16642847"/>
    <x v="8"/>
  </r>
  <r>
    <x v="1"/>
    <x v="7"/>
    <x v="74"/>
    <x v="23"/>
    <x v="0"/>
    <n v="21662108"/>
    <x v="9"/>
  </r>
  <r>
    <x v="1"/>
    <x v="8"/>
    <x v="10"/>
    <x v="25"/>
    <x v="1"/>
    <n v="489175"/>
    <x v="10"/>
  </r>
  <r>
    <x v="1"/>
    <x v="9"/>
    <x v="11"/>
    <x v="8"/>
    <x v="2"/>
    <n v="108983768"/>
    <x v="74"/>
  </r>
  <r>
    <x v="1"/>
    <x v="10"/>
    <x v="12"/>
    <x v="2"/>
    <x v="0"/>
    <n v="59000000"/>
    <x v="12"/>
  </r>
  <r>
    <x v="1"/>
    <x v="11"/>
    <x v="13"/>
    <x v="9"/>
    <x v="0"/>
    <n v="55000000"/>
    <x v="13"/>
  </r>
  <r>
    <x v="1"/>
    <x v="66"/>
    <x v="75"/>
    <x v="13"/>
    <x v="0"/>
    <n v="70000000"/>
    <x v="75"/>
  </r>
  <r>
    <x v="1"/>
    <x v="12"/>
    <x v="14"/>
    <x v="10"/>
    <x v="0"/>
    <n v="70000000"/>
    <x v="76"/>
  </r>
  <r>
    <x v="1"/>
    <x v="13"/>
    <x v="15"/>
    <x v="2"/>
    <x v="0"/>
    <n v="65000000"/>
    <x v="77"/>
  </r>
  <r>
    <x v="1"/>
    <x v="14"/>
    <x v="16"/>
    <x v="10"/>
    <x v="0"/>
    <n v="55300000"/>
    <x v="16"/>
  </r>
  <r>
    <x v="1"/>
    <x v="14"/>
    <x v="17"/>
    <x v="10"/>
    <x v="0"/>
    <n v="40000000"/>
    <x v="17"/>
  </r>
  <r>
    <x v="1"/>
    <x v="15"/>
    <x v="18"/>
    <x v="26"/>
    <x v="2"/>
    <n v="290756447"/>
    <x v="78"/>
  </r>
  <r>
    <x v="1"/>
    <x v="16"/>
    <x v="19"/>
    <x v="12"/>
    <x v="1"/>
    <n v="33000000"/>
    <x v="19"/>
  </r>
  <r>
    <x v="1"/>
    <x v="17"/>
    <x v="20"/>
    <x v="2"/>
    <x v="1"/>
    <n v="30000000"/>
    <x v="79"/>
  </r>
  <r>
    <x v="1"/>
    <x v="67"/>
    <x v="76"/>
    <x v="1"/>
    <x v="2"/>
    <n v="42438039"/>
    <x v="80"/>
  </r>
  <r>
    <x v="1"/>
    <x v="18"/>
    <x v="21"/>
    <x v="13"/>
    <x v="1"/>
    <n v="75508819"/>
    <x v="21"/>
  </r>
  <r>
    <x v="1"/>
    <x v="18"/>
    <x v="22"/>
    <x v="12"/>
    <x v="1"/>
    <n v="41601085"/>
    <x v="22"/>
  </r>
  <r>
    <x v="1"/>
    <x v="19"/>
    <x v="23"/>
    <x v="14"/>
    <x v="1"/>
    <n v="59000000"/>
    <x v="23"/>
  </r>
  <r>
    <x v="1"/>
    <x v="20"/>
    <x v="24"/>
    <x v="10"/>
    <x v="0"/>
    <n v="128722000"/>
    <x v="81"/>
  </r>
  <r>
    <x v="1"/>
    <x v="21"/>
    <x v="25"/>
    <x v="13"/>
    <x v="0"/>
    <n v="185000000"/>
    <x v="25"/>
  </r>
  <r>
    <x v="1"/>
    <x v="22"/>
    <x v="26"/>
    <x v="15"/>
    <x v="0"/>
    <n v="40000000"/>
    <x v="26"/>
  </r>
  <r>
    <x v="1"/>
    <x v="23"/>
    <x v="27"/>
    <x v="10"/>
    <x v="0"/>
    <n v="90000000"/>
    <x v="27"/>
  </r>
  <r>
    <x v="1"/>
    <x v="24"/>
    <x v="28"/>
    <x v="9"/>
    <x v="0"/>
    <n v="54600000"/>
    <x v="28"/>
  </r>
  <r>
    <x v="1"/>
    <x v="25"/>
    <x v="29"/>
    <x v="0"/>
    <x v="0"/>
    <n v="55000000"/>
    <x v="29"/>
  </r>
  <r>
    <x v="1"/>
    <x v="27"/>
    <x v="31"/>
    <x v="10"/>
    <x v="0"/>
    <n v="100000000"/>
    <x v="31"/>
  </r>
  <r>
    <x v="1"/>
    <x v="27"/>
    <x v="32"/>
    <x v="10"/>
    <x v="0"/>
    <n v="100000000"/>
    <x v="32"/>
  </r>
  <r>
    <x v="1"/>
    <x v="28"/>
    <x v="33"/>
    <x v="15"/>
    <x v="0"/>
    <n v="60000000"/>
    <x v="33"/>
  </r>
  <r>
    <x v="1"/>
    <x v="29"/>
    <x v="34"/>
    <x v="2"/>
    <x v="0"/>
    <n v="70000000"/>
    <x v="34"/>
  </r>
  <r>
    <x v="1"/>
    <x v="30"/>
    <x v="35"/>
    <x v="13"/>
    <x v="0"/>
    <n v="60000000"/>
    <x v="35"/>
  </r>
  <r>
    <x v="1"/>
    <x v="31"/>
    <x v="36"/>
    <x v="10"/>
    <x v="0"/>
    <n v="81555600"/>
    <x v="82"/>
  </r>
  <r>
    <x v="1"/>
    <x v="32"/>
    <x v="37"/>
    <x v="10"/>
    <x v="0"/>
    <n v="70000000"/>
    <x v="37"/>
  </r>
  <r>
    <x v="1"/>
    <x v="33"/>
    <x v="38"/>
    <x v="13"/>
    <x v="0"/>
    <n v="55000000"/>
    <x v="38"/>
  </r>
  <r>
    <x v="1"/>
    <x v="34"/>
    <x v="77"/>
    <x v="10"/>
    <x v="0"/>
    <n v="65000000"/>
    <x v="83"/>
  </r>
  <r>
    <x v="1"/>
    <x v="35"/>
    <x v="40"/>
    <x v="16"/>
    <x v="0"/>
    <n v="69949425"/>
    <x v="84"/>
  </r>
  <r>
    <x v="1"/>
    <x v="36"/>
    <x v="41"/>
    <x v="2"/>
    <x v="0"/>
    <n v="53269178"/>
    <x v="85"/>
  </r>
  <r>
    <x v="1"/>
    <x v="68"/>
    <x v="78"/>
    <x v="0"/>
    <x v="0"/>
    <n v="130000000"/>
    <x v="86"/>
  </r>
  <r>
    <x v="1"/>
    <x v="37"/>
    <x v="42"/>
    <x v="10"/>
    <x v="0"/>
    <n v="60000000"/>
    <x v="87"/>
  </r>
  <r>
    <x v="1"/>
    <x v="38"/>
    <x v="43"/>
    <x v="2"/>
    <x v="0"/>
    <n v="100000000"/>
    <x v="43"/>
  </r>
  <r>
    <x v="1"/>
    <x v="39"/>
    <x v="44"/>
    <x v="0"/>
    <x v="0"/>
    <n v="84000000"/>
    <x v="44"/>
  </r>
  <r>
    <x v="1"/>
    <x v="40"/>
    <x v="45"/>
    <x v="17"/>
    <x v="1"/>
    <n v="34675000"/>
    <x v="88"/>
  </r>
  <r>
    <x v="1"/>
    <x v="41"/>
    <x v="46"/>
    <x v="12"/>
    <x v="1"/>
    <n v="50000000"/>
    <x v="46"/>
  </r>
  <r>
    <x v="1"/>
    <x v="42"/>
    <x v="47"/>
    <x v="0"/>
    <x v="0"/>
    <n v="300000000"/>
    <x v="47"/>
  </r>
  <r>
    <x v="1"/>
    <x v="42"/>
    <x v="48"/>
    <x v="3"/>
    <x v="1"/>
    <n v="94500000"/>
    <x v="48"/>
  </r>
  <r>
    <x v="1"/>
    <x v="43"/>
    <x v="49"/>
    <x v="0"/>
    <x v="0"/>
    <n v="82125000"/>
    <x v="49"/>
  </r>
  <r>
    <x v="1"/>
    <x v="44"/>
    <x v="50"/>
    <x v="13"/>
    <x v="0"/>
    <n v="80000000"/>
    <x v="50"/>
  </r>
  <r>
    <x v="1"/>
    <x v="45"/>
    <x v="51"/>
    <x v="13"/>
    <x v="0"/>
    <n v="130000000"/>
    <x v="51"/>
  </r>
  <r>
    <x v="1"/>
    <x v="46"/>
    <x v="52"/>
    <x v="13"/>
    <x v="0"/>
    <n v="82000000"/>
    <x v="52"/>
  </r>
  <r>
    <x v="1"/>
    <x v="47"/>
    <x v="53"/>
    <x v="0"/>
    <x v="0"/>
    <n v="109000000"/>
    <x v="53"/>
  </r>
  <r>
    <x v="1"/>
    <x v="48"/>
    <x v="54"/>
    <x v="0"/>
    <x v="0"/>
    <n v="46000000"/>
    <x v="54"/>
  </r>
  <r>
    <x v="1"/>
    <x v="49"/>
    <x v="55"/>
    <x v="0"/>
    <x v="0"/>
    <n v="26500000"/>
    <x v="55"/>
  </r>
  <r>
    <x v="1"/>
    <x v="50"/>
    <x v="56"/>
    <x v="9"/>
    <x v="0"/>
    <n v="110000000"/>
    <x v="56"/>
  </r>
  <r>
    <x v="1"/>
    <x v="69"/>
    <x v="79"/>
    <x v="12"/>
    <x v="1"/>
    <n v="69350000"/>
    <x v="89"/>
  </r>
  <r>
    <x v="1"/>
    <x v="51"/>
    <x v="57"/>
    <x v="0"/>
    <x v="0"/>
    <n v="50000000"/>
    <x v="57"/>
  </r>
  <r>
    <x v="1"/>
    <x v="52"/>
    <x v="80"/>
    <x v="27"/>
    <x v="1"/>
    <n v="5000000"/>
    <x v="90"/>
  </r>
  <r>
    <x v="1"/>
    <x v="52"/>
    <x v="58"/>
    <x v="28"/>
    <x v="1"/>
    <n v="16706637"/>
    <x v="58"/>
  </r>
  <r>
    <x v="1"/>
    <x v="53"/>
    <x v="59"/>
    <x v="29"/>
    <x v="1"/>
    <n v="5284016"/>
    <x v="59"/>
  </r>
  <r>
    <x v="1"/>
    <x v="54"/>
    <x v="81"/>
    <x v="30"/>
    <x v="1"/>
    <n v="33285679"/>
    <x v="60"/>
  </r>
  <r>
    <x v="1"/>
    <x v="55"/>
    <x v="61"/>
    <x v="3"/>
    <x v="1"/>
    <n v="10000000"/>
    <x v="61"/>
  </r>
  <r>
    <x v="1"/>
    <x v="56"/>
    <x v="62"/>
    <x v="13"/>
    <x v="1"/>
    <n v="30000000"/>
    <x v="91"/>
  </r>
  <r>
    <x v="1"/>
    <x v="57"/>
    <x v="63"/>
    <x v="31"/>
    <x v="1"/>
    <n v="70000000"/>
    <x v="63"/>
  </r>
  <r>
    <x v="1"/>
    <x v="58"/>
    <x v="64"/>
    <x v="16"/>
    <x v="0"/>
    <n v="145000000"/>
    <x v="64"/>
  </r>
  <r>
    <x v="1"/>
    <x v="59"/>
    <x v="65"/>
    <x v="19"/>
    <x v="2"/>
    <n v="75000000"/>
    <x v="92"/>
  </r>
  <r>
    <x v="1"/>
    <x v="70"/>
    <x v="82"/>
    <x v="10"/>
    <x v="0"/>
    <n v="105000000"/>
    <x v="93"/>
  </r>
  <r>
    <x v="1"/>
    <x v="60"/>
    <x v="66"/>
    <x v="20"/>
    <x v="3"/>
    <n v="9306082"/>
    <x v="94"/>
  </r>
  <r>
    <x v="1"/>
    <x v="60"/>
    <x v="67"/>
    <x v="21"/>
    <x v="3"/>
    <n v="7817109"/>
    <x v="67"/>
  </r>
  <r>
    <x v="1"/>
    <x v="61"/>
    <x v="68"/>
    <x v="0"/>
    <x v="1"/>
    <n v="62500000"/>
    <x v="68"/>
  </r>
  <r>
    <x v="1"/>
    <x v="62"/>
    <x v="69"/>
    <x v="1"/>
    <x v="1"/>
    <n v="100000000"/>
    <x v="95"/>
  </r>
  <r>
    <x v="1"/>
    <x v="63"/>
    <x v="70"/>
    <x v="12"/>
    <x v="1"/>
    <n v="30000000"/>
    <x v="96"/>
  </r>
  <r>
    <x v="1"/>
    <x v="63"/>
    <x v="22"/>
    <x v="12"/>
    <x v="1"/>
    <n v="30000000"/>
    <x v="96"/>
  </r>
  <r>
    <x v="1"/>
    <x v="71"/>
    <x v="83"/>
    <x v="32"/>
    <x v="3"/>
    <n v="8600000"/>
    <x v="97"/>
  </r>
  <r>
    <x v="1"/>
    <x v="64"/>
    <x v="71"/>
    <x v="22"/>
    <x v="1"/>
    <n v="15000000"/>
    <x v="71"/>
  </r>
  <r>
    <x v="2"/>
    <x v="72"/>
    <x v="84"/>
    <x v="19"/>
    <x v="4"/>
    <n v="525600000"/>
    <x v="98"/>
  </r>
  <r>
    <x v="2"/>
    <x v="72"/>
    <x v="85"/>
    <x v="5"/>
    <x v="5"/>
    <m/>
    <x v="99"/>
  </r>
  <r>
    <x v="2"/>
    <x v="65"/>
    <x v="72"/>
    <x v="13"/>
    <x v="6"/>
    <n v="55300000"/>
    <x v="100"/>
  </r>
  <r>
    <x v="2"/>
    <x v="73"/>
    <x v="86"/>
    <x v="13"/>
    <x v="6"/>
    <n v="69350000"/>
    <x v="101"/>
  </r>
  <r>
    <x v="2"/>
    <x v="4"/>
    <x v="4"/>
    <x v="3"/>
    <x v="7"/>
    <n v="185000000"/>
    <x v="102"/>
  </r>
  <r>
    <x v="2"/>
    <x v="8"/>
    <x v="10"/>
    <x v="25"/>
    <x v="6"/>
    <n v="51038199"/>
    <x v="103"/>
  </r>
  <r>
    <x v="2"/>
    <x v="66"/>
    <x v="75"/>
    <x v="13"/>
    <x v="7"/>
    <n v="290756447"/>
    <x v="104"/>
  </r>
  <r>
    <x v="2"/>
    <x v="12"/>
    <x v="14"/>
    <x v="10"/>
    <x v="7"/>
    <n v="290756447"/>
    <x v="105"/>
  </r>
  <r>
    <x v="2"/>
    <x v="13"/>
    <x v="15"/>
    <x v="2"/>
    <x v="7"/>
    <n v="1178801445"/>
    <x v="106"/>
  </r>
  <r>
    <x v="2"/>
    <x v="17"/>
    <x v="20"/>
    <x v="2"/>
    <x v="6"/>
    <n v="124083333.33333333"/>
    <x v="107"/>
  </r>
  <r>
    <x v="2"/>
    <x v="19"/>
    <x v="23"/>
    <x v="14"/>
    <x v="6"/>
    <n v="110000000"/>
    <x v="108"/>
  </r>
  <r>
    <x v="2"/>
    <x v="20"/>
    <x v="24"/>
    <x v="10"/>
    <x v="7"/>
    <n v="80000000"/>
    <x v="109"/>
  </r>
  <r>
    <x v="2"/>
    <x v="22"/>
    <x v="26"/>
    <x v="15"/>
    <x v="7"/>
    <n v="65000000"/>
    <x v="110"/>
  </r>
  <r>
    <x v="2"/>
    <x v="25"/>
    <x v="29"/>
    <x v="0"/>
    <x v="7"/>
    <n v="81555600"/>
    <x v="111"/>
  </r>
  <r>
    <x v="2"/>
    <x v="27"/>
    <x v="17"/>
    <x v="10"/>
    <x v="7"/>
    <n v="40000000"/>
    <x v="112"/>
  </r>
  <r>
    <x v="2"/>
    <x v="27"/>
    <x v="31"/>
    <x v="10"/>
    <x v="7"/>
    <n v="81555600"/>
    <x v="113"/>
  </r>
  <r>
    <x v="2"/>
    <x v="28"/>
    <x v="33"/>
    <x v="15"/>
    <x v="7"/>
    <n v="5000000"/>
    <x v="114"/>
  </r>
  <r>
    <x v="2"/>
    <x v="32"/>
    <x v="37"/>
    <x v="10"/>
    <x v="7"/>
    <n v="30000000"/>
    <x v="115"/>
  </r>
  <r>
    <x v="2"/>
    <x v="35"/>
    <x v="40"/>
    <x v="16"/>
    <x v="7"/>
    <n v="75000000"/>
    <x v="84"/>
  </r>
  <r>
    <x v="2"/>
    <x v="36"/>
    <x v="41"/>
    <x v="2"/>
    <x v="7"/>
    <n v="75000000"/>
    <x v="85"/>
  </r>
  <r>
    <x v="2"/>
    <x v="68"/>
    <x v="78"/>
    <x v="0"/>
    <x v="7"/>
    <n v="75000000"/>
    <x v="86"/>
  </r>
  <r>
    <x v="2"/>
    <x v="37"/>
    <x v="42"/>
    <x v="10"/>
    <x v="7"/>
    <n v="30000000"/>
    <x v="116"/>
  </r>
  <r>
    <x v="2"/>
    <x v="39"/>
    <x v="44"/>
    <x v="0"/>
    <x v="7"/>
    <n v="30000000"/>
    <x v="117"/>
  </r>
  <r>
    <x v="2"/>
    <x v="43"/>
    <x v="49"/>
    <x v="0"/>
    <x v="7"/>
    <n v="30000000"/>
    <x v="118"/>
  </r>
  <r>
    <x v="2"/>
    <x v="47"/>
    <x v="53"/>
    <x v="0"/>
    <x v="7"/>
    <n v="108983768"/>
    <x v="119"/>
  </r>
  <r>
    <x v="2"/>
    <x v="48"/>
    <x v="54"/>
    <x v="0"/>
    <x v="7"/>
    <n v="82125000"/>
    <x v="120"/>
  </r>
  <r>
    <x v="2"/>
    <x v="74"/>
    <x v="87"/>
    <x v="22"/>
    <x v="4"/>
    <n v="1229728258"/>
    <x v="98"/>
  </r>
  <r>
    <x v="2"/>
    <x v="74"/>
    <x v="88"/>
    <x v="0"/>
    <x v="4"/>
    <n v="31210800"/>
    <x v="121"/>
  </r>
  <r>
    <x v="2"/>
    <x v="51"/>
    <x v="57"/>
    <x v="0"/>
    <x v="7"/>
    <n v="82125000"/>
    <x v="122"/>
  </r>
  <r>
    <x v="2"/>
    <x v="55"/>
    <x v="61"/>
    <x v="3"/>
    <x v="6"/>
    <n v="53269178"/>
    <x v="123"/>
  </r>
  <r>
    <x v="2"/>
    <x v="56"/>
    <x v="62"/>
    <x v="13"/>
    <x v="6"/>
    <n v="60000000"/>
    <x v="124"/>
  </r>
  <r>
    <x v="2"/>
    <x v="57"/>
    <x v="63"/>
    <x v="31"/>
    <x v="6"/>
    <n v="30000000"/>
    <x v="63"/>
  </r>
  <r>
    <x v="2"/>
    <x v="58"/>
    <x v="64"/>
    <x v="16"/>
    <x v="7"/>
    <n v="82125000"/>
    <x v="125"/>
  </r>
  <r>
    <x v="2"/>
    <x v="59"/>
    <x v="65"/>
    <x v="19"/>
    <x v="8"/>
    <n v="90000000"/>
    <x v="126"/>
  </r>
  <r>
    <x v="2"/>
    <x v="59"/>
    <x v="65"/>
    <x v="19"/>
    <x v="9"/>
    <n v="90000000"/>
    <x v="127"/>
  </r>
  <r>
    <x v="2"/>
    <x v="70"/>
    <x v="82"/>
    <x v="10"/>
    <x v="7"/>
    <n v="60000000"/>
    <x v="93"/>
  </r>
  <r>
    <x v="2"/>
    <x v="62"/>
    <x v="69"/>
    <x v="1"/>
    <x v="6"/>
    <n v="84000000"/>
    <x v="95"/>
  </r>
  <r>
    <x v="2"/>
    <x v="75"/>
    <x v="89"/>
    <x v="33"/>
    <x v="4"/>
    <n v="1730000000"/>
    <x v="128"/>
  </r>
  <r>
    <x v="2"/>
    <x v="71"/>
    <x v="83"/>
    <x v="32"/>
    <x v="4"/>
    <n v="40000000"/>
    <x v="129"/>
  </r>
  <r>
    <x v="3"/>
    <x v="76"/>
    <x v="84"/>
    <x v="19"/>
    <x v="4"/>
    <n v="525600000"/>
    <x v="98"/>
  </r>
  <r>
    <x v="3"/>
    <x v="77"/>
    <x v="90"/>
    <x v="5"/>
    <x v="5"/>
    <m/>
    <x v="99"/>
  </r>
  <r>
    <x v="3"/>
    <x v="78"/>
    <x v="91"/>
    <x v="16"/>
    <x v="9"/>
    <n v="184000000"/>
    <x v="130"/>
  </r>
  <r>
    <x v="3"/>
    <x v="65"/>
    <x v="72"/>
    <x v="13"/>
    <x v="6"/>
    <n v="30000000"/>
    <x v="100"/>
  </r>
  <r>
    <x v="3"/>
    <x v="79"/>
    <x v="92"/>
    <x v="34"/>
    <x v="6"/>
    <n v="60000000"/>
    <x v="131"/>
  </r>
  <r>
    <x v="3"/>
    <x v="73"/>
    <x v="86"/>
    <x v="13"/>
    <x v="6"/>
    <n v="69350000"/>
    <x v="101"/>
  </r>
  <r>
    <x v="3"/>
    <x v="4"/>
    <x v="4"/>
    <x v="3"/>
    <x v="7"/>
    <n v="43045800"/>
    <x v="102"/>
  </r>
  <r>
    <x v="3"/>
    <x v="8"/>
    <x v="10"/>
    <x v="25"/>
    <x v="6"/>
    <n v="489175"/>
    <x v="103"/>
  </r>
  <r>
    <x v="3"/>
    <x v="9"/>
    <x v="11"/>
    <x v="8"/>
    <x v="10"/>
    <n v="108983768"/>
    <x v="74"/>
  </r>
  <r>
    <x v="3"/>
    <x v="66"/>
    <x v="75"/>
    <x v="13"/>
    <x v="7"/>
    <n v="70000000"/>
    <x v="104"/>
  </r>
  <r>
    <x v="3"/>
    <x v="12"/>
    <x v="14"/>
    <x v="10"/>
    <x v="7"/>
    <n v="70000000"/>
    <x v="105"/>
  </r>
  <r>
    <x v="3"/>
    <x v="13"/>
    <x v="15"/>
    <x v="2"/>
    <x v="7"/>
    <n v="65000000"/>
    <x v="106"/>
  </r>
  <r>
    <x v="3"/>
    <x v="15"/>
    <x v="18"/>
    <x v="11"/>
    <x v="9"/>
    <n v="290756447"/>
    <x v="132"/>
  </r>
  <r>
    <x v="3"/>
    <x v="17"/>
    <x v="20"/>
    <x v="2"/>
    <x v="6"/>
    <n v="30000000"/>
    <x v="107"/>
  </r>
  <r>
    <x v="3"/>
    <x v="67"/>
    <x v="76"/>
    <x v="1"/>
    <x v="9"/>
    <n v="42438039"/>
    <x v="133"/>
  </r>
  <r>
    <x v="3"/>
    <x v="80"/>
    <x v="93"/>
    <x v="5"/>
    <x v="9"/>
    <n v="180000000"/>
    <x v="133"/>
  </r>
  <r>
    <x v="3"/>
    <x v="19"/>
    <x v="23"/>
    <x v="14"/>
    <x v="6"/>
    <n v="59000000"/>
    <x v="108"/>
  </r>
  <r>
    <x v="3"/>
    <x v="20"/>
    <x v="24"/>
    <x v="10"/>
    <x v="7"/>
    <n v="128722000"/>
    <x v="109"/>
  </r>
  <r>
    <x v="3"/>
    <x v="22"/>
    <x v="26"/>
    <x v="15"/>
    <x v="7"/>
    <n v="60000000"/>
    <x v="110"/>
  </r>
  <r>
    <x v="3"/>
    <x v="25"/>
    <x v="29"/>
    <x v="0"/>
    <x v="7"/>
    <n v="55000000"/>
    <x v="111"/>
  </r>
  <r>
    <x v="3"/>
    <x v="27"/>
    <x v="16"/>
    <x v="10"/>
    <x v="7"/>
    <n v="61000000"/>
    <x v="134"/>
  </r>
  <r>
    <x v="3"/>
    <x v="27"/>
    <x v="17"/>
    <x v="10"/>
    <x v="7"/>
    <n v="40000000"/>
    <x v="112"/>
  </r>
  <r>
    <x v="3"/>
    <x v="27"/>
    <x v="31"/>
    <x v="10"/>
    <x v="7"/>
    <n v="162000000"/>
    <x v="113"/>
  </r>
  <r>
    <x v="3"/>
    <x v="28"/>
    <x v="33"/>
    <x v="15"/>
    <x v="7"/>
    <n v="60000000"/>
    <x v="114"/>
  </r>
  <r>
    <x v="3"/>
    <x v="32"/>
    <x v="37"/>
    <x v="10"/>
    <x v="7"/>
    <n v="70000000"/>
    <x v="115"/>
  </r>
  <r>
    <x v="3"/>
    <x v="35"/>
    <x v="40"/>
    <x v="16"/>
    <x v="7"/>
    <n v="69949425"/>
    <x v="84"/>
  </r>
  <r>
    <x v="3"/>
    <x v="36"/>
    <x v="41"/>
    <x v="2"/>
    <x v="7"/>
    <n v="53269178"/>
    <x v="85"/>
  </r>
  <r>
    <x v="3"/>
    <x v="68"/>
    <x v="78"/>
    <x v="0"/>
    <x v="7"/>
    <n v="130000000"/>
    <x v="86"/>
  </r>
  <r>
    <x v="3"/>
    <x v="37"/>
    <x v="42"/>
    <x v="10"/>
    <x v="7"/>
    <n v="60000000"/>
    <x v="116"/>
  </r>
  <r>
    <x v="3"/>
    <x v="39"/>
    <x v="44"/>
    <x v="0"/>
    <x v="7"/>
    <n v="84000000"/>
    <x v="117"/>
  </r>
  <r>
    <x v="3"/>
    <x v="43"/>
    <x v="49"/>
    <x v="0"/>
    <x v="7"/>
    <n v="82125000"/>
    <x v="118"/>
  </r>
  <r>
    <x v="3"/>
    <x v="47"/>
    <x v="53"/>
    <x v="0"/>
    <x v="7"/>
    <n v="109000000"/>
    <x v="119"/>
  </r>
  <r>
    <x v="3"/>
    <x v="48"/>
    <x v="54"/>
    <x v="0"/>
    <x v="7"/>
    <n v="46000000"/>
    <x v="120"/>
  </r>
  <r>
    <x v="3"/>
    <x v="74"/>
    <x v="94"/>
    <x v="35"/>
    <x v="4"/>
    <n v="816730"/>
    <x v="135"/>
  </r>
  <r>
    <x v="3"/>
    <x v="74"/>
    <x v="87"/>
    <x v="22"/>
    <x v="4"/>
    <n v="619749837"/>
    <x v="98"/>
  </r>
  <r>
    <x v="3"/>
    <x v="74"/>
    <x v="95"/>
    <x v="1"/>
    <x v="4"/>
    <n v="1515785"/>
    <x v="135"/>
  </r>
  <r>
    <x v="3"/>
    <x v="74"/>
    <x v="88"/>
    <x v="0"/>
    <x v="4"/>
    <n v="31210800"/>
    <x v="121"/>
  </r>
  <r>
    <x v="3"/>
    <x v="51"/>
    <x v="57"/>
    <x v="0"/>
    <x v="7"/>
    <n v="49000000"/>
    <x v="122"/>
  </r>
  <r>
    <x v="3"/>
    <x v="55"/>
    <x v="61"/>
    <x v="3"/>
    <x v="6"/>
    <n v="17000000"/>
    <x v="136"/>
  </r>
  <r>
    <x v="3"/>
    <x v="56"/>
    <x v="62"/>
    <x v="13"/>
    <x v="6"/>
    <n v="30000000"/>
    <x v="124"/>
  </r>
  <r>
    <x v="3"/>
    <x v="57"/>
    <x v="63"/>
    <x v="31"/>
    <x v="6"/>
    <n v="69960000"/>
    <x v="137"/>
  </r>
  <r>
    <x v="3"/>
    <x v="58"/>
    <x v="64"/>
    <x v="16"/>
    <x v="7"/>
    <n v="145000000"/>
    <x v="125"/>
  </r>
  <r>
    <x v="3"/>
    <x v="59"/>
    <x v="65"/>
    <x v="19"/>
    <x v="8"/>
    <n v="75000000"/>
    <x v="126"/>
  </r>
  <r>
    <x v="3"/>
    <x v="59"/>
    <x v="65"/>
    <x v="19"/>
    <x v="9"/>
    <n v="75000000"/>
    <x v="127"/>
  </r>
  <r>
    <x v="3"/>
    <x v="59"/>
    <x v="65"/>
    <x v="19"/>
    <x v="11"/>
    <n v="75000000"/>
    <x v="131"/>
  </r>
  <r>
    <x v="3"/>
    <x v="70"/>
    <x v="82"/>
    <x v="10"/>
    <x v="7"/>
    <n v="105000000"/>
    <x v="93"/>
  </r>
  <r>
    <x v="3"/>
    <x v="62"/>
    <x v="69"/>
    <x v="1"/>
    <x v="6"/>
    <n v="100000000"/>
    <x v="95"/>
  </r>
  <r>
    <x v="3"/>
    <x v="75"/>
    <x v="89"/>
    <x v="36"/>
    <x v="4"/>
    <n v="1730000000"/>
    <x v="128"/>
  </r>
  <r>
    <x v="3"/>
    <x v="71"/>
    <x v="83"/>
    <x v="32"/>
    <x v="4"/>
    <n v="138500000"/>
    <x v="129"/>
  </r>
  <r>
    <x v="3"/>
    <x v="81"/>
    <x v="96"/>
    <x v="37"/>
    <x v="4"/>
    <n v="2147483"/>
    <x v="13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344">
  <r>
    <x v="0"/>
    <x v="0"/>
    <x v="0"/>
    <n v="0"/>
    <x v="0"/>
    <x v="0"/>
  </r>
  <r>
    <x v="0"/>
    <x v="1"/>
    <x v="0"/>
    <n v="58529"/>
    <x v="1"/>
    <x v="0"/>
  </r>
  <r>
    <x v="0"/>
    <x v="2"/>
    <x v="0"/>
    <n v="474"/>
    <x v="0"/>
    <x v="0"/>
  </r>
  <r>
    <x v="0"/>
    <x v="3"/>
    <x v="0"/>
    <n v="230"/>
    <x v="1"/>
    <x v="1"/>
  </r>
  <r>
    <x v="0"/>
    <x v="4"/>
    <x v="0"/>
    <n v="0"/>
    <x v="1"/>
    <x v="1"/>
  </r>
  <r>
    <x v="0"/>
    <x v="5"/>
    <x v="0"/>
    <n v="129"/>
    <x v="1"/>
    <x v="1"/>
  </r>
  <r>
    <x v="0"/>
    <x v="6"/>
    <x v="0"/>
    <n v="0"/>
    <x v="2"/>
    <x v="0"/>
  </r>
  <r>
    <x v="0"/>
    <x v="7"/>
    <x v="0"/>
    <n v="321"/>
    <x v="2"/>
    <x v="0"/>
  </r>
  <r>
    <x v="0"/>
    <x v="8"/>
    <x v="0"/>
    <n v="35773"/>
    <x v="3"/>
    <x v="0"/>
  </r>
  <r>
    <x v="0"/>
    <x v="9"/>
    <x v="0"/>
    <n v="2223"/>
    <x v="3"/>
    <x v="0"/>
  </r>
  <r>
    <x v="0"/>
    <x v="10"/>
    <x v="0"/>
    <n v="40263"/>
    <x v="3"/>
    <x v="0"/>
  </r>
  <r>
    <x v="0"/>
    <x v="11"/>
    <x v="0"/>
    <n v="60400"/>
    <x v="3"/>
    <x v="0"/>
  </r>
  <r>
    <x v="0"/>
    <x v="12"/>
    <x v="0"/>
    <n v="61"/>
    <x v="0"/>
    <x v="0"/>
  </r>
  <r>
    <x v="0"/>
    <x v="13"/>
    <x v="0"/>
    <n v="0"/>
    <x v="0"/>
    <x v="0"/>
  </r>
  <r>
    <x v="0"/>
    <x v="14"/>
    <x v="0"/>
    <n v="0"/>
    <x v="4"/>
    <x v="1"/>
  </r>
  <r>
    <x v="0"/>
    <x v="15"/>
    <x v="0"/>
    <n v="351"/>
    <x v="4"/>
    <x v="1"/>
  </r>
  <r>
    <x v="0"/>
    <x v="16"/>
    <x v="0"/>
    <n v="28"/>
    <x v="5"/>
    <x v="0"/>
  </r>
  <r>
    <x v="0"/>
    <x v="17"/>
    <x v="0"/>
    <n v="0"/>
    <x v="1"/>
    <x v="0"/>
  </r>
  <r>
    <x v="0"/>
    <x v="18"/>
    <x v="0"/>
    <n v="0"/>
    <x v="5"/>
    <x v="0"/>
  </r>
  <r>
    <x v="0"/>
    <x v="19"/>
    <x v="0"/>
    <n v="8573"/>
    <x v="2"/>
    <x v="0"/>
  </r>
  <r>
    <x v="0"/>
    <x v="20"/>
    <x v="0"/>
    <n v="0"/>
    <x v="6"/>
    <x v="0"/>
  </r>
  <r>
    <x v="1"/>
    <x v="0"/>
    <x v="0"/>
    <n v="0"/>
    <x v="0"/>
    <x v="0"/>
  </r>
  <r>
    <x v="1"/>
    <x v="1"/>
    <x v="0"/>
    <n v="148"/>
    <x v="1"/>
    <x v="0"/>
  </r>
  <r>
    <x v="1"/>
    <x v="2"/>
    <x v="0"/>
    <n v="0"/>
    <x v="0"/>
    <x v="0"/>
  </r>
  <r>
    <x v="1"/>
    <x v="3"/>
    <x v="0"/>
    <n v="56065"/>
    <x v="1"/>
    <x v="1"/>
  </r>
  <r>
    <x v="1"/>
    <x v="4"/>
    <x v="0"/>
    <n v="0"/>
    <x v="1"/>
    <x v="1"/>
  </r>
  <r>
    <x v="1"/>
    <x v="5"/>
    <x v="0"/>
    <n v="455"/>
    <x v="1"/>
    <x v="1"/>
  </r>
  <r>
    <x v="1"/>
    <x v="6"/>
    <x v="0"/>
    <n v="0"/>
    <x v="2"/>
    <x v="0"/>
  </r>
  <r>
    <x v="1"/>
    <x v="7"/>
    <x v="0"/>
    <n v="0"/>
    <x v="2"/>
    <x v="0"/>
  </r>
  <r>
    <x v="1"/>
    <x v="8"/>
    <x v="0"/>
    <n v="0"/>
    <x v="3"/>
    <x v="0"/>
  </r>
  <r>
    <x v="1"/>
    <x v="9"/>
    <x v="0"/>
    <n v="0"/>
    <x v="3"/>
    <x v="0"/>
  </r>
  <r>
    <x v="1"/>
    <x v="10"/>
    <x v="0"/>
    <n v="0"/>
    <x v="3"/>
    <x v="0"/>
  </r>
  <r>
    <x v="1"/>
    <x v="11"/>
    <x v="0"/>
    <n v="0"/>
    <x v="3"/>
    <x v="0"/>
  </r>
  <r>
    <x v="1"/>
    <x v="12"/>
    <x v="0"/>
    <n v="0"/>
    <x v="0"/>
    <x v="0"/>
  </r>
  <r>
    <x v="1"/>
    <x v="13"/>
    <x v="0"/>
    <n v="0"/>
    <x v="0"/>
    <x v="0"/>
  </r>
  <r>
    <x v="1"/>
    <x v="14"/>
    <x v="0"/>
    <n v="104547"/>
    <x v="4"/>
    <x v="1"/>
  </r>
  <r>
    <x v="1"/>
    <x v="15"/>
    <x v="0"/>
    <n v="484"/>
    <x v="4"/>
    <x v="1"/>
  </r>
  <r>
    <x v="1"/>
    <x v="16"/>
    <x v="0"/>
    <n v="0"/>
    <x v="5"/>
    <x v="0"/>
  </r>
  <r>
    <x v="1"/>
    <x v="17"/>
    <x v="0"/>
    <n v="0"/>
    <x v="1"/>
    <x v="0"/>
  </r>
  <r>
    <x v="1"/>
    <x v="18"/>
    <x v="0"/>
    <n v="0"/>
    <x v="5"/>
    <x v="0"/>
  </r>
  <r>
    <x v="1"/>
    <x v="20"/>
    <x v="0"/>
    <n v="0"/>
    <x v="6"/>
    <x v="0"/>
  </r>
  <r>
    <x v="2"/>
    <x v="0"/>
    <x v="0"/>
    <n v="0"/>
    <x v="0"/>
    <x v="0"/>
  </r>
  <r>
    <x v="2"/>
    <x v="1"/>
    <x v="0"/>
    <n v="11353817"/>
    <x v="1"/>
    <x v="0"/>
  </r>
  <r>
    <x v="2"/>
    <x v="2"/>
    <x v="0"/>
    <n v="88727"/>
    <x v="0"/>
    <x v="0"/>
  </r>
  <r>
    <x v="2"/>
    <x v="3"/>
    <x v="0"/>
    <n v="190787754"/>
    <x v="1"/>
    <x v="1"/>
  </r>
  <r>
    <x v="2"/>
    <x v="4"/>
    <x v="0"/>
    <n v="0"/>
    <x v="1"/>
    <x v="1"/>
  </r>
  <r>
    <x v="2"/>
    <x v="5"/>
    <x v="0"/>
    <n v="10272272"/>
    <x v="1"/>
    <x v="1"/>
  </r>
  <r>
    <x v="2"/>
    <x v="6"/>
    <x v="0"/>
    <n v="0"/>
    <x v="2"/>
    <x v="0"/>
  </r>
  <r>
    <x v="2"/>
    <x v="7"/>
    <x v="0"/>
    <n v="7061"/>
    <x v="2"/>
    <x v="0"/>
  </r>
  <r>
    <x v="2"/>
    <x v="8"/>
    <x v="0"/>
    <n v="10084584"/>
    <x v="3"/>
    <x v="0"/>
  </r>
  <r>
    <x v="2"/>
    <x v="9"/>
    <x v="0"/>
    <n v="1219304"/>
    <x v="3"/>
    <x v="0"/>
  </r>
  <r>
    <x v="2"/>
    <x v="10"/>
    <x v="0"/>
    <n v="14139186"/>
    <x v="3"/>
    <x v="0"/>
  </r>
  <r>
    <x v="2"/>
    <x v="11"/>
    <x v="0"/>
    <n v="24779263"/>
    <x v="3"/>
    <x v="0"/>
  </r>
  <r>
    <x v="2"/>
    <x v="12"/>
    <x v="0"/>
    <n v="47944"/>
    <x v="0"/>
    <x v="0"/>
  </r>
  <r>
    <x v="2"/>
    <x v="13"/>
    <x v="0"/>
    <n v="0"/>
    <x v="0"/>
    <x v="0"/>
  </r>
  <r>
    <x v="2"/>
    <x v="14"/>
    <x v="0"/>
    <n v="375239852"/>
    <x v="4"/>
    <x v="1"/>
  </r>
  <r>
    <x v="2"/>
    <x v="15"/>
    <x v="0"/>
    <n v="6826453"/>
    <x v="4"/>
    <x v="1"/>
  </r>
  <r>
    <x v="2"/>
    <x v="16"/>
    <x v="0"/>
    <n v="18821"/>
    <x v="5"/>
    <x v="0"/>
  </r>
  <r>
    <x v="2"/>
    <x v="17"/>
    <x v="0"/>
    <n v="0"/>
    <x v="1"/>
    <x v="0"/>
  </r>
  <r>
    <x v="2"/>
    <x v="18"/>
    <x v="0"/>
    <n v="0"/>
    <x v="5"/>
    <x v="0"/>
  </r>
  <r>
    <x v="2"/>
    <x v="20"/>
    <x v="0"/>
    <n v="0"/>
    <x v="6"/>
    <x v="0"/>
  </r>
  <r>
    <x v="3"/>
    <x v="21"/>
    <x v="0"/>
    <n v="64.5"/>
    <x v="3"/>
    <x v="2"/>
  </r>
  <r>
    <x v="3"/>
    <x v="1"/>
    <x v="0"/>
    <n v="56.38"/>
    <x v="7"/>
    <x v="3"/>
  </r>
  <r>
    <x v="3"/>
    <x v="17"/>
    <x v="0"/>
    <m/>
    <x v="8"/>
    <x v="4"/>
  </r>
  <r>
    <x v="0"/>
    <x v="0"/>
    <x v="1"/>
    <n v="0"/>
    <x v="0"/>
    <x v="0"/>
  </r>
  <r>
    <x v="0"/>
    <x v="1"/>
    <x v="1"/>
    <n v="65175"/>
    <x v="1"/>
    <x v="0"/>
  </r>
  <r>
    <x v="0"/>
    <x v="2"/>
    <x v="1"/>
    <n v="315"/>
    <x v="0"/>
    <x v="0"/>
  </r>
  <r>
    <x v="0"/>
    <x v="3"/>
    <x v="1"/>
    <n v="998"/>
    <x v="1"/>
    <x v="1"/>
  </r>
  <r>
    <x v="0"/>
    <x v="4"/>
    <x v="1"/>
    <n v="0"/>
    <x v="1"/>
    <x v="1"/>
  </r>
  <r>
    <x v="0"/>
    <x v="5"/>
    <x v="1"/>
    <n v="185"/>
    <x v="1"/>
    <x v="1"/>
  </r>
  <r>
    <x v="0"/>
    <x v="6"/>
    <x v="1"/>
    <n v="0"/>
    <x v="2"/>
    <x v="0"/>
  </r>
  <r>
    <x v="0"/>
    <x v="7"/>
    <x v="1"/>
    <n v="500"/>
    <x v="2"/>
    <x v="0"/>
  </r>
  <r>
    <x v="0"/>
    <x v="8"/>
    <x v="1"/>
    <n v="40149"/>
    <x v="3"/>
    <x v="0"/>
  </r>
  <r>
    <x v="0"/>
    <x v="9"/>
    <x v="1"/>
    <n v="0"/>
    <x v="3"/>
    <x v="0"/>
  </r>
  <r>
    <x v="0"/>
    <x v="10"/>
    <x v="1"/>
    <n v="40120"/>
    <x v="3"/>
    <x v="0"/>
  </r>
  <r>
    <x v="0"/>
    <x v="11"/>
    <x v="1"/>
    <n v="42330"/>
    <x v="3"/>
    <x v="0"/>
  </r>
  <r>
    <x v="0"/>
    <x v="12"/>
    <x v="1"/>
    <n v="112"/>
    <x v="0"/>
    <x v="0"/>
  </r>
  <r>
    <x v="0"/>
    <x v="13"/>
    <x v="1"/>
    <n v="0"/>
    <x v="0"/>
    <x v="0"/>
  </r>
  <r>
    <x v="0"/>
    <x v="14"/>
    <x v="1"/>
    <n v="703"/>
    <x v="4"/>
    <x v="1"/>
  </r>
  <r>
    <x v="0"/>
    <x v="15"/>
    <x v="1"/>
    <n v="388"/>
    <x v="4"/>
    <x v="1"/>
  </r>
  <r>
    <x v="0"/>
    <x v="16"/>
    <x v="1"/>
    <n v="28"/>
    <x v="5"/>
    <x v="0"/>
  </r>
  <r>
    <x v="0"/>
    <x v="17"/>
    <x v="1"/>
    <n v="0"/>
    <x v="1"/>
    <x v="0"/>
  </r>
  <r>
    <x v="0"/>
    <x v="18"/>
    <x v="1"/>
    <n v="0"/>
    <x v="5"/>
    <x v="0"/>
  </r>
  <r>
    <x v="0"/>
    <x v="19"/>
    <x v="1"/>
    <n v="8574"/>
    <x v="2"/>
    <x v="0"/>
  </r>
  <r>
    <x v="0"/>
    <x v="20"/>
    <x v="1"/>
    <n v="0"/>
    <x v="6"/>
    <x v="0"/>
  </r>
  <r>
    <x v="1"/>
    <x v="0"/>
    <x v="1"/>
    <n v="0"/>
    <x v="0"/>
    <x v="0"/>
  </r>
  <r>
    <x v="1"/>
    <x v="1"/>
    <x v="1"/>
    <n v="1256"/>
    <x v="1"/>
    <x v="0"/>
  </r>
  <r>
    <x v="1"/>
    <x v="2"/>
    <x v="1"/>
    <n v="0"/>
    <x v="0"/>
    <x v="0"/>
  </r>
  <r>
    <x v="1"/>
    <x v="3"/>
    <x v="1"/>
    <n v="47111"/>
    <x v="1"/>
    <x v="1"/>
  </r>
  <r>
    <x v="1"/>
    <x v="4"/>
    <x v="1"/>
    <n v="0"/>
    <x v="1"/>
    <x v="1"/>
  </r>
  <r>
    <x v="1"/>
    <x v="5"/>
    <x v="1"/>
    <n v="213"/>
    <x v="1"/>
    <x v="1"/>
  </r>
  <r>
    <x v="1"/>
    <x v="6"/>
    <x v="1"/>
    <n v="0"/>
    <x v="2"/>
    <x v="0"/>
  </r>
  <r>
    <x v="1"/>
    <x v="7"/>
    <x v="1"/>
    <n v="0"/>
    <x v="2"/>
    <x v="0"/>
  </r>
  <r>
    <x v="1"/>
    <x v="8"/>
    <x v="1"/>
    <n v="1516"/>
    <x v="3"/>
    <x v="0"/>
  </r>
  <r>
    <x v="1"/>
    <x v="9"/>
    <x v="1"/>
    <n v="0"/>
    <x v="3"/>
    <x v="0"/>
  </r>
  <r>
    <x v="1"/>
    <x v="10"/>
    <x v="1"/>
    <n v="1817"/>
    <x v="3"/>
    <x v="0"/>
  </r>
  <r>
    <x v="1"/>
    <x v="11"/>
    <x v="1"/>
    <n v="480"/>
    <x v="3"/>
    <x v="0"/>
  </r>
  <r>
    <x v="1"/>
    <x v="12"/>
    <x v="1"/>
    <n v="0"/>
    <x v="0"/>
    <x v="0"/>
  </r>
  <r>
    <x v="1"/>
    <x v="13"/>
    <x v="1"/>
    <n v="0"/>
    <x v="0"/>
    <x v="0"/>
  </r>
  <r>
    <x v="1"/>
    <x v="14"/>
    <x v="1"/>
    <n v="91755"/>
    <x v="4"/>
    <x v="1"/>
  </r>
  <r>
    <x v="1"/>
    <x v="15"/>
    <x v="1"/>
    <n v="414"/>
    <x v="4"/>
    <x v="1"/>
  </r>
  <r>
    <x v="1"/>
    <x v="16"/>
    <x v="1"/>
    <n v="0"/>
    <x v="5"/>
    <x v="0"/>
  </r>
  <r>
    <x v="1"/>
    <x v="17"/>
    <x v="1"/>
    <n v="0"/>
    <x v="1"/>
    <x v="0"/>
  </r>
  <r>
    <x v="1"/>
    <x v="18"/>
    <x v="1"/>
    <n v="0"/>
    <x v="5"/>
    <x v="0"/>
  </r>
  <r>
    <x v="1"/>
    <x v="20"/>
    <x v="1"/>
    <n v="0"/>
    <x v="6"/>
    <x v="0"/>
  </r>
  <r>
    <x v="2"/>
    <x v="0"/>
    <x v="1"/>
    <n v="0"/>
    <x v="0"/>
    <x v="0"/>
  </r>
  <r>
    <x v="2"/>
    <x v="1"/>
    <x v="1"/>
    <n v="11119753"/>
    <x v="1"/>
    <x v="0"/>
  </r>
  <r>
    <x v="2"/>
    <x v="2"/>
    <x v="1"/>
    <n v="81346"/>
    <x v="0"/>
    <x v="0"/>
  </r>
  <r>
    <x v="2"/>
    <x v="3"/>
    <x v="1"/>
    <n v="157566921"/>
    <x v="1"/>
    <x v="1"/>
  </r>
  <r>
    <x v="2"/>
    <x v="4"/>
    <x v="1"/>
    <n v="0"/>
    <x v="1"/>
    <x v="1"/>
  </r>
  <r>
    <x v="2"/>
    <x v="5"/>
    <x v="1"/>
    <n v="921340"/>
    <x v="1"/>
    <x v="1"/>
  </r>
  <r>
    <x v="2"/>
    <x v="6"/>
    <x v="1"/>
    <n v="0"/>
    <x v="2"/>
    <x v="0"/>
  </r>
  <r>
    <x v="2"/>
    <x v="7"/>
    <x v="1"/>
    <n v="10979"/>
    <x v="2"/>
    <x v="0"/>
  </r>
  <r>
    <x v="2"/>
    <x v="8"/>
    <x v="1"/>
    <n v="10636624"/>
    <x v="3"/>
    <x v="0"/>
  </r>
  <r>
    <x v="2"/>
    <x v="9"/>
    <x v="1"/>
    <n v="0"/>
    <x v="3"/>
    <x v="0"/>
  </r>
  <r>
    <x v="2"/>
    <x v="10"/>
    <x v="1"/>
    <n v="13543571"/>
    <x v="3"/>
    <x v="0"/>
  </r>
  <r>
    <x v="2"/>
    <x v="11"/>
    <x v="1"/>
    <n v="16846719"/>
    <x v="3"/>
    <x v="0"/>
  </r>
  <r>
    <x v="2"/>
    <x v="12"/>
    <x v="1"/>
    <n v="83529"/>
    <x v="0"/>
    <x v="0"/>
  </r>
  <r>
    <x v="2"/>
    <x v="13"/>
    <x v="1"/>
    <n v="0"/>
    <x v="0"/>
    <x v="0"/>
  </r>
  <r>
    <x v="2"/>
    <x v="14"/>
    <x v="1"/>
    <n v="326790235"/>
    <x v="4"/>
    <x v="1"/>
  </r>
  <r>
    <x v="2"/>
    <x v="15"/>
    <x v="1"/>
    <n v="1428586"/>
    <x v="4"/>
    <x v="1"/>
  </r>
  <r>
    <x v="2"/>
    <x v="16"/>
    <x v="1"/>
    <n v="18876"/>
    <x v="5"/>
    <x v="0"/>
  </r>
  <r>
    <x v="2"/>
    <x v="17"/>
    <x v="1"/>
    <n v="0"/>
    <x v="1"/>
    <x v="0"/>
  </r>
  <r>
    <x v="2"/>
    <x v="18"/>
    <x v="1"/>
    <n v="0"/>
    <x v="5"/>
    <x v="0"/>
  </r>
  <r>
    <x v="2"/>
    <x v="20"/>
    <x v="1"/>
    <n v="0"/>
    <x v="6"/>
    <x v="0"/>
  </r>
  <r>
    <x v="3"/>
    <x v="21"/>
    <x v="1"/>
    <n v="62.85"/>
    <x v="3"/>
    <x v="2"/>
  </r>
  <r>
    <x v="3"/>
    <x v="1"/>
    <x v="1"/>
    <n v="51.31"/>
    <x v="7"/>
    <x v="3"/>
  </r>
  <r>
    <x v="3"/>
    <x v="17"/>
    <x v="1"/>
    <m/>
    <x v="8"/>
    <x v="4"/>
  </r>
  <r>
    <x v="0"/>
    <x v="0"/>
    <x v="2"/>
    <n v="1655"/>
    <x v="0"/>
    <x v="0"/>
  </r>
  <r>
    <x v="0"/>
    <x v="1"/>
    <x v="2"/>
    <n v="76526"/>
    <x v="1"/>
    <x v="0"/>
  </r>
  <r>
    <x v="0"/>
    <x v="2"/>
    <x v="2"/>
    <n v="379"/>
    <x v="0"/>
    <x v="0"/>
  </r>
  <r>
    <x v="0"/>
    <x v="3"/>
    <x v="2"/>
    <n v="102"/>
    <x v="1"/>
    <x v="1"/>
  </r>
  <r>
    <x v="0"/>
    <x v="4"/>
    <x v="2"/>
    <n v="0"/>
    <x v="1"/>
    <x v="1"/>
  </r>
  <r>
    <x v="0"/>
    <x v="5"/>
    <x v="2"/>
    <n v="213"/>
    <x v="1"/>
    <x v="1"/>
  </r>
  <r>
    <x v="0"/>
    <x v="6"/>
    <x v="2"/>
    <n v="0"/>
    <x v="2"/>
    <x v="0"/>
  </r>
  <r>
    <x v="0"/>
    <x v="7"/>
    <x v="2"/>
    <n v="684"/>
    <x v="2"/>
    <x v="0"/>
  </r>
  <r>
    <x v="0"/>
    <x v="8"/>
    <x v="2"/>
    <n v="37633"/>
    <x v="3"/>
    <x v="0"/>
  </r>
  <r>
    <x v="0"/>
    <x v="9"/>
    <x v="2"/>
    <n v="622"/>
    <x v="3"/>
    <x v="0"/>
  </r>
  <r>
    <x v="0"/>
    <x v="10"/>
    <x v="2"/>
    <n v="51501"/>
    <x v="3"/>
    <x v="0"/>
  </r>
  <r>
    <x v="0"/>
    <x v="11"/>
    <x v="2"/>
    <n v="51234"/>
    <x v="3"/>
    <x v="0"/>
  </r>
  <r>
    <x v="0"/>
    <x v="12"/>
    <x v="2"/>
    <n v="346"/>
    <x v="0"/>
    <x v="0"/>
  </r>
  <r>
    <x v="0"/>
    <x v="13"/>
    <x v="2"/>
    <n v="0"/>
    <x v="0"/>
    <x v="0"/>
  </r>
  <r>
    <x v="0"/>
    <x v="14"/>
    <x v="2"/>
    <n v="123"/>
    <x v="4"/>
    <x v="1"/>
  </r>
  <r>
    <x v="0"/>
    <x v="15"/>
    <x v="2"/>
    <n v="415"/>
    <x v="4"/>
    <x v="1"/>
  </r>
  <r>
    <x v="0"/>
    <x v="16"/>
    <x v="2"/>
    <n v="13"/>
    <x v="5"/>
    <x v="0"/>
  </r>
  <r>
    <x v="0"/>
    <x v="17"/>
    <x v="2"/>
    <n v="0"/>
    <x v="1"/>
    <x v="0"/>
  </r>
  <r>
    <x v="0"/>
    <x v="18"/>
    <x v="2"/>
    <n v="0"/>
    <x v="5"/>
    <x v="0"/>
  </r>
  <r>
    <x v="0"/>
    <x v="19"/>
    <x v="2"/>
    <n v="8573"/>
    <x v="2"/>
    <x v="0"/>
  </r>
  <r>
    <x v="0"/>
    <x v="20"/>
    <x v="2"/>
    <n v="0"/>
    <x v="6"/>
    <x v="0"/>
  </r>
  <r>
    <x v="1"/>
    <x v="0"/>
    <x v="2"/>
    <n v="0"/>
    <x v="0"/>
    <x v="0"/>
  </r>
  <r>
    <x v="1"/>
    <x v="1"/>
    <x v="2"/>
    <n v="1287"/>
    <x v="1"/>
    <x v="0"/>
  </r>
  <r>
    <x v="1"/>
    <x v="2"/>
    <x v="2"/>
    <n v="0"/>
    <x v="0"/>
    <x v="0"/>
  </r>
  <r>
    <x v="1"/>
    <x v="3"/>
    <x v="2"/>
    <n v="54209"/>
    <x v="1"/>
    <x v="1"/>
  </r>
  <r>
    <x v="1"/>
    <x v="4"/>
    <x v="2"/>
    <n v="0"/>
    <x v="1"/>
    <x v="1"/>
  </r>
  <r>
    <x v="1"/>
    <x v="5"/>
    <x v="2"/>
    <n v="194"/>
    <x v="1"/>
    <x v="1"/>
  </r>
  <r>
    <x v="1"/>
    <x v="6"/>
    <x v="2"/>
    <n v="0"/>
    <x v="2"/>
    <x v="0"/>
  </r>
  <r>
    <x v="1"/>
    <x v="7"/>
    <x v="2"/>
    <n v="0"/>
    <x v="2"/>
    <x v="0"/>
  </r>
  <r>
    <x v="1"/>
    <x v="8"/>
    <x v="2"/>
    <n v="2383"/>
    <x v="3"/>
    <x v="0"/>
  </r>
  <r>
    <x v="1"/>
    <x v="9"/>
    <x v="2"/>
    <n v="0"/>
    <x v="3"/>
    <x v="0"/>
  </r>
  <r>
    <x v="1"/>
    <x v="10"/>
    <x v="2"/>
    <n v="1447"/>
    <x v="3"/>
    <x v="0"/>
  </r>
  <r>
    <x v="1"/>
    <x v="11"/>
    <x v="2"/>
    <n v="2618"/>
    <x v="3"/>
    <x v="0"/>
  </r>
  <r>
    <x v="1"/>
    <x v="12"/>
    <x v="2"/>
    <n v="0"/>
    <x v="0"/>
    <x v="0"/>
  </r>
  <r>
    <x v="1"/>
    <x v="13"/>
    <x v="2"/>
    <n v="0"/>
    <x v="0"/>
    <x v="0"/>
  </r>
  <r>
    <x v="1"/>
    <x v="14"/>
    <x v="2"/>
    <n v="105333"/>
    <x v="4"/>
    <x v="1"/>
  </r>
  <r>
    <x v="1"/>
    <x v="15"/>
    <x v="2"/>
    <n v="451"/>
    <x v="4"/>
    <x v="1"/>
  </r>
  <r>
    <x v="1"/>
    <x v="16"/>
    <x v="2"/>
    <n v="0"/>
    <x v="5"/>
    <x v="0"/>
  </r>
  <r>
    <x v="1"/>
    <x v="17"/>
    <x v="2"/>
    <n v="0"/>
    <x v="1"/>
    <x v="0"/>
  </r>
  <r>
    <x v="1"/>
    <x v="18"/>
    <x v="2"/>
    <n v="0"/>
    <x v="5"/>
    <x v="0"/>
  </r>
  <r>
    <x v="1"/>
    <x v="20"/>
    <x v="2"/>
    <n v="0"/>
    <x v="6"/>
    <x v="0"/>
  </r>
  <r>
    <x v="2"/>
    <x v="0"/>
    <x v="2"/>
    <n v="218045"/>
    <x v="0"/>
    <x v="0"/>
  </r>
  <r>
    <x v="2"/>
    <x v="1"/>
    <x v="2"/>
    <n v="13040561"/>
    <x v="1"/>
    <x v="0"/>
  </r>
  <r>
    <x v="2"/>
    <x v="2"/>
    <x v="2"/>
    <n v="98006"/>
    <x v="0"/>
    <x v="0"/>
  </r>
  <r>
    <x v="2"/>
    <x v="3"/>
    <x v="2"/>
    <n v="184886343"/>
    <x v="1"/>
    <x v="1"/>
  </r>
  <r>
    <x v="2"/>
    <x v="4"/>
    <x v="2"/>
    <n v="0"/>
    <x v="1"/>
    <x v="1"/>
  </r>
  <r>
    <x v="2"/>
    <x v="5"/>
    <x v="2"/>
    <n v="-556919"/>
    <x v="1"/>
    <x v="1"/>
  </r>
  <r>
    <x v="2"/>
    <x v="6"/>
    <x v="2"/>
    <n v="0"/>
    <x v="2"/>
    <x v="0"/>
  </r>
  <r>
    <x v="2"/>
    <x v="7"/>
    <x v="2"/>
    <n v="15031"/>
    <x v="2"/>
    <x v="0"/>
  </r>
  <r>
    <x v="2"/>
    <x v="8"/>
    <x v="2"/>
    <n v="9704693"/>
    <x v="3"/>
    <x v="0"/>
  </r>
  <r>
    <x v="2"/>
    <x v="9"/>
    <x v="2"/>
    <n v="341382"/>
    <x v="3"/>
    <x v="0"/>
  </r>
  <r>
    <x v="2"/>
    <x v="10"/>
    <x v="2"/>
    <n v="16763834"/>
    <x v="3"/>
    <x v="0"/>
  </r>
  <r>
    <x v="2"/>
    <x v="11"/>
    <x v="2"/>
    <n v="19851146"/>
    <x v="3"/>
    <x v="0"/>
  </r>
  <r>
    <x v="2"/>
    <x v="12"/>
    <x v="2"/>
    <n v="253637"/>
    <x v="0"/>
    <x v="0"/>
  </r>
  <r>
    <x v="2"/>
    <x v="13"/>
    <x v="2"/>
    <n v="0"/>
    <x v="0"/>
    <x v="0"/>
  </r>
  <r>
    <x v="2"/>
    <x v="14"/>
    <x v="2"/>
    <n v="377613067"/>
    <x v="4"/>
    <x v="1"/>
  </r>
  <r>
    <x v="2"/>
    <x v="15"/>
    <x v="2"/>
    <n v="1836989"/>
    <x v="4"/>
    <x v="1"/>
  </r>
  <r>
    <x v="2"/>
    <x v="16"/>
    <x v="2"/>
    <n v="7995"/>
    <x v="5"/>
    <x v="0"/>
  </r>
  <r>
    <x v="2"/>
    <x v="17"/>
    <x v="2"/>
    <n v="0"/>
    <x v="1"/>
    <x v="0"/>
  </r>
  <r>
    <x v="2"/>
    <x v="18"/>
    <x v="2"/>
    <n v="0"/>
    <x v="5"/>
    <x v="0"/>
  </r>
  <r>
    <x v="2"/>
    <x v="20"/>
    <x v="2"/>
    <n v="0"/>
    <x v="6"/>
    <x v="0"/>
  </r>
  <r>
    <x v="3"/>
    <x v="21"/>
    <x v="2"/>
    <n v="63"/>
    <x v="3"/>
    <x v="2"/>
  </r>
  <r>
    <x v="3"/>
    <x v="1"/>
    <x v="2"/>
    <n v="51.13"/>
    <x v="7"/>
    <x v="3"/>
  </r>
  <r>
    <x v="3"/>
    <x v="17"/>
    <x v="2"/>
    <m/>
    <x v="8"/>
    <x v="4"/>
  </r>
  <r>
    <x v="0"/>
    <x v="0"/>
    <x v="3"/>
    <n v="2486"/>
    <x v="0"/>
    <x v="0"/>
  </r>
  <r>
    <x v="0"/>
    <x v="1"/>
    <x v="3"/>
    <n v="69420"/>
    <x v="1"/>
    <x v="0"/>
  </r>
  <r>
    <x v="0"/>
    <x v="2"/>
    <x v="3"/>
    <n v="357"/>
    <x v="0"/>
    <x v="0"/>
  </r>
  <r>
    <x v="0"/>
    <x v="3"/>
    <x v="3"/>
    <n v="495"/>
    <x v="1"/>
    <x v="1"/>
  </r>
  <r>
    <x v="0"/>
    <x v="4"/>
    <x v="3"/>
    <n v="0"/>
    <x v="1"/>
    <x v="1"/>
  </r>
  <r>
    <x v="0"/>
    <x v="5"/>
    <x v="3"/>
    <n v="100"/>
    <x v="1"/>
    <x v="1"/>
  </r>
  <r>
    <x v="0"/>
    <x v="6"/>
    <x v="3"/>
    <n v="0"/>
    <x v="2"/>
    <x v="0"/>
  </r>
  <r>
    <x v="0"/>
    <x v="7"/>
    <x v="3"/>
    <n v="640"/>
    <x v="2"/>
    <x v="0"/>
  </r>
  <r>
    <x v="0"/>
    <x v="8"/>
    <x v="3"/>
    <n v="37148"/>
    <x v="3"/>
    <x v="0"/>
  </r>
  <r>
    <x v="0"/>
    <x v="9"/>
    <x v="3"/>
    <n v="0"/>
    <x v="3"/>
    <x v="0"/>
  </r>
  <r>
    <x v="0"/>
    <x v="10"/>
    <x v="3"/>
    <n v="36170"/>
    <x v="3"/>
    <x v="0"/>
  </r>
  <r>
    <x v="0"/>
    <x v="11"/>
    <x v="3"/>
    <n v="38364"/>
    <x v="3"/>
    <x v="0"/>
  </r>
  <r>
    <x v="0"/>
    <x v="12"/>
    <x v="3"/>
    <n v="292"/>
    <x v="0"/>
    <x v="0"/>
  </r>
  <r>
    <x v="0"/>
    <x v="13"/>
    <x v="3"/>
    <n v="0"/>
    <x v="0"/>
    <x v="0"/>
  </r>
  <r>
    <x v="0"/>
    <x v="14"/>
    <x v="3"/>
    <n v="122"/>
    <x v="4"/>
    <x v="1"/>
  </r>
  <r>
    <x v="0"/>
    <x v="15"/>
    <x v="3"/>
    <n v="39"/>
    <x v="4"/>
    <x v="1"/>
  </r>
  <r>
    <x v="0"/>
    <x v="16"/>
    <x v="3"/>
    <n v="31"/>
    <x v="5"/>
    <x v="0"/>
  </r>
  <r>
    <x v="0"/>
    <x v="17"/>
    <x v="3"/>
    <n v="0"/>
    <x v="1"/>
    <x v="0"/>
  </r>
  <r>
    <x v="0"/>
    <x v="18"/>
    <x v="3"/>
    <n v="0"/>
    <x v="5"/>
    <x v="0"/>
  </r>
  <r>
    <x v="0"/>
    <x v="19"/>
    <x v="3"/>
    <n v="8574"/>
    <x v="2"/>
    <x v="0"/>
  </r>
  <r>
    <x v="0"/>
    <x v="20"/>
    <x v="3"/>
    <n v="0"/>
    <x v="6"/>
    <x v="0"/>
  </r>
  <r>
    <x v="1"/>
    <x v="0"/>
    <x v="3"/>
    <n v="0"/>
    <x v="0"/>
    <x v="0"/>
  </r>
  <r>
    <x v="1"/>
    <x v="1"/>
    <x v="3"/>
    <n v="483"/>
    <x v="1"/>
    <x v="0"/>
  </r>
  <r>
    <x v="1"/>
    <x v="2"/>
    <x v="3"/>
    <n v="0"/>
    <x v="0"/>
    <x v="0"/>
  </r>
  <r>
    <x v="1"/>
    <x v="3"/>
    <x v="3"/>
    <n v="48337"/>
    <x v="1"/>
    <x v="1"/>
  </r>
  <r>
    <x v="1"/>
    <x v="4"/>
    <x v="3"/>
    <n v="0"/>
    <x v="1"/>
    <x v="1"/>
  </r>
  <r>
    <x v="1"/>
    <x v="5"/>
    <x v="3"/>
    <n v="169"/>
    <x v="1"/>
    <x v="1"/>
  </r>
  <r>
    <x v="1"/>
    <x v="6"/>
    <x v="3"/>
    <n v="0"/>
    <x v="2"/>
    <x v="0"/>
  </r>
  <r>
    <x v="1"/>
    <x v="7"/>
    <x v="3"/>
    <n v="0"/>
    <x v="2"/>
    <x v="0"/>
  </r>
  <r>
    <x v="1"/>
    <x v="8"/>
    <x v="3"/>
    <n v="0"/>
    <x v="3"/>
    <x v="0"/>
  </r>
  <r>
    <x v="1"/>
    <x v="9"/>
    <x v="3"/>
    <n v="0"/>
    <x v="3"/>
    <x v="0"/>
  </r>
  <r>
    <x v="1"/>
    <x v="10"/>
    <x v="3"/>
    <n v="2771"/>
    <x v="3"/>
    <x v="0"/>
  </r>
  <r>
    <x v="1"/>
    <x v="11"/>
    <x v="3"/>
    <n v="905"/>
    <x v="3"/>
    <x v="0"/>
  </r>
  <r>
    <x v="1"/>
    <x v="12"/>
    <x v="3"/>
    <n v="0"/>
    <x v="0"/>
    <x v="0"/>
  </r>
  <r>
    <x v="1"/>
    <x v="13"/>
    <x v="3"/>
    <n v="0"/>
    <x v="0"/>
    <x v="0"/>
  </r>
  <r>
    <x v="1"/>
    <x v="14"/>
    <x v="3"/>
    <n v="89375"/>
    <x v="4"/>
    <x v="1"/>
  </r>
  <r>
    <x v="1"/>
    <x v="15"/>
    <x v="3"/>
    <n v="387"/>
    <x v="4"/>
    <x v="1"/>
  </r>
  <r>
    <x v="1"/>
    <x v="16"/>
    <x v="3"/>
    <n v="0"/>
    <x v="5"/>
    <x v="0"/>
  </r>
  <r>
    <x v="1"/>
    <x v="17"/>
    <x v="3"/>
    <n v="0"/>
    <x v="1"/>
    <x v="0"/>
  </r>
  <r>
    <x v="1"/>
    <x v="18"/>
    <x v="3"/>
    <n v="0"/>
    <x v="5"/>
    <x v="0"/>
  </r>
  <r>
    <x v="1"/>
    <x v="20"/>
    <x v="3"/>
    <n v="0"/>
    <x v="6"/>
    <x v="0"/>
  </r>
  <r>
    <x v="2"/>
    <x v="0"/>
    <x v="3"/>
    <n v="336127"/>
    <x v="0"/>
    <x v="0"/>
  </r>
  <r>
    <x v="2"/>
    <x v="1"/>
    <x v="3"/>
    <n v="11380628"/>
    <x v="1"/>
    <x v="0"/>
  </r>
  <r>
    <x v="2"/>
    <x v="2"/>
    <x v="3"/>
    <n v="92354"/>
    <x v="0"/>
    <x v="0"/>
  </r>
  <r>
    <x v="2"/>
    <x v="3"/>
    <x v="3"/>
    <n v="163486021"/>
    <x v="1"/>
    <x v="1"/>
  </r>
  <r>
    <x v="2"/>
    <x v="4"/>
    <x v="3"/>
    <n v="0"/>
    <x v="1"/>
    <x v="1"/>
  </r>
  <r>
    <x v="2"/>
    <x v="5"/>
    <x v="3"/>
    <n v="2169583"/>
    <x v="1"/>
    <x v="1"/>
  </r>
  <r>
    <x v="2"/>
    <x v="6"/>
    <x v="3"/>
    <n v="0"/>
    <x v="2"/>
    <x v="0"/>
  </r>
  <r>
    <x v="2"/>
    <x v="7"/>
    <x v="3"/>
    <n v="14084"/>
    <x v="2"/>
    <x v="0"/>
  </r>
  <r>
    <x v="2"/>
    <x v="8"/>
    <x v="3"/>
    <n v="10227805"/>
    <x v="3"/>
    <x v="0"/>
  </r>
  <r>
    <x v="2"/>
    <x v="9"/>
    <x v="3"/>
    <n v="0"/>
    <x v="3"/>
    <x v="0"/>
  </r>
  <r>
    <x v="2"/>
    <x v="10"/>
    <x v="3"/>
    <n v="11612820"/>
    <x v="3"/>
    <x v="0"/>
  </r>
  <r>
    <x v="2"/>
    <x v="11"/>
    <x v="3"/>
    <n v="15078450"/>
    <x v="3"/>
    <x v="0"/>
  </r>
  <r>
    <x v="2"/>
    <x v="12"/>
    <x v="3"/>
    <n v="212524"/>
    <x v="0"/>
    <x v="0"/>
  </r>
  <r>
    <x v="2"/>
    <x v="13"/>
    <x v="3"/>
    <n v="0"/>
    <x v="0"/>
    <x v="0"/>
  </r>
  <r>
    <x v="2"/>
    <x v="14"/>
    <x v="3"/>
    <n v="320334675"/>
    <x v="4"/>
    <x v="1"/>
  </r>
  <r>
    <x v="2"/>
    <x v="15"/>
    <x v="3"/>
    <n v="17687671"/>
    <x v="4"/>
    <x v="1"/>
  </r>
  <r>
    <x v="2"/>
    <x v="16"/>
    <x v="3"/>
    <n v="19358"/>
    <x v="5"/>
    <x v="0"/>
  </r>
  <r>
    <x v="2"/>
    <x v="17"/>
    <x v="3"/>
    <n v="0"/>
    <x v="1"/>
    <x v="0"/>
  </r>
  <r>
    <x v="2"/>
    <x v="18"/>
    <x v="3"/>
    <n v="0"/>
    <x v="5"/>
    <x v="0"/>
  </r>
  <r>
    <x v="2"/>
    <x v="20"/>
    <x v="3"/>
    <n v="0"/>
    <x v="6"/>
    <x v="0"/>
  </r>
  <r>
    <x v="3"/>
    <x v="21"/>
    <x v="3"/>
    <n v="62.48"/>
    <x v="3"/>
    <x v="2"/>
  </r>
  <r>
    <x v="3"/>
    <x v="1"/>
    <x v="3"/>
    <n v="48.72"/>
    <x v="7"/>
    <x v="3"/>
  </r>
  <r>
    <x v="3"/>
    <x v="17"/>
    <x v="3"/>
    <m/>
    <x v="8"/>
    <x v="4"/>
  </r>
  <r>
    <x v="0"/>
    <x v="0"/>
    <x v="4"/>
    <n v="1673"/>
    <x v="0"/>
    <x v="0"/>
  </r>
  <r>
    <x v="0"/>
    <x v="1"/>
    <x v="4"/>
    <n v="57466"/>
    <x v="1"/>
    <x v="0"/>
  </r>
  <r>
    <x v="0"/>
    <x v="2"/>
    <x v="4"/>
    <n v="383"/>
    <x v="0"/>
    <x v="0"/>
  </r>
  <r>
    <x v="0"/>
    <x v="3"/>
    <x v="4"/>
    <n v="322"/>
    <x v="1"/>
    <x v="1"/>
  </r>
  <r>
    <x v="0"/>
    <x v="4"/>
    <x v="4"/>
    <n v="0"/>
    <x v="1"/>
    <x v="1"/>
  </r>
  <r>
    <x v="0"/>
    <x v="5"/>
    <x v="4"/>
    <n v="158"/>
    <x v="1"/>
    <x v="1"/>
  </r>
  <r>
    <x v="0"/>
    <x v="6"/>
    <x v="4"/>
    <n v="0"/>
    <x v="2"/>
    <x v="0"/>
  </r>
  <r>
    <x v="0"/>
    <x v="7"/>
    <x v="4"/>
    <n v="649"/>
    <x v="2"/>
    <x v="0"/>
  </r>
  <r>
    <x v="0"/>
    <x v="8"/>
    <x v="4"/>
    <n v="35320"/>
    <x v="3"/>
    <x v="0"/>
  </r>
  <r>
    <x v="0"/>
    <x v="9"/>
    <x v="4"/>
    <n v="0"/>
    <x v="3"/>
    <x v="0"/>
  </r>
  <r>
    <x v="0"/>
    <x v="10"/>
    <x v="4"/>
    <n v="44266"/>
    <x v="3"/>
    <x v="0"/>
  </r>
  <r>
    <x v="0"/>
    <x v="11"/>
    <x v="4"/>
    <n v="41545"/>
    <x v="3"/>
    <x v="0"/>
  </r>
  <r>
    <x v="0"/>
    <x v="12"/>
    <x v="4"/>
    <n v="308"/>
    <x v="0"/>
    <x v="0"/>
  </r>
  <r>
    <x v="0"/>
    <x v="13"/>
    <x v="4"/>
    <n v="0"/>
    <x v="0"/>
    <x v="0"/>
  </r>
  <r>
    <x v="0"/>
    <x v="14"/>
    <x v="4"/>
    <n v="194"/>
    <x v="4"/>
    <x v="1"/>
  </r>
  <r>
    <x v="0"/>
    <x v="15"/>
    <x v="4"/>
    <n v="86"/>
    <x v="4"/>
    <x v="1"/>
  </r>
  <r>
    <x v="0"/>
    <x v="16"/>
    <x v="4"/>
    <n v="32"/>
    <x v="5"/>
    <x v="0"/>
  </r>
  <r>
    <x v="0"/>
    <x v="17"/>
    <x v="4"/>
    <n v="0"/>
    <x v="1"/>
    <x v="0"/>
  </r>
  <r>
    <x v="0"/>
    <x v="18"/>
    <x v="4"/>
    <n v="0"/>
    <x v="5"/>
    <x v="0"/>
  </r>
  <r>
    <x v="0"/>
    <x v="19"/>
    <x v="4"/>
    <n v="10301"/>
    <x v="2"/>
    <x v="0"/>
  </r>
  <r>
    <x v="0"/>
    <x v="20"/>
    <x v="4"/>
    <n v="0"/>
    <x v="6"/>
    <x v="0"/>
  </r>
  <r>
    <x v="1"/>
    <x v="0"/>
    <x v="4"/>
    <n v="0"/>
    <x v="0"/>
    <x v="0"/>
  </r>
  <r>
    <x v="1"/>
    <x v="1"/>
    <x v="4"/>
    <n v="514"/>
    <x v="1"/>
    <x v="0"/>
  </r>
  <r>
    <x v="1"/>
    <x v="2"/>
    <x v="4"/>
    <n v="0"/>
    <x v="0"/>
    <x v="0"/>
  </r>
  <r>
    <x v="1"/>
    <x v="3"/>
    <x v="4"/>
    <n v="45529"/>
    <x v="1"/>
    <x v="1"/>
  </r>
  <r>
    <x v="1"/>
    <x v="4"/>
    <x v="4"/>
    <n v="0"/>
    <x v="1"/>
    <x v="1"/>
  </r>
  <r>
    <x v="1"/>
    <x v="5"/>
    <x v="4"/>
    <n v="262"/>
    <x v="1"/>
    <x v="1"/>
  </r>
  <r>
    <x v="1"/>
    <x v="6"/>
    <x v="4"/>
    <n v="0"/>
    <x v="2"/>
    <x v="0"/>
  </r>
  <r>
    <x v="1"/>
    <x v="7"/>
    <x v="4"/>
    <n v="0"/>
    <x v="2"/>
    <x v="0"/>
  </r>
  <r>
    <x v="1"/>
    <x v="8"/>
    <x v="4"/>
    <n v="0"/>
    <x v="3"/>
    <x v="0"/>
  </r>
  <r>
    <x v="1"/>
    <x v="9"/>
    <x v="4"/>
    <n v="0"/>
    <x v="3"/>
    <x v="0"/>
  </r>
  <r>
    <x v="1"/>
    <x v="10"/>
    <x v="4"/>
    <n v="7370"/>
    <x v="3"/>
    <x v="0"/>
  </r>
  <r>
    <x v="1"/>
    <x v="11"/>
    <x v="4"/>
    <n v="3234"/>
    <x v="3"/>
    <x v="0"/>
  </r>
  <r>
    <x v="1"/>
    <x v="12"/>
    <x v="4"/>
    <n v="0"/>
    <x v="0"/>
    <x v="0"/>
  </r>
  <r>
    <x v="1"/>
    <x v="13"/>
    <x v="4"/>
    <n v="0"/>
    <x v="0"/>
    <x v="0"/>
  </r>
  <r>
    <x v="1"/>
    <x v="14"/>
    <x v="4"/>
    <n v="81068"/>
    <x v="4"/>
    <x v="1"/>
  </r>
  <r>
    <x v="1"/>
    <x v="15"/>
    <x v="4"/>
    <n v="823"/>
    <x v="4"/>
    <x v="1"/>
  </r>
  <r>
    <x v="1"/>
    <x v="16"/>
    <x v="4"/>
    <n v="0"/>
    <x v="5"/>
    <x v="0"/>
  </r>
  <r>
    <x v="1"/>
    <x v="17"/>
    <x v="4"/>
    <n v="0"/>
    <x v="1"/>
    <x v="0"/>
  </r>
  <r>
    <x v="1"/>
    <x v="18"/>
    <x v="4"/>
    <n v="0"/>
    <x v="5"/>
    <x v="0"/>
  </r>
  <r>
    <x v="1"/>
    <x v="20"/>
    <x v="4"/>
    <n v="0"/>
    <x v="6"/>
    <x v="0"/>
  </r>
  <r>
    <x v="2"/>
    <x v="0"/>
    <x v="4"/>
    <n v="319232"/>
    <x v="0"/>
    <x v="0"/>
  </r>
  <r>
    <x v="2"/>
    <x v="1"/>
    <x v="4"/>
    <n v="9024384"/>
    <x v="1"/>
    <x v="0"/>
  </r>
  <r>
    <x v="2"/>
    <x v="2"/>
    <x v="4"/>
    <n v="99904"/>
    <x v="0"/>
    <x v="0"/>
  </r>
  <r>
    <x v="2"/>
    <x v="3"/>
    <x v="4"/>
    <n v="139086543"/>
    <x v="1"/>
    <x v="1"/>
  </r>
  <r>
    <x v="2"/>
    <x v="4"/>
    <x v="4"/>
    <n v="0"/>
    <x v="1"/>
    <x v="1"/>
  </r>
  <r>
    <x v="2"/>
    <x v="5"/>
    <x v="4"/>
    <n v="1604260"/>
    <x v="1"/>
    <x v="1"/>
  </r>
  <r>
    <x v="2"/>
    <x v="6"/>
    <x v="4"/>
    <n v="0"/>
    <x v="2"/>
    <x v="0"/>
  </r>
  <r>
    <x v="2"/>
    <x v="7"/>
    <x v="4"/>
    <n v="14322"/>
    <x v="2"/>
    <x v="0"/>
  </r>
  <r>
    <x v="2"/>
    <x v="8"/>
    <x v="4"/>
    <n v="9776863"/>
    <x v="3"/>
    <x v="0"/>
  </r>
  <r>
    <x v="2"/>
    <x v="9"/>
    <x v="4"/>
    <n v="0"/>
    <x v="3"/>
    <x v="0"/>
  </r>
  <r>
    <x v="2"/>
    <x v="18"/>
    <x v="5"/>
    <n v="229264"/>
    <x v="5"/>
    <x v="0"/>
  </r>
  <r>
    <x v="2"/>
    <x v="20"/>
    <x v="5"/>
    <n v="0"/>
    <x v="6"/>
    <x v="0"/>
  </r>
  <r>
    <x v="3"/>
    <x v="21"/>
    <x v="5"/>
    <n v="57.02"/>
    <x v="3"/>
    <x v="2"/>
  </r>
  <r>
    <x v="3"/>
    <x v="1"/>
    <x v="5"/>
    <n v="38.97"/>
    <x v="7"/>
    <x v="3"/>
  </r>
  <r>
    <x v="3"/>
    <x v="17"/>
    <x v="5"/>
    <n v="29.88"/>
    <x v="8"/>
    <x v="4"/>
  </r>
  <r>
    <x v="0"/>
    <x v="0"/>
    <x v="6"/>
    <n v="2366"/>
    <x v="0"/>
    <x v="0"/>
  </r>
  <r>
    <x v="0"/>
    <x v="1"/>
    <x v="6"/>
    <n v="116165"/>
    <x v="1"/>
    <x v="0"/>
  </r>
  <r>
    <x v="0"/>
    <x v="2"/>
    <x v="6"/>
    <n v="280"/>
    <x v="0"/>
    <x v="0"/>
  </r>
  <r>
    <x v="0"/>
    <x v="3"/>
    <x v="6"/>
    <n v="201"/>
    <x v="1"/>
    <x v="1"/>
  </r>
  <r>
    <x v="0"/>
    <x v="4"/>
    <x v="6"/>
    <n v="0"/>
    <x v="1"/>
    <x v="1"/>
  </r>
  <r>
    <x v="0"/>
    <x v="5"/>
    <x v="6"/>
    <n v="106"/>
    <x v="1"/>
    <x v="1"/>
  </r>
  <r>
    <x v="0"/>
    <x v="6"/>
    <x v="6"/>
    <n v="6098"/>
    <x v="2"/>
    <x v="0"/>
  </r>
  <r>
    <x v="0"/>
    <x v="7"/>
    <x v="6"/>
    <n v="1940"/>
    <x v="2"/>
    <x v="0"/>
  </r>
  <r>
    <x v="0"/>
    <x v="8"/>
    <x v="6"/>
    <n v="55045"/>
    <x v="3"/>
    <x v="0"/>
  </r>
  <r>
    <x v="0"/>
    <x v="9"/>
    <x v="6"/>
    <n v="271"/>
    <x v="3"/>
    <x v="0"/>
  </r>
  <r>
    <x v="0"/>
    <x v="10"/>
    <x v="6"/>
    <n v="89853"/>
    <x v="3"/>
    <x v="0"/>
  </r>
  <r>
    <x v="0"/>
    <x v="11"/>
    <x v="6"/>
    <n v="760"/>
    <x v="3"/>
    <x v="0"/>
  </r>
  <r>
    <x v="0"/>
    <x v="12"/>
    <x v="6"/>
    <n v="419"/>
    <x v="0"/>
    <x v="0"/>
  </r>
  <r>
    <x v="0"/>
    <x v="13"/>
    <x v="6"/>
    <n v="0"/>
    <x v="0"/>
    <x v="0"/>
  </r>
  <r>
    <x v="0"/>
    <x v="14"/>
    <x v="6"/>
    <n v="2"/>
    <x v="4"/>
    <x v="1"/>
  </r>
  <r>
    <x v="0"/>
    <x v="15"/>
    <x v="6"/>
    <n v="0"/>
    <x v="4"/>
    <x v="1"/>
  </r>
  <r>
    <x v="0"/>
    <x v="16"/>
    <x v="6"/>
    <n v="700"/>
    <x v="5"/>
    <x v="0"/>
  </r>
  <r>
    <x v="0"/>
    <x v="17"/>
    <x v="6"/>
    <n v="42517"/>
    <x v="1"/>
    <x v="0"/>
  </r>
  <r>
    <x v="0"/>
    <x v="18"/>
    <x v="6"/>
    <n v="1235"/>
    <x v="5"/>
    <x v="0"/>
  </r>
  <r>
    <x v="0"/>
    <x v="19"/>
    <x v="6"/>
    <n v="18318"/>
    <x v="2"/>
    <x v="0"/>
  </r>
  <r>
    <x v="0"/>
    <x v="20"/>
    <x v="6"/>
    <n v="0"/>
    <x v="6"/>
    <x v="0"/>
  </r>
  <r>
    <x v="1"/>
    <x v="0"/>
    <x v="6"/>
    <n v="0"/>
    <x v="0"/>
    <x v="0"/>
  </r>
  <r>
    <x v="1"/>
    <x v="1"/>
    <x v="6"/>
    <n v="942"/>
    <x v="1"/>
    <x v="0"/>
  </r>
  <r>
    <x v="1"/>
    <x v="2"/>
    <x v="6"/>
    <n v="0"/>
    <x v="0"/>
    <x v="0"/>
  </r>
  <r>
    <x v="1"/>
    <x v="3"/>
    <x v="6"/>
    <n v="85252"/>
    <x v="1"/>
    <x v="1"/>
  </r>
  <r>
    <x v="1"/>
    <x v="4"/>
    <x v="6"/>
    <n v="9"/>
    <x v="1"/>
    <x v="1"/>
  </r>
  <r>
    <x v="1"/>
    <x v="5"/>
    <x v="6"/>
    <n v="1064"/>
    <x v="1"/>
    <x v="1"/>
  </r>
  <r>
    <x v="1"/>
    <x v="6"/>
    <x v="6"/>
    <n v="0"/>
    <x v="2"/>
    <x v="0"/>
  </r>
  <r>
    <x v="1"/>
    <x v="7"/>
    <x v="6"/>
    <n v="0"/>
    <x v="2"/>
    <x v="0"/>
  </r>
  <r>
    <x v="1"/>
    <x v="8"/>
    <x v="6"/>
    <n v="4915"/>
    <x v="3"/>
    <x v="0"/>
  </r>
  <r>
    <x v="1"/>
    <x v="9"/>
    <x v="6"/>
    <n v="0"/>
    <x v="3"/>
    <x v="0"/>
  </r>
  <r>
    <x v="1"/>
    <x v="10"/>
    <x v="6"/>
    <n v="1691"/>
    <x v="3"/>
    <x v="0"/>
  </r>
  <r>
    <x v="1"/>
    <x v="11"/>
    <x v="6"/>
    <n v="0"/>
    <x v="3"/>
    <x v="0"/>
  </r>
  <r>
    <x v="1"/>
    <x v="12"/>
    <x v="6"/>
    <n v="0"/>
    <x v="0"/>
    <x v="0"/>
  </r>
  <r>
    <x v="1"/>
    <x v="13"/>
    <x v="6"/>
    <n v="0"/>
    <x v="0"/>
    <x v="0"/>
  </r>
  <r>
    <x v="1"/>
    <x v="14"/>
    <x v="6"/>
    <n v="168167"/>
    <x v="4"/>
    <x v="1"/>
  </r>
  <r>
    <x v="1"/>
    <x v="15"/>
    <x v="6"/>
    <n v="3907"/>
    <x v="4"/>
    <x v="1"/>
  </r>
  <r>
    <x v="1"/>
    <x v="16"/>
    <x v="6"/>
    <n v="0"/>
    <x v="5"/>
    <x v="0"/>
  </r>
  <r>
    <x v="1"/>
    <x v="17"/>
    <x v="6"/>
    <n v="0"/>
    <x v="1"/>
    <x v="0"/>
  </r>
  <r>
    <x v="1"/>
    <x v="18"/>
    <x v="6"/>
    <n v="0"/>
    <x v="5"/>
    <x v="0"/>
  </r>
  <r>
    <x v="1"/>
    <x v="20"/>
    <x v="6"/>
    <n v="0"/>
    <x v="6"/>
    <x v="0"/>
  </r>
  <r>
    <x v="2"/>
    <x v="0"/>
    <x v="6"/>
    <n v="530766"/>
    <x v="0"/>
    <x v="0"/>
  </r>
  <r>
    <x v="2"/>
    <x v="1"/>
    <x v="6"/>
    <n v="15256559"/>
    <x v="1"/>
    <x v="0"/>
  </r>
  <r>
    <x v="2"/>
    <x v="2"/>
    <x v="6"/>
    <n v="75549"/>
    <x v="0"/>
    <x v="0"/>
  </r>
  <r>
    <x v="2"/>
    <x v="3"/>
    <x v="6"/>
    <n v="181735667"/>
    <x v="1"/>
    <x v="1"/>
  </r>
  <r>
    <x v="2"/>
    <x v="4"/>
    <x v="6"/>
    <n v="-5258"/>
    <x v="1"/>
    <x v="1"/>
  </r>
  <r>
    <x v="2"/>
    <x v="5"/>
    <x v="6"/>
    <n v="1063480"/>
    <x v="1"/>
    <x v="1"/>
  </r>
  <r>
    <x v="2"/>
    <x v="6"/>
    <x v="6"/>
    <n v="647036"/>
    <x v="2"/>
    <x v="0"/>
  </r>
  <r>
    <x v="2"/>
    <x v="7"/>
    <x v="6"/>
    <n v="69198"/>
    <x v="2"/>
    <x v="0"/>
  </r>
  <r>
    <x v="2"/>
    <x v="8"/>
    <x v="6"/>
    <n v="13891154"/>
    <x v="3"/>
    <x v="0"/>
  </r>
  <r>
    <x v="2"/>
    <x v="9"/>
    <x v="6"/>
    <n v="172797"/>
    <x v="3"/>
    <x v="0"/>
  </r>
  <r>
    <x v="2"/>
    <x v="10"/>
    <x v="6"/>
    <n v="27523886"/>
    <x v="3"/>
    <x v="0"/>
  </r>
  <r>
    <x v="2"/>
    <x v="11"/>
    <x v="6"/>
    <n v="323008"/>
    <x v="3"/>
    <x v="0"/>
  </r>
  <r>
    <x v="2"/>
    <x v="12"/>
    <x v="6"/>
    <n v="300748"/>
    <x v="0"/>
    <x v="0"/>
  </r>
  <r>
    <x v="2"/>
    <x v="10"/>
    <x v="4"/>
    <n v="12743468"/>
    <x v="3"/>
    <x v="0"/>
  </r>
  <r>
    <x v="2"/>
    <x v="11"/>
    <x v="4"/>
    <n v="15727391"/>
    <x v="3"/>
    <x v="0"/>
  </r>
  <r>
    <x v="2"/>
    <x v="12"/>
    <x v="4"/>
    <n v="234492"/>
    <x v="0"/>
    <x v="0"/>
  </r>
  <r>
    <x v="2"/>
    <x v="13"/>
    <x v="4"/>
    <n v="0"/>
    <x v="0"/>
    <x v="0"/>
  </r>
  <r>
    <x v="2"/>
    <x v="14"/>
    <x v="4"/>
    <n v="263889421"/>
    <x v="4"/>
    <x v="1"/>
  </r>
  <r>
    <x v="2"/>
    <x v="15"/>
    <x v="4"/>
    <n v="15472789"/>
    <x v="4"/>
    <x v="1"/>
  </r>
  <r>
    <x v="2"/>
    <x v="16"/>
    <x v="4"/>
    <n v="20826"/>
    <x v="5"/>
    <x v="0"/>
  </r>
  <r>
    <x v="2"/>
    <x v="17"/>
    <x v="4"/>
    <n v="0"/>
    <x v="1"/>
    <x v="0"/>
  </r>
  <r>
    <x v="2"/>
    <x v="18"/>
    <x v="4"/>
    <n v="0"/>
    <x v="5"/>
    <x v="0"/>
  </r>
  <r>
    <x v="2"/>
    <x v="20"/>
    <x v="4"/>
    <n v="0"/>
    <x v="6"/>
    <x v="0"/>
  </r>
  <r>
    <x v="3"/>
    <x v="21"/>
    <x v="4"/>
    <n v="62.68"/>
    <x v="3"/>
    <x v="2"/>
  </r>
  <r>
    <x v="3"/>
    <x v="1"/>
    <x v="4"/>
    <n v="46.35"/>
    <x v="7"/>
    <x v="3"/>
  </r>
  <r>
    <x v="3"/>
    <x v="17"/>
    <x v="4"/>
    <m/>
    <x v="8"/>
    <x v="4"/>
  </r>
  <r>
    <x v="0"/>
    <x v="0"/>
    <x v="7"/>
    <n v="2277"/>
    <x v="0"/>
    <x v="0"/>
  </r>
  <r>
    <x v="0"/>
    <x v="1"/>
    <x v="7"/>
    <n v="83384"/>
    <x v="1"/>
    <x v="0"/>
  </r>
  <r>
    <x v="0"/>
    <x v="2"/>
    <x v="7"/>
    <n v="442"/>
    <x v="0"/>
    <x v="0"/>
  </r>
  <r>
    <x v="0"/>
    <x v="3"/>
    <x v="7"/>
    <n v="690"/>
    <x v="1"/>
    <x v="1"/>
  </r>
  <r>
    <x v="0"/>
    <x v="4"/>
    <x v="7"/>
    <n v="0"/>
    <x v="1"/>
    <x v="1"/>
  </r>
  <r>
    <x v="0"/>
    <x v="5"/>
    <x v="7"/>
    <n v="311"/>
    <x v="1"/>
    <x v="1"/>
  </r>
  <r>
    <x v="0"/>
    <x v="6"/>
    <x v="7"/>
    <n v="0"/>
    <x v="2"/>
    <x v="0"/>
  </r>
  <r>
    <x v="0"/>
    <x v="7"/>
    <x v="7"/>
    <n v="822"/>
    <x v="2"/>
    <x v="0"/>
  </r>
  <r>
    <x v="0"/>
    <x v="8"/>
    <x v="7"/>
    <n v="41860"/>
    <x v="3"/>
    <x v="0"/>
  </r>
  <r>
    <x v="0"/>
    <x v="9"/>
    <x v="7"/>
    <n v="0"/>
    <x v="3"/>
    <x v="0"/>
  </r>
  <r>
    <x v="0"/>
    <x v="10"/>
    <x v="7"/>
    <n v="52398"/>
    <x v="3"/>
    <x v="0"/>
  </r>
  <r>
    <x v="0"/>
    <x v="11"/>
    <x v="7"/>
    <n v="36241"/>
    <x v="3"/>
    <x v="0"/>
  </r>
  <r>
    <x v="0"/>
    <x v="12"/>
    <x v="7"/>
    <n v="297"/>
    <x v="0"/>
    <x v="0"/>
  </r>
  <r>
    <x v="0"/>
    <x v="13"/>
    <x v="7"/>
    <n v="0"/>
    <x v="0"/>
    <x v="0"/>
  </r>
  <r>
    <x v="0"/>
    <x v="14"/>
    <x v="7"/>
    <n v="841"/>
    <x v="4"/>
    <x v="1"/>
  </r>
  <r>
    <x v="0"/>
    <x v="15"/>
    <x v="7"/>
    <n v="113"/>
    <x v="4"/>
    <x v="1"/>
  </r>
  <r>
    <x v="0"/>
    <x v="16"/>
    <x v="7"/>
    <n v="68"/>
    <x v="5"/>
    <x v="0"/>
  </r>
  <r>
    <x v="0"/>
    <x v="17"/>
    <x v="7"/>
    <n v="0"/>
    <x v="1"/>
    <x v="0"/>
  </r>
  <r>
    <x v="0"/>
    <x v="18"/>
    <x v="7"/>
    <n v="0"/>
    <x v="5"/>
    <x v="0"/>
  </r>
  <r>
    <x v="0"/>
    <x v="19"/>
    <x v="7"/>
    <n v="10301"/>
    <x v="2"/>
    <x v="0"/>
  </r>
  <r>
    <x v="0"/>
    <x v="20"/>
    <x v="7"/>
    <n v="0"/>
    <x v="6"/>
    <x v="0"/>
  </r>
  <r>
    <x v="1"/>
    <x v="0"/>
    <x v="7"/>
    <n v="0"/>
    <x v="0"/>
    <x v="0"/>
  </r>
  <r>
    <x v="1"/>
    <x v="1"/>
    <x v="7"/>
    <n v="906"/>
    <x v="1"/>
    <x v="0"/>
  </r>
  <r>
    <x v="1"/>
    <x v="2"/>
    <x v="7"/>
    <n v="0"/>
    <x v="0"/>
    <x v="0"/>
  </r>
  <r>
    <x v="1"/>
    <x v="3"/>
    <x v="7"/>
    <n v="60739"/>
    <x v="1"/>
    <x v="1"/>
  </r>
  <r>
    <x v="1"/>
    <x v="4"/>
    <x v="7"/>
    <n v="0"/>
    <x v="1"/>
    <x v="1"/>
  </r>
  <r>
    <x v="1"/>
    <x v="5"/>
    <x v="7"/>
    <n v="335"/>
    <x v="1"/>
    <x v="1"/>
  </r>
  <r>
    <x v="1"/>
    <x v="6"/>
    <x v="7"/>
    <n v="0"/>
    <x v="2"/>
    <x v="0"/>
  </r>
  <r>
    <x v="1"/>
    <x v="7"/>
    <x v="7"/>
    <n v="0"/>
    <x v="2"/>
    <x v="0"/>
  </r>
  <r>
    <x v="1"/>
    <x v="8"/>
    <x v="7"/>
    <n v="8226"/>
    <x v="3"/>
    <x v="0"/>
  </r>
  <r>
    <x v="1"/>
    <x v="9"/>
    <x v="7"/>
    <n v="0"/>
    <x v="3"/>
    <x v="0"/>
  </r>
  <r>
    <x v="1"/>
    <x v="10"/>
    <x v="7"/>
    <n v="2800"/>
    <x v="3"/>
    <x v="0"/>
  </r>
  <r>
    <x v="1"/>
    <x v="11"/>
    <x v="7"/>
    <n v="2470"/>
    <x v="3"/>
    <x v="0"/>
  </r>
  <r>
    <x v="1"/>
    <x v="12"/>
    <x v="7"/>
    <n v="0"/>
    <x v="0"/>
    <x v="0"/>
  </r>
  <r>
    <x v="1"/>
    <x v="13"/>
    <x v="7"/>
    <n v="0"/>
    <x v="0"/>
    <x v="0"/>
  </r>
  <r>
    <x v="1"/>
    <x v="14"/>
    <x v="7"/>
    <n v="108298"/>
    <x v="4"/>
    <x v="1"/>
  </r>
  <r>
    <x v="1"/>
    <x v="15"/>
    <x v="7"/>
    <n v="1039"/>
    <x v="4"/>
    <x v="1"/>
  </r>
  <r>
    <x v="1"/>
    <x v="16"/>
    <x v="7"/>
    <n v="0"/>
    <x v="5"/>
    <x v="0"/>
  </r>
  <r>
    <x v="1"/>
    <x v="17"/>
    <x v="7"/>
    <n v="0"/>
    <x v="1"/>
    <x v="0"/>
  </r>
  <r>
    <x v="1"/>
    <x v="18"/>
    <x v="7"/>
    <n v="0"/>
    <x v="5"/>
    <x v="0"/>
  </r>
  <r>
    <x v="1"/>
    <x v="20"/>
    <x v="7"/>
    <n v="0"/>
    <x v="6"/>
    <x v="0"/>
  </r>
  <r>
    <x v="2"/>
    <x v="0"/>
    <x v="7"/>
    <n v="423939"/>
    <x v="0"/>
    <x v="0"/>
  </r>
  <r>
    <x v="2"/>
    <x v="1"/>
    <x v="7"/>
    <n v="13381643"/>
    <x v="1"/>
    <x v="0"/>
  </r>
  <r>
    <x v="2"/>
    <x v="2"/>
    <x v="7"/>
    <n v="115353"/>
    <x v="0"/>
    <x v="0"/>
  </r>
  <r>
    <x v="2"/>
    <x v="3"/>
    <x v="7"/>
    <n v="184749867"/>
    <x v="1"/>
    <x v="1"/>
  </r>
  <r>
    <x v="2"/>
    <x v="4"/>
    <x v="7"/>
    <n v="0"/>
    <x v="1"/>
    <x v="1"/>
  </r>
  <r>
    <x v="2"/>
    <x v="5"/>
    <x v="7"/>
    <n v="369644"/>
    <x v="1"/>
    <x v="1"/>
  </r>
  <r>
    <x v="2"/>
    <x v="6"/>
    <x v="7"/>
    <n v="0"/>
    <x v="2"/>
    <x v="0"/>
  </r>
  <r>
    <x v="2"/>
    <x v="7"/>
    <x v="7"/>
    <n v="18144"/>
    <x v="2"/>
    <x v="0"/>
  </r>
  <r>
    <x v="2"/>
    <x v="8"/>
    <x v="7"/>
    <n v="9310276"/>
    <x v="3"/>
    <x v="0"/>
  </r>
  <r>
    <x v="2"/>
    <x v="9"/>
    <x v="7"/>
    <n v="0"/>
    <x v="3"/>
    <x v="0"/>
  </r>
  <r>
    <x v="2"/>
    <x v="10"/>
    <x v="7"/>
    <n v="17354390"/>
    <x v="3"/>
    <x v="0"/>
  </r>
  <r>
    <x v="2"/>
    <x v="11"/>
    <x v="7"/>
    <n v="14239785"/>
    <x v="3"/>
    <x v="0"/>
  </r>
  <r>
    <x v="2"/>
    <x v="12"/>
    <x v="7"/>
    <n v="224761"/>
    <x v="0"/>
    <x v="0"/>
  </r>
  <r>
    <x v="2"/>
    <x v="13"/>
    <x v="7"/>
    <n v="0"/>
    <x v="0"/>
    <x v="0"/>
  </r>
  <r>
    <x v="2"/>
    <x v="14"/>
    <x v="7"/>
    <n v="350623417"/>
    <x v="4"/>
    <x v="1"/>
  </r>
  <r>
    <x v="2"/>
    <x v="15"/>
    <x v="7"/>
    <n v="19442225"/>
    <x v="4"/>
    <x v="1"/>
  </r>
  <r>
    <x v="2"/>
    <x v="16"/>
    <x v="7"/>
    <n v="43505"/>
    <x v="5"/>
    <x v="0"/>
  </r>
  <r>
    <x v="2"/>
    <x v="17"/>
    <x v="7"/>
    <n v="0"/>
    <x v="1"/>
    <x v="0"/>
  </r>
  <r>
    <x v="2"/>
    <x v="18"/>
    <x v="7"/>
    <n v="0"/>
    <x v="5"/>
    <x v="0"/>
  </r>
  <r>
    <x v="2"/>
    <x v="20"/>
    <x v="7"/>
    <n v="0"/>
    <x v="6"/>
    <x v="0"/>
  </r>
  <r>
    <x v="3"/>
    <x v="21"/>
    <x v="7"/>
    <n v="63.04"/>
    <x v="3"/>
    <x v="2"/>
  </r>
  <r>
    <x v="3"/>
    <x v="1"/>
    <x v="7"/>
    <n v="47.58"/>
    <x v="7"/>
    <x v="3"/>
  </r>
  <r>
    <x v="3"/>
    <x v="17"/>
    <x v="7"/>
    <m/>
    <x v="8"/>
    <x v="4"/>
  </r>
  <r>
    <x v="0"/>
    <x v="0"/>
    <x v="8"/>
    <n v="2237"/>
    <x v="0"/>
    <x v="0"/>
  </r>
  <r>
    <x v="0"/>
    <x v="1"/>
    <x v="8"/>
    <n v="92219"/>
    <x v="1"/>
    <x v="0"/>
  </r>
  <r>
    <x v="0"/>
    <x v="2"/>
    <x v="8"/>
    <n v="397"/>
    <x v="0"/>
    <x v="0"/>
  </r>
  <r>
    <x v="0"/>
    <x v="3"/>
    <x v="8"/>
    <n v="489"/>
    <x v="1"/>
    <x v="1"/>
  </r>
  <r>
    <x v="0"/>
    <x v="4"/>
    <x v="8"/>
    <n v="0"/>
    <x v="1"/>
    <x v="1"/>
  </r>
  <r>
    <x v="0"/>
    <x v="5"/>
    <x v="8"/>
    <n v="306"/>
    <x v="1"/>
    <x v="1"/>
  </r>
  <r>
    <x v="0"/>
    <x v="6"/>
    <x v="8"/>
    <n v="0"/>
    <x v="2"/>
    <x v="0"/>
  </r>
  <r>
    <x v="0"/>
    <x v="7"/>
    <x v="8"/>
    <n v="1095"/>
    <x v="2"/>
    <x v="0"/>
  </r>
  <r>
    <x v="0"/>
    <x v="8"/>
    <x v="8"/>
    <n v="33280"/>
    <x v="3"/>
    <x v="0"/>
  </r>
  <r>
    <x v="0"/>
    <x v="9"/>
    <x v="8"/>
    <n v="0"/>
    <x v="3"/>
    <x v="0"/>
  </r>
  <r>
    <x v="0"/>
    <x v="10"/>
    <x v="8"/>
    <n v="47958"/>
    <x v="3"/>
    <x v="0"/>
  </r>
  <r>
    <x v="0"/>
    <x v="11"/>
    <x v="8"/>
    <n v="65353"/>
    <x v="3"/>
    <x v="0"/>
  </r>
  <r>
    <x v="0"/>
    <x v="12"/>
    <x v="8"/>
    <n v="327"/>
    <x v="0"/>
    <x v="0"/>
  </r>
  <r>
    <x v="0"/>
    <x v="13"/>
    <x v="8"/>
    <n v="0"/>
    <x v="0"/>
    <x v="0"/>
  </r>
  <r>
    <x v="0"/>
    <x v="14"/>
    <x v="8"/>
    <n v="677"/>
    <x v="4"/>
    <x v="1"/>
  </r>
  <r>
    <x v="0"/>
    <x v="15"/>
    <x v="8"/>
    <n v="80"/>
    <x v="4"/>
    <x v="1"/>
  </r>
  <r>
    <x v="0"/>
    <x v="16"/>
    <x v="8"/>
    <n v="38"/>
    <x v="5"/>
    <x v="0"/>
  </r>
  <r>
    <x v="0"/>
    <x v="17"/>
    <x v="8"/>
    <n v="0"/>
    <x v="1"/>
    <x v="0"/>
  </r>
  <r>
    <x v="0"/>
    <x v="18"/>
    <x v="8"/>
    <n v="0"/>
    <x v="5"/>
    <x v="0"/>
  </r>
  <r>
    <x v="0"/>
    <x v="19"/>
    <x v="8"/>
    <n v="10301"/>
    <x v="2"/>
    <x v="0"/>
  </r>
  <r>
    <x v="0"/>
    <x v="20"/>
    <x v="8"/>
    <n v="0"/>
    <x v="6"/>
    <x v="0"/>
  </r>
  <r>
    <x v="1"/>
    <x v="0"/>
    <x v="8"/>
    <n v="0"/>
    <x v="0"/>
    <x v="0"/>
  </r>
  <r>
    <x v="1"/>
    <x v="1"/>
    <x v="8"/>
    <n v="2144"/>
    <x v="1"/>
    <x v="0"/>
  </r>
  <r>
    <x v="1"/>
    <x v="2"/>
    <x v="8"/>
    <n v="0"/>
    <x v="0"/>
    <x v="0"/>
  </r>
  <r>
    <x v="1"/>
    <x v="3"/>
    <x v="8"/>
    <n v="63246"/>
    <x v="1"/>
    <x v="1"/>
  </r>
  <r>
    <x v="1"/>
    <x v="4"/>
    <x v="8"/>
    <n v="0"/>
    <x v="1"/>
    <x v="1"/>
  </r>
  <r>
    <x v="1"/>
    <x v="5"/>
    <x v="8"/>
    <n v="309"/>
    <x v="1"/>
    <x v="1"/>
  </r>
  <r>
    <x v="1"/>
    <x v="6"/>
    <x v="8"/>
    <n v="0"/>
    <x v="2"/>
    <x v="0"/>
  </r>
  <r>
    <x v="1"/>
    <x v="7"/>
    <x v="8"/>
    <n v="0"/>
    <x v="2"/>
    <x v="0"/>
  </r>
  <r>
    <x v="1"/>
    <x v="8"/>
    <x v="8"/>
    <n v="0"/>
    <x v="3"/>
    <x v="0"/>
  </r>
  <r>
    <x v="1"/>
    <x v="9"/>
    <x v="8"/>
    <n v="0"/>
    <x v="3"/>
    <x v="0"/>
  </r>
  <r>
    <x v="1"/>
    <x v="10"/>
    <x v="8"/>
    <n v="3123"/>
    <x v="3"/>
    <x v="0"/>
  </r>
  <r>
    <x v="1"/>
    <x v="11"/>
    <x v="8"/>
    <n v="12273"/>
    <x v="3"/>
    <x v="0"/>
  </r>
  <r>
    <x v="1"/>
    <x v="12"/>
    <x v="8"/>
    <n v="0"/>
    <x v="0"/>
    <x v="0"/>
  </r>
  <r>
    <x v="1"/>
    <x v="13"/>
    <x v="8"/>
    <n v="0"/>
    <x v="0"/>
    <x v="0"/>
  </r>
  <r>
    <x v="1"/>
    <x v="14"/>
    <x v="8"/>
    <n v="122947"/>
    <x v="4"/>
    <x v="1"/>
  </r>
  <r>
    <x v="1"/>
    <x v="15"/>
    <x v="8"/>
    <n v="1360"/>
    <x v="4"/>
    <x v="1"/>
  </r>
  <r>
    <x v="1"/>
    <x v="16"/>
    <x v="8"/>
    <n v="0"/>
    <x v="5"/>
    <x v="0"/>
  </r>
  <r>
    <x v="1"/>
    <x v="17"/>
    <x v="8"/>
    <n v="0"/>
    <x v="1"/>
    <x v="0"/>
  </r>
  <r>
    <x v="1"/>
    <x v="18"/>
    <x v="8"/>
    <n v="0"/>
    <x v="5"/>
    <x v="0"/>
  </r>
  <r>
    <x v="1"/>
    <x v="20"/>
    <x v="8"/>
    <n v="0"/>
    <x v="6"/>
    <x v="0"/>
  </r>
  <r>
    <x v="2"/>
    <x v="0"/>
    <x v="8"/>
    <n v="362447"/>
    <x v="0"/>
    <x v="0"/>
  </r>
  <r>
    <x v="2"/>
    <x v="1"/>
    <x v="8"/>
    <n v="14467683"/>
    <x v="1"/>
    <x v="0"/>
  </r>
  <r>
    <x v="2"/>
    <x v="2"/>
    <x v="8"/>
    <n v="104296"/>
    <x v="0"/>
    <x v="0"/>
  </r>
  <r>
    <x v="2"/>
    <x v="3"/>
    <x v="8"/>
    <n v="193087164"/>
    <x v="1"/>
    <x v="1"/>
  </r>
  <r>
    <x v="2"/>
    <x v="4"/>
    <x v="8"/>
    <n v="0"/>
    <x v="1"/>
    <x v="1"/>
  </r>
  <r>
    <x v="2"/>
    <x v="5"/>
    <x v="8"/>
    <n v="71965"/>
    <x v="1"/>
    <x v="1"/>
  </r>
  <r>
    <x v="2"/>
    <x v="6"/>
    <x v="8"/>
    <n v="0"/>
    <x v="2"/>
    <x v="0"/>
  </r>
  <r>
    <x v="2"/>
    <x v="7"/>
    <x v="8"/>
    <n v="24117"/>
    <x v="2"/>
    <x v="0"/>
  </r>
  <r>
    <x v="2"/>
    <x v="8"/>
    <x v="8"/>
    <n v="9212448"/>
    <x v="3"/>
    <x v="0"/>
  </r>
  <r>
    <x v="2"/>
    <x v="9"/>
    <x v="8"/>
    <n v="0"/>
    <x v="3"/>
    <x v="0"/>
  </r>
  <r>
    <x v="2"/>
    <x v="10"/>
    <x v="8"/>
    <n v="15301245"/>
    <x v="3"/>
    <x v="0"/>
  </r>
  <r>
    <x v="2"/>
    <x v="11"/>
    <x v="8"/>
    <n v="21952322"/>
    <x v="3"/>
    <x v="0"/>
  </r>
  <r>
    <x v="2"/>
    <x v="12"/>
    <x v="8"/>
    <n v="249111"/>
    <x v="0"/>
    <x v="0"/>
  </r>
  <r>
    <x v="2"/>
    <x v="13"/>
    <x v="8"/>
    <n v="0"/>
    <x v="0"/>
    <x v="0"/>
  </r>
  <r>
    <x v="2"/>
    <x v="14"/>
    <x v="8"/>
    <n v="398951677"/>
    <x v="4"/>
    <x v="1"/>
  </r>
  <r>
    <x v="2"/>
    <x v="15"/>
    <x v="8"/>
    <n v="26862864"/>
    <x v="4"/>
    <x v="1"/>
  </r>
  <r>
    <x v="2"/>
    <x v="16"/>
    <x v="8"/>
    <n v="24333"/>
    <x v="5"/>
    <x v="0"/>
  </r>
  <r>
    <x v="2"/>
    <x v="17"/>
    <x v="8"/>
    <n v="0"/>
    <x v="1"/>
    <x v="0"/>
  </r>
  <r>
    <x v="2"/>
    <x v="18"/>
    <x v="8"/>
    <n v="0"/>
    <x v="5"/>
    <x v="0"/>
  </r>
  <r>
    <x v="2"/>
    <x v="20"/>
    <x v="8"/>
    <n v="0"/>
    <x v="6"/>
    <x v="0"/>
  </r>
  <r>
    <x v="3"/>
    <x v="21"/>
    <x v="8"/>
    <n v="63.49"/>
    <x v="3"/>
    <x v="2"/>
  </r>
  <r>
    <x v="3"/>
    <x v="1"/>
    <x v="8"/>
    <n v="47.06"/>
    <x v="7"/>
    <x v="3"/>
  </r>
  <r>
    <x v="3"/>
    <x v="17"/>
    <x v="8"/>
    <m/>
    <x v="8"/>
    <x v="4"/>
  </r>
  <r>
    <x v="0"/>
    <x v="0"/>
    <x v="9"/>
    <n v="2478"/>
    <x v="0"/>
    <x v="0"/>
  </r>
  <r>
    <x v="0"/>
    <x v="1"/>
    <x v="9"/>
    <n v="88392"/>
    <x v="1"/>
    <x v="0"/>
  </r>
  <r>
    <x v="0"/>
    <x v="2"/>
    <x v="9"/>
    <n v="129"/>
    <x v="0"/>
    <x v="0"/>
  </r>
  <r>
    <x v="0"/>
    <x v="3"/>
    <x v="9"/>
    <n v="418"/>
    <x v="1"/>
    <x v="1"/>
  </r>
  <r>
    <x v="0"/>
    <x v="4"/>
    <x v="9"/>
    <n v="0"/>
    <x v="1"/>
    <x v="1"/>
  </r>
  <r>
    <x v="0"/>
    <x v="5"/>
    <x v="9"/>
    <n v="214"/>
    <x v="1"/>
    <x v="1"/>
  </r>
  <r>
    <x v="0"/>
    <x v="6"/>
    <x v="9"/>
    <n v="0"/>
    <x v="2"/>
    <x v="0"/>
  </r>
  <r>
    <x v="0"/>
    <x v="7"/>
    <x v="9"/>
    <n v="946"/>
    <x v="2"/>
    <x v="0"/>
  </r>
  <r>
    <x v="0"/>
    <x v="8"/>
    <x v="9"/>
    <n v="32285"/>
    <x v="3"/>
    <x v="0"/>
  </r>
  <r>
    <x v="0"/>
    <x v="9"/>
    <x v="9"/>
    <n v="0"/>
    <x v="3"/>
    <x v="0"/>
  </r>
  <r>
    <x v="0"/>
    <x v="10"/>
    <x v="9"/>
    <n v="70276"/>
    <x v="3"/>
    <x v="0"/>
  </r>
  <r>
    <x v="0"/>
    <x v="11"/>
    <x v="9"/>
    <n v="39825"/>
    <x v="3"/>
    <x v="0"/>
  </r>
  <r>
    <x v="0"/>
    <x v="12"/>
    <x v="9"/>
    <n v="272"/>
    <x v="0"/>
    <x v="0"/>
  </r>
  <r>
    <x v="0"/>
    <x v="13"/>
    <x v="9"/>
    <n v="0"/>
    <x v="0"/>
    <x v="0"/>
  </r>
  <r>
    <x v="0"/>
    <x v="14"/>
    <x v="9"/>
    <n v="331"/>
    <x v="4"/>
    <x v="1"/>
  </r>
  <r>
    <x v="0"/>
    <x v="15"/>
    <x v="9"/>
    <n v="75"/>
    <x v="4"/>
    <x v="1"/>
  </r>
  <r>
    <x v="0"/>
    <x v="16"/>
    <x v="9"/>
    <n v="61"/>
    <x v="5"/>
    <x v="0"/>
  </r>
  <r>
    <x v="0"/>
    <x v="17"/>
    <x v="9"/>
    <n v="2863"/>
    <x v="1"/>
    <x v="0"/>
  </r>
  <r>
    <x v="0"/>
    <x v="18"/>
    <x v="9"/>
    <n v="0"/>
    <x v="5"/>
    <x v="0"/>
  </r>
  <r>
    <x v="0"/>
    <x v="19"/>
    <x v="9"/>
    <n v="10301"/>
    <x v="2"/>
    <x v="0"/>
  </r>
  <r>
    <x v="0"/>
    <x v="20"/>
    <x v="9"/>
    <n v="0"/>
    <x v="6"/>
    <x v="0"/>
  </r>
  <r>
    <x v="1"/>
    <x v="0"/>
    <x v="9"/>
    <n v="0"/>
    <x v="0"/>
    <x v="0"/>
  </r>
  <r>
    <x v="1"/>
    <x v="1"/>
    <x v="9"/>
    <n v="1286"/>
    <x v="1"/>
    <x v="0"/>
  </r>
  <r>
    <x v="1"/>
    <x v="2"/>
    <x v="9"/>
    <n v="0"/>
    <x v="0"/>
    <x v="0"/>
  </r>
  <r>
    <x v="1"/>
    <x v="3"/>
    <x v="9"/>
    <n v="52953"/>
    <x v="1"/>
    <x v="1"/>
  </r>
  <r>
    <x v="1"/>
    <x v="4"/>
    <x v="9"/>
    <n v="0"/>
    <x v="1"/>
    <x v="1"/>
  </r>
  <r>
    <x v="1"/>
    <x v="5"/>
    <x v="9"/>
    <n v="367"/>
    <x v="1"/>
    <x v="1"/>
  </r>
  <r>
    <x v="1"/>
    <x v="6"/>
    <x v="9"/>
    <n v="0"/>
    <x v="2"/>
    <x v="0"/>
  </r>
  <r>
    <x v="1"/>
    <x v="7"/>
    <x v="9"/>
    <n v="0"/>
    <x v="2"/>
    <x v="0"/>
  </r>
  <r>
    <x v="1"/>
    <x v="8"/>
    <x v="9"/>
    <n v="0"/>
    <x v="3"/>
    <x v="0"/>
  </r>
  <r>
    <x v="1"/>
    <x v="9"/>
    <x v="9"/>
    <n v="0"/>
    <x v="3"/>
    <x v="0"/>
  </r>
  <r>
    <x v="1"/>
    <x v="10"/>
    <x v="9"/>
    <n v="3653"/>
    <x v="3"/>
    <x v="0"/>
  </r>
  <r>
    <x v="1"/>
    <x v="11"/>
    <x v="9"/>
    <n v="17390"/>
    <x v="3"/>
    <x v="0"/>
  </r>
  <r>
    <x v="1"/>
    <x v="12"/>
    <x v="9"/>
    <n v="0"/>
    <x v="0"/>
    <x v="0"/>
  </r>
  <r>
    <x v="1"/>
    <x v="13"/>
    <x v="9"/>
    <n v="0"/>
    <x v="0"/>
    <x v="0"/>
  </r>
  <r>
    <x v="1"/>
    <x v="14"/>
    <x v="9"/>
    <n v="109770"/>
    <x v="4"/>
    <x v="1"/>
  </r>
  <r>
    <x v="1"/>
    <x v="15"/>
    <x v="9"/>
    <n v="1037"/>
    <x v="4"/>
    <x v="1"/>
  </r>
  <r>
    <x v="1"/>
    <x v="16"/>
    <x v="9"/>
    <n v="0"/>
    <x v="5"/>
    <x v="0"/>
  </r>
  <r>
    <x v="1"/>
    <x v="17"/>
    <x v="9"/>
    <n v="0"/>
    <x v="1"/>
    <x v="0"/>
  </r>
  <r>
    <x v="1"/>
    <x v="18"/>
    <x v="9"/>
    <n v="0"/>
    <x v="5"/>
    <x v="0"/>
  </r>
  <r>
    <x v="1"/>
    <x v="20"/>
    <x v="9"/>
    <n v="0"/>
    <x v="6"/>
    <x v="0"/>
  </r>
  <r>
    <x v="2"/>
    <x v="0"/>
    <x v="9"/>
    <n v="402283"/>
    <x v="0"/>
    <x v="0"/>
  </r>
  <r>
    <x v="2"/>
    <x v="1"/>
    <x v="9"/>
    <n v="14095269"/>
    <x v="1"/>
    <x v="0"/>
  </r>
  <r>
    <x v="2"/>
    <x v="2"/>
    <x v="9"/>
    <n v="33816"/>
    <x v="0"/>
    <x v="0"/>
  </r>
  <r>
    <x v="2"/>
    <x v="3"/>
    <x v="9"/>
    <n v="161636376"/>
    <x v="1"/>
    <x v="1"/>
  </r>
  <r>
    <x v="2"/>
    <x v="4"/>
    <x v="9"/>
    <n v="0"/>
    <x v="1"/>
    <x v="1"/>
  </r>
  <r>
    <x v="2"/>
    <x v="5"/>
    <x v="9"/>
    <n v="2358476"/>
    <x v="1"/>
    <x v="1"/>
  </r>
  <r>
    <x v="2"/>
    <x v="6"/>
    <x v="9"/>
    <n v="0"/>
    <x v="2"/>
    <x v="0"/>
  </r>
  <r>
    <x v="2"/>
    <x v="7"/>
    <x v="9"/>
    <n v="22967"/>
    <x v="2"/>
    <x v="0"/>
  </r>
  <r>
    <x v="2"/>
    <x v="8"/>
    <x v="9"/>
    <n v="8937202"/>
    <x v="3"/>
    <x v="0"/>
  </r>
  <r>
    <x v="2"/>
    <x v="9"/>
    <x v="9"/>
    <n v="0"/>
    <x v="3"/>
    <x v="0"/>
  </r>
  <r>
    <x v="2"/>
    <x v="10"/>
    <x v="9"/>
    <n v="22286606"/>
    <x v="3"/>
    <x v="0"/>
  </r>
  <r>
    <x v="2"/>
    <x v="11"/>
    <x v="9"/>
    <n v="9236517"/>
    <x v="3"/>
    <x v="0"/>
  </r>
  <r>
    <x v="2"/>
    <x v="12"/>
    <x v="9"/>
    <n v="205210"/>
    <x v="0"/>
    <x v="0"/>
  </r>
  <r>
    <x v="2"/>
    <x v="13"/>
    <x v="9"/>
    <n v="0"/>
    <x v="0"/>
    <x v="0"/>
  </r>
  <r>
    <x v="2"/>
    <x v="14"/>
    <x v="9"/>
    <n v="357091065"/>
    <x v="4"/>
    <x v="1"/>
  </r>
  <r>
    <x v="2"/>
    <x v="15"/>
    <x v="9"/>
    <n v="20220327"/>
    <x v="4"/>
    <x v="1"/>
  </r>
  <r>
    <x v="2"/>
    <x v="16"/>
    <x v="9"/>
    <n v="39627"/>
    <x v="5"/>
    <x v="0"/>
  </r>
  <r>
    <x v="2"/>
    <x v="17"/>
    <x v="9"/>
    <n v="337496"/>
    <x v="1"/>
    <x v="0"/>
  </r>
  <r>
    <x v="2"/>
    <x v="18"/>
    <x v="9"/>
    <n v="0"/>
    <x v="5"/>
    <x v="0"/>
  </r>
  <r>
    <x v="2"/>
    <x v="20"/>
    <x v="9"/>
    <n v="0"/>
    <x v="6"/>
    <x v="0"/>
  </r>
  <r>
    <x v="3"/>
    <x v="21"/>
    <x v="9"/>
    <n v="61.33"/>
    <x v="3"/>
    <x v="2"/>
  </r>
  <r>
    <x v="3"/>
    <x v="1"/>
    <x v="9"/>
    <n v="47.45"/>
    <x v="7"/>
    <x v="3"/>
  </r>
  <r>
    <x v="3"/>
    <x v="17"/>
    <x v="9"/>
    <n v="33.64"/>
    <x v="8"/>
    <x v="4"/>
  </r>
  <r>
    <x v="0"/>
    <x v="0"/>
    <x v="10"/>
    <n v="876"/>
    <x v="0"/>
    <x v="0"/>
  </r>
  <r>
    <x v="0"/>
    <x v="1"/>
    <x v="10"/>
    <n v="73382"/>
    <x v="1"/>
    <x v="0"/>
  </r>
  <r>
    <x v="0"/>
    <x v="2"/>
    <x v="10"/>
    <n v="327"/>
    <x v="0"/>
    <x v="0"/>
  </r>
  <r>
    <x v="0"/>
    <x v="3"/>
    <x v="10"/>
    <n v="625"/>
    <x v="1"/>
    <x v="1"/>
  </r>
  <r>
    <x v="0"/>
    <x v="4"/>
    <x v="10"/>
    <n v="0"/>
    <x v="1"/>
    <x v="1"/>
  </r>
  <r>
    <x v="0"/>
    <x v="5"/>
    <x v="10"/>
    <n v="562"/>
    <x v="1"/>
    <x v="1"/>
  </r>
  <r>
    <x v="0"/>
    <x v="6"/>
    <x v="10"/>
    <n v="4288"/>
    <x v="2"/>
    <x v="0"/>
  </r>
  <r>
    <x v="0"/>
    <x v="7"/>
    <x v="10"/>
    <n v="539"/>
    <x v="2"/>
    <x v="0"/>
  </r>
  <r>
    <x v="0"/>
    <x v="8"/>
    <x v="10"/>
    <n v="30356"/>
    <x v="3"/>
    <x v="0"/>
  </r>
  <r>
    <x v="0"/>
    <x v="9"/>
    <x v="10"/>
    <n v="0"/>
    <x v="3"/>
    <x v="0"/>
  </r>
  <r>
    <x v="0"/>
    <x v="10"/>
    <x v="10"/>
    <n v="68913"/>
    <x v="3"/>
    <x v="0"/>
  </r>
  <r>
    <x v="0"/>
    <x v="11"/>
    <x v="10"/>
    <n v="21805"/>
    <x v="3"/>
    <x v="0"/>
  </r>
  <r>
    <x v="0"/>
    <x v="12"/>
    <x v="10"/>
    <n v="472"/>
    <x v="0"/>
    <x v="0"/>
  </r>
  <r>
    <x v="0"/>
    <x v="13"/>
    <x v="10"/>
    <n v="0"/>
    <x v="0"/>
    <x v="0"/>
  </r>
  <r>
    <x v="0"/>
    <x v="14"/>
    <x v="10"/>
    <n v="128"/>
    <x v="4"/>
    <x v="1"/>
  </r>
  <r>
    <x v="0"/>
    <x v="15"/>
    <x v="10"/>
    <n v="133"/>
    <x v="4"/>
    <x v="1"/>
  </r>
  <r>
    <x v="0"/>
    <x v="16"/>
    <x v="10"/>
    <n v="199"/>
    <x v="5"/>
    <x v="0"/>
  </r>
  <r>
    <x v="0"/>
    <x v="17"/>
    <x v="10"/>
    <n v="1967"/>
    <x v="1"/>
    <x v="0"/>
  </r>
  <r>
    <x v="0"/>
    <x v="18"/>
    <x v="10"/>
    <n v="0"/>
    <x v="5"/>
    <x v="0"/>
  </r>
  <r>
    <x v="0"/>
    <x v="19"/>
    <x v="10"/>
    <n v="14222"/>
    <x v="2"/>
    <x v="0"/>
  </r>
  <r>
    <x v="0"/>
    <x v="20"/>
    <x v="10"/>
    <n v="0"/>
    <x v="6"/>
    <x v="0"/>
  </r>
  <r>
    <x v="1"/>
    <x v="0"/>
    <x v="10"/>
    <n v="0"/>
    <x v="0"/>
    <x v="0"/>
  </r>
  <r>
    <x v="1"/>
    <x v="1"/>
    <x v="10"/>
    <n v="659"/>
    <x v="1"/>
    <x v="0"/>
  </r>
  <r>
    <x v="1"/>
    <x v="2"/>
    <x v="10"/>
    <n v="0"/>
    <x v="0"/>
    <x v="0"/>
  </r>
  <r>
    <x v="1"/>
    <x v="3"/>
    <x v="10"/>
    <n v="66852"/>
    <x v="1"/>
    <x v="1"/>
  </r>
  <r>
    <x v="1"/>
    <x v="4"/>
    <x v="10"/>
    <n v="0"/>
    <x v="1"/>
    <x v="1"/>
  </r>
  <r>
    <x v="1"/>
    <x v="5"/>
    <x v="10"/>
    <n v="549"/>
    <x v="1"/>
    <x v="1"/>
  </r>
  <r>
    <x v="1"/>
    <x v="6"/>
    <x v="10"/>
    <n v="0"/>
    <x v="2"/>
    <x v="0"/>
  </r>
  <r>
    <x v="1"/>
    <x v="7"/>
    <x v="10"/>
    <n v="0"/>
    <x v="2"/>
    <x v="0"/>
  </r>
  <r>
    <x v="1"/>
    <x v="8"/>
    <x v="10"/>
    <n v="292"/>
    <x v="3"/>
    <x v="0"/>
  </r>
  <r>
    <x v="1"/>
    <x v="9"/>
    <x v="10"/>
    <n v="0"/>
    <x v="3"/>
    <x v="0"/>
  </r>
  <r>
    <x v="1"/>
    <x v="10"/>
    <x v="10"/>
    <n v="3494"/>
    <x v="3"/>
    <x v="0"/>
  </r>
  <r>
    <x v="1"/>
    <x v="11"/>
    <x v="10"/>
    <n v="203"/>
    <x v="3"/>
    <x v="0"/>
  </r>
  <r>
    <x v="1"/>
    <x v="12"/>
    <x v="10"/>
    <n v="0"/>
    <x v="0"/>
    <x v="0"/>
  </r>
  <r>
    <x v="1"/>
    <x v="13"/>
    <x v="10"/>
    <n v="0"/>
    <x v="0"/>
    <x v="0"/>
  </r>
  <r>
    <x v="1"/>
    <x v="14"/>
    <x v="10"/>
    <n v="122722"/>
    <x v="4"/>
    <x v="1"/>
  </r>
  <r>
    <x v="1"/>
    <x v="15"/>
    <x v="10"/>
    <n v="2325"/>
    <x v="4"/>
    <x v="1"/>
  </r>
  <r>
    <x v="1"/>
    <x v="16"/>
    <x v="10"/>
    <n v="0"/>
    <x v="5"/>
    <x v="0"/>
  </r>
  <r>
    <x v="1"/>
    <x v="17"/>
    <x v="10"/>
    <n v="18"/>
    <x v="1"/>
    <x v="0"/>
  </r>
  <r>
    <x v="1"/>
    <x v="18"/>
    <x v="10"/>
    <n v="0"/>
    <x v="5"/>
    <x v="0"/>
  </r>
  <r>
    <x v="1"/>
    <x v="20"/>
    <x v="10"/>
    <n v="0"/>
    <x v="6"/>
    <x v="0"/>
  </r>
  <r>
    <x v="2"/>
    <x v="0"/>
    <x v="10"/>
    <n v="187421"/>
    <x v="0"/>
    <x v="0"/>
  </r>
  <r>
    <x v="2"/>
    <x v="1"/>
    <x v="10"/>
    <n v="10797938"/>
    <x v="1"/>
    <x v="0"/>
  </r>
  <r>
    <x v="2"/>
    <x v="2"/>
    <x v="10"/>
    <n v="84406"/>
    <x v="0"/>
    <x v="0"/>
  </r>
  <r>
    <x v="2"/>
    <x v="3"/>
    <x v="10"/>
    <n v="162000728"/>
    <x v="1"/>
    <x v="1"/>
  </r>
  <r>
    <x v="2"/>
    <x v="4"/>
    <x v="10"/>
    <n v="0"/>
    <x v="1"/>
    <x v="1"/>
  </r>
  <r>
    <x v="2"/>
    <x v="5"/>
    <x v="10"/>
    <n v="-76495"/>
    <x v="1"/>
    <x v="1"/>
  </r>
  <r>
    <x v="2"/>
    <x v="6"/>
    <x v="10"/>
    <n v="431079"/>
    <x v="2"/>
    <x v="0"/>
  </r>
  <r>
    <x v="2"/>
    <x v="7"/>
    <x v="10"/>
    <n v="18643"/>
    <x v="2"/>
    <x v="0"/>
  </r>
  <r>
    <x v="2"/>
    <x v="8"/>
    <x v="10"/>
    <n v="8411434"/>
    <x v="3"/>
    <x v="0"/>
  </r>
  <r>
    <x v="2"/>
    <x v="9"/>
    <x v="10"/>
    <n v="0"/>
    <x v="3"/>
    <x v="0"/>
  </r>
  <r>
    <x v="2"/>
    <x v="10"/>
    <x v="10"/>
    <n v="23044585"/>
    <x v="3"/>
    <x v="0"/>
  </r>
  <r>
    <x v="2"/>
    <x v="11"/>
    <x v="10"/>
    <n v="8661266"/>
    <x v="3"/>
    <x v="0"/>
  </r>
  <r>
    <x v="2"/>
    <x v="12"/>
    <x v="10"/>
    <n v="384241"/>
    <x v="0"/>
    <x v="0"/>
  </r>
  <r>
    <x v="2"/>
    <x v="13"/>
    <x v="10"/>
    <n v="0"/>
    <x v="0"/>
    <x v="0"/>
  </r>
  <r>
    <x v="2"/>
    <x v="14"/>
    <x v="10"/>
    <n v="321842960"/>
    <x v="4"/>
    <x v="1"/>
  </r>
  <r>
    <x v="2"/>
    <x v="15"/>
    <x v="10"/>
    <n v="18561719"/>
    <x v="4"/>
    <x v="1"/>
  </r>
  <r>
    <x v="2"/>
    <x v="16"/>
    <x v="10"/>
    <n v="138064"/>
    <x v="5"/>
    <x v="0"/>
  </r>
  <r>
    <x v="2"/>
    <x v="17"/>
    <x v="10"/>
    <n v="301585"/>
    <x v="1"/>
    <x v="0"/>
  </r>
  <r>
    <x v="2"/>
    <x v="18"/>
    <x v="10"/>
    <n v="0"/>
    <x v="5"/>
    <x v="0"/>
  </r>
  <r>
    <x v="2"/>
    <x v="20"/>
    <x v="10"/>
    <n v="0"/>
    <x v="6"/>
    <x v="0"/>
  </r>
  <r>
    <x v="3"/>
    <x v="21"/>
    <x v="10"/>
    <n v="61.85"/>
    <x v="3"/>
    <x v="2"/>
  </r>
  <r>
    <x v="3"/>
    <x v="1"/>
    <x v="10"/>
    <n v="45.21"/>
    <x v="7"/>
    <x v="3"/>
  </r>
  <r>
    <x v="3"/>
    <x v="17"/>
    <x v="10"/>
    <n v="48.76"/>
    <x v="8"/>
    <x v="4"/>
  </r>
  <r>
    <x v="0"/>
    <x v="0"/>
    <x v="11"/>
    <n v="1337"/>
    <x v="0"/>
    <x v="0"/>
  </r>
  <r>
    <x v="0"/>
    <x v="1"/>
    <x v="11"/>
    <n v="88804"/>
    <x v="1"/>
    <x v="0"/>
  </r>
  <r>
    <x v="0"/>
    <x v="2"/>
    <x v="11"/>
    <n v="433"/>
    <x v="0"/>
    <x v="0"/>
  </r>
  <r>
    <x v="0"/>
    <x v="3"/>
    <x v="11"/>
    <n v="1068"/>
    <x v="1"/>
    <x v="1"/>
  </r>
  <r>
    <x v="0"/>
    <x v="4"/>
    <x v="11"/>
    <n v="12"/>
    <x v="1"/>
    <x v="1"/>
  </r>
  <r>
    <x v="0"/>
    <x v="5"/>
    <x v="11"/>
    <n v="870"/>
    <x v="1"/>
    <x v="1"/>
  </r>
  <r>
    <x v="0"/>
    <x v="6"/>
    <x v="11"/>
    <n v="4206"/>
    <x v="2"/>
    <x v="0"/>
  </r>
  <r>
    <x v="0"/>
    <x v="7"/>
    <x v="11"/>
    <n v="761"/>
    <x v="2"/>
    <x v="0"/>
  </r>
  <r>
    <x v="0"/>
    <x v="8"/>
    <x v="11"/>
    <n v="31671"/>
    <x v="3"/>
    <x v="0"/>
  </r>
  <r>
    <x v="0"/>
    <x v="9"/>
    <x v="11"/>
    <n v="0"/>
    <x v="3"/>
    <x v="0"/>
  </r>
  <r>
    <x v="0"/>
    <x v="10"/>
    <x v="11"/>
    <n v="73362"/>
    <x v="3"/>
    <x v="0"/>
  </r>
  <r>
    <x v="0"/>
    <x v="11"/>
    <x v="11"/>
    <n v="11729"/>
    <x v="3"/>
    <x v="0"/>
  </r>
  <r>
    <x v="0"/>
    <x v="12"/>
    <x v="11"/>
    <n v="514"/>
    <x v="0"/>
    <x v="0"/>
  </r>
  <r>
    <x v="0"/>
    <x v="13"/>
    <x v="11"/>
    <n v="0"/>
    <x v="0"/>
    <x v="0"/>
  </r>
  <r>
    <x v="0"/>
    <x v="14"/>
    <x v="11"/>
    <n v="1205"/>
    <x v="4"/>
    <x v="1"/>
  </r>
  <r>
    <x v="0"/>
    <x v="15"/>
    <x v="11"/>
    <n v="84"/>
    <x v="4"/>
    <x v="1"/>
  </r>
  <r>
    <x v="0"/>
    <x v="16"/>
    <x v="11"/>
    <n v="218"/>
    <x v="5"/>
    <x v="0"/>
  </r>
  <r>
    <x v="0"/>
    <x v="17"/>
    <x v="11"/>
    <n v="1637"/>
    <x v="1"/>
    <x v="0"/>
  </r>
  <r>
    <x v="0"/>
    <x v="18"/>
    <x v="11"/>
    <n v="0"/>
    <x v="5"/>
    <x v="0"/>
  </r>
  <r>
    <x v="0"/>
    <x v="19"/>
    <x v="11"/>
    <n v="14222"/>
    <x v="2"/>
    <x v="0"/>
  </r>
  <r>
    <x v="0"/>
    <x v="20"/>
    <x v="11"/>
    <n v="0"/>
    <x v="6"/>
    <x v="0"/>
  </r>
  <r>
    <x v="1"/>
    <x v="0"/>
    <x v="11"/>
    <n v="0"/>
    <x v="0"/>
    <x v="0"/>
  </r>
  <r>
    <x v="1"/>
    <x v="1"/>
    <x v="11"/>
    <n v="1134"/>
    <x v="1"/>
    <x v="0"/>
  </r>
  <r>
    <x v="1"/>
    <x v="2"/>
    <x v="11"/>
    <n v="0"/>
    <x v="0"/>
    <x v="0"/>
  </r>
  <r>
    <x v="1"/>
    <x v="3"/>
    <x v="11"/>
    <n v="76577"/>
    <x v="1"/>
    <x v="1"/>
  </r>
  <r>
    <x v="1"/>
    <x v="4"/>
    <x v="11"/>
    <n v="0"/>
    <x v="1"/>
    <x v="1"/>
  </r>
  <r>
    <x v="1"/>
    <x v="5"/>
    <x v="11"/>
    <n v="437"/>
    <x v="1"/>
    <x v="1"/>
  </r>
  <r>
    <x v="1"/>
    <x v="6"/>
    <x v="11"/>
    <n v="0"/>
    <x v="2"/>
    <x v="0"/>
  </r>
  <r>
    <x v="1"/>
    <x v="7"/>
    <x v="11"/>
    <n v="0"/>
    <x v="2"/>
    <x v="0"/>
  </r>
  <r>
    <x v="1"/>
    <x v="8"/>
    <x v="11"/>
    <n v="0"/>
    <x v="3"/>
    <x v="0"/>
  </r>
  <r>
    <x v="1"/>
    <x v="9"/>
    <x v="11"/>
    <n v="0"/>
    <x v="3"/>
    <x v="0"/>
  </r>
  <r>
    <x v="1"/>
    <x v="10"/>
    <x v="11"/>
    <n v="2984"/>
    <x v="3"/>
    <x v="0"/>
  </r>
  <r>
    <x v="1"/>
    <x v="11"/>
    <x v="11"/>
    <n v="0"/>
    <x v="3"/>
    <x v="0"/>
  </r>
  <r>
    <x v="1"/>
    <x v="12"/>
    <x v="11"/>
    <n v="0"/>
    <x v="0"/>
    <x v="0"/>
  </r>
  <r>
    <x v="1"/>
    <x v="13"/>
    <x v="11"/>
    <n v="0"/>
    <x v="0"/>
    <x v="0"/>
  </r>
  <r>
    <x v="1"/>
    <x v="14"/>
    <x v="11"/>
    <n v="152102"/>
    <x v="4"/>
    <x v="1"/>
  </r>
  <r>
    <x v="1"/>
    <x v="15"/>
    <x v="11"/>
    <n v="2519"/>
    <x v="4"/>
    <x v="1"/>
  </r>
  <r>
    <x v="1"/>
    <x v="16"/>
    <x v="11"/>
    <n v="0"/>
    <x v="5"/>
    <x v="0"/>
  </r>
  <r>
    <x v="1"/>
    <x v="17"/>
    <x v="11"/>
    <n v="0"/>
    <x v="1"/>
    <x v="0"/>
  </r>
  <r>
    <x v="1"/>
    <x v="18"/>
    <x v="11"/>
    <n v="0"/>
    <x v="5"/>
    <x v="0"/>
  </r>
  <r>
    <x v="1"/>
    <x v="20"/>
    <x v="11"/>
    <n v="0"/>
    <x v="6"/>
    <x v="0"/>
  </r>
  <r>
    <x v="2"/>
    <x v="0"/>
    <x v="11"/>
    <n v="322942"/>
    <x v="0"/>
    <x v="0"/>
  </r>
  <r>
    <x v="2"/>
    <x v="1"/>
    <x v="11"/>
    <n v="13219212"/>
    <x v="1"/>
    <x v="0"/>
  </r>
  <r>
    <x v="2"/>
    <x v="2"/>
    <x v="11"/>
    <n v="111748"/>
    <x v="0"/>
    <x v="0"/>
  </r>
  <r>
    <x v="2"/>
    <x v="3"/>
    <x v="11"/>
    <n v="184700513"/>
    <x v="1"/>
    <x v="1"/>
  </r>
  <r>
    <x v="2"/>
    <x v="4"/>
    <x v="11"/>
    <n v="16659"/>
    <x v="1"/>
    <x v="1"/>
  </r>
  <r>
    <x v="2"/>
    <x v="5"/>
    <x v="11"/>
    <n v="-3232199"/>
    <x v="1"/>
    <x v="1"/>
  </r>
  <r>
    <x v="2"/>
    <x v="6"/>
    <x v="11"/>
    <n v="422832"/>
    <x v="2"/>
    <x v="0"/>
  </r>
  <r>
    <x v="2"/>
    <x v="7"/>
    <x v="11"/>
    <n v="26424"/>
    <x v="2"/>
    <x v="0"/>
  </r>
  <r>
    <x v="2"/>
    <x v="8"/>
    <x v="11"/>
    <n v="8861240"/>
    <x v="3"/>
    <x v="0"/>
  </r>
  <r>
    <x v="2"/>
    <x v="9"/>
    <x v="11"/>
    <n v="0"/>
    <x v="3"/>
    <x v="0"/>
  </r>
  <r>
    <x v="2"/>
    <x v="10"/>
    <x v="11"/>
    <n v="24546488"/>
    <x v="3"/>
    <x v="0"/>
  </r>
  <r>
    <x v="2"/>
    <x v="11"/>
    <x v="11"/>
    <n v="4791519"/>
    <x v="3"/>
    <x v="0"/>
  </r>
  <r>
    <x v="2"/>
    <x v="12"/>
    <x v="11"/>
    <n v="347101"/>
    <x v="0"/>
    <x v="0"/>
  </r>
  <r>
    <x v="2"/>
    <x v="13"/>
    <x v="11"/>
    <n v="0"/>
    <x v="0"/>
    <x v="0"/>
  </r>
  <r>
    <x v="2"/>
    <x v="14"/>
    <x v="11"/>
    <n v="396147902"/>
    <x v="4"/>
    <x v="1"/>
  </r>
  <r>
    <x v="2"/>
    <x v="15"/>
    <x v="11"/>
    <n v="20979029"/>
    <x v="4"/>
    <x v="1"/>
  </r>
  <r>
    <x v="2"/>
    <x v="16"/>
    <x v="11"/>
    <n v="152677"/>
    <x v="5"/>
    <x v="0"/>
  </r>
  <r>
    <x v="2"/>
    <x v="17"/>
    <x v="11"/>
    <n v="202848"/>
    <x v="1"/>
    <x v="0"/>
  </r>
  <r>
    <x v="2"/>
    <x v="18"/>
    <x v="11"/>
    <n v="0"/>
    <x v="5"/>
    <x v="0"/>
  </r>
  <r>
    <x v="2"/>
    <x v="20"/>
    <x v="11"/>
    <n v="0"/>
    <x v="6"/>
    <x v="0"/>
  </r>
  <r>
    <x v="3"/>
    <x v="21"/>
    <x v="11"/>
    <n v="61.12"/>
    <x v="3"/>
    <x v="2"/>
  </r>
  <r>
    <x v="3"/>
    <x v="1"/>
    <x v="11"/>
    <n v="46.03"/>
    <x v="7"/>
    <x v="3"/>
  </r>
  <r>
    <x v="3"/>
    <x v="17"/>
    <x v="11"/>
    <n v="36.380000000000003"/>
    <x v="8"/>
    <x v="4"/>
  </r>
  <r>
    <x v="0"/>
    <x v="0"/>
    <x v="12"/>
    <n v="1512"/>
    <x v="0"/>
    <x v="0"/>
  </r>
  <r>
    <x v="0"/>
    <x v="1"/>
    <x v="12"/>
    <n v="101480"/>
    <x v="1"/>
    <x v="0"/>
  </r>
  <r>
    <x v="0"/>
    <x v="2"/>
    <x v="12"/>
    <n v="409"/>
    <x v="0"/>
    <x v="0"/>
  </r>
  <r>
    <x v="0"/>
    <x v="3"/>
    <x v="12"/>
    <n v="626"/>
    <x v="1"/>
    <x v="1"/>
  </r>
  <r>
    <x v="0"/>
    <x v="4"/>
    <x v="12"/>
    <n v="0"/>
    <x v="1"/>
    <x v="1"/>
  </r>
  <r>
    <x v="0"/>
    <x v="5"/>
    <x v="12"/>
    <n v="1053"/>
    <x v="1"/>
    <x v="1"/>
  </r>
  <r>
    <x v="0"/>
    <x v="6"/>
    <x v="12"/>
    <n v="4382"/>
    <x v="2"/>
    <x v="0"/>
  </r>
  <r>
    <x v="0"/>
    <x v="7"/>
    <x v="12"/>
    <n v="968"/>
    <x v="2"/>
    <x v="0"/>
  </r>
  <r>
    <x v="0"/>
    <x v="8"/>
    <x v="12"/>
    <n v="33147"/>
    <x v="3"/>
    <x v="0"/>
  </r>
  <r>
    <x v="0"/>
    <x v="9"/>
    <x v="12"/>
    <n v="0"/>
    <x v="3"/>
    <x v="0"/>
  </r>
  <r>
    <x v="0"/>
    <x v="10"/>
    <x v="12"/>
    <n v="92640"/>
    <x v="3"/>
    <x v="0"/>
  </r>
  <r>
    <x v="0"/>
    <x v="11"/>
    <x v="12"/>
    <n v="14563"/>
    <x v="3"/>
    <x v="0"/>
  </r>
  <r>
    <x v="0"/>
    <x v="12"/>
    <x v="12"/>
    <n v="486"/>
    <x v="0"/>
    <x v="0"/>
  </r>
  <r>
    <x v="0"/>
    <x v="13"/>
    <x v="12"/>
    <n v="0"/>
    <x v="0"/>
    <x v="0"/>
  </r>
  <r>
    <x v="0"/>
    <x v="14"/>
    <x v="12"/>
    <n v="401"/>
    <x v="4"/>
    <x v="1"/>
  </r>
  <r>
    <x v="0"/>
    <x v="15"/>
    <x v="12"/>
    <n v="87"/>
    <x v="4"/>
    <x v="1"/>
  </r>
  <r>
    <x v="0"/>
    <x v="16"/>
    <x v="12"/>
    <n v="238"/>
    <x v="5"/>
    <x v="0"/>
  </r>
  <r>
    <x v="0"/>
    <x v="17"/>
    <x v="12"/>
    <n v="1800"/>
    <x v="1"/>
    <x v="0"/>
  </r>
  <r>
    <x v="0"/>
    <x v="18"/>
    <x v="12"/>
    <n v="0"/>
    <x v="5"/>
    <x v="0"/>
  </r>
  <r>
    <x v="0"/>
    <x v="19"/>
    <x v="12"/>
    <n v="14223"/>
    <x v="2"/>
    <x v="0"/>
  </r>
  <r>
    <x v="0"/>
    <x v="20"/>
    <x v="12"/>
    <n v="0"/>
    <x v="6"/>
    <x v="0"/>
  </r>
  <r>
    <x v="1"/>
    <x v="0"/>
    <x v="12"/>
    <n v="0"/>
    <x v="0"/>
    <x v="0"/>
  </r>
  <r>
    <x v="1"/>
    <x v="1"/>
    <x v="12"/>
    <n v="1096"/>
    <x v="1"/>
    <x v="0"/>
  </r>
  <r>
    <x v="1"/>
    <x v="2"/>
    <x v="12"/>
    <n v="0"/>
    <x v="0"/>
    <x v="0"/>
  </r>
  <r>
    <x v="1"/>
    <x v="3"/>
    <x v="12"/>
    <n v="85850"/>
    <x v="1"/>
    <x v="1"/>
  </r>
  <r>
    <x v="1"/>
    <x v="4"/>
    <x v="12"/>
    <n v="0"/>
    <x v="1"/>
    <x v="1"/>
  </r>
  <r>
    <x v="1"/>
    <x v="5"/>
    <x v="12"/>
    <n v="534"/>
    <x v="1"/>
    <x v="1"/>
  </r>
  <r>
    <x v="1"/>
    <x v="6"/>
    <x v="12"/>
    <n v="0"/>
    <x v="2"/>
    <x v="0"/>
  </r>
  <r>
    <x v="1"/>
    <x v="7"/>
    <x v="12"/>
    <n v="0"/>
    <x v="2"/>
    <x v="0"/>
  </r>
  <r>
    <x v="1"/>
    <x v="8"/>
    <x v="12"/>
    <n v="0"/>
    <x v="3"/>
    <x v="0"/>
  </r>
  <r>
    <x v="1"/>
    <x v="9"/>
    <x v="12"/>
    <n v="0"/>
    <x v="3"/>
    <x v="0"/>
  </r>
  <r>
    <x v="1"/>
    <x v="10"/>
    <x v="12"/>
    <n v="5393"/>
    <x v="3"/>
    <x v="0"/>
  </r>
  <r>
    <x v="1"/>
    <x v="11"/>
    <x v="12"/>
    <n v="10"/>
    <x v="3"/>
    <x v="0"/>
  </r>
  <r>
    <x v="1"/>
    <x v="12"/>
    <x v="12"/>
    <n v="0"/>
    <x v="0"/>
    <x v="0"/>
  </r>
  <r>
    <x v="1"/>
    <x v="13"/>
    <x v="12"/>
    <n v="0"/>
    <x v="0"/>
    <x v="0"/>
  </r>
  <r>
    <x v="1"/>
    <x v="14"/>
    <x v="12"/>
    <n v="148748"/>
    <x v="4"/>
    <x v="1"/>
  </r>
  <r>
    <x v="1"/>
    <x v="15"/>
    <x v="12"/>
    <n v="2359"/>
    <x v="4"/>
    <x v="1"/>
  </r>
  <r>
    <x v="1"/>
    <x v="16"/>
    <x v="12"/>
    <n v="0"/>
    <x v="5"/>
    <x v="0"/>
  </r>
  <r>
    <x v="1"/>
    <x v="17"/>
    <x v="12"/>
    <n v="0"/>
    <x v="1"/>
    <x v="0"/>
  </r>
  <r>
    <x v="1"/>
    <x v="18"/>
    <x v="12"/>
    <n v="0"/>
    <x v="5"/>
    <x v="0"/>
  </r>
  <r>
    <x v="1"/>
    <x v="20"/>
    <x v="12"/>
    <n v="0"/>
    <x v="6"/>
    <x v="0"/>
  </r>
  <r>
    <x v="2"/>
    <x v="0"/>
    <x v="12"/>
    <n v="368794"/>
    <x v="0"/>
    <x v="0"/>
  </r>
  <r>
    <x v="2"/>
    <x v="1"/>
    <x v="12"/>
    <n v="14939801"/>
    <x v="1"/>
    <x v="0"/>
  </r>
  <r>
    <x v="2"/>
    <x v="2"/>
    <x v="12"/>
    <n v="105494"/>
    <x v="0"/>
    <x v="0"/>
  </r>
  <r>
    <x v="2"/>
    <x v="3"/>
    <x v="12"/>
    <n v="208472910"/>
    <x v="1"/>
    <x v="1"/>
  </r>
  <r>
    <x v="2"/>
    <x v="4"/>
    <x v="12"/>
    <n v="0"/>
    <x v="1"/>
    <x v="1"/>
  </r>
  <r>
    <x v="2"/>
    <x v="5"/>
    <x v="12"/>
    <n v="-3865648"/>
    <x v="1"/>
    <x v="1"/>
  </r>
  <r>
    <x v="2"/>
    <x v="6"/>
    <x v="12"/>
    <n v="440204"/>
    <x v="2"/>
    <x v="0"/>
  </r>
  <r>
    <x v="2"/>
    <x v="7"/>
    <x v="12"/>
    <n v="34852"/>
    <x v="2"/>
    <x v="0"/>
  </r>
  <r>
    <x v="2"/>
    <x v="8"/>
    <x v="12"/>
    <n v="9273634"/>
    <x v="3"/>
    <x v="0"/>
  </r>
  <r>
    <x v="2"/>
    <x v="9"/>
    <x v="12"/>
    <n v="0"/>
    <x v="3"/>
    <x v="0"/>
  </r>
  <r>
    <x v="2"/>
    <x v="10"/>
    <x v="12"/>
    <n v="29679739"/>
    <x v="3"/>
    <x v="0"/>
  </r>
  <r>
    <x v="2"/>
    <x v="11"/>
    <x v="12"/>
    <n v="5968474"/>
    <x v="3"/>
    <x v="0"/>
  </r>
  <r>
    <x v="2"/>
    <x v="12"/>
    <x v="12"/>
    <n v="321762"/>
    <x v="0"/>
    <x v="0"/>
  </r>
  <r>
    <x v="2"/>
    <x v="13"/>
    <x v="12"/>
    <n v="0"/>
    <x v="0"/>
    <x v="0"/>
  </r>
  <r>
    <x v="2"/>
    <x v="14"/>
    <x v="12"/>
    <n v="389448668"/>
    <x v="4"/>
    <x v="1"/>
  </r>
  <r>
    <x v="2"/>
    <x v="15"/>
    <x v="12"/>
    <n v="19554903"/>
    <x v="4"/>
    <x v="1"/>
  </r>
  <r>
    <x v="2"/>
    <x v="16"/>
    <x v="12"/>
    <n v="162962"/>
    <x v="5"/>
    <x v="0"/>
  </r>
  <r>
    <x v="2"/>
    <x v="17"/>
    <x v="12"/>
    <n v="226799"/>
    <x v="1"/>
    <x v="0"/>
  </r>
  <r>
    <x v="2"/>
    <x v="18"/>
    <x v="12"/>
    <n v="0"/>
    <x v="5"/>
    <x v="0"/>
  </r>
  <r>
    <x v="2"/>
    <x v="20"/>
    <x v="12"/>
    <n v="0"/>
    <x v="6"/>
    <x v="0"/>
  </r>
  <r>
    <x v="3"/>
    <x v="21"/>
    <x v="12"/>
    <n v="60.81"/>
    <x v="3"/>
    <x v="2"/>
  </r>
  <r>
    <x v="3"/>
    <x v="1"/>
    <x v="12"/>
    <n v="45.34"/>
    <x v="7"/>
    <x v="3"/>
  </r>
  <r>
    <x v="3"/>
    <x v="17"/>
    <x v="12"/>
    <n v="37.42"/>
    <x v="8"/>
    <x v="4"/>
  </r>
  <r>
    <x v="0"/>
    <x v="0"/>
    <x v="13"/>
    <n v="1801"/>
    <x v="0"/>
    <x v="0"/>
  </r>
  <r>
    <x v="0"/>
    <x v="1"/>
    <x v="13"/>
    <n v="91173"/>
    <x v="1"/>
    <x v="0"/>
  </r>
  <r>
    <x v="0"/>
    <x v="2"/>
    <x v="13"/>
    <n v="314"/>
    <x v="0"/>
    <x v="0"/>
  </r>
  <r>
    <x v="0"/>
    <x v="3"/>
    <x v="13"/>
    <n v="1089"/>
    <x v="1"/>
    <x v="1"/>
  </r>
  <r>
    <x v="0"/>
    <x v="4"/>
    <x v="13"/>
    <n v="0"/>
    <x v="1"/>
    <x v="1"/>
  </r>
  <r>
    <x v="0"/>
    <x v="5"/>
    <x v="13"/>
    <n v="1046"/>
    <x v="1"/>
    <x v="1"/>
  </r>
  <r>
    <x v="0"/>
    <x v="6"/>
    <x v="13"/>
    <n v="4313"/>
    <x v="2"/>
    <x v="0"/>
  </r>
  <r>
    <x v="0"/>
    <x v="7"/>
    <x v="13"/>
    <n v="1214"/>
    <x v="2"/>
    <x v="0"/>
  </r>
  <r>
    <x v="0"/>
    <x v="8"/>
    <x v="13"/>
    <n v="35201"/>
    <x v="3"/>
    <x v="0"/>
  </r>
  <r>
    <x v="0"/>
    <x v="9"/>
    <x v="13"/>
    <n v="0"/>
    <x v="3"/>
    <x v="0"/>
  </r>
  <r>
    <x v="0"/>
    <x v="10"/>
    <x v="13"/>
    <n v="95805"/>
    <x v="3"/>
    <x v="0"/>
  </r>
  <r>
    <x v="0"/>
    <x v="11"/>
    <x v="13"/>
    <n v="6624"/>
    <x v="3"/>
    <x v="0"/>
  </r>
  <r>
    <x v="0"/>
    <x v="12"/>
    <x v="13"/>
    <n v="387"/>
    <x v="0"/>
    <x v="0"/>
  </r>
  <r>
    <x v="0"/>
    <x v="13"/>
    <x v="13"/>
    <n v="43"/>
    <x v="0"/>
    <x v="0"/>
  </r>
  <r>
    <x v="0"/>
    <x v="14"/>
    <x v="13"/>
    <n v="1794"/>
    <x v="4"/>
    <x v="1"/>
  </r>
  <r>
    <x v="0"/>
    <x v="15"/>
    <x v="13"/>
    <n v="201"/>
    <x v="4"/>
    <x v="1"/>
  </r>
  <r>
    <x v="0"/>
    <x v="16"/>
    <x v="13"/>
    <n v="535"/>
    <x v="5"/>
    <x v="0"/>
  </r>
  <r>
    <x v="0"/>
    <x v="17"/>
    <x v="13"/>
    <n v="4035"/>
    <x v="1"/>
    <x v="0"/>
  </r>
  <r>
    <x v="0"/>
    <x v="18"/>
    <x v="13"/>
    <n v="0"/>
    <x v="5"/>
    <x v="0"/>
  </r>
  <r>
    <x v="0"/>
    <x v="19"/>
    <x v="13"/>
    <n v="14223"/>
    <x v="2"/>
    <x v="0"/>
  </r>
  <r>
    <x v="0"/>
    <x v="20"/>
    <x v="13"/>
    <n v="0"/>
    <x v="6"/>
    <x v="0"/>
  </r>
  <r>
    <x v="1"/>
    <x v="0"/>
    <x v="13"/>
    <n v="0"/>
    <x v="0"/>
    <x v="0"/>
  </r>
  <r>
    <x v="1"/>
    <x v="1"/>
    <x v="13"/>
    <n v="593"/>
    <x v="1"/>
    <x v="0"/>
  </r>
  <r>
    <x v="1"/>
    <x v="2"/>
    <x v="13"/>
    <n v="0"/>
    <x v="0"/>
    <x v="0"/>
  </r>
  <r>
    <x v="1"/>
    <x v="3"/>
    <x v="13"/>
    <n v="71455"/>
    <x v="1"/>
    <x v="1"/>
  </r>
  <r>
    <x v="1"/>
    <x v="4"/>
    <x v="13"/>
    <n v="0"/>
    <x v="1"/>
    <x v="1"/>
  </r>
  <r>
    <x v="1"/>
    <x v="5"/>
    <x v="13"/>
    <n v="488"/>
    <x v="1"/>
    <x v="1"/>
  </r>
  <r>
    <x v="1"/>
    <x v="6"/>
    <x v="13"/>
    <n v="0"/>
    <x v="2"/>
    <x v="0"/>
  </r>
  <r>
    <x v="1"/>
    <x v="7"/>
    <x v="13"/>
    <n v="0"/>
    <x v="2"/>
    <x v="0"/>
  </r>
  <r>
    <x v="1"/>
    <x v="8"/>
    <x v="13"/>
    <n v="3765"/>
    <x v="3"/>
    <x v="0"/>
  </r>
  <r>
    <x v="1"/>
    <x v="9"/>
    <x v="13"/>
    <n v="0"/>
    <x v="3"/>
    <x v="0"/>
  </r>
  <r>
    <x v="1"/>
    <x v="10"/>
    <x v="13"/>
    <n v="3490"/>
    <x v="3"/>
    <x v="0"/>
  </r>
  <r>
    <x v="1"/>
    <x v="11"/>
    <x v="13"/>
    <n v="206"/>
    <x v="3"/>
    <x v="0"/>
  </r>
  <r>
    <x v="1"/>
    <x v="12"/>
    <x v="13"/>
    <n v="0"/>
    <x v="0"/>
    <x v="0"/>
  </r>
  <r>
    <x v="1"/>
    <x v="13"/>
    <x v="13"/>
    <n v="0"/>
    <x v="0"/>
    <x v="0"/>
  </r>
  <r>
    <x v="1"/>
    <x v="14"/>
    <x v="13"/>
    <n v="141307"/>
    <x v="4"/>
    <x v="1"/>
  </r>
  <r>
    <x v="1"/>
    <x v="15"/>
    <x v="13"/>
    <n v="1816"/>
    <x v="4"/>
    <x v="1"/>
  </r>
  <r>
    <x v="1"/>
    <x v="16"/>
    <x v="13"/>
    <n v="0"/>
    <x v="5"/>
    <x v="0"/>
  </r>
  <r>
    <x v="1"/>
    <x v="17"/>
    <x v="13"/>
    <n v="0"/>
    <x v="1"/>
    <x v="0"/>
  </r>
  <r>
    <x v="1"/>
    <x v="18"/>
    <x v="13"/>
    <n v="0"/>
    <x v="5"/>
    <x v="0"/>
  </r>
  <r>
    <x v="1"/>
    <x v="20"/>
    <x v="13"/>
    <n v="0"/>
    <x v="6"/>
    <x v="0"/>
  </r>
  <r>
    <x v="2"/>
    <x v="0"/>
    <x v="13"/>
    <n v="457503"/>
    <x v="0"/>
    <x v="0"/>
  </r>
  <r>
    <x v="2"/>
    <x v="1"/>
    <x v="13"/>
    <n v="13234476"/>
    <x v="1"/>
    <x v="0"/>
  </r>
  <r>
    <x v="2"/>
    <x v="2"/>
    <x v="13"/>
    <n v="81027"/>
    <x v="0"/>
    <x v="0"/>
  </r>
  <r>
    <x v="2"/>
    <x v="3"/>
    <x v="13"/>
    <n v="172121556"/>
    <x v="1"/>
    <x v="1"/>
  </r>
  <r>
    <x v="2"/>
    <x v="4"/>
    <x v="13"/>
    <n v="0"/>
    <x v="1"/>
    <x v="1"/>
  </r>
  <r>
    <x v="2"/>
    <x v="5"/>
    <x v="13"/>
    <n v="-4155248"/>
    <x v="1"/>
    <x v="1"/>
  </r>
  <r>
    <x v="2"/>
    <x v="6"/>
    <x v="13"/>
    <n v="433671"/>
    <x v="2"/>
    <x v="0"/>
  </r>
  <r>
    <x v="2"/>
    <x v="7"/>
    <x v="13"/>
    <n v="43869"/>
    <x v="2"/>
    <x v="0"/>
  </r>
  <r>
    <x v="2"/>
    <x v="8"/>
    <x v="13"/>
    <n v="8795011"/>
    <x v="3"/>
    <x v="0"/>
  </r>
  <r>
    <x v="2"/>
    <x v="9"/>
    <x v="13"/>
    <n v="0"/>
    <x v="3"/>
    <x v="0"/>
  </r>
  <r>
    <x v="2"/>
    <x v="10"/>
    <x v="13"/>
    <n v="30617772"/>
    <x v="3"/>
    <x v="0"/>
  </r>
  <r>
    <x v="2"/>
    <x v="11"/>
    <x v="13"/>
    <n v="2689426"/>
    <x v="3"/>
    <x v="0"/>
  </r>
  <r>
    <x v="2"/>
    <x v="12"/>
    <x v="13"/>
    <n v="242110"/>
    <x v="0"/>
    <x v="0"/>
  </r>
  <r>
    <x v="2"/>
    <x v="13"/>
    <x v="13"/>
    <n v="76765"/>
    <x v="0"/>
    <x v="0"/>
  </r>
  <r>
    <x v="2"/>
    <x v="14"/>
    <x v="13"/>
    <n v="366263564"/>
    <x v="4"/>
    <x v="1"/>
  </r>
  <r>
    <x v="2"/>
    <x v="15"/>
    <x v="13"/>
    <n v="13918141"/>
    <x v="4"/>
    <x v="1"/>
  </r>
  <r>
    <x v="2"/>
    <x v="16"/>
    <x v="13"/>
    <n v="286715"/>
    <x v="5"/>
    <x v="0"/>
  </r>
  <r>
    <x v="2"/>
    <x v="17"/>
    <x v="13"/>
    <n v="488983"/>
    <x v="1"/>
    <x v="0"/>
  </r>
  <r>
    <x v="2"/>
    <x v="18"/>
    <x v="13"/>
    <n v="0"/>
    <x v="5"/>
    <x v="0"/>
  </r>
  <r>
    <x v="2"/>
    <x v="20"/>
    <x v="13"/>
    <n v="0"/>
    <x v="6"/>
    <x v="0"/>
  </r>
  <r>
    <x v="3"/>
    <x v="21"/>
    <x v="13"/>
    <n v="59.73"/>
    <x v="3"/>
    <x v="2"/>
  </r>
  <r>
    <x v="3"/>
    <x v="1"/>
    <x v="13"/>
    <n v="44.35"/>
    <x v="7"/>
    <x v="3"/>
  </r>
  <r>
    <x v="3"/>
    <x v="17"/>
    <x v="13"/>
    <n v="34.96"/>
    <x v="8"/>
    <x v="4"/>
  </r>
  <r>
    <x v="0"/>
    <x v="0"/>
    <x v="14"/>
    <n v="1629"/>
    <x v="0"/>
    <x v="0"/>
  </r>
  <r>
    <x v="0"/>
    <x v="1"/>
    <x v="14"/>
    <n v="83643"/>
    <x v="1"/>
    <x v="0"/>
  </r>
  <r>
    <x v="0"/>
    <x v="2"/>
    <x v="14"/>
    <n v="276"/>
    <x v="0"/>
    <x v="0"/>
  </r>
  <r>
    <x v="0"/>
    <x v="3"/>
    <x v="14"/>
    <n v="2324"/>
    <x v="1"/>
    <x v="1"/>
  </r>
  <r>
    <x v="0"/>
    <x v="4"/>
    <x v="14"/>
    <n v="0"/>
    <x v="1"/>
    <x v="1"/>
  </r>
  <r>
    <x v="0"/>
    <x v="5"/>
    <x v="14"/>
    <n v="18"/>
    <x v="1"/>
    <x v="1"/>
  </r>
  <r>
    <x v="0"/>
    <x v="6"/>
    <x v="14"/>
    <n v="4662"/>
    <x v="2"/>
    <x v="0"/>
  </r>
  <r>
    <x v="0"/>
    <x v="7"/>
    <x v="14"/>
    <n v="1187"/>
    <x v="2"/>
    <x v="0"/>
  </r>
  <r>
    <x v="0"/>
    <x v="8"/>
    <x v="14"/>
    <n v="27189"/>
    <x v="3"/>
    <x v="0"/>
  </r>
  <r>
    <x v="0"/>
    <x v="9"/>
    <x v="14"/>
    <n v="0"/>
    <x v="3"/>
    <x v="0"/>
  </r>
  <r>
    <x v="0"/>
    <x v="10"/>
    <x v="14"/>
    <n v="79909"/>
    <x v="3"/>
    <x v="0"/>
  </r>
  <r>
    <x v="0"/>
    <x v="11"/>
    <x v="14"/>
    <n v="6067"/>
    <x v="3"/>
    <x v="0"/>
  </r>
  <r>
    <x v="0"/>
    <x v="12"/>
    <x v="14"/>
    <n v="383"/>
    <x v="0"/>
    <x v="0"/>
  </r>
  <r>
    <x v="0"/>
    <x v="13"/>
    <x v="14"/>
    <n v="10"/>
    <x v="0"/>
    <x v="0"/>
  </r>
  <r>
    <x v="0"/>
    <x v="14"/>
    <x v="14"/>
    <n v="1564"/>
    <x v="4"/>
    <x v="1"/>
  </r>
  <r>
    <x v="0"/>
    <x v="15"/>
    <x v="14"/>
    <n v="0"/>
    <x v="4"/>
    <x v="1"/>
  </r>
  <r>
    <x v="0"/>
    <x v="16"/>
    <x v="14"/>
    <n v="1219"/>
    <x v="5"/>
    <x v="0"/>
  </r>
  <r>
    <x v="0"/>
    <x v="17"/>
    <x v="14"/>
    <n v="907"/>
    <x v="1"/>
    <x v="0"/>
  </r>
  <r>
    <x v="0"/>
    <x v="18"/>
    <x v="14"/>
    <n v="0"/>
    <x v="5"/>
    <x v="0"/>
  </r>
  <r>
    <x v="0"/>
    <x v="19"/>
    <x v="14"/>
    <n v="18317"/>
    <x v="2"/>
    <x v="0"/>
  </r>
  <r>
    <x v="0"/>
    <x v="20"/>
    <x v="14"/>
    <n v="0"/>
    <x v="6"/>
    <x v="0"/>
  </r>
  <r>
    <x v="1"/>
    <x v="0"/>
    <x v="14"/>
    <n v="0"/>
    <x v="0"/>
    <x v="0"/>
  </r>
  <r>
    <x v="1"/>
    <x v="1"/>
    <x v="14"/>
    <n v="1869"/>
    <x v="1"/>
    <x v="0"/>
  </r>
  <r>
    <x v="1"/>
    <x v="2"/>
    <x v="14"/>
    <n v="0"/>
    <x v="0"/>
    <x v="0"/>
  </r>
  <r>
    <x v="1"/>
    <x v="3"/>
    <x v="14"/>
    <n v="83000"/>
    <x v="1"/>
    <x v="1"/>
  </r>
  <r>
    <x v="1"/>
    <x v="4"/>
    <x v="14"/>
    <n v="3"/>
    <x v="1"/>
    <x v="1"/>
  </r>
  <r>
    <x v="1"/>
    <x v="5"/>
    <x v="14"/>
    <n v="1056"/>
    <x v="1"/>
    <x v="1"/>
  </r>
  <r>
    <x v="1"/>
    <x v="6"/>
    <x v="14"/>
    <n v="0"/>
    <x v="2"/>
    <x v="0"/>
  </r>
  <r>
    <x v="1"/>
    <x v="7"/>
    <x v="14"/>
    <n v="0"/>
    <x v="2"/>
    <x v="0"/>
  </r>
  <r>
    <x v="1"/>
    <x v="8"/>
    <x v="14"/>
    <n v="0"/>
    <x v="3"/>
    <x v="0"/>
  </r>
  <r>
    <x v="1"/>
    <x v="9"/>
    <x v="14"/>
    <n v="0"/>
    <x v="3"/>
    <x v="0"/>
  </r>
  <r>
    <x v="1"/>
    <x v="10"/>
    <x v="14"/>
    <n v="4010"/>
    <x v="3"/>
    <x v="0"/>
  </r>
  <r>
    <x v="1"/>
    <x v="11"/>
    <x v="14"/>
    <n v="282"/>
    <x v="3"/>
    <x v="0"/>
  </r>
  <r>
    <x v="1"/>
    <x v="12"/>
    <x v="14"/>
    <n v="0"/>
    <x v="0"/>
    <x v="0"/>
  </r>
  <r>
    <x v="1"/>
    <x v="13"/>
    <x v="14"/>
    <n v="0"/>
    <x v="0"/>
    <x v="0"/>
  </r>
  <r>
    <x v="1"/>
    <x v="14"/>
    <x v="14"/>
    <n v="155569"/>
    <x v="4"/>
    <x v="1"/>
  </r>
  <r>
    <x v="1"/>
    <x v="15"/>
    <x v="14"/>
    <n v="3929"/>
    <x v="4"/>
    <x v="1"/>
  </r>
  <r>
    <x v="1"/>
    <x v="16"/>
    <x v="14"/>
    <n v="0"/>
    <x v="5"/>
    <x v="0"/>
  </r>
  <r>
    <x v="1"/>
    <x v="17"/>
    <x v="14"/>
    <n v="0"/>
    <x v="1"/>
    <x v="0"/>
  </r>
  <r>
    <x v="1"/>
    <x v="18"/>
    <x v="14"/>
    <n v="0"/>
    <x v="5"/>
    <x v="0"/>
  </r>
  <r>
    <x v="1"/>
    <x v="20"/>
    <x v="14"/>
    <n v="0"/>
    <x v="6"/>
    <x v="0"/>
  </r>
  <r>
    <x v="2"/>
    <x v="0"/>
    <x v="14"/>
    <n v="429380"/>
    <x v="0"/>
    <x v="0"/>
  </r>
  <r>
    <x v="2"/>
    <x v="1"/>
    <x v="14"/>
    <n v="11226878"/>
    <x v="1"/>
    <x v="0"/>
  </r>
  <r>
    <x v="2"/>
    <x v="2"/>
    <x v="14"/>
    <n v="74326"/>
    <x v="0"/>
    <x v="0"/>
  </r>
  <r>
    <x v="2"/>
    <x v="3"/>
    <x v="14"/>
    <n v="173067446"/>
    <x v="1"/>
    <x v="1"/>
  </r>
  <r>
    <x v="2"/>
    <x v="4"/>
    <x v="14"/>
    <n v="-1915"/>
    <x v="1"/>
    <x v="1"/>
  </r>
  <r>
    <x v="2"/>
    <x v="5"/>
    <x v="14"/>
    <n v="1815092"/>
    <x v="1"/>
    <x v="1"/>
  </r>
  <r>
    <x v="2"/>
    <x v="6"/>
    <x v="14"/>
    <n v="477625"/>
    <x v="2"/>
    <x v="0"/>
  </r>
  <r>
    <x v="2"/>
    <x v="7"/>
    <x v="14"/>
    <n v="43384"/>
    <x v="2"/>
    <x v="0"/>
  </r>
  <r>
    <x v="2"/>
    <x v="8"/>
    <x v="14"/>
    <n v="7797055"/>
    <x v="3"/>
    <x v="0"/>
  </r>
  <r>
    <x v="2"/>
    <x v="9"/>
    <x v="14"/>
    <n v="0"/>
    <x v="3"/>
    <x v="0"/>
  </r>
  <r>
    <x v="2"/>
    <x v="10"/>
    <x v="14"/>
    <n v="26435068"/>
    <x v="3"/>
    <x v="0"/>
  </r>
  <r>
    <x v="2"/>
    <x v="11"/>
    <x v="14"/>
    <n v="2402287"/>
    <x v="3"/>
    <x v="0"/>
  </r>
  <r>
    <x v="2"/>
    <x v="12"/>
    <x v="14"/>
    <n v="263261"/>
    <x v="0"/>
    <x v="0"/>
  </r>
  <r>
    <x v="2"/>
    <x v="13"/>
    <x v="14"/>
    <n v="27631"/>
    <x v="0"/>
    <x v="0"/>
  </r>
  <r>
    <x v="2"/>
    <x v="14"/>
    <x v="14"/>
    <n v="354689704"/>
    <x v="4"/>
    <x v="1"/>
  </r>
  <r>
    <x v="2"/>
    <x v="15"/>
    <x v="14"/>
    <n v="19781062"/>
    <x v="4"/>
    <x v="1"/>
  </r>
  <r>
    <x v="2"/>
    <x v="16"/>
    <x v="14"/>
    <n v="495110"/>
    <x v="5"/>
    <x v="0"/>
  </r>
  <r>
    <x v="2"/>
    <x v="17"/>
    <x v="14"/>
    <n v="161527"/>
    <x v="1"/>
    <x v="0"/>
  </r>
  <r>
    <x v="2"/>
    <x v="18"/>
    <x v="14"/>
    <n v="0"/>
    <x v="5"/>
    <x v="0"/>
  </r>
  <r>
    <x v="2"/>
    <x v="20"/>
    <x v="14"/>
    <n v="0"/>
    <x v="6"/>
    <x v="0"/>
  </r>
  <r>
    <x v="3"/>
    <x v="21"/>
    <x v="14"/>
    <n v="60.13"/>
    <x v="3"/>
    <x v="2"/>
  </r>
  <r>
    <x v="3"/>
    <x v="1"/>
    <x v="14"/>
    <n v="39.51"/>
    <x v="7"/>
    <x v="3"/>
  </r>
  <r>
    <x v="3"/>
    <x v="17"/>
    <x v="14"/>
    <n v="53.91"/>
    <x v="8"/>
    <x v="4"/>
  </r>
  <r>
    <x v="0"/>
    <x v="0"/>
    <x v="15"/>
    <n v="1786"/>
    <x v="0"/>
    <x v="0"/>
  </r>
  <r>
    <x v="0"/>
    <x v="1"/>
    <x v="15"/>
    <n v="121921"/>
    <x v="1"/>
    <x v="0"/>
  </r>
  <r>
    <x v="0"/>
    <x v="2"/>
    <x v="15"/>
    <n v="311"/>
    <x v="0"/>
    <x v="0"/>
  </r>
  <r>
    <x v="0"/>
    <x v="3"/>
    <x v="15"/>
    <n v="1374"/>
    <x v="1"/>
    <x v="1"/>
  </r>
  <r>
    <x v="0"/>
    <x v="4"/>
    <x v="15"/>
    <n v="0"/>
    <x v="1"/>
    <x v="1"/>
  </r>
  <r>
    <x v="0"/>
    <x v="5"/>
    <x v="15"/>
    <n v="219"/>
    <x v="1"/>
    <x v="1"/>
  </r>
  <r>
    <x v="0"/>
    <x v="6"/>
    <x v="15"/>
    <n v="4756"/>
    <x v="2"/>
    <x v="0"/>
  </r>
  <r>
    <x v="0"/>
    <x v="7"/>
    <x v="15"/>
    <n v="1500"/>
    <x v="2"/>
    <x v="0"/>
  </r>
  <r>
    <x v="0"/>
    <x v="8"/>
    <x v="15"/>
    <n v="34844"/>
    <x v="3"/>
    <x v="0"/>
  </r>
  <r>
    <x v="0"/>
    <x v="9"/>
    <x v="15"/>
    <n v="469"/>
    <x v="3"/>
    <x v="0"/>
  </r>
  <r>
    <x v="0"/>
    <x v="10"/>
    <x v="15"/>
    <n v="88120"/>
    <x v="3"/>
    <x v="0"/>
  </r>
  <r>
    <x v="0"/>
    <x v="11"/>
    <x v="15"/>
    <n v="13083"/>
    <x v="3"/>
    <x v="0"/>
  </r>
  <r>
    <x v="0"/>
    <x v="12"/>
    <x v="15"/>
    <n v="399"/>
    <x v="0"/>
    <x v="0"/>
  </r>
  <r>
    <x v="0"/>
    <x v="13"/>
    <x v="15"/>
    <n v="0"/>
    <x v="0"/>
    <x v="0"/>
  </r>
  <r>
    <x v="0"/>
    <x v="14"/>
    <x v="15"/>
    <n v="2099"/>
    <x v="4"/>
    <x v="1"/>
  </r>
  <r>
    <x v="0"/>
    <x v="15"/>
    <x v="15"/>
    <n v="0"/>
    <x v="4"/>
    <x v="1"/>
  </r>
  <r>
    <x v="0"/>
    <x v="16"/>
    <x v="15"/>
    <n v="1385"/>
    <x v="5"/>
    <x v="0"/>
  </r>
  <r>
    <x v="0"/>
    <x v="17"/>
    <x v="15"/>
    <n v="3104"/>
    <x v="1"/>
    <x v="0"/>
  </r>
  <r>
    <x v="0"/>
    <x v="18"/>
    <x v="15"/>
    <n v="0"/>
    <x v="5"/>
    <x v="0"/>
  </r>
  <r>
    <x v="0"/>
    <x v="19"/>
    <x v="15"/>
    <n v="18317"/>
    <x v="2"/>
    <x v="0"/>
  </r>
  <r>
    <x v="0"/>
    <x v="20"/>
    <x v="15"/>
    <n v="0"/>
    <x v="6"/>
    <x v="0"/>
  </r>
  <r>
    <x v="1"/>
    <x v="0"/>
    <x v="15"/>
    <n v="0"/>
    <x v="0"/>
    <x v="0"/>
  </r>
  <r>
    <x v="1"/>
    <x v="1"/>
    <x v="15"/>
    <n v="1406"/>
    <x v="1"/>
    <x v="0"/>
  </r>
  <r>
    <x v="1"/>
    <x v="2"/>
    <x v="15"/>
    <n v="0"/>
    <x v="0"/>
    <x v="0"/>
  </r>
  <r>
    <x v="1"/>
    <x v="3"/>
    <x v="15"/>
    <n v="79497"/>
    <x v="1"/>
    <x v="1"/>
  </r>
  <r>
    <x v="1"/>
    <x v="4"/>
    <x v="15"/>
    <n v="11"/>
    <x v="1"/>
    <x v="1"/>
  </r>
  <r>
    <x v="1"/>
    <x v="5"/>
    <x v="15"/>
    <n v="1593"/>
    <x v="1"/>
    <x v="1"/>
  </r>
  <r>
    <x v="1"/>
    <x v="6"/>
    <x v="15"/>
    <n v="0"/>
    <x v="2"/>
    <x v="0"/>
  </r>
  <r>
    <x v="1"/>
    <x v="7"/>
    <x v="15"/>
    <n v="0"/>
    <x v="2"/>
    <x v="0"/>
  </r>
  <r>
    <x v="1"/>
    <x v="8"/>
    <x v="15"/>
    <n v="388"/>
    <x v="3"/>
    <x v="0"/>
  </r>
  <r>
    <x v="1"/>
    <x v="9"/>
    <x v="15"/>
    <n v="0"/>
    <x v="3"/>
    <x v="0"/>
  </r>
  <r>
    <x v="1"/>
    <x v="10"/>
    <x v="15"/>
    <n v="8574"/>
    <x v="3"/>
    <x v="0"/>
  </r>
  <r>
    <x v="1"/>
    <x v="11"/>
    <x v="15"/>
    <n v="9"/>
    <x v="3"/>
    <x v="0"/>
  </r>
  <r>
    <x v="1"/>
    <x v="12"/>
    <x v="15"/>
    <n v="0"/>
    <x v="0"/>
    <x v="0"/>
  </r>
  <r>
    <x v="1"/>
    <x v="13"/>
    <x v="15"/>
    <n v="0"/>
    <x v="0"/>
    <x v="0"/>
  </r>
  <r>
    <x v="1"/>
    <x v="14"/>
    <x v="15"/>
    <n v="165206"/>
    <x v="4"/>
    <x v="1"/>
  </r>
  <r>
    <x v="1"/>
    <x v="15"/>
    <x v="15"/>
    <n v="4353"/>
    <x v="4"/>
    <x v="1"/>
  </r>
  <r>
    <x v="1"/>
    <x v="16"/>
    <x v="15"/>
    <n v="0"/>
    <x v="5"/>
    <x v="0"/>
  </r>
  <r>
    <x v="1"/>
    <x v="17"/>
    <x v="15"/>
    <n v="0"/>
    <x v="1"/>
    <x v="0"/>
  </r>
  <r>
    <x v="1"/>
    <x v="18"/>
    <x v="15"/>
    <n v="0"/>
    <x v="5"/>
    <x v="0"/>
  </r>
  <r>
    <x v="1"/>
    <x v="20"/>
    <x v="15"/>
    <n v="0"/>
    <x v="6"/>
    <x v="0"/>
  </r>
  <r>
    <x v="2"/>
    <x v="0"/>
    <x v="15"/>
    <n v="471796"/>
    <x v="0"/>
    <x v="0"/>
  </r>
  <r>
    <x v="2"/>
    <x v="1"/>
    <x v="15"/>
    <n v="16376995"/>
    <x v="1"/>
    <x v="0"/>
  </r>
  <r>
    <x v="2"/>
    <x v="2"/>
    <x v="15"/>
    <n v="83726"/>
    <x v="0"/>
    <x v="0"/>
  </r>
  <r>
    <x v="2"/>
    <x v="3"/>
    <x v="15"/>
    <n v="167000751"/>
    <x v="1"/>
    <x v="1"/>
  </r>
  <r>
    <x v="2"/>
    <x v="4"/>
    <x v="15"/>
    <n v="-6563"/>
    <x v="1"/>
    <x v="1"/>
  </r>
  <r>
    <x v="2"/>
    <x v="5"/>
    <x v="15"/>
    <n v="2970595"/>
    <x v="1"/>
    <x v="1"/>
  </r>
  <r>
    <x v="2"/>
    <x v="6"/>
    <x v="15"/>
    <n v="490452"/>
    <x v="2"/>
    <x v="0"/>
  </r>
  <r>
    <x v="2"/>
    <x v="7"/>
    <x v="15"/>
    <n v="54052"/>
    <x v="2"/>
    <x v="0"/>
  </r>
  <r>
    <x v="2"/>
    <x v="8"/>
    <x v="15"/>
    <n v="9379218"/>
    <x v="3"/>
    <x v="0"/>
  </r>
  <r>
    <x v="2"/>
    <x v="9"/>
    <x v="15"/>
    <n v="298937"/>
    <x v="3"/>
    <x v="0"/>
  </r>
  <r>
    <x v="2"/>
    <x v="10"/>
    <x v="15"/>
    <n v="27263997"/>
    <x v="3"/>
    <x v="0"/>
  </r>
  <r>
    <x v="2"/>
    <x v="11"/>
    <x v="15"/>
    <n v="5458262"/>
    <x v="3"/>
    <x v="0"/>
  </r>
  <r>
    <x v="2"/>
    <x v="12"/>
    <x v="15"/>
    <n v="282897"/>
    <x v="0"/>
    <x v="0"/>
  </r>
  <r>
    <x v="2"/>
    <x v="13"/>
    <x v="15"/>
    <n v="0"/>
    <x v="0"/>
    <x v="0"/>
  </r>
  <r>
    <x v="2"/>
    <x v="14"/>
    <x v="15"/>
    <n v="375127081"/>
    <x v="4"/>
    <x v="1"/>
  </r>
  <r>
    <x v="2"/>
    <x v="15"/>
    <x v="15"/>
    <n v="20857756"/>
    <x v="4"/>
    <x v="1"/>
  </r>
  <r>
    <x v="2"/>
    <x v="16"/>
    <x v="15"/>
    <n v="365157"/>
    <x v="5"/>
    <x v="0"/>
  </r>
  <r>
    <x v="2"/>
    <x v="17"/>
    <x v="15"/>
    <n v="455869"/>
    <x v="1"/>
    <x v="0"/>
  </r>
  <r>
    <x v="2"/>
    <x v="18"/>
    <x v="15"/>
    <n v="0"/>
    <x v="5"/>
    <x v="0"/>
  </r>
  <r>
    <x v="2"/>
    <x v="20"/>
    <x v="15"/>
    <n v="0"/>
    <x v="6"/>
    <x v="0"/>
  </r>
  <r>
    <x v="3"/>
    <x v="21"/>
    <x v="15"/>
    <n v="59.68"/>
    <x v="3"/>
    <x v="2"/>
  </r>
  <r>
    <x v="3"/>
    <x v="1"/>
    <x v="15"/>
    <n v="38.92"/>
    <x v="7"/>
    <x v="3"/>
  </r>
  <r>
    <x v="3"/>
    <x v="17"/>
    <x v="15"/>
    <n v="44.74"/>
    <x v="8"/>
    <x v="4"/>
  </r>
  <r>
    <x v="0"/>
    <x v="0"/>
    <x v="5"/>
    <n v="1863"/>
    <x v="0"/>
    <x v="0"/>
  </r>
  <r>
    <x v="0"/>
    <x v="1"/>
    <x v="5"/>
    <n v="125305"/>
    <x v="1"/>
    <x v="0"/>
  </r>
  <r>
    <x v="0"/>
    <x v="2"/>
    <x v="5"/>
    <n v="226"/>
    <x v="0"/>
    <x v="0"/>
  </r>
  <r>
    <x v="0"/>
    <x v="3"/>
    <x v="5"/>
    <n v="1316"/>
    <x v="1"/>
    <x v="1"/>
  </r>
  <r>
    <x v="0"/>
    <x v="4"/>
    <x v="5"/>
    <n v="0"/>
    <x v="1"/>
    <x v="1"/>
  </r>
  <r>
    <x v="0"/>
    <x v="5"/>
    <x v="5"/>
    <n v="132"/>
    <x v="1"/>
    <x v="1"/>
  </r>
  <r>
    <x v="0"/>
    <x v="6"/>
    <x v="5"/>
    <n v="5787"/>
    <x v="2"/>
    <x v="0"/>
  </r>
  <r>
    <x v="0"/>
    <x v="7"/>
    <x v="5"/>
    <n v="1965"/>
    <x v="2"/>
    <x v="0"/>
  </r>
  <r>
    <x v="0"/>
    <x v="8"/>
    <x v="5"/>
    <n v="51580"/>
    <x v="3"/>
    <x v="0"/>
  </r>
  <r>
    <x v="0"/>
    <x v="9"/>
    <x v="5"/>
    <n v="0"/>
    <x v="3"/>
    <x v="0"/>
  </r>
  <r>
    <x v="0"/>
    <x v="10"/>
    <x v="5"/>
    <n v="104296"/>
    <x v="3"/>
    <x v="0"/>
  </r>
  <r>
    <x v="0"/>
    <x v="11"/>
    <x v="5"/>
    <n v="2282"/>
    <x v="3"/>
    <x v="0"/>
  </r>
  <r>
    <x v="0"/>
    <x v="12"/>
    <x v="5"/>
    <n v="435"/>
    <x v="0"/>
    <x v="0"/>
  </r>
  <r>
    <x v="0"/>
    <x v="13"/>
    <x v="5"/>
    <n v="0"/>
    <x v="0"/>
    <x v="0"/>
  </r>
  <r>
    <x v="0"/>
    <x v="14"/>
    <x v="5"/>
    <n v="2409"/>
    <x v="4"/>
    <x v="1"/>
  </r>
  <r>
    <x v="0"/>
    <x v="15"/>
    <x v="5"/>
    <n v="0"/>
    <x v="4"/>
    <x v="1"/>
  </r>
  <r>
    <x v="0"/>
    <x v="16"/>
    <x v="5"/>
    <n v="375"/>
    <x v="5"/>
    <x v="0"/>
  </r>
  <r>
    <x v="0"/>
    <x v="17"/>
    <x v="5"/>
    <n v="98814"/>
    <x v="1"/>
    <x v="0"/>
  </r>
  <r>
    <x v="0"/>
    <x v="18"/>
    <x v="5"/>
    <n v="1268"/>
    <x v="5"/>
    <x v="0"/>
  </r>
  <r>
    <x v="0"/>
    <x v="19"/>
    <x v="5"/>
    <n v="18318"/>
    <x v="2"/>
    <x v="0"/>
  </r>
  <r>
    <x v="0"/>
    <x v="20"/>
    <x v="5"/>
    <n v="0"/>
    <x v="6"/>
    <x v="0"/>
  </r>
  <r>
    <x v="1"/>
    <x v="0"/>
    <x v="5"/>
    <n v="0"/>
    <x v="0"/>
    <x v="0"/>
  </r>
  <r>
    <x v="1"/>
    <x v="1"/>
    <x v="5"/>
    <n v="1513"/>
    <x v="1"/>
    <x v="0"/>
  </r>
  <r>
    <x v="1"/>
    <x v="2"/>
    <x v="5"/>
    <n v="0"/>
    <x v="0"/>
    <x v="0"/>
  </r>
  <r>
    <x v="1"/>
    <x v="3"/>
    <x v="5"/>
    <n v="89450"/>
    <x v="1"/>
    <x v="1"/>
  </r>
  <r>
    <x v="1"/>
    <x v="4"/>
    <x v="5"/>
    <n v="13"/>
    <x v="1"/>
    <x v="1"/>
  </r>
  <r>
    <x v="1"/>
    <x v="5"/>
    <x v="5"/>
    <n v="1623"/>
    <x v="1"/>
    <x v="1"/>
  </r>
  <r>
    <x v="1"/>
    <x v="6"/>
    <x v="5"/>
    <n v="0"/>
    <x v="2"/>
    <x v="0"/>
  </r>
  <r>
    <x v="1"/>
    <x v="7"/>
    <x v="5"/>
    <n v="0"/>
    <x v="2"/>
    <x v="0"/>
  </r>
  <r>
    <x v="1"/>
    <x v="8"/>
    <x v="5"/>
    <n v="354"/>
    <x v="3"/>
    <x v="0"/>
  </r>
  <r>
    <x v="1"/>
    <x v="9"/>
    <x v="5"/>
    <n v="0"/>
    <x v="3"/>
    <x v="0"/>
  </r>
  <r>
    <x v="1"/>
    <x v="10"/>
    <x v="5"/>
    <n v="11085"/>
    <x v="3"/>
    <x v="0"/>
  </r>
  <r>
    <x v="1"/>
    <x v="11"/>
    <x v="5"/>
    <n v="4"/>
    <x v="3"/>
    <x v="0"/>
  </r>
  <r>
    <x v="1"/>
    <x v="12"/>
    <x v="5"/>
    <n v="0"/>
    <x v="0"/>
    <x v="0"/>
  </r>
  <r>
    <x v="1"/>
    <x v="13"/>
    <x v="5"/>
    <n v="0"/>
    <x v="0"/>
    <x v="0"/>
  </r>
  <r>
    <x v="1"/>
    <x v="14"/>
    <x v="5"/>
    <n v="167815"/>
    <x v="4"/>
    <x v="1"/>
  </r>
  <r>
    <x v="1"/>
    <x v="15"/>
    <x v="5"/>
    <n v="3916"/>
    <x v="4"/>
    <x v="1"/>
  </r>
  <r>
    <x v="1"/>
    <x v="16"/>
    <x v="5"/>
    <n v="0"/>
    <x v="5"/>
    <x v="0"/>
  </r>
  <r>
    <x v="1"/>
    <x v="17"/>
    <x v="5"/>
    <n v="0"/>
    <x v="1"/>
    <x v="0"/>
  </r>
  <r>
    <x v="1"/>
    <x v="18"/>
    <x v="5"/>
    <n v="0"/>
    <x v="5"/>
    <x v="0"/>
  </r>
  <r>
    <x v="1"/>
    <x v="20"/>
    <x v="5"/>
    <n v="0"/>
    <x v="6"/>
    <x v="0"/>
  </r>
  <r>
    <x v="2"/>
    <x v="0"/>
    <x v="5"/>
    <n v="495990"/>
    <x v="0"/>
    <x v="0"/>
  </r>
  <r>
    <x v="2"/>
    <x v="1"/>
    <x v="5"/>
    <n v="16836304"/>
    <x v="1"/>
    <x v="0"/>
  </r>
  <r>
    <x v="2"/>
    <x v="2"/>
    <x v="5"/>
    <n v="60935"/>
    <x v="0"/>
    <x v="0"/>
  </r>
  <r>
    <x v="2"/>
    <x v="3"/>
    <x v="5"/>
    <n v="188320552"/>
    <x v="1"/>
    <x v="1"/>
  </r>
  <r>
    <x v="2"/>
    <x v="4"/>
    <x v="5"/>
    <n v="-7587"/>
    <x v="1"/>
    <x v="1"/>
  </r>
  <r>
    <x v="2"/>
    <x v="5"/>
    <x v="5"/>
    <n v="3828923"/>
    <x v="1"/>
    <x v="1"/>
  </r>
  <r>
    <x v="2"/>
    <x v="6"/>
    <x v="5"/>
    <n v="605468"/>
    <x v="2"/>
    <x v="0"/>
  </r>
  <r>
    <x v="2"/>
    <x v="7"/>
    <x v="5"/>
    <n v="70193"/>
    <x v="2"/>
    <x v="0"/>
  </r>
  <r>
    <x v="2"/>
    <x v="8"/>
    <x v="5"/>
    <n v="14044376"/>
    <x v="3"/>
    <x v="0"/>
  </r>
  <r>
    <x v="2"/>
    <x v="9"/>
    <x v="5"/>
    <n v="0"/>
    <x v="3"/>
    <x v="0"/>
  </r>
  <r>
    <x v="2"/>
    <x v="10"/>
    <x v="5"/>
    <n v="30484265"/>
    <x v="3"/>
    <x v="0"/>
  </r>
  <r>
    <x v="2"/>
    <x v="11"/>
    <x v="5"/>
    <n v="962825"/>
    <x v="3"/>
    <x v="0"/>
  </r>
  <r>
    <x v="2"/>
    <x v="12"/>
    <x v="5"/>
    <n v="307650"/>
    <x v="0"/>
    <x v="0"/>
  </r>
  <r>
    <x v="2"/>
    <x v="13"/>
    <x v="5"/>
    <n v="0"/>
    <x v="0"/>
    <x v="0"/>
  </r>
  <r>
    <x v="2"/>
    <x v="14"/>
    <x v="5"/>
    <n v="380415507"/>
    <x v="4"/>
    <x v="1"/>
  </r>
  <r>
    <x v="2"/>
    <x v="15"/>
    <x v="5"/>
    <n v="18078829"/>
    <x v="4"/>
    <x v="1"/>
  </r>
  <r>
    <x v="2"/>
    <x v="16"/>
    <x v="5"/>
    <n v="257693"/>
    <x v="5"/>
    <x v="0"/>
  </r>
  <r>
    <x v="2"/>
    <x v="17"/>
    <x v="5"/>
    <n v="11311233"/>
    <x v="1"/>
    <x v="0"/>
  </r>
  <r>
    <x v="2"/>
    <x v="13"/>
    <x v="6"/>
    <n v="0"/>
    <x v="0"/>
    <x v="0"/>
  </r>
  <r>
    <x v="2"/>
    <x v="14"/>
    <x v="6"/>
    <n v="386761381"/>
    <x v="4"/>
    <x v="1"/>
  </r>
  <r>
    <x v="2"/>
    <x v="15"/>
    <x v="6"/>
    <n v="17233972"/>
    <x v="4"/>
    <x v="1"/>
  </r>
  <r>
    <x v="2"/>
    <x v="16"/>
    <x v="6"/>
    <n v="485144"/>
    <x v="5"/>
    <x v="0"/>
  </r>
  <r>
    <x v="2"/>
    <x v="17"/>
    <x v="6"/>
    <n v="4743246"/>
    <x v="1"/>
    <x v="0"/>
  </r>
  <r>
    <x v="2"/>
    <x v="18"/>
    <x v="6"/>
    <n v="223209"/>
    <x v="5"/>
    <x v="0"/>
  </r>
  <r>
    <x v="2"/>
    <x v="20"/>
    <x v="6"/>
    <n v="0"/>
    <x v="6"/>
    <x v="0"/>
  </r>
  <r>
    <x v="3"/>
    <x v="21"/>
    <x v="6"/>
    <n v="55.81"/>
    <x v="3"/>
    <x v="2"/>
  </r>
  <r>
    <x v="3"/>
    <x v="1"/>
    <x v="6"/>
    <n v="37.380000000000003"/>
    <x v="7"/>
    <x v="3"/>
  </r>
  <r>
    <x v="3"/>
    <x v="17"/>
    <x v="6"/>
    <n v="28.12"/>
    <x v="8"/>
    <x v="4"/>
  </r>
  <r>
    <x v="0"/>
    <x v="0"/>
    <x v="16"/>
    <n v="2235"/>
    <x v="0"/>
    <x v="0"/>
  </r>
  <r>
    <x v="0"/>
    <x v="1"/>
    <x v="16"/>
    <n v="117045"/>
    <x v="1"/>
    <x v="0"/>
  </r>
  <r>
    <x v="0"/>
    <x v="2"/>
    <x v="16"/>
    <n v="219"/>
    <x v="0"/>
    <x v="0"/>
  </r>
  <r>
    <x v="0"/>
    <x v="3"/>
    <x v="16"/>
    <n v="411"/>
    <x v="1"/>
    <x v="1"/>
  </r>
  <r>
    <x v="0"/>
    <x v="4"/>
    <x v="16"/>
    <n v="21"/>
    <x v="1"/>
    <x v="1"/>
  </r>
  <r>
    <x v="0"/>
    <x v="5"/>
    <x v="16"/>
    <n v="612"/>
    <x v="1"/>
    <x v="1"/>
  </r>
  <r>
    <x v="0"/>
    <x v="6"/>
    <x v="16"/>
    <n v="6390"/>
    <x v="2"/>
    <x v="0"/>
  </r>
  <r>
    <x v="0"/>
    <x v="7"/>
    <x v="16"/>
    <n v="1529"/>
    <x v="2"/>
    <x v="0"/>
  </r>
  <r>
    <x v="0"/>
    <x v="8"/>
    <x v="16"/>
    <n v="45329"/>
    <x v="3"/>
    <x v="0"/>
  </r>
  <r>
    <x v="0"/>
    <x v="9"/>
    <x v="16"/>
    <n v="0"/>
    <x v="3"/>
    <x v="0"/>
  </r>
  <r>
    <x v="0"/>
    <x v="10"/>
    <x v="16"/>
    <n v="79069"/>
    <x v="3"/>
    <x v="0"/>
  </r>
  <r>
    <x v="0"/>
    <x v="11"/>
    <x v="16"/>
    <n v="19"/>
    <x v="3"/>
    <x v="0"/>
  </r>
  <r>
    <x v="0"/>
    <x v="12"/>
    <x v="16"/>
    <n v="342"/>
    <x v="0"/>
    <x v="0"/>
  </r>
  <r>
    <x v="0"/>
    <x v="13"/>
    <x v="16"/>
    <n v="0"/>
    <x v="0"/>
    <x v="0"/>
  </r>
  <r>
    <x v="0"/>
    <x v="14"/>
    <x v="16"/>
    <n v="2173"/>
    <x v="4"/>
    <x v="1"/>
  </r>
  <r>
    <x v="0"/>
    <x v="15"/>
    <x v="16"/>
    <n v="1497"/>
    <x v="4"/>
    <x v="1"/>
  </r>
  <r>
    <x v="0"/>
    <x v="16"/>
    <x v="16"/>
    <n v="305"/>
    <x v="5"/>
    <x v="0"/>
  </r>
  <r>
    <x v="0"/>
    <x v="17"/>
    <x v="16"/>
    <n v="70541"/>
    <x v="1"/>
    <x v="0"/>
  </r>
  <r>
    <x v="0"/>
    <x v="18"/>
    <x v="16"/>
    <n v="1182"/>
    <x v="5"/>
    <x v="0"/>
  </r>
  <r>
    <x v="0"/>
    <x v="19"/>
    <x v="16"/>
    <n v="24872"/>
    <x v="2"/>
    <x v="0"/>
  </r>
  <r>
    <x v="0"/>
    <x v="20"/>
    <x v="16"/>
    <n v="0"/>
    <x v="6"/>
    <x v="0"/>
  </r>
  <r>
    <x v="1"/>
    <x v="0"/>
    <x v="16"/>
    <n v="0"/>
    <x v="0"/>
    <x v="0"/>
  </r>
  <r>
    <x v="1"/>
    <x v="1"/>
    <x v="16"/>
    <n v="159"/>
    <x v="1"/>
    <x v="0"/>
  </r>
  <r>
    <x v="1"/>
    <x v="2"/>
    <x v="16"/>
    <n v="0"/>
    <x v="0"/>
    <x v="0"/>
  </r>
  <r>
    <x v="1"/>
    <x v="3"/>
    <x v="16"/>
    <n v="86983"/>
    <x v="1"/>
    <x v="1"/>
  </r>
  <r>
    <x v="1"/>
    <x v="4"/>
    <x v="16"/>
    <n v="61"/>
    <x v="1"/>
    <x v="1"/>
  </r>
  <r>
    <x v="1"/>
    <x v="5"/>
    <x v="16"/>
    <n v="1617"/>
    <x v="1"/>
    <x v="1"/>
  </r>
  <r>
    <x v="1"/>
    <x v="6"/>
    <x v="16"/>
    <n v="0"/>
    <x v="2"/>
    <x v="0"/>
  </r>
  <r>
    <x v="1"/>
    <x v="7"/>
    <x v="16"/>
    <n v="0"/>
    <x v="2"/>
    <x v="0"/>
  </r>
  <r>
    <x v="1"/>
    <x v="8"/>
    <x v="16"/>
    <n v="106"/>
    <x v="3"/>
    <x v="0"/>
  </r>
  <r>
    <x v="1"/>
    <x v="9"/>
    <x v="16"/>
    <n v="4"/>
    <x v="3"/>
    <x v="0"/>
  </r>
  <r>
    <x v="1"/>
    <x v="10"/>
    <x v="16"/>
    <n v="1334"/>
    <x v="3"/>
    <x v="0"/>
  </r>
  <r>
    <x v="1"/>
    <x v="11"/>
    <x v="16"/>
    <n v="0"/>
    <x v="3"/>
    <x v="0"/>
  </r>
  <r>
    <x v="1"/>
    <x v="12"/>
    <x v="16"/>
    <n v="0"/>
    <x v="0"/>
    <x v="0"/>
  </r>
  <r>
    <x v="1"/>
    <x v="13"/>
    <x v="16"/>
    <n v="0"/>
    <x v="0"/>
    <x v="0"/>
  </r>
  <r>
    <x v="1"/>
    <x v="14"/>
    <x v="16"/>
    <n v="189739"/>
    <x v="4"/>
    <x v="1"/>
  </r>
  <r>
    <x v="1"/>
    <x v="15"/>
    <x v="16"/>
    <n v="5726"/>
    <x v="4"/>
    <x v="1"/>
  </r>
  <r>
    <x v="1"/>
    <x v="16"/>
    <x v="16"/>
    <n v="0"/>
    <x v="5"/>
    <x v="0"/>
  </r>
  <r>
    <x v="1"/>
    <x v="17"/>
    <x v="16"/>
    <n v="117"/>
    <x v="1"/>
    <x v="0"/>
  </r>
  <r>
    <x v="1"/>
    <x v="18"/>
    <x v="16"/>
    <n v="0"/>
    <x v="5"/>
    <x v="0"/>
  </r>
  <r>
    <x v="1"/>
    <x v="20"/>
    <x v="16"/>
    <n v="0"/>
    <x v="6"/>
    <x v="0"/>
  </r>
  <r>
    <x v="2"/>
    <x v="0"/>
    <x v="16"/>
    <n v="586566"/>
    <x v="0"/>
    <x v="0"/>
  </r>
  <r>
    <x v="2"/>
    <x v="1"/>
    <x v="16"/>
    <n v="15543670"/>
    <x v="1"/>
    <x v="0"/>
  </r>
  <r>
    <x v="2"/>
    <x v="2"/>
    <x v="16"/>
    <n v="61614"/>
    <x v="0"/>
    <x v="0"/>
  </r>
  <r>
    <x v="2"/>
    <x v="3"/>
    <x v="16"/>
    <n v="144013743"/>
    <x v="1"/>
    <x v="1"/>
  </r>
  <r>
    <x v="2"/>
    <x v="4"/>
    <x v="16"/>
    <n v="-29358"/>
    <x v="1"/>
    <x v="1"/>
  </r>
  <r>
    <x v="2"/>
    <x v="5"/>
    <x v="16"/>
    <n v="-3805966"/>
    <x v="1"/>
    <x v="1"/>
  </r>
  <r>
    <x v="2"/>
    <x v="6"/>
    <x v="16"/>
    <n v="690934"/>
    <x v="2"/>
    <x v="0"/>
  </r>
  <r>
    <x v="2"/>
    <x v="7"/>
    <x v="16"/>
    <n v="54300"/>
    <x v="2"/>
    <x v="0"/>
  </r>
  <r>
    <x v="2"/>
    <x v="8"/>
    <x v="16"/>
    <n v="12854775"/>
    <x v="3"/>
    <x v="0"/>
  </r>
  <r>
    <x v="2"/>
    <x v="9"/>
    <x v="16"/>
    <n v="9787"/>
    <x v="3"/>
    <x v="0"/>
  </r>
  <r>
    <x v="2"/>
    <x v="10"/>
    <x v="16"/>
    <n v="24578817"/>
    <x v="3"/>
    <x v="0"/>
  </r>
  <r>
    <x v="2"/>
    <x v="11"/>
    <x v="16"/>
    <n v="8231"/>
    <x v="3"/>
    <x v="0"/>
  </r>
  <r>
    <x v="2"/>
    <x v="12"/>
    <x v="16"/>
    <n v="266542"/>
    <x v="0"/>
    <x v="0"/>
  </r>
  <r>
    <x v="2"/>
    <x v="13"/>
    <x v="16"/>
    <n v="0"/>
    <x v="0"/>
    <x v="0"/>
  </r>
  <r>
    <x v="2"/>
    <x v="14"/>
    <x v="16"/>
    <n v="338058278"/>
    <x v="4"/>
    <x v="1"/>
  </r>
  <r>
    <x v="2"/>
    <x v="15"/>
    <x v="16"/>
    <n v="-12693296"/>
    <x v="4"/>
    <x v="1"/>
  </r>
  <r>
    <x v="2"/>
    <x v="16"/>
    <x v="16"/>
    <n v="458192"/>
    <x v="5"/>
    <x v="0"/>
  </r>
  <r>
    <x v="2"/>
    <x v="17"/>
    <x v="16"/>
    <n v="7874290"/>
    <x v="1"/>
    <x v="0"/>
  </r>
  <r>
    <x v="2"/>
    <x v="18"/>
    <x v="16"/>
    <n v="217376"/>
    <x v="5"/>
    <x v="0"/>
  </r>
  <r>
    <x v="2"/>
    <x v="20"/>
    <x v="16"/>
    <n v="0"/>
    <x v="6"/>
    <x v="0"/>
  </r>
  <r>
    <x v="3"/>
    <x v="21"/>
    <x v="16"/>
    <n v="55.33"/>
    <x v="3"/>
    <x v="2"/>
  </r>
  <r>
    <x v="3"/>
    <x v="1"/>
    <x v="16"/>
    <n v="36.65"/>
    <x v="7"/>
    <x v="3"/>
  </r>
  <r>
    <x v="3"/>
    <x v="17"/>
    <x v="16"/>
    <n v="27.29"/>
    <x v="8"/>
    <x v="4"/>
  </r>
  <r>
    <x v="0"/>
    <x v="0"/>
    <x v="17"/>
    <n v="2386"/>
    <x v="0"/>
    <x v="0"/>
  </r>
  <r>
    <x v="0"/>
    <x v="1"/>
    <x v="17"/>
    <n v="112442"/>
    <x v="1"/>
    <x v="0"/>
  </r>
  <r>
    <x v="0"/>
    <x v="2"/>
    <x v="17"/>
    <n v="241"/>
    <x v="0"/>
    <x v="0"/>
  </r>
  <r>
    <x v="0"/>
    <x v="3"/>
    <x v="17"/>
    <n v="179"/>
    <x v="1"/>
    <x v="1"/>
  </r>
  <r>
    <x v="0"/>
    <x v="4"/>
    <x v="17"/>
    <n v="0"/>
    <x v="1"/>
    <x v="1"/>
  </r>
  <r>
    <x v="0"/>
    <x v="5"/>
    <x v="17"/>
    <n v="499"/>
    <x v="1"/>
    <x v="1"/>
  </r>
  <r>
    <x v="0"/>
    <x v="6"/>
    <x v="17"/>
    <n v="6453"/>
    <x v="2"/>
    <x v="0"/>
  </r>
  <r>
    <x v="0"/>
    <x v="7"/>
    <x v="17"/>
    <n v="1032"/>
    <x v="2"/>
    <x v="0"/>
  </r>
  <r>
    <x v="0"/>
    <x v="8"/>
    <x v="17"/>
    <n v="47983"/>
    <x v="3"/>
    <x v="0"/>
  </r>
  <r>
    <x v="0"/>
    <x v="9"/>
    <x v="17"/>
    <n v="98"/>
    <x v="3"/>
    <x v="0"/>
  </r>
  <r>
    <x v="0"/>
    <x v="10"/>
    <x v="17"/>
    <n v="59775"/>
    <x v="3"/>
    <x v="0"/>
  </r>
  <r>
    <x v="0"/>
    <x v="11"/>
    <x v="17"/>
    <n v="788"/>
    <x v="3"/>
    <x v="0"/>
  </r>
  <r>
    <x v="0"/>
    <x v="12"/>
    <x v="17"/>
    <n v="273"/>
    <x v="0"/>
    <x v="0"/>
  </r>
  <r>
    <x v="0"/>
    <x v="13"/>
    <x v="17"/>
    <n v="0"/>
    <x v="0"/>
    <x v="0"/>
  </r>
  <r>
    <x v="0"/>
    <x v="14"/>
    <x v="17"/>
    <n v="4738"/>
    <x v="4"/>
    <x v="1"/>
  </r>
  <r>
    <x v="0"/>
    <x v="15"/>
    <x v="17"/>
    <n v="1313"/>
    <x v="4"/>
    <x v="1"/>
  </r>
  <r>
    <x v="0"/>
    <x v="16"/>
    <x v="17"/>
    <n v="45"/>
    <x v="5"/>
    <x v="0"/>
  </r>
  <r>
    <x v="0"/>
    <x v="17"/>
    <x v="17"/>
    <n v="53761"/>
    <x v="1"/>
    <x v="0"/>
  </r>
  <r>
    <x v="0"/>
    <x v="18"/>
    <x v="17"/>
    <n v="916"/>
    <x v="5"/>
    <x v="0"/>
  </r>
  <r>
    <x v="0"/>
    <x v="19"/>
    <x v="17"/>
    <n v="24872"/>
    <x v="2"/>
    <x v="0"/>
  </r>
  <r>
    <x v="0"/>
    <x v="20"/>
    <x v="17"/>
    <n v="0"/>
    <x v="6"/>
    <x v="0"/>
  </r>
  <r>
    <x v="1"/>
    <x v="0"/>
    <x v="17"/>
    <n v="0"/>
    <x v="0"/>
    <x v="0"/>
  </r>
  <r>
    <x v="1"/>
    <x v="1"/>
    <x v="17"/>
    <n v="3928"/>
    <x v="1"/>
    <x v="0"/>
  </r>
  <r>
    <x v="1"/>
    <x v="2"/>
    <x v="17"/>
    <n v="0"/>
    <x v="0"/>
    <x v="0"/>
  </r>
  <r>
    <x v="1"/>
    <x v="3"/>
    <x v="17"/>
    <n v="110368"/>
    <x v="1"/>
    <x v="1"/>
  </r>
  <r>
    <x v="1"/>
    <x v="4"/>
    <x v="17"/>
    <n v="18"/>
    <x v="1"/>
    <x v="1"/>
  </r>
  <r>
    <x v="1"/>
    <x v="5"/>
    <x v="17"/>
    <n v="1318"/>
    <x v="1"/>
    <x v="1"/>
  </r>
  <r>
    <x v="1"/>
    <x v="6"/>
    <x v="17"/>
    <n v="0"/>
    <x v="2"/>
    <x v="0"/>
  </r>
  <r>
    <x v="1"/>
    <x v="7"/>
    <x v="17"/>
    <n v="0"/>
    <x v="2"/>
    <x v="0"/>
  </r>
  <r>
    <x v="1"/>
    <x v="8"/>
    <x v="17"/>
    <n v="3"/>
    <x v="3"/>
    <x v="0"/>
  </r>
  <r>
    <x v="1"/>
    <x v="9"/>
    <x v="17"/>
    <n v="0"/>
    <x v="3"/>
    <x v="0"/>
  </r>
  <r>
    <x v="1"/>
    <x v="10"/>
    <x v="17"/>
    <n v="0"/>
    <x v="3"/>
    <x v="0"/>
  </r>
  <r>
    <x v="1"/>
    <x v="11"/>
    <x v="17"/>
    <n v="0"/>
    <x v="3"/>
    <x v="0"/>
  </r>
  <r>
    <x v="1"/>
    <x v="12"/>
    <x v="17"/>
    <n v="0"/>
    <x v="0"/>
    <x v="0"/>
  </r>
  <r>
    <x v="1"/>
    <x v="13"/>
    <x v="17"/>
    <n v="0"/>
    <x v="0"/>
    <x v="0"/>
  </r>
  <r>
    <x v="1"/>
    <x v="14"/>
    <x v="17"/>
    <n v="150469"/>
    <x v="4"/>
    <x v="1"/>
  </r>
  <r>
    <x v="1"/>
    <x v="15"/>
    <x v="17"/>
    <n v="5009"/>
    <x v="4"/>
    <x v="1"/>
  </r>
  <r>
    <x v="1"/>
    <x v="16"/>
    <x v="17"/>
    <n v="0"/>
    <x v="5"/>
    <x v="0"/>
  </r>
  <r>
    <x v="1"/>
    <x v="17"/>
    <x v="17"/>
    <n v="208"/>
    <x v="1"/>
    <x v="0"/>
  </r>
  <r>
    <x v="1"/>
    <x v="18"/>
    <x v="17"/>
    <n v="0"/>
    <x v="5"/>
    <x v="0"/>
  </r>
  <r>
    <x v="1"/>
    <x v="20"/>
    <x v="17"/>
    <n v="0"/>
    <x v="6"/>
    <x v="0"/>
  </r>
  <r>
    <x v="2"/>
    <x v="0"/>
    <x v="17"/>
    <n v="633956"/>
    <x v="0"/>
    <x v="0"/>
  </r>
  <r>
    <x v="2"/>
    <x v="1"/>
    <x v="17"/>
    <n v="16372107"/>
    <x v="1"/>
    <x v="0"/>
  </r>
  <r>
    <x v="2"/>
    <x v="2"/>
    <x v="17"/>
    <n v="67090"/>
    <x v="0"/>
    <x v="0"/>
  </r>
  <r>
    <x v="2"/>
    <x v="3"/>
    <x v="17"/>
    <n v="183303723"/>
    <x v="1"/>
    <x v="1"/>
  </r>
  <r>
    <x v="2"/>
    <x v="4"/>
    <x v="17"/>
    <n v="-11347"/>
    <x v="1"/>
    <x v="1"/>
  </r>
  <r>
    <x v="2"/>
    <x v="5"/>
    <x v="17"/>
    <n v="-4447782"/>
    <x v="1"/>
    <x v="1"/>
  </r>
  <r>
    <x v="2"/>
    <x v="6"/>
    <x v="17"/>
    <n v="710727"/>
    <x v="2"/>
    <x v="0"/>
  </r>
  <r>
    <x v="2"/>
    <x v="7"/>
    <x v="17"/>
    <n v="37633"/>
    <x v="2"/>
    <x v="0"/>
  </r>
  <r>
    <x v="2"/>
    <x v="8"/>
    <x v="17"/>
    <n v="13932401"/>
    <x v="3"/>
    <x v="0"/>
  </r>
  <r>
    <x v="2"/>
    <x v="9"/>
    <x v="17"/>
    <n v="53494"/>
    <x v="3"/>
    <x v="0"/>
  </r>
  <r>
    <x v="2"/>
    <x v="10"/>
    <x v="17"/>
    <n v="19133423"/>
    <x v="3"/>
    <x v="0"/>
  </r>
  <r>
    <x v="2"/>
    <x v="11"/>
    <x v="17"/>
    <n v="347882"/>
    <x v="3"/>
    <x v="0"/>
  </r>
  <r>
    <x v="2"/>
    <x v="12"/>
    <x v="17"/>
    <n v="244130"/>
    <x v="0"/>
    <x v="0"/>
  </r>
  <r>
    <x v="2"/>
    <x v="13"/>
    <x v="17"/>
    <n v="0"/>
    <x v="0"/>
    <x v="0"/>
  </r>
  <r>
    <x v="2"/>
    <x v="14"/>
    <x v="17"/>
    <n v="262658633"/>
    <x v="4"/>
    <x v="1"/>
  </r>
  <r>
    <x v="2"/>
    <x v="15"/>
    <x v="17"/>
    <n v="-11214131"/>
    <x v="4"/>
    <x v="1"/>
  </r>
  <r>
    <x v="2"/>
    <x v="16"/>
    <x v="17"/>
    <n v="68331"/>
    <x v="5"/>
    <x v="0"/>
  </r>
  <r>
    <x v="2"/>
    <x v="17"/>
    <x v="17"/>
    <n v="6250013"/>
    <x v="1"/>
    <x v="0"/>
  </r>
  <r>
    <x v="2"/>
    <x v="18"/>
    <x v="17"/>
    <n v="168376"/>
    <x v="5"/>
    <x v="0"/>
  </r>
  <r>
    <x v="2"/>
    <x v="20"/>
    <x v="17"/>
    <n v="0"/>
    <x v="6"/>
    <x v="0"/>
  </r>
  <r>
    <x v="3"/>
    <x v="21"/>
    <x v="17"/>
    <n v="55.78"/>
    <x v="3"/>
    <x v="2"/>
  </r>
  <r>
    <x v="3"/>
    <x v="1"/>
    <x v="17"/>
    <n v="43.71"/>
    <x v="7"/>
    <x v="3"/>
  </r>
  <r>
    <x v="3"/>
    <x v="17"/>
    <x v="17"/>
    <n v="30.18"/>
    <x v="8"/>
    <x v="4"/>
  </r>
  <r>
    <x v="0"/>
    <x v="0"/>
    <x v="18"/>
    <n v="3265"/>
    <x v="0"/>
    <x v="0"/>
  </r>
  <r>
    <x v="0"/>
    <x v="1"/>
    <x v="18"/>
    <n v="126284"/>
    <x v="1"/>
    <x v="0"/>
  </r>
  <r>
    <x v="0"/>
    <x v="2"/>
    <x v="18"/>
    <n v="360"/>
    <x v="0"/>
    <x v="0"/>
  </r>
  <r>
    <x v="0"/>
    <x v="3"/>
    <x v="18"/>
    <n v="1553"/>
    <x v="1"/>
    <x v="1"/>
  </r>
  <r>
    <x v="0"/>
    <x v="4"/>
    <x v="18"/>
    <n v="0"/>
    <x v="1"/>
    <x v="1"/>
  </r>
  <r>
    <x v="0"/>
    <x v="5"/>
    <x v="18"/>
    <n v="657"/>
    <x v="1"/>
    <x v="1"/>
  </r>
  <r>
    <x v="0"/>
    <x v="6"/>
    <x v="18"/>
    <n v="7824"/>
    <x v="2"/>
    <x v="0"/>
  </r>
  <r>
    <x v="0"/>
    <x v="7"/>
    <x v="18"/>
    <n v="1952"/>
    <x v="2"/>
    <x v="0"/>
  </r>
  <r>
    <x v="0"/>
    <x v="8"/>
    <x v="18"/>
    <n v="72658"/>
    <x v="3"/>
    <x v="0"/>
  </r>
  <r>
    <x v="0"/>
    <x v="9"/>
    <x v="18"/>
    <n v="0"/>
    <x v="3"/>
    <x v="0"/>
  </r>
  <r>
    <x v="0"/>
    <x v="10"/>
    <x v="18"/>
    <n v="73079"/>
    <x v="3"/>
    <x v="0"/>
  </r>
  <r>
    <x v="0"/>
    <x v="11"/>
    <x v="18"/>
    <n v="70"/>
    <x v="3"/>
    <x v="0"/>
  </r>
  <r>
    <x v="0"/>
    <x v="12"/>
    <x v="18"/>
    <n v="166"/>
    <x v="0"/>
    <x v="0"/>
  </r>
  <r>
    <x v="0"/>
    <x v="13"/>
    <x v="18"/>
    <n v="0"/>
    <x v="0"/>
    <x v="0"/>
  </r>
  <r>
    <x v="0"/>
    <x v="14"/>
    <x v="18"/>
    <n v="1354"/>
    <x v="4"/>
    <x v="1"/>
  </r>
  <r>
    <x v="0"/>
    <x v="15"/>
    <x v="18"/>
    <n v="1671"/>
    <x v="4"/>
    <x v="1"/>
  </r>
  <r>
    <x v="0"/>
    <x v="16"/>
    <x v="18"/>
    <n v="57"/>
    <x v="5"/>
    <x v="0"/>
  </r>
  <r>
    <x v="0"/>
    <x v="17"/>
    <x v="18"/>
    <n v="1896"/>
    <x v="1"/>
    <x v="0"/>
  </r>
  <r>
    <x v="0"/>
    <x v="18"/>
    <x v="18"/>
    <n v="720"/>
    <x v="5"/>
    <x v="0"/>
  </r>
  <r>
    <x v="0"/>
    <x v="19"/>
    <x v="18"/>
    <n v="24872"/>
    <x v="2"/>
    <x v="0"/>
  </r>
  <r>
    <x v="0"/>
    <x v="20"/>
    <x v="18"/>
    <n v="0"/>
    <x v="6"/>
    <x v="0"/>
  </r>
  <r>
    <x v="1"/>
    <x v="0"/>
    <x v="18"/>
    <n v="0"/>
    <x v="0"/>
    <x v="0"/>
  </r>
  <r>
    <x v="1"/>
    <x v="1"/>
    <x v="18"/>
    <n v="1445"/>
    <x v="1"/>
    <x v="0"/>
  </r>
  <r>
    <x v="1"/>
    <x v="2"/>
    <x v="18"/>
    <n v="0"/>
    <x v="0"/>
    <x v="0"/>
  </r>
  <r>
    <x v="1"/>
    <x v="3"/>
    <x v="18"/>
    <n v="110131"/>
    <x v="1"/>
    <x v="1"/>
  </r>
  <r>
    <x v="1"/>
    <x v="4"/>
    <x v="18"/>
    <n v="20"/>
    <x v="1"/>
    <x v="1"/>
  </r>
  <r>
    <x v="1"/>
    <x v="5"/>
    <x v="18"/>
    <n v="1121"/>
    <x v="1"/>
    <x v="1"/>
  </r>
  <r>
    <x v="1"/>
    <x v="6"/>
    <x v="18"/>
    <n v="0"/>
    <x v="2"/>
    <x v="0"/>
  </r>
  <r>
    <x v="1"/>
    <x v="7"/>
    <x v="18"/>
    <n v="0"/>
    <x v="2"/>
    <x v="0"/>
  </r>
  <r>
    <x v="1"/>
    <x v="8"/>
    <x v="18"/>
    <n v="6032"/>
    <x v="3"/>
    <x v="0"/>
  </r>
  <r>
    <x v="1"/>
    <x v="9"/>
    <x v="18"/>
    <n v="0"/>
    <x v="3"/>
    <x v="0"/>
  </r>
  <r>
    <x v="1"/>
    <x v="10"/>
    <x v="18"/>
    <n v="4652"/>
    <x v="3"/>
    <x v="0"/>
  </r>
  <r>
    <x v="1"/>
    <x v="11"/>
    <x v="18"/>
    <n v="788"/>
    <x v="3"/>
    <x v="0"/>
  </r>
  <r>
    <x v="1"/>
    <x v="12"/>
    <x v="18"/>
    <n v="0"/>
    <x v="0"/>
    <x v="0"/>
  </r>
  <r>
    <x v="1"/>
    <x v="13"/>
    <x v="18"/>
    <n v="0"/>
    <x v="0"/>
    <x v="0"/>
  </r>
  <r>
    <x v="1"/>
    <x v="14"/>
    <x v="18"/>
    <n v="226254"/>
    <x v="4"/>
    <x v="1"/>
  </r>
  <r>
    <x v="1"/>
    <x v="15"/>
    <x v="18"/>
    <n v="5379"/>
    <x v="4"/>
    <x v="1"/>
  </r>
  <r>
    <x v="1"/>
    <x v="16"/>
    <x v="18"/>
    <n v="0"/>
    <x v="5"/>
    <x v="0"/>
  </r>
  <r>
    <x v="1"/>
    <x v="17"/>
    <x v="18"/>
    <n v="302"/>
    <x v="1"/>
    <x v="0"/>
  </r>
  <r>
    <x v="1"/>
    <x v="18"/>
    <x v="18"/>
    <n v="0"/>
    <x v="5"/>
    <x v="0"/>
  </r>
  <r>
    <x v="1"/>
    <x v="20"/>
    <x v="18"/>
    <n v="0"/>
    <x v="6"/>
    <x v="0"/>
  </r>
  <r>
    <x v="2"/>
    <x v="0"/>
    <x v="18"/>
    <n v="663940"/>
    <x v="0"/>
    <x v="0"/>
  </r>
  <r>
    <x v="2"/>
    <x v="1"/>
    <x v="18"/>
    <n v="18513397"/>
    <x v="1"/>
    <x v="0"/>
  </r>
  <r>
    <x v="2"/>
    <x v="2"/>
    <x v="18"/>
    <n v="86146"/>
    <x v="0"/>
    <x v="0"/>
  </r>
  <r>
    <x v="2"/>
    <x v="3"/>
    <x v="18"/>
    <n v="180623697"/>
    <x v="1"/>
    <x v="1"/>
  </r>
  <r>
    <x v="2"/>
    <x v="4"/>
    <x v="18"/>
    <n v="-12518"/>
    <x v="1"/>
    <x v="1"/>
  </r>
  <r>
    <x v="2"/>
    <x v="5"/>
    <x v="18"/>
    <n v="-4810890"/>
    <x v="1"/>
    <x v="1"/>
  </r>
  <r>
    <x v="2"/>
    <x v="6"/>
    <x v="18"/>
    <n v="872188"/>
    <x v="2"/>
    <x v="0"/>
  </r>
  <r>
    <x v="2"/>
    <x v="7"/>
    <x v="18"/>
    <n v="72090"/>
    <x v="2"/>
    <x v="0"/>
  </r>
  <r>
    <x v="2"/>
    <x v="8"/>
    <x v="18"/>
    <n v="19053482"/>
    <x v="3"/>
    <x v="0"/>
  </r>
  <r>
    <x v="2"/>
    <x v="9"/>
    <x v="18"/>
    <n v="-312"/>
    <x v="3"/>
    <x v="0"/>
  </r>
  <r>
    <x v="2"/>
    <x v="10"/>
    <x v="18"/>
    <n v="21871120"/>
    <x v="3"/>
    <x v="0"/>
  </r>
  <r>
    <x v="2"/>
    <x v="11"/>
    <x v="18"/>
    <n v="-316619"/>
    <x v="3"/>
    <x v="0"/>
  </r>
  <r>
    <x v="2"/>
    <x v="12"/>
    <x v="18"/>
    <n v="122573"/>
    <x v="0"/>
    <x v="0"/>
  </r>
  <r>
    <x v="2"/>
    <x v="13"/>
    <x v="18"/>
    <n v="0"/>
    <x v="0"/>
    <x v="0"/>
  </r>
  <r>
    <x v="2"/>
    <x v="14"/>
    <x v="18"/>
    <n v="405345801"/>
    <x v="4"/>
    <x v="1"/>
  </r>
  <r>
    <x v="2"/>
    <x v="15"/>
    <x v="18"/>
    <n v="-14911124"/>
    <x v="4"/>
    <x v="1"/>
  </r>
  <r>
    <x v="2"/>
    <x v="16"/>
    <x v="18"/>
    <n v="81833"/>
    <x v="5"/>
    <x v="0"/>
  </r>
  <r>
    <x v="2"/>
    <x v="17"/>
    <x v="18"/>
    <n v="386406"/>
    <x v="1"/>
    <x v="0"/>
  </r>
  <r>
    <x v="2"/>
    <x v="18"/>
    <x v="18"/>
    <n v="147499"/>
    <x v="5"/>
    <x v="0"/>
  </r>
  <r>
    <x v="2"/>
    <x v="20"/>
    <x v="18"/>
    <n v="0"/>
    <x v="6"/>
    <x v="0"/>
  </r>
  <r>
    <x v="3"/>
    <x v="21"/>
    <x v="18"/>
    <n v="55.03"/>
    <x v="3"/>
    <x v="2"/>
  </r>
  <r>
    <x v="3"/>
    <x v="1"/>
    <x v="18"/>
    <n v="42.81"/>
    <x v="7"/>
    <x v="3"/>
  </r>
  <r>
    <x v="3"/>
    <x v="17"/>
    <x v="18"/>
    <n v="64.48"/>
    <x v="8"/>
    <x v="4"/>
  </r>
  <r>
    <x v="0"/>
    <x v="0"/>
    <x v="19"/>
    <n v="3243"/>
    <x v="0"/>
    <x v="0"/>
  </r>
  <r>
    <x v="0"/>
    <x v="1"/>
    <x v="19"/>
    <n v="126047"/>
    <x v="1"/>
    <x v="0"/>
  </r>
  <r>
    <x v="0"/>
    <x v="2"/>
    <x v="19"/>
    <n v="312"/>
    <x v="0"/>
    <x v="0"/>
  </r>
  <r>
    <x v="0"/>
    <x v="3"/>
    <x v="19"/>
    <n v="2354"/>
    <x v="1"/>
    <x v="1"/>
  </r>
  <r>
    <x v="0"/>
    <x v="4"/>
    <x v="19"/>
    <n v="5"/>
    <x v="1"/>
    <x v="1"/>
  </r>
  <r>
    <x v="0"/>
    <x v="5"/>
    <x v="19"/>
    <n v="591"/>
    <x v="1"/>
    <x v="1"/>
  </r>
  <r>
    <x v="0"/>
    <x v="6"/>
    <x v="19"/>
    <n v="8573"/>
    <x v="2"/>
    <x v="0"/>
  </r>
  <r>
    <x v="0"/>
    <x v="7"/>
    <x v="19"/>
    <n v="1818"/>
    <x v="2"/>
    <x v="0"/>
  </r>
  <r>
    <x v="0"/>
    <x v="8"/>
    <x v="19"/>
    <n v="98924"/>
    <x v="3"/>
    <x v="0"/>
  </r>
  <r>
    <x v="0"/>
    <x v="9"/>
    <x v="19"/>
    <n v="0"/>
    <x v="3"/>
    <x v="0"/>
  </r>
  <r>
    <x v="0"/>
    <x v="10"/>
    <x v="19"/>
    <n v="29552"/>
    <x v="3"/>
    <x v="0"/>
  </r>
  <r>
    <x v="0"/>
    <x v="11"/>
    <x v="19"/>
    <n v="0"/>
    <x v="3"/>
    <x v="0"/>
  </r>
  <r>
    <x v="0"/>
    <x v="12"/>
    <x v="19"/>
    <n v="190"/>
    <x v="0"/>
    <x v="0"/>
  </r>
  <r>
    <x v="0"/>
    <x v="13"/>
    <x v="19"/>
    <n v="0"/>
    <x v="0"/>
    <x v="0"/>
  </r>
  <r>
    <x v="0"/>
    <x v="14"/>
    <x v="19"/>
    <n v="362"/>
    <x v="4"/>
    <x v="1"/>
  </r>
  <r>
    <x v="0"/>
    <x v="15"/>
    <x v="19"/>
    <n v="1541"/>
    <x v="4"/>
    <x v="1"/>
  </r>
  <r>
    <x v="0"/>
    <x v="16"/>
    <x v="19"/>
    <n v="107"/>
    <x v="5"/>
    <x v="0"/>
  </r>
  <r>
    <x v="0"/>
    <x v="17"/>
    <x v="19"/>
    <n v="29176"/>
    <x v="1"/>
    <x v="0"/>
  </r>
  <r>
    <x v="0"/>
    <x v="18"/>
    <x v="19"/>
    <n v="936"/>
    <x v="5"/>
    <x v="0"/>
  </r>
  <r>
    <x v="0"/>
    <x v="19"/>
    <x v="19"/>
    <n v="24872"/>
    <x v="2"/>
    <x v="0"/>
  </r>
  <r>
    <x v="0"/>
    <x v="20"/>
    <x v="19"/>
    <n v="0"/>
    <x v="6"/>
    <x v="0"/>
  </r>
  <r>
    <x v="1"/>
    <x v="0"/>
    <x v="19"/>
    <n v="0"/>
    <x v="0"/>
    <x v="0"/>
  </r>
  <r>
    <x v="1"/>
    <x v="1"/>
    <x v="19"/>
    <n v="3193"/>
    <x v="1"/>
    <x v="0"/>
  </r>
  <r>
    <x v="1"/>
    <x v="2"/>
    <x v="19"/>
    <n v="0"/>
    <x v="0"/>
    <x v="0"/>
  </r>
  <r>
    <x v="1"/>
    <x v="3"/>
    <x v="19"/>
    <n v="111456"/>
    <x v="1"/>
    <x v="1"/>
  </r>
  <r>
    <x v="1"/>
    <x v="4"/>
    <x v="19"/>
    <n v="56"/>
    <x v="1"/>
    <x v="1"/>
  </r>
  <r>
    <x v="1"/>
    <x v="5"/>
    <x v="19"/>
    <n v="1172"/>
    <x v="1"/>
    <x v="1"/>
  </r>
  <r>
    <x v="1"/>
    <x v="6"/>
    <x v="19"/>
    <n v="0"/>
    <x v="2"/>
    <x v="0"/>
  </r>
  <r>
    <x v="1"/>
    <x v="7"/>
    <x v="19"/>
    <n v="0"/>
    <x v="2"/>
    <x v="0"/>
  </r>
  <r>
    <x v="1"/>
    <x v="8"/>
    <x v="19"/>
    <n v="1252"/>
    <x v="3"/>
    <x v="0"/>
  </r>
  <r>
    <x v="1"/>
    <x v="9"/>
    <x v="19"/>
    <n v="0"/>
    <x v="3"/>
    <x v="0"/>
  </r>
  <r>
    <x v="1"/>
    <x v="10"/>
    <x v="19"/>
    <n v="3455"/>
    <x v="3"/>
    <x v="0"/>
  </r>
  <r>
    <x v="1"/>
    <x v="11"/>
    <x v="19"/>
    <n v="0"/>
    <x v="3"/>
    <x v="0"/>
  </r>
  <r>
    <x v="1"/>
    <x v="12"/>
    <x v="19"/>
    <n v="0"/>
    <x v="0"/>
    <x v="0"/>
  </r>
  <r>
    <x v="1"/>
    <x v="13"/>
    <x v="19"/>
    <n v="0"/>
    <x v="0"/>
    <x v="0"/>
  </r>
  <r>
    <x v="1"/>
    <x v="14"/>
    <x v="19"/>
    <n v="180120"/>
    <x v="4"/>
    <x v="1"/>
  </r>
  <r>
    <x v="1"/>
    <x v="15"/>
    <x v="19"/>
    <n v="5456"/>
    <x v="4"/>
    <x v="1"/>
  </r>
  <r>
    <x v="1"/>
    <x v="16"/>
    <x v="19"/>
    <n v="0"/>
    <x v="5"/>
    <x v="0"/>
  </r>
  <r>
    <x v="1"/>
    <x v="17"/>
    <x v="19"/>
    <n v="141"/>
    <x v="1"/>
    <x v="0"/>
  </r>
  <r>
    <x v="1"/>
    <x v="18"/>
    <x v="19"/>
    <n v="0"/>
    <x v="5"/>
    <x v="0"/>
  </r>
  <r>
    <x v="1"/>
    <x v="20"/>
    <x v="19"/>
    <n v="0"/>
    <x v="6"/>
    <x v="0"/>
  </r>
  <r>
    <x v="2"/>
    <x v="0"/>
    <x v="19"/>
    <n v="708102"/>
    <x v="0"/>
    <x v="0"/>
  </r>
  <r>
    <x v="2"/>
    <x v="1"/>
    <x v="19"/>
    <n v="18868338"/>
    <x v="1"/>
    <x v="0"/>
  </r>
  <r>
    <x v="2"/>
    <x v="2"/>
    <x v="19"/>
    <n v="74656"/>
    <x v="0"/>
    <x v="0"/>
  </r>
  <r>
    <x v="2"/>
    <x v="3"/>
    <x v="19"/>
    <n v="181496735"/>
    <x v="1"/>
    <x v="1"/>
  </r>
  <r>
    <x v="2"/>
    <x v="4"/>
    <x v="19"/>
    <n v="-24341"/>
    <x v="1"/>
    <x v="1"/>
  </r>
  <r>
    <x v="2"/>
    <x v="5"/>
    <x v="19"/>
    <n v="-4679314"/>
    <x v="1"/>
    <x v="1"/>
  </r>
  <r>
    <x v="2"/>
    <x v="6"/>
    <x v="19"/>
    <n v="962153"/>
    <x v="2"/>
    <x v="0"/>
  </r>
  <r>
    <x v="2"/>
    <x v="7"/>
    <x v="19"/>
    <n v="67128"/>
    <x v="2"/>
    <x v="0"/>
  </r>
  <r>
    <x v="2"/>
    <x v="8"/>
    <x v="19"/>
    <n v="27292139"/>
    <x v="3"/>
    <x v="0"/>
  </r>
  <r>
    <x v="2"/>
    <x v="9"/>
    <x v="19"/>
    <n v="0"/>
    <x v="3"/>
    <x v="0"/>
  </r>
  <r>
    <x v="2"/>
    <x v="10"/>
    <x v="19"/>
    <n v="8254879"/>
    <x v="3"/>
    <x v="0"/>
  </r>
  <r>
    <x v="2"/>
    <x v="11"/>
    <x v="19"/>
    <n v="0"/>
    <x v="3"/>
    <x v="0"/>
  </r>
  <r>
    <x v="2"/>
    <x v="12"/>
    <x v="19"/>
    <n v="139075"/>
    <x v="0"/>
    <x v="0"/>
  </r>
  <r>
    <x v="2"/>
    <x v="13"/>
    <x v="19"/>
    <n v="0"/>
    <x v="0"/>
    <x v="0"/>
  </r>
  <r>
    <x v="2"/>
    <x v="14"/>
    <x v="19"/>
    <n v="323983839"/>
    <x v="4"/>
    <x v="1"/>
  </r>
  <r>
    <x v="2"/>
    <x v="15"/>
    <x v="19"/>
    <n v="-14568456"/>
    <x v="4"/>
    <x v="1"/>
  </r>
  <r>
    <x v="2"/>
    <x v="16"/>
    <x v="19"/>
    <n v="141995"/>
    <x v="5"/>
    <x v="0"/>
  </r>
  <r>
    <x v="2"/>
    <x v="17"/>
    <x v="19"/>
    <n v="3942228"/>
    <x v="1"/>
    <x v="0"/>
  </r>
  <r>
    <x v="2"/>
    <x v="18"/>
    <x v="19"/>
    <n v="191566"/>
    <x v="5"/>
    <x v="0"/>
  </r>
  <r>
    <x v="2"/>
    <x v="20"/>
    <x v="19"/>
    <n v="0"/>
    <x v="6"/>
    <x v="0"/>
  </r>
  <r>
    <x v="3"/>
    <x v="21"/>
    <x v="19"/>
    <n v="52.89"/>
    <x v="3"/>
    <x v="2"/>
  </r>
  <r>
    <x v="3"/>
    <x v="1"/>
    <x v="19"/>
    <n v="44.65"/>
    <x v="7"/>
    <x v="3"/>
  </r>
  <r>
    <x v="3"/>
    <x v="17"/>
    <x v="19"/>
    <n v="39.46"/>
    <x v="8"/>
    <x v="4"/>
  </r>
  <r>
    <x v="0"/>
    <x v="0"/>
    <x v="20"/>
    <n v="3159"/>
    <x v="0"/>
    <x v="0"/>
  </r>
  <r>
    <x v="0"/>
    <x v="1"/>
    <x v="20"/>
    <n v="101311"/>
    <x v="1"/>
    <x v="0"/>
  </r>
  <r>
    <x v="0"/>
    <x v="2"/>
    <x v="20"/>
    <n v="0"/>
    <x v="0"/>
    <x v="0"/>
  </r>
  <r>
    <x v="0"/>
    <x v="3"/>
    <x v="20"/>
    <n v="339"/>
    <x v="1"/>
    <x v="1"/>
  </r>
  <r>
    <x v="0"/>
    <x v="4"/>
    <x v="20"/>
    <n v="0"/>
    <x v="1"/>
    <x v="1"/>
  </r>
  <r>
    <x v="0"/>
    <x v="5"/>
    <x v="20"/>
    <n v="1691"/>
    <x v="1"/>
    <x v="1"/>
  </r>
  <r>
    <x v="0"/>
    <x v="6"/>
    <x v="20"/>
    <n v="9137"/>
    <x v="2"/>
    <x v="0"/>
  </r>
  <r>
    <x v="0"/>
    <x v="7"/>
    <x v="20"/>
    <n v="1900"/>
    <x v="2"/>
    <x v="0"/>
  </r>
  <r>
    <x v="0"/>
    <x v="8"/>
    <x v="20"/>
    <n v="79497"/>
    <x v="3"/>
    <x v="0"/>
  </r>
  <r>
    <x v="0"/>
    <x v="9"/>
    <x v="20"/>
    <n v="0"/>
    <x v="3"/>
    <x v="0"/>
  </r>
  <r>
    <x v="0"/>
    <x v="10"/>
    <x v="20"/>
    <n v="30850"/>
    <x v="3"/>
    <x v="0"/>
  </r>
  <r>
    <x v="0"/>
    <x v="11"/>
    <x v="20"/>
    <n v="0"/>
    <x v="3"/>
    <x v="0"/>
  </r>
  <r>
    <x v="0"/>
    <x v="12"/>
    <x v="20"/>
    <n v="348"/>
    <x v="0"/>
    <x v="0"/>
  </r>
  <r>
    <x v="0"/>
    <x v="13"/>
    <x v="20"/>
    <n v="0"/>
    <x v="0"/>
    <x v="0"/>
  </r>
  <r>
    <x v="0"/>
    <x v="14"/>
    <x v="20"/>
    <n v="0"/>
    <x v="4"/>
    <x v="1"/>
  </r>
  <r>
    <x v="0"/>
    <x v="15"/>
    <x v="20"/>
    <n v="5333"/>
    <x v="4"/>
    <x v="1"/>
  </r>
  <r>
    <x v="0"/>
    <x v="16"/>
    <x v="20"/>
    <n v="1319"/>
    <x v="5"/>
    <x v="0"/>
  </r>
  <r>
    <x v="0"/>
    <x v="17"/>
    <x v="20"/>
    <n v="43742"/>
    <x v="1"/>
    <x v="0"/>
  </r>
  <r>
    <x v="0"/>
    <x v="18"/>
    <x v="20"/>
    <n v="0"/>
    <x v="5"/>
    <x v="0"/>
  </r>
  <r>
    <x v="0"/>
    <x v="19"/>
    <x v="20"/>
    <n v="0"/>
    <x v="2"/>
    <x v="0"/>
  </r>
  <r>
    <x v="0"/>
    <x v="20"/>
    <x v="20"/>
    <n v="115"/>
    <x v="6"/>
    <x v="0"/>
  </r>
  <r>
    <x v="1"/>
    <x v="0"/>
    <x v="20"/>
    <n v="0"/>
    <x v="0"/>
    <x v="0"/>
  </r>
  <r>
    <x v="1"/>
    <x v="1"/>
    <x v="20"/>
    <n v="634"/>
    <x v="1"/>
    <x v="0"/>
  </r>
  <r>
    <x v="1"/>
    <x v="2"/>
    <x v="20"/>
    <n v="0"/>
    <x v="0"/>
    <x v="0"/>
  </r>
  <r>
    <x v="1"/>
    <x v="3"/>
    <x v="20"/>
    <n v="140117"/>
    <x v="1"/>
    <x v="1"/>
  </r>
  <r>
    <x v="1"/>
    <x v="4"/>
    <x v="20"/>
    <n v="71"/>
    <x v="1"/>
    <x v="1"/>
  </r>
  <r>
    <x v="1"/>
    <x v="5"/>
    <x v="20"/>
    <n v="1566"/>
    <x v="1"/>
    <x v="1"/>
  </r>
  <r>
    <x v="1"/>
    <x v="6"/>
    <x v="20"/>
    <n v="0"/>
    <x v="2"/>
    <x v="0"/>
  </r>
  <r>
    <x v="1"/>
    <x v="7"/>
    <x v="20"/>
    <n v="0"/>
    <x v="2"/>
    <x v="0"/>
  </r>
  <r>
    <x v="1"/>
    <x v="8"/>
    <x v="20"/>
    <n v="1528"/>
    <x v="3"/>
    <x v="0"/>
  </r>
  <r>
    <x v="1"/>
    <x v="9"/>
    <x v="20"/>
    <n v="0"/>
    <x v="3"/>
    <x v="0"/>
  </r>
  <r>
    <x v="1"/>
    <x v="10"/>
    <x v="20"/>
    <n v="149"/>
    <x v="3"/>
    <x v="0"/>
  </r>
  <r>
    <x v="1"/>
    <x v="11"/>
    <x v="20"/>
    <n v="0"/>
    <x v="3"/>
    <x v="0"/>
  </r>
  <r>
    <x v="1"/>
    <x v="12"/>
    <x v="20"/>
    <n v="0"/>
    <x v="0"/>
    <x v="0"/>
  </r>
  <r>
    <x v="1"/>
    <x v="13"/>
    <x v="20"/>
    <n v="0"/>
    <x v="0"/>
    <x v="0"/>
  </r>
  <r>
    <x v="1"/>
    <x v="14"/>
    <x v="20"/>
    <n v="229384"/>
    <x v="4"/>
    <x v="1"/>
  </r>
  <r>
    <x v="1"/>
    <x v="15"/>
    <x v="20"/>
    <n v="6827"/>
    <x v="4"/>
    <x v="1"/>
  </r>
  <r>
    <x v="1"/>
    <x v="16"/>
    <x v="20"/>
    <n v="0"/>
    <x v="5"/>
    <x v="0"/>
  </r>
  <r>
    <x v="1"/>
    <x v="17"/>
    <x v="20"/>
    <n v="15423"/>
    <x v="1"/>
    <x v="0"/>
  </r>
  <r>
    <x v="1"/>
    <x v="18"/>
    <x v="20"/>
    <n v="0"/>
    <x v="5"/>
    <x v="0"/>
  </r>
  <r>
    <x v="1"/>
    <x v="20"/>
    <x v="20"/>
    <n v="0"/>
    <x v="6"/>
    <x v="0"/>
  </r>
  <r>
    <x v="2"/>
    <x v="0"/>
    <x v="20"/>
    <n v="673729"/>
    <x v="0"/>
    <x v="0"/>
  </r>
  <r>
    <x v="2"/>
    <x v="1"/>
    <x v="20"/>
    <n v="15337096"/>
    <x v="1"/>
    <x v="0"/>
  </r>
  <r>
    <x v="2"/>
    <x v="2"/>
    <x v="20"/>
    <n v="0"/>
    <x v="0"/>
    <x v="0"/>
  </r>
  <r>
    <x v="2"/>
    <x v="3"/>
    <x v="20"/>
    <n v="190714824"/>
    <x v="1"/>
    <x v="1"/>
  </r>
  <r>
    <x v="2"/>
    <x v="4"/>
    <x v="20"/>
    <n v="-49197"/>
    <x v="1"/>
    <x v="1"/>
  </r>
  <r>
    <x v="2"/>
    <x v="5"/>
    <x v="20"/>
    <n v="-4923247"/>
    <x v="1"/>
    <x v="1"/>
  </r>
  <r>
    <x v="2"/>
    <x v="6"/>
    <x v="20"/>
    <n v="965691"/>
    <x v="2"/>
    <x v="0"/>
  </r>
  <r>
    <x v="2"/>
    <x v="7"/>
    <x v="20"/>
    <n v="74825"/>
    <x v="2"/>
    <x v="0"/>
  </r>
  <r>
    <x v="2"/>
    <x v="8"/>
    <x v="20"/>
    <n v="22585155"/>
    <x v="3"/>
    <x v="0"/>
  </r>
  <r>
    <x v="2"/>
    <x v="9"/>
    <x v="20"/>
    <n v="0"/>
    <x v="3"/>
    <x v="0"/>
  </r>
  <r>
    <x v="2"/>
    <x v="10"/>
    <x v="20"/>
    <n v="9870790"/>
    <x v="3"/>
    <x v="0"/>
  </r>
  <r>
    <x v="2"/>
    <x v="11"/>
    <x v="20"/>
    <n v="0"/>
    <x v="3"/>
    <x v="0"/>
  </r>
  <r>
    <x v="2"/>
    <x v="12"/>
    <x v="20"/>
    <n v="213206"/>
    <x v="0"/>
    <x v="0"/>
  </r>
  <r>
    <x v="2"/>
    <x v="13"/>
    <x v="20"/>
    <n v="0"/>
    <x v="0"/>
    <x v="0"/>
  </r>
  <r>
    <x v="2"/>
    <x v="14"/>
    <x v="20"/>
    <n v="339894409"/>
    <x v="4"/>
    <x v="1"/>
  </r>
  <r>
    <x v="2"/>
    <x v="15"/>
    <x v="20"/>
    <n v="-16074050"/>
    <x v="4"/>
    <x v="1"/>
  </r>
  <r>
    <x v="2"/>
    <x v="16"/>
    <x v="20"/>
    <n v="419595"/>
    <x v="5"/>
    <x v="0"/>
  </r>
  <r>
    <x v="2"/>
    <x v="17"/>
    <x v="20"/>
    <n v="6944201"/>
    <x v="1"/>
    <x v="0"/>
  </r>
  <r>
    <x v="2"/>
    <x v="18"/>
    <x v="20"/>
    <n v="0"/>
    <x v="5"/>
    <x v="0"/>
  </r>
  <r>
    <x v="2"/>
    <x v="20"/>
    <x v="20"/>
    <n v="21110"/>
    <x v="6"/>
    <x v="0"/>
  </r>
  <r>
    <x v="3"/>
    <x v="21"/>
    <x v="20"/>
    <n v="53.55"/>
    <x v="3"/>
    <x v="2"/>
  </r>
  <r>
    <x v="3"/>
    <x v="1"/>
    <x v="20"/>
    <n v="43.25"/>
    <x v="7"/>
    <x v="3"/>
  </r>
  <r>
    <x v="3"/>
    <x v="17"/>
    <x v="20"/>
    <n v="63.83"/>
    <x v="8"/>
    <x v="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04">
  <r>
    <x v="0"/>
    <x v="0"/>
    <x v="0"/>
    <x v="0"/>
    <n v="45.230000000000004"/>
  </r>
  <r>
    <x v="0"/>
    <x v="0"/>
    <x v="0"/>
    <x v="1"/>
    <n v="119.55"/>
  </r>
  <r>
    <x v="0"/>
    <x v="0"/>
    <x v="1"/>
    <x v="0"/>
    <n v="35"/>
  </r>
  <r>
    <x v="0"/>
    <x v="0"/>
    <x v="2"/>
    <x v="0"/>
    <n v="100.77"/>
  </r>
  <r>
    <x v="0"/>
    <x v="0"/>
    <x v="3"/>
    <x v="0"/>
    <n v="99.64"/>
  </r>
  <r>
    <x v="0"/>
    <x v="0"/>
    <x v="3"/>
    <x v="2"/>
    <n v="98.64"/>
  </r>
  <r>
    <x v="0"/>
    <x v="0"/>
    <x v="3"/>
    <x v="1"/>
    <n v="129.49"/>
  </r>
  <r>
    <x v="0"/>
    <x v="0"/>
    <x v="4"/>
    <x v="0"/>
    <n v="39.380000000000003"/>
  </r>
  <r>
    <x v="0"/>
    <x v="0"/>
    <x v="4"/>
    <x v="1"/>
    <n v="129.65"/>
  </r>
  <r>
    <x v="0"/>
    <x v="0"/>
    <x v="5"/>
    <x v="3"/>
    <n v="3.4"/>
  </r>
  <r>
    <x v="0"/>
    <x v="0"/>
    <x v="6"/>
    <x v="3"/>
    <n v="0.9"/>
  </r>
  <r>
    <x v="0"/>
    <x v="0"/>
    <x v="7"/>
    <x v="0"/>
    <n v="120.27"/>
  </r>
  <r>
    <x v="0"/>
    <x v="0"/>
    <x v="7"/>
    <x v="1"/>
    <n v="3.6"/>
  </r>
  <r>
    <x v="0"/>
    <x v="0"/>
    <x v="8"/>
    <x v="0"/>
    <n v="60.877499999999998"/>
  </r>
  <r>
    <x v="0"/>
    <x v="0"/>
    <x v="8"/>
    <x v="1"/>
    <n v="81.510000000000005"/>
  </r>
  <r>
    <x v="0"/>
    <x v="0"/>
    <x v="9"/>
    <x v="0"/>
    <n v="79.930000000000007"/>
  </r>
  <r>
    <x v="0"/>
    <x v="0"/>
    <x v="9"/>
    <x v="1"/>
    <n v="0.98"/>
  </r>
  <r>
    <x v="0"/>
    <x v="0"/>
    <x v="10"/>
    <x v="1"/>
    <n v="76.84"/>
  </r>
  <r>
    <x v="0"/>
    <x v="0"/>
    <x v="11"/>
    <x v="0"/>
    <n v="98.62"/>
  </r>
  <r>
    <x v="0"/>
    <x v="0"/>
    <x v="11"/>
    <x v="2"/>
    <n v="97.63"/>
  </r>
  <r>
    <x v="0"/>
    <x v="0"/>
    <x v="11"/>
    <x v="1"/>
    <n v="116.09"/>
  </r>
  <r>
    <x v="0"/>
    <x v="0"/>
    <x v="12"/>
    <x v="0"/>
    <n v="100.77"/>
  </r>
  <r>
    <x v="0"/>
    <x v="0"/>
    <x v="12"/>
    <x v="1"/>
    <n v="116.09"/>
  </r>
  <r>
    <x v="0"/>
    <x v="0"/>
    <x v="13"/>
    <x v="1"/>
    <n v="123"/>
  </r>
  <r>
    <x v="0"/>
    <x v="0"/>
    <x v="14"/>
    <x v="2"/>
    <m/>
  </r>
  <r>
    <x v="0"/>
    <x v="0"/>
    <x v="14"/>
    <x v="1"/>
    <n v="0"/>
  </r>
  <r>
    <x v="0"/>
    <x v="0"/>
    <x v="15"/>
    <x v="3"/>
    <n v="3470"/>
  </r>
  <r>
    <x v="0"/>
    <x v="0"/>
    <x v="16"/>
    <x v="0"/>
    <n v="83.05"/>
  </r>
  <r>
    <x v="0"/>
    <x v="0"/>
    <x v="16"/>
    <x v="1"/>
    <n v="96.5"/>
  </r>
  <r>
    <x v="1"/>
    <x v="1"/>
    <x v="0"/>
    <x v="0"/>
    <n v="47.09"/>
  </r>
  <r>
    <x v="1"/>
    <x v="1"/>
    <x v="0"/>
    <x v="1"/>
    <n v="126.13"/>
  </r>
  <r>
    <x v="1"/>
    <x v="1"/>
    <x v="1"/>
    <x v="0"/>
    <n v="35"/>
  </r>
  <r>
    <x v="1"/>
    <x v="1"/>
    <x v="2"/>
    <x v="0"/>
    <n v="100.77"/>
  </r>
  <r>
    <x v="1"/>
    <x v="1"/>
    <x v="3"/>
    <x v="0"/>
    <n v="101.65"/>
  </r>
  <r>
    <x v="1"/>
    <x v="1"/>
    <x v="3"/>
    <x v="2"/>
    <n v="98.12"/>
  </r>
  <r>
    <x v="1"/>
    <x v="1"/>
    <x v="3"/>
    <x v="1"/>
    <n v="134.47999999999999"/>
  </r>
  <r>
    <x v="1"/>
    <x v="1"/>
    <x v="4"/>
    <x v="0"/>
    <n v="45.752499999999998"/>
  </r>
  <r>
    <x v="1"/>
    <x v="1"/>
    <x v="4"/>
    <x v="1"/>
    <n v="129.65"/>
  </r>
  <r>
    <x v="1"/>
    <x v="1"/>
    <x v="5"/>
    <x v="3"/>
    <n v="3.4"/>
  </r>
  <r>
    <x v="1"/>
    <x v="1"/>
    <x v="6"/>
    <x v="3"/>
    <n v="0.9"/>
  </r>
  <r>
    <x v="1"/>
    <x v="1"/>
    <x v="7"/>
    <x v="0"/>
    <n v="120.27"/>
  </r>
  <r>
    <x v="1"/>
    <x v="1"/>
    <x v="7"/>
    <x v="1"/>
    <n v="3.6"/>
  </r>
  <r>
    <x v="1"/>
    <x v="1"/>
    <x v="8"/>
    <x v="0"/>
    <n v="59.01863095238096"/>
  </r>
  <r>
    <x v="1"/>
    <x v="1"/>
    <x v="8"/>
    <x v="1"/>
    <n v="81.510000000000005"/>
  </r>
  <r>
    <x v="1"/>
    <x v="1"/>
    <x v="9"/>
    <x v="0"/>
    <n v="79.930000000000007"/>
  </r>
  <r>
    <x v="1"/>
    <x v="1"/>
    <x v="9"/>
    <x v="1"/>
    <n v="0.98"/>
  </r>
  <r>
    <x v="1"/>
    <x v="1"/>
    <x v="10"/>
    <x v="1"/>
    <n v="78.83"/>
  </r>
  <r>
    <x v="1"/>
    <x v="1"/>
    <x v="11"/>
    <x v="0"/>
    <n v="98.64"/>
  </r>
  <r>
    <x v="1"/>
    <x v="1"/>
    <x v="11"/>
    <x v="2"/>
    <n v="97.16"/>
  </r>
  <r>
    <x v="1"/>
    <x v="1"/>
    <x v="11"/>
    <x v="1"/>
    <n v="118.383"/>
  </r>
  <r>
    <x v="1"/>
    <x v="1"/>
    <x v="12"/>
    <x v="0"/>
    <n v="100.77"/>
  </r>
  <r>
    <x v="1"/>
    <x v="1"/>
    <x v="12"/>
    <x v="1"/>
    <n v="122.48"/>
  </r>
  <r>
    <x v="1"/>
    <x v="1"/>
    <x v="13"/>
    <x v="1"/>
    <n v="123"/>
  </r>
  <r>
    <x v="1"/>
    <x v="1"/>
    <x v="14"/>
    <x v="2"/>
    <m/>
  </r>
  <r>
    <x v="1"/>
    <x v="1"/>
    <x v="14"/>
    <x v="1"/>
    <n v="0"/>
  </r>
  <r>
    <x v="1"/>
    <x v="1"/>
    <x v="15"/>
    <x v="3"/>
    <n v="3470"/>
  </r>
  <r>
    <x v="1"/>
    <x v="1"/>
    <x v="16"/>
    <x v="0"/>
    <n v="83.05"/>
  </r>
  <r>
    <x v="1"/>
    <x v="1"/>
    <x v="16"/>
    <x v="1"/>
    <n v="89.63"/>
  </r>
  <r>
    <x v="2"/>
    <x v="1"/>
    <x v="3"/>
    <x v="4"/>
    <n v="-1.556351194E-2"/>
  </r>
  <r>
    <x v="2"/>
    <x v="1"/>
    <x v="17"/>
    <x v="4"/>
    <n v="0.01"/>
  </r>
  <r>
    <x v="2"/>
    <x v="1"/>
    <x v="11"/>
    <x v="4"/>
    <n v="4.5776239147999999E-3"/>
  </r>
  <r>
    <x v="2"/>
    <x v="1"/>
    <x v="16"/>
    <x v="4"/>
    <n v="2"/>
  </r>
  <r>
    <x v="2"/>
    <x v="1"/>
    <x v="18"/>
    <x v="4"/>
    <n v="0.14299109235999999"/>
  </r>
  <r>
    <x v="2"/>
    <x v="2"/>
    <x v="0"/>
    <x v="5"/>
    <n v="6.9000000000000006E-2"/>
  </r>
  <r>
    <x v="2"/>
    <x v="2"/>
    <x v="0"/>
    <x v="0"/>
    <n v="35.4"/>
  </r>
  <r>
    <x v="2"/>
    <x v="2"/>
    <x v="0"/>
    <x v="1"/>
    <n v="126.13"/>
  </r>
  <r>
    <x v="2"/>
    <x v="2"/>
    <x v="1"/>
    <x v="5"/>
    <n v="0.7"/>
  </r>
  <r>
    <x v="2"/>
    <x v="2"/>
    <x v="1"/>
    <x v="0"/>
    <n v="50"/>
  </r>
  <r>
    <x v="2"/>
    <x v="2"/>
    <x v="2"/>
    <x v="0"/>
    <n v="100.14"/>
  </r>
  <r>
    <x v="2"/>
    <x v="2"/>
    <x v="3"/>
    <x v="0"/>
    <n v="100.74"/>
  </r>
  <r>
    <x v="2"/>
    <x v="2"/>
    <x v="3"/>
    <x v="2"/>
    <n v="96.27"/>
  </r>
  <r>
    <x v="2"/>
    <x v="2"/>
    <x v="3"/>
    <x v="1"/>
    <n v="134.47999999999999"/>
  </r>
  <r>
    <x v="2"/>
    <x v="2"/>
    <x v="3"/>
    <x v="4"/>
    <n v="4.4104026435999996E-3"/>
  </r>
  <r>
    <x v="2"/>
    <x v="2"/>
    <x v="4"/>
    <x v="0"/>
    <n v="29.165339245815588"/>
  </r>
  <r>
    <x v="2"/>
    <x v="2"/>
    <x v="4"/>
    <x v="1"/>
    <n v="129.65"/>
  </r>
  <r>
    <x v="2"/>
    <x v="2"/>
    <x v="5"/>
    <x v="3"/>
    <n v="3.4"/>
  </r>
  <r>
    <x v="2"/>
    <x v="2"/>
    <x v="6"/>
    <x v="3"/>
    <n v="0.9"/>
  </r>
  <r>
    <x v="2"/>
    <x v="2"/>
    <x v="17"/>
    <x v="4"/>
    <n v="0.01"/>
  </r>
  <r>
    <x v="2"/>
    <x v="2"/>
    <x v="7"/>
    <x v="0"/>
    <n v="109.31"/>
  </r>
  <r>
    <x v="2"/>
    <x v="2"/>
    <x v="7"/>
    <x v="1"/>
    <n v="3.6"/>
  </r>
  <r>
    <x v="2"/>
    <x v="2"/>
    <x v="8"/>
    <x v="5"/>
    <n v="0.10100000000000001"/>
  </r>
  <r>
    <x v="2"/>
    <x v="2"/>
    <x v="8"/>
    <x v="0"/>
    <n v="57.76"/>
  </r>
  <r>
    <x v="2"/>
    <x v="2"/>
    <x v="8"/>
    <x v="1"/>
    <n v="81.510000000000005"/>
  </r>
  <r>
    <x v="2"/>
    <x v="2"/>
    <x v="9"/>
    <x v="0"/>
    <n v="79.98"/>
  </r>
  <r>
    <x v="2"/>
    <x v="2"/>
    <x v="9"/>
    <x v="1"/>
    <n v="0.98"/>
  </r>
  <r>
    <x v="2"/>
    <x v="2"/>
    <x v="10"/>
    <x v="1"/>
    <n v="78.83"/>
  </r>
  <r>
    <x v="2"/>
    <x v="2"/>
    <x v="11"/>
    <x v="0"/>
    <n v="100.14"/>
  </r>
  <r>
    <x v="2"/>
    <x v="2"/>
    <x v="11"/>
    <x v="2"/>
    <n v="95.61"/>
  </r>
  <r>
    <x v="2"/>
    <x v="2"/>
    <x v="11"/>
    <x v="1"/>
    <n v="122.48"/>
  </r>
  <r>
    <x v="2"/>
    <x v="2"/>
    <x v="11"/>
    <x v="4"/>
    <n v="4.8945290938999996E-3"/>
  </r>
  <r>
    <x v="2"/>
    <x v="2"/>
    <x v="12"/>
    <x v="0"/>
    <n v="100.14"/>
  </r>
  <r>
    <x v="2"/>
    <x v="2"/>
    <x v="12"/>
    <x v="1"/>
    <n v="122.48"/>
  </r>
  <r>
    <x v="2"/>
    <x v="2"/>
    <x v="13"/>
    <x v="1"/>
    <n v="120"/>
  </r>
  <r>
    <x v="2"/>
    <x v="2"/>
    <x v="14"/>
    <x v="2"/>
    <n v="90.8"/>
  </r>
  <r>
    <x v="2"/>
    <x v="2"/>
    <x v="14"/>
    <x v="1"/>
    <n v="126.37"/>
  </r>
  <r>
    <x v="2"/>
    <x v="2"/>
    <x v="15"/>
    <x v="3"/>
    <n v="3621"/>
  </r>
  <r>
    <x v="2"/>
    <x v="2"/>
    <x v="16"/>
    <x v="0"/>
    <n v="80.88"/>
  </r>
  <r>
    <x v="2"/>
    <x v="2"/>
    <x v="16"/>
    <x v="1"/>
    <n v="89.63"/>
  </r>
  <r>
    <x v="2"/>
    <x v="2"/>
    <x v="16"/>
    <x v="4"/>
    <n v="1"/>
  </r>
  <r>
    <x v="2"/>
    <x v="2"/>
    <x v="18"/>
    <x v="4"/>
    <n v="6.5668580803999996E-2"/>
  </r>
  <r>
    <x v="2"/>
    <x v="2"/>
    <x v="19"/>
    <x v="5"/>
    <n v="3.5000000000000003E-2"/>
  </r>
  <r>
    <x v="3"/>
    <x v="2"/>
    <x v="0"/>
    <x v="5"/>
    <n v="8.5999999999999993E-2"/>
  </r>
  <r>
    <x v="3"/>
    <x v="2"/>
    <x v="0"/>
    <x v="0"/>
    <n v="32.596249999999998"/>
  </r>
  <r>
    <x v="3"/>
    <x v="2"/>
    <x v="1"/>
    <x v="5"/>
    <n v="0.67500000000000004"/>
  </r>
  <r>
    <x v="3"/>
    <x v="2"/>
    <x v="1"/>
    <x v="0"/>
    <n v="49"/>
  </r>
  <r>
    <x v="3"/>
    <x v="2"/>
    <x v="3"/>
    <x v="4"/>
    <n v="-3.1046501075563837E-2"/>
  </r>
  <r>
    <x v="3"/>
    <x v="2"/>
    <x v="4"/>
    <x v="0"/>
    <n v="33.181249999999999"/>
  </r>
  <r>
    <x v="3"/>
    <x v="2"/>
    <x v="17"/>
    <x v="4"/>
    <n v="0.5"/>
  </r>
  <r>
    <x v="3"/>
    <x v="2"/>
    <x v="8"/>
    <x v="5"/>
    <n v="0.10100000000000001"/>
  </r>
  <r>
    <x v="3"/>
    <x v="2"/>
    <x v="8"/>
    <x v="0"/>
    <n v="52.83"/>
  </r>
  <r>
    <x v="3"/>
    <x v="2"/>
    <x v="11"/>
    <x v="4"/>
    <n v="-0.106"/>
  </r>
  <r>
    <x v="3"/>
    <x v="2"/>
    <x v="15"/>
    <x v="3"/>
    <n v="3021.0776345659137"/>
  </r>
  <r>
    <x v="3"/>
    <x v="2"/>
    <x v="16"/>
    <x v="4"/>
    <n v="1"/>
  </r>
  <r>
    <x v="3"/>
    <x v="2"/>
    <x v="18"/>
    <x v="4"/>
    <n v="0.1"/>
  </r>
  <r>
    <x v="3"/>
    <x v="2"/>
    <x v="19"/>
    <x v="5"/>
    <n v="4.2000000000000003E-2"/>
  </r>
  <r>
    <x v="3"/>
    <x v="3"/>
    <x v="0"/>
    <x v="5"/>
    <n v="9.6000000000000002E-2"/>
  </r>
  <r>
    <x v="3"/>
    <x v="3"/>
    <x v="0"/>
    <x v="0"/>
    <n v="26.5"/>
  </r>
  <r>
    <x v="3"/>
    <x v="3"/>
    <x v="0"/>
    <x v="1"/>
    <n v="126.13"/>
  </r>
  <r>
    <x v="3"/>
    <x v="3"/>
    <x v="1"/>
    <x v="5"/>
    <n v="0.75"/>
  </r>
  <r>
    <x v="3"/>
    <x v="3"/>
    <x v="1"/>
    <x v="0"/>
    <n v="49"/>
  </r>
  <r>
    <x v="3"/>
    <x v="3"/>
    <x v="2"/>
    <x v="0"/>
    <n v="100.14"/>
  </r>
  <r>
    <x v="3"/>
    <x v="3"/>
    <x v="3"/>
    <x v="0"/>
    <n v="100.74"/>
  </r>
  <r>
    <x v="3"/>
    <x v="3"/>
    <x v="3"/>
    <x v="2"/>
    <n v="95.29"/>
  </r>
  <r>
    <x v="3"/>
    <x v="3"/>
    <x v="3"/>
    <x v="1"/>
    <n v="134.47999999999999"/>
  </r>
  <r>
    <x v="3"/>
    <x v="3"/>
    <x v="3"/>
    <x v="4"/>
    <n v="4.6262661114707893E-2"/>
  </r>
  <r>
    <x v="3"/>
    <x v="3"/>
    <x v="4"/>
    <x v="0"/>
    <n v="27.2"/>
  </r>
  <r>
    <x v="3"/>
    <x v="3"/>
    <x v="4"/>
    <x v="1"/>
    <n v="129.65"/>
  </r>
  <r>
    <x v="3"/>
    <x v="3"/>
    <x v="5"/>
    <x v="3"/>
    <n v="3.4"/>
  </r>
  <r>
    <x v="3"/>
    <x v="3"/>
    <x v="6"/>
    <x v="3"/>
    <n v="0.9"/>
  </r>
  <r>
    <x v="3"/>
    <x v="3"/>
    <x v="17"/>
    <x v="4"/>
    <n v="0.75"/>
  </r>
  <r>
    <x v="3"/>
    <x v="3"/>
    <x v="7"/>
    <x v="0"/>
    <n v="107.92"/>
  </r>
  <r>
    <x v="3"/>
    <x v="3"/>
    <x v="7"/>
    <x v="1"/>
    <n v="3.6"/>
  </r>
  <r>
    <x v="3"/>
    <x v="3"/>
    <x v="8"/>
    <x v="5"/>
    <n v="0.10100000000000001"/>
  </r>
  <r>
    <x v="3"/>
    <x v="3"/>
    <x v="8"/>
    <x v="0"/>
    <n v="47.5"/>
  </r>
  <r>
    <x v="3"/>
    <x v="3"/>
    <x v="8"/>
    <x v="1"/>
    <n v="81.510000000000005"/>
  </r>
  <r>
    <x v="3"/>
    <x v="3"/>
    <x v="9"/>
    <x v="0"/>
    <n v="79.98"/>
  </r>
  <r>
    <x v="3"/>
    <x v="3"/>
    <x v="9"/>
    <x v="1"/>
    <n v="105.5"/>
  </r>
  <r>
    <x v="3"/>
    <x v="3"/>
    <x v="10"/>
    <x v="1"/>
    <n v="78.83"/>
  </r>
  <r>
    <x v="3"/>
    <x v="3"/>
    <x v="11"/>
    <x v="0"/>
    <n v="100.14"/>
  </r>
  <r>
    <x v="3"/>
    <x v="3"/>
    <x v="11"/>
    <x v="2"/>
    <n v="94.63"/>
  </r>
  <r>
    <x v="3"/>
    <x v="3"/>
    <x v="11"/>
    <x v="1"/>
    <n v="122.48"/>
  </r>
  <r>
    <x v="3"/>
    <x v="3"/>
    <x v="11"/>
    <x v="4"/>
    <n v="0.10299999999999999"/>
  </r>
  <r>
    <x v="3"/>
    <x v="3"/>
    <x v="12"/>
    <x v="0"/>
    <n v="98.16"/>
  </r>
  <r>
    <x v="3"/>
    <x v="3"/>
    <x v="12"/>
    <x v="1"/>
    <n v="122.48"/>
  </r>
  <r>
    <x v="3"/>
    <x v="3"/>
    <x v="13"/>
    <x v="1"/>
    <n v="120"/>
  </r>
  <r>
    <x v="3"/>
    <x v="3"/>
    <x v="14"/>
    <x v="2"/>
    <n v="90.8"/>
  </r>
  <r>
    <x v="3"/>
    <x v="3"/>
    <x v="14"/>
    <x v="1"/>
    <n v="126.37"/>
  </r>
  <r>
    <x v="3"/>
    <x v="3"/>
    <x v="15"/>
    <x v="3"/>
    <n v="3506.0776345659137"/>
  </r>
  <r>
    <x v="3"/>
    <x v="3"/>
    <x v="16"/>
    <x v="0"/>
    <n v="80.88"/>
  </r>
  <r>
    <x v="3"/>
    <x v="3"/>
    <x v="16"/>
    <x v="1"/>
    <n v="89.63"/>
  </r>
  <r>
    <x v="3"/>
    <x v="3"/>
    <x v="16"/>
    <x v="4"/>
    <n v="0.7"/>
  </r>
  <r>
    <x v="3"/>
    <x v="3"/>
    <x v="18"/>
    <x v="4"/>
    <n v="7.0000000000000007E-2"/>
  </r>
  <r>
    <x v="3"/>
    <x v="3"/>
    <x v="19"/>
    <x v="5"/>
    <n v="7.2999999999999995E-2"/>
  </r>
  <r>
    <x v="4"/>
    <x v="3"/>
    <x v="0"/>
    <x v="5"/>
    <n v="9.8000000000000004E-2"/>
  </r>
  <r>
    <x v="4"/>
    <x v="3"/>
    <x v="0"/>
    <x v="0"/>
    <n v="36"/>
  </r>
  <r>
    <x v="4"/>
    <x v="3"/>
    <x v="1"/>
    <x v="5"/>
    <n v="0.875"/>
  </r>
  <r>
    <x v="4"/>
    <x v="3"/>
    <x v="1"/>
    <x v="0"/>
    <n v="49"/>
  </r>
  <r>
    <x v="4"/>
    <x v="3"/>
    <x v="3"/>
    <x v="4"/>
    <m/>
  </r>
  <r>
    <x v="4"/>
    <x v="3"/>
    <x v="4"/>
    <x v="0"/>
    <n v="36"/>
  </r>
  <r>
    <x v="4"/>
    <x v="3"/>
    <x v="17"/>
    <x v="4"/>
    <n v="0.5"/>
  </r>
  <r>
    <x v="4"/>
    <x v="3"/>
    <x v="8"/>
    <x v="5"/>
    <n v="0.10100000000000001"/>
  </r>
  <r>
    <x v="4"/>
    <x v="3"/>
    <x v="8"/>
    <x v="0"/>
    <n v="49"/>
  </r>
  <r>
    <x v="4"/>
    <x v="3"/>
    <x v="11"/>
    <x v="4"/>
    <m/>
  </r>
  <r>
    <x v="4"/>
    <x v="3"/>
    <x v="15"/>
    <x v="3"/>
    <n v="4374.2066983916566"/>
  </r>
  <r>
    <x v="4"/>
    <x v="3"/>
    <x v="16"/>
    <x v="4"/>
    <n v="0.5"/>
  </r>
  <r>
    <x v="4"/>
    <x v="3"/>
    <x v="18"/>
    <x v="4"/>
    <n v="0.25"/>
  </r>
  <r>
    <x v="4"/>
    <x v="3"/>
    <x v="19"/>
    <x v="5"/>
    <n v="0.03"/>
  </r>
  <r>
    <x v="4"/>
    <x v="4"/>
    <x v="0"/>
    <x v="5"/>
    <n v="0.105"/>
  </r>
  <r>
    <x v="4"/>
    <x v="4"/>
    <x v="0"/>
    <x v="0"/>
    <n v="31.5"/>
  </r>
  <r>
    <x v="4"/>
    <x v="4"/>
    <x v="0"/>
    <x v="1"/>
    <n v="126.13"/>
  </r>
  <r>
    <x v="4"/>
    <x v="4"/>
    <x v="1"/>
    <x v="5"/>
    <n v="0.9"/>
  </r>
  <r>
    <x v="4"/>
    <x v="4"/>
    <x v="1"/>
    <x v="0"/>
    <n v="49"/>
  </r>
  <r>
    <x v="4"/>
    <x v="4"/>
    <x v="3"/>
    <x v="0"/>
    <n v="100.74"/>
  </r>
  <r>
    <x v="4"/>
    <x v="4"/>
    <x v="3"/>
    <x v="2"/>
    <n v="93.81"/>
  </r>
  <r>
    <x v="4"/>
    <x v="4"/>
    <x v="3"/>
    <x v="1"/>
    <n v="134.47999999999999"/>
  </r>
  <r>
    <x v="4"/>
    <x v="4"/>
    <x v="3"/>
    <x v="4"/>
    <m/>
  </r>
  <r>
    <x v="4"/>
    <x v="4"/>
    <x v="4"/>
    <x v="0"/>
    <n v="33.25"/>
  </r>
  <r>
    <x v="4"/>
    <x v="4"/>
    <x v="4"/>
    <x v="1"/>
    <n v="129.65"/>
  </r>
  <r>
    <x v="4"/>
    <x v="4"/>
    <x v="5"/>
    <x v="3"/>
    <n v="3.4"/>
  </r>
  <r>
    <x v="4"/>
    <x v="4"/>
    <x v="6"/>
    <x v="3"/>
    <n v="0.9"/>
  </r>
  <r>
    <x v="4"/>
    <x v="4"/>
    <x v="17"/>
    <x v="4"/>
    <n v="0.65"/>
  </r>
  <r>
    <x v="4"/>
    <x v="4"/>
    <x v="7"/>
    <x v="0"/>
    <n v="63.47"/>
  </r>
  <r>
    <x v="4"/>
    <x v="4"/>
    <x v="7"/>
    <x v="1"/>
    <n v="3.6"/>
  </r>
  <r>
    <x v="4"/>
    <x v="4"/>
    <x v="8"/>
    <x v="5"/>
    <n v="0.10100000000000001"/>
  </r>
  <r>
    <x v="4"/>
    <x v="4"/>
    <x v="8"/>
    <x v="0"/>
    <n v="46.5"/>
  </r>
  <r>
    <x v="4"/>
    <x v="4"/>
    <x v="8"/>
    <x v="1"/>
    <n v="81.510000000000005"/>
  </r>
  <r>
    <x v="4"/>
    <x v="4"/>
    <x v="9"/>
    <x v="0"/>
    <n v="79.98"/>
  </r>
  <r>
    <x v="4"/>
    <x v="4"/>
    <x v="9"/>
    <x v="1"/>
    <n v="105.5"/>
  </r>
  <r>
    <x v="4"/>
    <x v="4"/>
    <x v="10"/>
    <x v="1"/>
    <n v="78.83"/>
  </r>
  <r>
    <x v="4"/>
    <x v="4"/>
    <x v="11"/>
    <x v="0"/>
    <n v="100.14"/>
  </r>
  <r>
    <x v="4"/>
    <x v="4"/>
    <x v="11"/>
    <x v="2"/>
    <n v="93.51"/>
  </r>
  <r>
    <x v="4"/>
    <x v="4"/>
    <x v="11"/>
    <x v="1"/>
    <n v="122.48"/>
  </r>
  <r>
    <x v="4"/>
    <x v="4"/>
    <x v="11"/>
    <x v="4"/>
    <m/>
  </r>
  <r>
    <x v="4"/>
    <x v="4"/>
    <x v="12"/>
    <x v="0"/>
    <n v="98.06"/>
  </r>
  <r>
    <x v="4"/>
    <x v="4"/>
    <x v="12"/>
    <x v="1"/>
    <n v="122.48"/>
  </r>
  <r>
    <x v="4"/>
    <x v="4"/>
    <x v="13"/>
    <x v="1"/>
    <n v="120"/>
  </r>
  <r>
    <x v="4"/>
    <x v="4"/>
    <x v="14"/>
    <x v="2"/>
    <n v="90.8"/>
  </r>
  <r>
    <x v="4"/>
    <x v="4"/>
    <x v="14"/>
    <x v="1"/>
    <n v="126.37"/>
  </r>
  <r>
    <x v="4"/>
    <x v="4"/>
    <x v="15"/>
    <x v="3"/>
    <n v="4474.2066983916566"/>
  </r>
  <r>
    <x v="4"/>
    <x v="4"/>
    <x v="16"/>
    <x v="0"/>
    <n v="80.88"/>
  </r>
  <r>
    <x v="4"/>
    <x v="4"/>
    <x v="16"/>
    <x v="1"/>
    <n v="89.63"/>
  </r>
  <r>
    <x v="4"/>
    <x v="4"/>
    <x v="16"/>
    <x v="4"/>
    <n v="0.7"/>
  </r>
  <r>
    <x v="4"/>
    <x v="4"/>
    <x v="18"/>
    <x v="4"/>
    <n v="0.35"/>
  </r>
  <r>
    <x v="4"/>
    <x v="4"/>
    <x v="19"/>
    <x v="5"/>
    <n v="0.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9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5" indent="0" compact="0" compactData="0" gridDropZones="1" multipleFieldFilters="0" fieldListSortAscending="1">
  <location ref="A2:X67" firstHeaderRow="1" firstDataRow="2" firstDataCol="3"/>
  <pivotFields count="6">
    <pivotField axis="axisRow" compact="0" outline="0" showAll="0" defaultSubtotal="0">
      <items count="6">
        <item x="2"/>
        <item m="1" x="4"/>
        <item x="0"/>
        <item x="1"/>
        <item h="1" x="3"/>
        <item h="1" m="1" x="5"/>
      </items>
    </pivotField>
    <pivotField axis="axisRow" compact="0" outline="0" showAll="0">
      <items count="24">
        <item x="0"/>
        <item x="2"/>
        <item x="1"/>
        <item x="3"/>
        <item x="4"/>
        <item x="5"/>
        <item x="17"/>
        <item x="6"/>
        <item x="7"/>
        <item x="19"/>
        <item x="21"/>
        <item x="8"/>
        <item x="9"/>
        <item x="10"/>
        <item x="11"/>
        <item x="12"/>
        <item x="14"/>
        <item x="15"/>
        <item x="13"/>
        <item x="16"/>
        <item m="1" x="22"/>
        <item x="18"/>
        <item h="1" x="20"/>
        <item t="default"/>
      </items>
    </pivotField>
    <pivotField axis="axisCol" compact="0" outline="0" showAll="0" sortType="ascending">
      <items count="22">
        <item x="0"/>
        <item x="1"/>
        <item x="2"/>
        <item x="3"/>
        <item x="4"/>
        <item x="7"/>
        <item x="8"/>
        <item x="9"/>
        <item x="10"/>
        <item x="11"/>
        <item x="12"/>
        <item x="13"/>
        <item x="14"/>
        <item x="15"/>
        <item x="5"/>
        <item x="6"/>
        <item x="16"/>
        <item x="17"/>
        <item x="18"/>
        <item x="19"/>
        <item x="20"/>
        <item t="default"/>
      </items>
    </pivotField>
    <pivotField dataField="1" compact="0" outline="0" showAll="0"/>
    <pivotField compact="0" outline="0" showAll="0"/>
    <pivotField axis="axisRow" compact="0" outline="0" showAll="0">
      <items count="6">
        <item x="1"/>
        <item x="0"/>
        <item x="3"/>
        <item x="4"/>
        <item x="2"/>
        <item t="default"/>
      </items>
    </pivotField>
  </pivotFields>
  <rowFields count="3">
    <field x="0"/>
    <field x="5"/>
    <field x="1"/>
  </rowFields>
  <rowItems count="64">
    <i>
      <x/>
      <x/>
      <x v="3"/>
    </i>
    <i r="2">
      <x v="4"/>
    </i>
    <i r="2">
      <x v="5"/>
    </i>
    <i r="2">
      <x v="16"/>
    </i>
    <i r="2">
      <x v="17"/>
    </i>
    <i t="default" r="1">
      <x/>
    </i>
    <i r="1">
      <x v="1"/>
      <x/>
    </i>
    <i r="2">
      <x v="1"/>
    </i>
    <i r="2">
      <x v="2"/>
    </i>
    <i r="2">
      <x v="6"/>
    </i>
    <i r="2">
      <x v="7"/>
    </i>
    <i r="2">
      <x v="8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1"/>
    </i>
    <i t="default" r="1">
      <x v="1"/>
    </i>
    <i>
      <x v="2"/>
      <x/>
      <x v="3"/>
    </i>
    <i r="2">
      <x v="4"/>
    </i>
    <i r="2">
      <x v="5"/>
    </i>
    <i r="2">
      <x v="16"/>
    </i>
    <i r="2">
      <x v="17"/>
    </i>
    <i t="default" r="1">
      <x/>
    </i>
    <i r="1">
      <x v="1"/>
      <x/>
    </i>
    <i r="2">
      <x v="1"/>
    </i>
    <i r="2">
      <x v="2"/>
    </i>
    <i r="2">
      <x v="6"/>
    </i>
    <i r="2">
      <x v="7"/>
    </i>
    <i r="2">
      <x v="8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1"/>
    </i>
    <i t="default" r="1">
      <x v="1"/>
    </i>
    <i>
      <x v="3"/>
      <x/>
      <x v="3"/>
    </i>
    <i r="2">
      <x v="4"/>
    </i>
    <i r="2">
      <x v="5"/>
    </i>
    <i r="2">
      <x v="16"/>
    </i>
    <i r="2">
      <x v="17"/>
    </i>
    <i t="default" r="1">
      <x/>
    </i>
    <i r="1">
      <x v="1"/>
      <x/>
    </i>
    <i r="2">
      <x v="1"/>
    </i>
    <i r="2">
      <x v="2"/>
    </i>
    <i r="2">
      <x v="6"/>
    </i>
    <i r="2">
      <x v="7"/>
    </i>
    <i r="2">
      <x v="8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1"/>
    </i>
    <i t="default" r="1">
      <x v="1"/>
    </i>
  </rowItems>
  <colFields count="1">
    <field x="2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dataFields count="1">
    <dataField name="Sum of quantity" fld="3" baseField="1" baseItem="2" numFmtId="3"/>
  </dataFields>
  <formats count="14">
    <format dxfId="52">
      <pivotArea outline="0" collapsedLevelsAreSubtotals="1" fieldPosition="0"/>
    </format>
    <format dxfId="51">
      <pivotArea dataOnly="0" labelOnly="1" outline="0" fieldPosition="0">
        <references count="1">
          <reference field="0" count="0"/>
        </references>
      </pivotArea>
    </format>
    <format dxfId="50">
      <pivotArea dataOnly="0" labelOnly="1" outline="0" fieldPosition="0">
        <references count="2">
          <reference field="0" count="1" selected="0">
            <x v="0"/>
          </reference>
          <reference field="5" count="2">
            <x v="0"/>
            <x v="1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0"/>
          </reference>
          <reference field="5" count="2" defaultSubtotal="1">
            <x v="0"/>
            <x v="1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2"/>
          </reference>
          <reference field="5" count="2">
            <x v="0"/>
            <x v="1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2"/>
          </reference>
          <reference field="5" count="2" defaultSubtotal="1">
            <x v="0"/>
            <x v="1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3"/>
          </reference>
          <reference field="5" count="2">
            <x v="0"/>
            <x v="1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3"/>
          </reference>
          <reference field="5" count="2" defaultSubtotal="1">
            <x v="0"/>
            <x v="1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0"/>
          </reference>
          <reference field="1" count="5">
            <x v="3"/>
            <x v="4"/>
            <x v="5"/>
            <x v="16"/>
            <x v="17"/>
          </reference>
          <reference field="5" count="1" selected="0">
            <x v="0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0"/>
          </reference>
          <reference field="1" count="14">
            <x v="0"/>
            <x v="1"/>
            <x v="2"/>
            <x v="6"/>
            <x v="7"/>
            <x v="8"/>
            <x v="11"/>
            <x v="12"/>
            <x v="13"/>
            <x v="14"/>
            <x v="15"/>
            <x v="18"/>
            <x v="19"/>
            <x v="21"/>
          </reference>
          <reference field="5" count="1" selected="0">
            <x v="1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2"/>
          </reference>
          <reference field="1" count="5">
            <x v="3"/>
            <x v="4"/>
            <x v="5"/>
            <x v="16"/>
            <x v="17"/>
          </reference>
          <reference field="5" count="1" selected="0">
            <x v="0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2"/>
          </reference>
          <reference field="1" count="15">
            <x v="0"/>
            <x v="1"/>
            <x v="2"/>
            <x v="6"/>
            <x v="7"/>
            <x v="8"/>
            <x v="9"/>
            <x v="11"/>
            <x v="12"/>
            <x v="13"/>
            <x v="14"/>
            <x v="15"/>
            <x v="18"/>
            <x v="19"/>
            <x v="21"/>
          </reference>
          <reference field="5" count="1" selected="0">
            <x v="1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3"/>
          </reference>
          <reference field="1" count="5">
            <x v="3"/>
            <x v="4"/>
            <x v="5"/>
            <x v="16"/>
            <x v="17"/>
          </reference>
          <reference field="5" count="1" selected="0">
            <x v="0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3"/>
          </reference>
          <reference field="1" count="14">
            <x v="0"/>
            <x v="1"/>
            <x v="2"/>
            <x v="6"/>
            <x v="7"/>
            <x v="8"/>
            <x v="11"/>
            <x v="12"/>
            <x v="13"/>
            <x v="14"/>
            <x v="15"/>
            <x v="18"/>
            <x v="19"/>
            <x v="21"/>
          </reference>
          <reference field="5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5" indent="0" compact="0" compactData="0" gridDropZones="1" multipleFieldFilters="0" fieldListSortAscending="1">
  <location ref="A4:W8" firstHeaderRow="1" firstDataRow="2" firstDataCol="3"/>
  <pivotFields count="6">
    <pivotField axis="axisRow" compact="0" outline="0" showAll="0" defaultSubtotal="0">
      <items count="6">
        <item h="1" x="0"/>
        <item h="1" m="1" x="4"/>
        <item h="1" x="2"/>
        <item h="1" x="3"/>
        <item x="1"/>
        <item h="1" m="1" x="5"/>
      </items>
    </pivotField>
    <pivotField axis="axisRow" compact="0" outline="0" showAll="0">
      <items count="23">
        <item x="8"/>
        <item x="9"/>
        <item x="7"/>
        <item x="10"/>
        <item x="11"/>
        <item x="12"/>
        <item x="4"/>
        <item x="13"/>
        <item x="14"/>
        <item x="20"/>
        <item x="6"/>
        <item x="15"/>
        <item x="16"/>
        <item x="17"/>
        <item x="18"/>
        <item x="19"/>
        <item x="1"/>
        <item x="2"/>
        <item x="0"/>
        <item x="3"/>
        <item m="1" x="21"/>
        <item x="5"/>
        <item t="default"/>
      </items>
    </pivotField>
    <pivotField axis="axisCol" compact="0" outline="0" showAll="0" sortType="ascending">
      <items count="21">
        <item x="0"/>
        <item x="1"/>
        <item x="2"/>
        <item x="3"/>
        <item x="4"/>
        <item x="5"/>
        <item x="6"/>
        <item x="15"/>
        <item x="16"/>
        <item x="7"/>
        <item x="8"/>
        <item x="9"/>
        <item x="10"/>
        <item x="11"/>
        <item x="17"/>
        <item x="18"/>
        <item x="19"/>
        <item x="12"/>
        <item x="13"/>
        <item x="14"/>
        <item t="default"/>
      </items>
    </pivotField>
    <pivotField dataField="1" compact="0" outline="0" showAll="0"/>
    <pivotField compact="0" outline="0" showAll="0"/>
    <pivotField axis="axisRow" compact="0" outline="0" showAll="0" defaultSubtotal="0">
      <items count="5">
        <item x="1"/>
        <item x="0"/>
        <item x="2"/>
        <item x="3"/>
        <item x="4"/>
      </items>
    </pivotField>
  </pivotFields>
  <rowFields count="3">
    <field x="0"/>
    <field x="5"/>
    <field x="1"/>
  </rowFields>
  <rowItems count="3">
    <i>
      <x v="4"/>
      <x v="2"/>
      <x v="10"/>
    </i>
    <i r="1">
      <x v="3"/>
      <x v="2"/>
    </i>
    <i r="1">
      <x v="4"/>
      <x v="6"/>
    </i>
  </rowItems>
  <colFields count="1">
    <field x="2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dataFields count="1">
    <dataField name="Sum of quantity" fld="3" baseField="1" baseItem="2" numFmtId="3"/>
  </dataFields>
  <formats count="39">
    <format dxfId="38">
      <pivotArea outline="0" fieldPosition="0">
        <references count="2">
          <reference field="0" count="1" selected="0">
            <x v="4"/>
          </reference>
          <reference field="5" count="3" selected="0" defaultSubtotal="1">
            <x v="2"/>
            <x v="3"/>
            <x v="4"/>
          </reference>
        </references>
      </pivotArea>
    </format>
    <format dxfId="37">
      <pivotArea outline="0" fieldPosition="0">
        <references count="3">
          <reference field="0" count="1" selected="0">
            <x v="0"/>
          </reference>
          <reference field="1" count="16" selected="0">
            <x v="0"/>
            <x v="1"/>
            <x v="2"/>
            <x v="3"/>
            <x v="4"/>
            <x v="5"/>
            <x v="6"/>
            <x v="7"/>
            <x v="8"/>
            <x v="11"/>
            <x v="12"/>
            <x v="13"/>
            <x v="14"/>
            <x v="15"/>
            <x v="16"/>
            <x v="17"/>
          </reference>
          <reference field="5" count="2" selected="0">
            <x v="0"/>
            <x v="1"/>
          </reference>
        </references>
      </pivotArea>
    </format>
    <format dxfId="36">
      <pivotArea dataOnly="0" labelOnly="1" outline="0" fieldPosition="0">
        <references count="1">
          <reference field="0" count="1">
            <x v="0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0"/>
          </reference>
          <reference field="5" count="2">
            <x v="0"/>
            <x v="1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0"/>
          </reference>
          <reference field="1" count="5">
            <x v="3"/>
            <x v="4"/>
            <x v="5"/>
            <x v="16"/>
            <x v="17"/>
          </reference>
          <reference field="5" count="1" selected="0">
            <x v="0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0"/>
          </reference>
          <reference field="1" count="11">
            <x v="0"/>
            <x v="1"/>
            <x v="2"/>
            <x v="6"/>
            <x v="7"/>
            <x v="8"/>
            <x v="11"/>
            <x v="12"/>
            <x v="13"/>
            <x v="14"/>
            <x v="15"/>
          </reference>
          <reference field="5" count="1" selected="0">
            <x v="1"/>
          </reference>
        </references>
      </pivotArea>
    </format>
    <format dxfId="32">
      <pivotArea outline="0" fieldPosition="0">
        <references count="3">
          <reference field="0" count="1" selected="0">
            <x v="2"/>
          </reference>
          <reference field="1" count="18" selected="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9"/>
          </reference>
          <reference field="5" count="2" selected="0">
            <x v="0"/>
            <x v="1"/>
          </reference>
        </references>
      </pivotArea>
    </format>
    <format dxfId="31">
      <pivotArea dataOnly="0" labelOnly="1" outline="0" fieldPosition="0">
        <references count="1">
          <reference field="0" count="1">
            <x v="2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2"/>
          </reference>
          <reference field="5" count="2">
            <x v="0"/>
            <x v="1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2"/>
          </reference>
          <reference field="1" count="6">
            <x v="3"/>
            <x v="4"/>
            <x v="5"/>
            <x v="6"/>
            <x v="16"/>
            <x v="17"/>
          </reference>
          <reference field="5" count="1" selected="0">
            <x v="0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2"/>
          </reference>
          <reference field="1" count="12">
            <x v="0"/>
            <x v="1"/>
            <x v="2"/>
            <x v="7"/>
            <x v="8"/>
            <x v="9"/>
            <x v="11"/>
            <x v="12"/>
            <x v="13"/>
            <x v="14"/>
            <x v="15"/>
            <x v="19"/>
          </reference>
          <reference field="5" count="1" selected="0">
            <x v="1"/>
          </reference>
        </references>
      </pivotArea>
    </format>
    <format dxfId="27">
      <pivotArea outline="0" fieldPosition="0">
        <references count="3">
          <reference field="0" count="1" selected="0">
            <x v="3"/>
          </reference>
          <reference field="1" count="17" selected="0">
            <x v="0"/>
            <x v="1"/>
            <x v="2"/>
            <x v="3"/>
            <x v="4"/>
            <x v="5"/>
            <x v="6"/>
            <x v="7"/>
            <x v="8"/>
            <x v="11"/>
            <x v="12"/>
            <x v="13"/>
            <x v="14"/>
            <x v="15"/>
            <x v="16"/>
            <x v="17"/>
            <x v="19"/>
          </reference>
          <reference field="5" count="2" selected="0">
            <x v="0"/>
            <x v="1"/>
          </reference>
        </references>
      </pivotArea>
    </format>
    <format dxfId="26">
      <pivotArea dataOnly="0" labelOnly="1" outline="0" fieldPosition="0">
        <references count="1">
          <reference field="0" count="1">
            <x v="3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3"/>
          </reference>
          <reference field="5" count="2">
            <x v="0"/>
            <x v="1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3"/>
          </reference>
          <reference field="1" count="6">
            <x v="3"/>
            <x v="4"/>
            <x v="5"/>
            <x v="6"/>
            <x v="16"/>
            <x v="17"/>
          </reference>
          <reference field="5" count="1" selected="0">
            <x v="0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3"/>
          </reference>
          <reference field="1" count="11">
            <x v="0"/>
            <x v="1"/>
            <x v="2"/>
            <x v="7"/>
            <x v="8"/>
            <x v="11"/>
            <x v="12"/>
            <x v="13"/>
            <x v="14"/>
            <x v="15"/>
            <x v="19"/>
          </reference>
          <reference field="5" count="1" selected="0">
            <x v="1"/>
          </reference>
        </references>
      </pivotArea>
    </format>
    <format dxfId="22">
      <pivotArea outline="0" fieldPosition="0">
        <references count="1">
          <reference field="0" count="1" selected="0">
            <x v="4"/>
          </reference>
        </references>
      </pivotArea>
    </format>
    <format dxfId="21">
      <pivotArea dataOnly="0" labelOnly="1" outline="0" fieldPosition="0">
        <references count="1">
          <reference field="0" count="1">
            <x v="4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4"/>
          </reference>
          <reference field="5" count="3">
            <x v="2"/>
            <x v="3"/>
            <x v="4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4"/>
          </reference>
          <reference field="1" count="1">
            <x v="2"/>
          </reference>
          <reference field="5" count="1" selected="0">
            <x v="3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4"/>
          </reference>
          <reference field="1" count="1">
            <x v="6"/>
          </reference>
          <reference field="5" count="1" selected="0">
            <x v="4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4"/>
          </reference>
          <reference field="1" count="1">
            <x v="10"/>
          </reference>
          <reference field="5" count="1" selected="0">
            <x v="2"/>
          </reference>
        </references>
      </pivotArea>
    </format>
    <format dxfId="16">
      <pivotArea outline="0" fieldPosition="0">
        <references count="3">
          <reference field="0" count="1" selected="0">
            <x v="3"/>
          </reference>
          <reference field="1" count="1" selected="0">
            <x v="18"/>
          </reference>
          <reference field="5" count="1" selected="0">
            <x v="1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3"/>
          </reference>
          <reference field="1" count="1">
            <x v="18"/>
          </reference>
          <reference field="5" count="1" selected="0">
            <x v="1"/>
          </reference>
        </references>
      </pivotArea>
    </format>
    <format dxfId="14">
      <pivotArea outline="0" fieldPosition="0">
        <references count="3">
          <reference field="0" count="1" selected="0">
            <x v="2"/>
          </reference>
          <reference field="1" count="1" selected="0">
            <x v="18"/>
          </reference>
          <reference field="5" count="1" selected="0">
            <x v="1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2"/>
          </reference>
          <reference field="1" count="1">
            <x v="18"/>
          </reference>
          <reference field="5" count="1" selected="0">
            <x v="1"/>
          </reference>
        </references>
      </pivotArea>
    </format>
    <format dxfId="12">
      <pivotArea outline="0" fieldPosition="0">
        <references count="3">
          <reference field="0" count="2" selected="0">
            <x v="1"/>
            <x v="5"/>
          </reference>
          <reference field="1" count="5" selected="0">
            <x v="2"/>
            <x v="3"/>
            <x v="5"/>
            <x v="16"/>
            <x v="17"/>
          </reference>
          <reference field="5" count="2" selected="0">
            <x v="0"/>
            <x v="1"/>
          </reference>
        </references>
      </pivotArea>
    </format>
    <format dxfId="11">
      <pivotArea dataOnly="0" labelOnly="1" outline="0" fieldPosition="0">
        <references count="1">
          <reference field="0" count="2">
            <x v="1"/>
            <x v="5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1"/>
          </reference>
          <reference field="5" count="2">
            <x v="0"/>
            <x v="1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5"/>
          </reference>
          <reference field="5" count="2">
            <x v="0"/>
            <x v="1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1"/>
          </reference>
          <reference field="1" count="2">
            <x v="3"/>
            <x v="5"/>
          </reference>
          <reference field="5" count="1" selected="0">
            <x v="0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1"/>
          </reference>
          <reference field="1" count="1">
            <x v="2"/>
          </reference>
          <reference field="5" count="1" selected="0">
            <x v="1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5"/>
          </reference>
          <reference field="1" count="4">
            <x v="3"/>
            <x v="5"/>
            <x v="16"/>
            <x v="17"/>
          </reference>
          <reference field="5" count="1" selected="0">
            <x v="0"/>
          </reference>
        </references>
      </pivotArea>
    </format>
    <format dxfId="5">
      <pivotArea dataOnly="0" labelOnly="1" outline="0" fieldPosition="0">
        <references count="3">
          <reference field="0" count="1" selected="0">
            <x v="5"/>
          </reference>
          <reference field="1" count="1">
            <x v="2"/>
          </reference>
          <reference field="5" count="1" selected="0">
            <x v="1"/>
          </reference>
        </references>
      </pivotArea>
    </format>
    <format dxfId="4">
      <pivotArea outline="0" fieldPosition="0">
        <references count="1">
          <reference field="0" count="1" selected="0">
            <x v="4"/>
          </reference>
        </references>
      </pivotArea>
    </format>
    <format dxfId="3">
      <pivotArea outline="0" fieldPosition="0">
        <references count="3">
          <reference field="0" count="1" selected="0">
            <x v="0"/>
          </reference>
          <reference field="1" count="2" selected="0">
            <x v="18"/>
            <x v="19"/>
          </reference>
          <reference field="5" count="1" selected="0">
            <x v="1"/>
          </reference>
        </references>
      </pivotArea>
    </format>
    <format dxfId="2">
      <pivotArea outline="0" fieldPosition="0">
        <references count="3">
          <reference field="0" count="1" selected="0">
            <x v="0"/>
          </reference>
          <reference field="1" count="1" selected="0">
            <x v="18"/>
          </reference>
          <reference field="5" count="1" selected="0">
            <x v="1"/>
          </reference>
        </references>
      </pivotArea>
    </format>
    <format dxfId="1">
      <pivotArea outline="0" fieldPosition="0">
        <references count="3">
          <reference field="0" count="1" selected="0">
            <x v="0"/>
          </reference>
          <reference field="1" count="2" selected="0">
            <x v="18"/>
            <x v="19"/>
          </reference>
          <reference field="5" count="1" selected="0">
            <x v="1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0"/>
          </reference>
          <reference field="1" count="2">
            <x v="18"/>
            <x v="19"/>
          </reference>
          <reference field="5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67" applyNumberFormats="0" applyBorderFormats="0" applyFontFormats="0" applyPatternFormats="0" applyAlignmentFormats="0" applyWidthHeightFormats="1" dataCaption="Values" updatedVersion="6" minRefreshableVersion="3" itemPrintTitles="1" createdVersion="5" indent="0" compact="0" compactData="0" gridDropZones="1" multipleFieldFilters="0" fieldListSortAscending="1">
  <location ref="A57:E64" firstHeaderRow="2" firstDataRow="2" firstDataCol="4" rowPageCount="2" colPageCount="1"/>
  <pivotFields count="7">
    <pivotField axis="axisPage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</items>
    </pivotField>
    <pivotField axis="axisRow" compact="0" outline="0" showAll="0">
      <items count="98">
        <item x="16"/>
        <item x="44"/>
        <item x="20"/>
        <item x="15"/>
        <item x="23"/>
        <item x="68"/>
        <item x="41"/>
        <item x="27"/>
        <item x="4"/>
        <item x="57"/>
        <item x="5"/>
        <item x="2"/>
        <item x="24"/>
        <item x="47"/>
        <item x="35"/>
        <item x="50"/>
        <item x="9"/>
        <item x="19"/>
        <item x="10"/>
        <item x="71"/>
        <item x="38"/>
        <item x="59"/>
        <item x="13"/>
        <item x="65"/>
        <item x="34"/>
        <item x="39"/>
        <item x="45"/>
        <item x="8"/>
        <item x="64"/>
        <item x="12"/>
        <item x="69"/>
        <item x="37"/>
        <item x="17"/>
        <item x="49"/>
        <item x="3"/>
        <item x="30"/>
        <item x="56"/>
        <item x="63"/>
        <item x="66"/>
        <item x="54"/>
        <item x="25"/>
        <item x="62"/>
        <item x="46"/>
        <item x="31"/>
        <item x="36"/>
        <item x="28"/>
        <item x="0"/>
        <item x="53"/>
        <item x="7"/>
        <item x="14"/>
        <item x="40"/>
        <item x="61"/>
        <item x="1"/>
        <item x="21"/>
        <item x="52"/>
        <item x="58"/>
        <item x="11"/>
        <item x="18"/>
        <item x="70"/>
        <item x="51"/>
        <item x="22"/>
        <item x="33"/>
        <item x="6"/>
        <item x="55"/>
        <item x="29"/>
        <item x="60"/>
        <item x="48"/>
        <item x="32"/>
        <item x="67"/>
        <item x="42"/>
        <item x="43"/>
        <item x="2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t="default"/>
      </items>
    </pivotField>
    <pivotField axis="axisRow" compact="0" outline="0" showAll="0" defaultSubtotal="0">
      <items count="43">
        <item x="14"/>
        <item x="6"/>
        <item x="5"/>
        <item x="7"/>
        <item x="15"/>
        <item x="13"/>
        <item x="4"/>
        <item x="18"/>
        <item x="9"/>
        <item x="20"/>
        <item x="19"/>
        <item x="2"/>
        <item x="12"/>
        <item x="16"/>
        <item x="0"/>
        <item x="21"/>
        <item x="17"/>
        <item x="3"/>
        <item x="10"/>
        <item x="11"/>
        <item x="22"/>
        <item x="1"/>
        <item x="8"/>
        <item m="1" x="42"/>
        <item x="23"/>
        <item x="24"/>
        <item x="25"/>
        <item x="26"/>
        <item m="1" x="40"/>
        <item m="1" x="39"/>
        <item m="1" x="38"/>
        <item x="27"/>
        <item x="28"/>
        <item x="29"/>
        <item x="30"/>
        <item x="31"/>
        <item x="32"/>
        <item m="1" x="41"/>
        <item x="33"/>
        <item x="34"/>
        <item x="35"/>
        <item x="36"/>
        <item x="37"/>
      </items>
    </pivotField>
    <pivotField axis="axisPage" compact="0" outline="0" showAll="0" defaultSubtotal="0">
      <items count="13">
        <item x="1"/>
        <item x="2"/>
        <item x="0"/>
        <item x="3"/>
        <item m="1" x="12"/>
        <item x="6"/>
        <item x="7"/>
        <item x="8"/>
        <item x="9"/>
        <item x="4"/>
        <item x="5"/>
        <item x="10"/>
        <item x="11"/>
      </items>
    </pivotField>
    <pivotField dataField="1" compact="0" outline="0" showAll="0"/>
    <pivotField axis="axisRow" compact="0" outline="0" showAll="0" sortType="ascending" defaultSubtotal="0">
      <items count="146">
        <item x="135"/>
        <item x="61"/>
        <item x="60"/>
        <item x="10"/>
        <item x="103"/>
        <item x="123"/>
        <item x="71"/>
        <item x="58"/>
        <item x="80"/>
        <item x="90"/>
        <item x="20"/>
        <item x="1"/>
        <item x="108"/>
        <item x="8"/>
        <item x="79"/>
        <item x="96"/>
        <item m="1" x="142"/>
        <item x="107"/>
        <item x="78"/>
        <item x="127"/>
        <item x="126"/>
        <item m="1" x="143"/>
        <item x="18"/>
        <item x="23"/>
        <item x="92"/>
        <item x="72"/>
        <item x="124"/>
        <item x="65"/>
        <item x="136"/>
        <item x="100"/>
        <item x="45"/>
        <item x="132"/>
        <item x="88"/>
        <item x="128"/>
        <item x="91"/>
        <item x="70"/>
        <item x="95"/>
        <item x="62"/>
        <item x="9"/>
        <item x="68"/>
        <item x="69"/>
        <item x="120"/>
        <item x="104"/>
        <item x="67"/>
        <item x="119"/>
        <item x="125"/>
        <item x="131"/>
        <item x="81"/>
        <item x="98"/>
        <item x="129"/>
        <item x="19"/>
        <item x="7"/>
        <item x="109"/>
        <item x="116"/>
        <item m="1" x="144"/>
        <item x="21"/>
        <item x="122"/>
        <item x="87"/>
        <item x="22"/>
        <item x="46"/>
        <item x="63"/>
        <item x="73"/>
        <item x="97"/>
        <item x="111"/>
        <item x="114"/>
        <item x="48"/>
        <item x="110"/>
        <item x="4"/>
        <item m="1" x="145"/>
        <item x="121"/>
        <item x="101"/>
        <item x="83"/>
        <item x="24"/>
        <item x="5"/>
        <item x="118"/>
        <item x="102"/>
        <item x="117"/>
        <item x="82"/>
        <item x="75"/>
        <item x="49"/>
        <item x="106"/>
        <item x="89"/>
        <item x="57"/>
        <item m="1" x="141"/>
        <item x="6"/>
        <item x="26"/>
        <item x="11"/>
        <item x="86"/>
        <item x="105"/>
        <item x="16"/>
        <item x="94"/>
        <item x="29"/>
        <item x="33"/>
        <item x="55"/>
        <item x="53"/>
        <item m="1" x="139"/>
        <item x="137"/>
        <item x="74"/>
        <item m="1" x="140"/>
        <item x="36"/>
        <item x="113"/>
        <item x="112"/>
        <item x="44"/>
        <item x="2"/>
        <item x="84"/>
        <item x="59"/>
        <item x="76"/>
        <item x="54"/>
        <item x="134"/>
        <item x="77"/>
        <item x="64"/>
        <item x="41"/>
        <item x="28"/>
        <item x="85"/>
        <item x="115"/>
        <item x="93"/>
        <item x="14"/>
        <item x="34"/>
        <item x="3"/>
        <item x="15"/>
        <item x="0"/>
        <item x="52"/>
        <item x="25"/>
        <item x="42"/>
        <item x="66"/>
        <item x="51"/>
        <item x="17"/>
        <item x="133"/>
        <item x="12"/>
        <item x="13"/>
        <item x="38"/>
        <item x="50"/>
        <item x="35"/>
        <item x="32"/>
        <item x="40"/>
        <item x="39"/>
        <item x="37"/>
        <item x="27"/>
        <item x="31"/>
        <item x="43"/>
        <item x="30"/>
        <item x="47"/>
        <item x="56"/>
        <item x="138"/>
        <item x="130"/>
        <item x="99"/>
      </items>
    </pivotField>
  </pivotFields>
  <rowFields count="4">
    <field x="6"/>
    <field x="3"/>
    <field x="1"/>
    <field x="2"/>
  </rowFields>
  <rowItems count="6">
    <i>
      <x v="19"/>
      <x v="10"/>
      <x v="59"/>
      <x v="23"/>
    </i>
    <i>
      <x v="31"/>
      <x v="19"/>
      <x v="15"/>
      <x v="57"/>
    </i>
    <i>
      <x v="127"/>
      <x v="2"/>
      <x v="80"/>
      <x v="93"/>
    </i>
    <i r="1">
      <x v="21"/>
      <x v="67"/>
      <x v="76"/>
    </i>
    <i>
      <x v="144"/>
      <x v="13"/>
      <x v="78"/>
      <x v="91"/>
    </i>
    <i t="grand">
      <x/>
    </i>
  </rowItems>
  <colItems count="1">
    <i/>
  </colItems>
  <pageFields count="2">
    <pageField fld="0" item="3" hier="-1"/>
    <pageField fld="4" item="8" hier="-1"/>
  </pageFields>
  <dataFields count="1">
    <dataField name="Sum of Total Cap" fld="5" baseField="4" baseItem="2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67" applyNumberFormats="0" applyBorderFormats="0" applyFontFormats="0" applyPatternFormats="0" applyAlignmentFormats="0" applyWidthHeightFormats="1" dataCaption="Values" updatedVersion="6" minRefreshableVersion="3" itemPrintTitles="1" createdVersion="5" indent="0" compact="0" compactData="0" gridDropZones="1" multipleFieldFilters="0" fieldListSortAscending="1">
  <location ref="A81:E88" firstHeaderRow="2" firstDataRow="2" firstDataCol="4" rowPageCount="2" colPageCount="1"/>
  <pivotFields count="7">
    <pivotField axis="axisPage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</items>
    </pivotField>
    <pivotField axis="axisRow" compact="0" outline="0" showAll="0">
      <items count="98">
        <item x="16"/>
        <item x="44"/>
        <item x="20"/>
        <item x="15"/>
        <item x="23"/>
        <item x="68"/>
        <item x="41"/>
        <item x="27"/>
        <item x="4"/>
        <item x="57"/>
        <item x="5"/>
        <item x="2"/>
        <item x="24"/>
        <item x="47"/>
        <item x="35"/>
        <item x="50"/>
        <item x="9"/>
        <item x="19"/>
        <item x="10"/>
        <item x="71"/>
        <item x="38"/>
        <item x="59"/>
        <item x="13"/>
        <item x="65"/>
        <item x="34"/>
        <item x="39"/>
        <item x="45"/>
        <item x="8"/>
        <item x="64"/>
        <item x="12"/>
        <item x="69"/>
        <item x="37"/>
        <item x="17"/>
        <item x="49"/>
        <item x="3"/>
        <item x="30"/>
        <item x="56"/>
        <item x="63"/>
        <item x="66"/>
        <item x="54"/>
        <item x="25"/>
        <item x="62"/>
        <item x="46"/>
        <item x="31"/>
        <item x="36"/>
        <item x="28"/>
        <item x="0"/>
        <item x="53"/>
        <item x="7"/>
        <item x="14"/>
        <item x="40"/>
        <item x="61"/>
        <item x="1"/>
        <item x="21"/>
        <item x="52"/>
        <item x="58"/>
        <item x="11"/>
        <item x="18"/>
        <item x="70"/>
        <item x="51"/>
        <item x="22"/>
        <item x="33"/>
        <item x="6"/>
        <item x="55"/>
        <item x="29"/>
        <item x="60"/>
        <item x="48"/>
        <item x="32"/>
        <item x="67"/>
        <item x="42"/>
        <item x="43"/>
        <item x="2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t="default"/>
      </items>
    </pivotField>
    <pivotField axis="axisRow" compact="0" outline="0" showAll="0" defaultSubtotal="0">
      <items count="43">
        <item x="14"/>
        <item x="6"/>
        <item x="5"/>
        <item x="7"/>
        <item x="15"/>
        <item x="13"/>
        <item x="4"/>
        <item x="18"/>
        <item x="9"/>
        <item x="20"/>
        <item x="19"/>
        <item x="2"/>
        <item x="12"/>
        <item x="16"/>
        <item x="0"/>
        <item x="21"/>
        <item x="17"/>
        <item x="3"/>
        <item x="10"/>
        <item x="11"/>
        <item x="22"/>
        <item x="1"/>
        <item x="8"/>
        <item m="1" x="42"/>
        <item x="23"/>
        <item x="24"/>
        <item x="25"/>
        <item x="26"/>
        <item m="1" x="40"/>
        <item m="1" x="39"/>
        <item m="1" x="38"/>
        <item x="27"/>
        <item x="28"/>
        <item x="29"/>
        <item x="30"/>
        <item x="31"/>
        <item x="32"/>
        <item m="1" x="41"/>
        <item x="33"/>
        <item x="34"/>
        <item x="35"/>
        <item x="36"/>
        <item x="37"/>
      </items>
    </pivotField>
    <pivotField axis="axisPage" compact="0" outline="0" showAll="0" defaultSubtotal="0">
      <items count="13">
        <item x="1"/>
        <item x="2"/>
        <item x="0"/>
        <item x="3"/>
        <item m="1" x="12"/>
        <item x="6"/>
        <item x="7"/>
        <item x="8"/>
        <item x="9"/>
        <item x="4"/>
        <item x="5"/>
        <item x="10"/>
        <item x="11"/>
      </items>
    </pivotField>
    <pivotField dataField="1" compact="0" outline="0" showAll="0"/>
    <pivotField axis="axisRow" compact="0" outline="0" showAll="0" sortType="ascending" defaultSubtotal="0">
      <items count="146">
        <item x="135"/>
        <item x="61"/>
        <item x="60"/>
        <item x="10"/>
        <item x="103"/>
        <item x="123"/>
        <item x="71"/>
        <item x="58"/>
        <item x="80"/>
        <item x="90"/>
        <item x="20"/>
        <item x="1"/>
        <item x="108"/>
        <item x="8"/>
        <item x="79"/>
        <item x="96"/>
        <item m="1" x="142"/>
        <item x="107"/>
        <item x="78"/>
        <item x="127"/>
        <item x="126"/>
        <item m="1" x="143"/>
        <item x="18"/>
        <item x="23"/>
        <item x="92"/>
        <item x="72"/>
        <item x="124"/>
        <item x="65"/>
        <item x="136"/>
        <item x="100"/>
        <item x="45"/>
        <item x="132"/>
        <item x="88"/>
        <item x="128"/>
        <item x="91"/>
        <item x="70"/>
        <item x="95"/>
        <item x="62"/>
        <item x="9"/>
        <item x="68"/>
        <item x="69"/>
        <item x="120"/>
        <item x="104"/>
        <item x="67"/>
        <item x="119"/>
        <item x="125"/>
        <item x="131"/>
        <item x="81"/>
        <item x="98"/>
        <item x="129"/>
        <item x="19"/>
        <item x="7"/>
        <item x="109"/>
        <item x="116"/>
        <item m="1" x="144"/>
        <item x="21"/>
        <item x="122"/>
        <item x="87"/>
        <item x="22"/>
        <item x="46"/>
        <item x="63"/>
        <item x="73"/>
        <item x="97"/>
        <item x="111"/>
        <item x="114"/>
        <item x="48"/>
        <item x="110"/>
        <item x="4"/>
        <item m="1" x="145"/>
        <item x="121"/>
        <item x="101"/>
        <item x="83"/>
        <item x="24"/>
        <item x="5"/>
        <item x="118"/>
        <item x="102"/>
        <item x="117"/>
        <item x="82"/>
        <item x="75"/>
        <item x="49"/>
        <item x="106"/>
        <item x="89"/>
        <item x="57"/>
        <item m="1" x="141"/>
        <item x="6"/>
        <item x="26"/>
        <item x="11"/>
        <item x="86"/>
        <item x="105"/>
        <item x="16"/>
        <item x="94"/>
        <item x="29"/>
        <item x="33"/>
        <item x="55"/>
        <item x="53"/>
        <item m="1" x="139"/>
        <item x="137"/>
        <item x="74"/>
        <item m="1" x="140"/>
        <item x="36"/>
        <item x="113"/>
        <item x="112"/>
        <item x="44"/>
        <item x="2"/>
        <item x="84"/>
        <item x="59"/>
        <item x="76"/>
        <item x="54"/>
        <item x="134"/>
        <item x="77"/>
        <item x="64"/>
        <item x="41"/>
        <item x="28"/>
        <item x="85"/>
        <item x="115"/>
        <item x="93"/>
        <item x="14"/>
        <item x="34"/>
        <item x="3"/>
        <item x="15"/>
        <item x="0"/>
        <item x="52"/>
        <item x="25"/>
        <item x="42"/>
        <item x="66"/>
        <item x="51"/>
        <item x="17"/>
        <item x="133"/>
        <item x="12"/>
        <item x="13"/>
        <item x="38"/>
        <item x="50"/>
        <item x="35"/>
        <item x="32"/>
        <item x="40"/>
        <item x="39"/>
        <item x="37"/>
        <item x="27"/>
        <item x="31"/>
        <item x="43"/>
        <item x="30"/>
        <item x="47"/>
        <item x="56"/>
        <item x="138"/>
        <item x="130"/>
        <item x="99"/>
      </items>
    </pivotField>
  </pivotFields>
  <rowFields count="4">
    <field x="6"/>
    <field x="3"/>
    <field x="1"/>
    <field x="2"/>
  </rowFields>
  <rowItems count="6">
    <i>
      <x v="33"/>
      <x v="38"/>
      <x v="75"/>
      <x v="89"/>
    </i>
    <i>
      <x v="48"/>
      <x v="10"/>
      <x v="72"/>
      <x v="84"/>
    </i>
    <i r="1">
      <x v="20"/>
      <x v="74"/>
      <x v="87"/>
    </i>
    <i>
      <x v="49"/>
      <x v="36"/>
      <x v="71"/>
      <x v="83"/>
    </i>
    <i>
      <x v="69"/>
      <x v="14"/>
      <x v="74"/>
      <x v="88"/>
    </i>
    <i t="grand">
      <x/>
    </i>
  </rowItems>
  <colItems count="1">
    <i/>
  </colItems>
  <pageFields count="2">
    <pageField fld="0" item="2" hier="-1"/>
    <pageField fld="4" item="9" hier="-1"/>
  </pageFields>
  <dataFields count="1">
    <dataField name="Sum of Total Cap" fld="5" baseField="4" baseItem="2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67" applyNumberFormats="0" applyBorderFormats="0" applyFontFormats="0" applyPatternFormats="0" applyAlignmentFormats="0" applyWidthHeightFormats="1" dataCaption="Values" updatedVersion="6" minRefreshableVersion="3" itemPrintTitles="1" createdVersion="5" indent="0" compact="0" compactData="0" gridDropZones="1" multipleFieldFilters="0" fieldListSortAscending="1">
  <location ref="A37:E49" firstHeaderRow="2" firstDataRow="2" firstDataCol="4" rowPageCount="2" colPageCount="1"/>
  <pivotFields count="7">
    <pivotField axis="axisPage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</items>
    </pivotField>
    <pivotField axis="axisRow" compact="0" outline="0" showAll="0">
      <items count="98">
        <item x="16"/>
        <item x="44"/>
        <item x="20"/>
        <item x="15"/>
        <item x="23"/>
        <item x="68"/>
        <item x="41"/>
        <item x="27"/>
        <item x="4"/>
        <item x="57"/>
        <item x="5"/>
        <item x="2"/>
        <item x="24"/>
        <item x="47"/>
        <item x="35"/>
        <item x="50"/>
        <item x="9"/>
        <item x="19"/>
        <item x="10"/>
        <item x="71"/>
        <item x="38"/>
        <item x="59"/>
        <item x="13"/>
        <item x="65"/>
        <item x="34"/>
        <item x="39"/>
        <item x="45"/>
        <item x="8"/>
        <item x="64"/>
        <item x="12"/>
        <item x="69"/>
        <item x="37"/>
        <item x="17"/>
        <item x="49"/>
        <item x="3"/>
        <item x="30"/>
        <item x="56"/>
        <item x="63"/>
        <item x="66"/>
        <item x="54"/>
        <item x="25"/>
        <item x="62"/>
        <item x="46"/>
        <item x="31"/>
        <item x="36"/>
        <item x="28"/>
        <item x="0"/>
        <item x="53"/>
        <item x="7"/>
        <item x="14"/>
        <item x="40"/>
        <item x="61"/>
        <item x="1"/>
        <item x="21"/>
        <item x="52"/>
        <item x="58"/>
        <item x="11"/>
        <item x="18"/>
        <item x="70"/>
        <item x="51"/>
        <item x="22"/>
        <item x="33"/>
        <item x="6"/>
        <item x="55"/>
        <item x="29"/>
        <item x="60"/>
        <item x="48"/>
        <item x="32"/>
        <item x="67"/>
        <item x="42"/>
        <item x="43"/>
        <item x="2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t="default"/>
      </items>
    </pivotField>
    <pivotField axis="axisRow" compact="0" outline="0" showAll="0" defaultSubtotal="0">
      <items count="43">
        <item x="14"/>
        <item x="6"/>
        <item x="5"/>
        <item x="7"/>
        <item x="15"/>
        <item x="13"/>
        <item x="4"/>
        <item x="18"/>
        <item x="9"/>
        <item x="20"/>
        <item x="19"/>
        <item x="2"/>
        <item x="12"/>
        <item x="16"/>
        <item x="0"/>
        <item x="21"/>
        <item x="17"/>
        <item x="3"/>
        <item x="10"/>
        <item x="11"/>
        <item x="22"/>
        <item x="1"/>
        <item x="8"/>
        <item m="1" x="42"/>
        <item x="23"/>
        <item x="24"/>
        <item x="25"/>
        <item x="26"/>
        <item m="1" x="40"/>
        <item m="1" x="39"/>
        <item m="1" x="38"/>
        <item x="27"/>
        <item x="28"/>
        <item x="29"/>
        <item x="30"/>
        <item x="31"/>
        <item x="32"/>
        <item m="1" x="41"/>
        <item x="33"/>
        <item x="34"/>
        <item x="35"/>
        <item x="36"/>
        <item x="37"/>
      </items>
    </pivotField>
    <pivotField axis="axisPage" compact="0" outline="0" showAll="0" defaultSubtotal="0">
      <items count="13">
        <item x="1"/>
        <item x="2"/>
        <item x="0"/>
        <item x="3"/>
        <item m="1" x="12"/>
        <item x="6"/>
        <item x="7"/>
        <item x="8"/>
        <item x="9"/>
        <item x="4"/>
        <item x="5"/>
        <item x="10"/>
        <item x="11"/>
      </items>
    </pivotField>
    <pivotField dataField="1" compact="0" outline="0" showAll="0"/>
    <pivotField axis="axisRow" compact="0" outline="0" showAll="0" sortType="ascending" defaultSubtotal="0">
      <items count="146">
        <item x="135"/>
        <item x="61"/>
        <item x="60"/>
        <item x="10"/>
        <item sd="0" x="103"/>
        <item x="123"/>
        <item x="71"/>
        <item x="58"/>
        <item x="80"/>
        <item x="90"/>
        <item x="20"/>
        <item x="1"/>
        <item x="108"/>
        <item x="8"/>
        <item x="79"/>
        <item x="96"/>
        <item m="1" x="142"/>
        <item x="107"/>
        <item x="78"/>
        <item x="127"/>
        <item x="126"/>
        <item m="1" x="143"/>
        <item x="18"/>
        <item x="23"/>
        <item x="92"/>
        <item x="72"/>
        <item x="124"/>
        <item x="65"/>
        <item x="136"/>
        <item x="100"/>
        <item x="45"/>
        <item x="132"/>
        <item x="88"/>
        <item x="128"/>
        <item x="91"/>
        <item x="70"/>
        <item x="95"/>
        <item x="62"/>
        <item x="9"/>
        <item x="68"/>
        <item x="69"/>
        <item x="120"/>
        <item x="104"/>
        <item x="67"/>
        <item x="119"/>
        <item x="125"/>
        <item x="131"/>
        <item x="81"/>
        <item x="98"/>
        <item x="129"/>
        <item x="19"/>
        <item x="7"/>
        <item x="109"/>
        <item x="116"/>
        <item m="1" x="144"/>
        <item x="21"/>
        <item x="122"/>
        <item x="87"/>
        <item x="22"/>
        <item x="46"/>
        <item x="63"/>
        <item x="73"/>
        <item x="97"/>
        <item x="111"/>
        <item x="114"/>
        <item x="48"/>
        <item x="110"/>
        <item x="4"/>
        <item m="1" x="145"/>
        <item x="121"/>
        <item x="101"/>
        <item x="83"/>
        <item x="24"/>
        <item x="5"/>
        <item x="118"/>
        <item x="102"/>
        <item x="117"/>
        <item x="82"/>
        <item x="75"/>
        <item x="49"/>
        <item x="106"/>
        <item x="89"/>
        <item x="57"/>
        <item m="1" x="141"/>
        <item x="6"/>
        <item x="26"/>
        <item x="11"/>
        <item x="86"/>
        <item x="105"/>
        <item x="16"/>
        <item x="94"/>
        <item x="29"/>
        <item x="33"/>
        <item x="55"/>
        <item x="53"/>
        <item m="1" x="139"/>
        <item x="137"/>
        <item x="74"/>
        <item m="1" x="140"/>
        <item x="36"/>
        <item x="113"/>
        <item x="112"/>
        <item x="44"/>
        <item x="2"/>
        <item x="84"/>
        <item x="59"/>
        <item x="76"/>
        <item x="54"/>
        <item x="134"/>
        <item x="77"/>
        <item x="64"/>
        <item x="41"/>
        <item x="28"/>
        <item x="85"/>
        <item x="115"/>
        <item x="93"/>
        <item x="14"/>
        <item x="34"/>
        <item x="3"/>
        <item x="15"/>
        <item x="0"/>
        <item x="52"/>
        <item x="25"/>
        <item x="42"/>
        <item x="66"/>
        <item x="51"/>
        <item x="17"/>
        <item x="133"/>
        <item x="12"/>
        <item x="13"/>
        <item x="38"/>
        <item x="50"/>
        <item x="35"/>
        <item x="32"/>
        <item x="40"/>
        <item x="39"/>
        <item x="37"/>
        <item x="27"/>
        <item x="31"/>
        <item x="43"/>
        <item x="30"/>
        <item x="47"/>
        <item x="56"/>
        <item x="138"/>
        <item x="130"/>
        <item x="99"/>
      </items>
    </pivotField>
  </pivotFields>
  <rowFields count="4">
    <field x="6"/>
    <field x="3"/>
    <field x="1"/>
    <field x="2"/>
  </rowFields>
  <rowItems count="11">
    <i>
      <x v="4"/>
    </i>
    <i>
      <x v="12"/>
      <x/>
      <x v="19"/>
      <x v="4"/>
    </i>
    <i>
      <x v="17"/>
      <x v="11"/>
      <x v="17"/>
      <x v="2"/>
    </i>
    <i>
      <x v="26"/>
      <x v="5"/>
      <x v="56"/>
      <x v="41"/>
    </i>
    <i>
      <x v="28"/>
      <x v="17"/>
      <x v="55"/>
      <x v="51"/>
    </i>
    <i>
      <x v="29"/>
      <x v="5"/>
      <x v="65"/>
      <x v="72"/>
    </i>
    <i>
      <x v="36"/>
      <x v="21"/>
      <x v="62"/>
      <x v="30"/>
    </i>
    <i>
      <x v="46"/>
      <x v="39"/>
      <x v="79"/>
      <x v="92"/>
    </i>
    <i>
      <x v="70"/>
      <x v="5"/>
      <x v="73"/>
      <x v="86"/>
    </i>
    <i>
      <x v="96"/>
      <x v="35"/>
      <x v="57"/>
      <x v="37"/>
    </i>
    <i t="grand">
      <x/>
    </i>
  </rowItems>
  <colItems count="1">
    <i/>
  </colItems>
  <pageFields count="2">
    <pageField fld="0" item="3" hier="-1"/>
    <pageField fld="4" item="5" hier="-1"/>
  </pageFields>
  <dataFields count="1">
    <dataField name="Sum of Total Cap" fld="5" baseField="4" baseItem="2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67" applyNumberFormats="0" applyBorderFormats="0" applyFontFormats="0" applyPatternFormats="0" applyAlignmentFormats="0" applyWidthHeightFormats="1" dataCaption="Values" updatedVersion="6" minRefreshableVersion="3" itemPrintTitles="1" createdVersion="5" indent="0" compact="0" compactData="0" gridDropZones="1" multipleFieldFilters="0" fieldListSortAscending="1">
  <location ref="A4:E29" firstHeaderRow="2" firstDataRow="2" firstDataCol="4" rowPageCount="2" colPageCount="1"/>
  <pivotFields count="7">
    <pivotField axis="axisPage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</items>
    </pivotField>
    <pivotField axis="axisRow" compact="0" outline="0" showAll="0">
      <items count="98">
        <item x="16"/>
        <item x="44"/>
        <item x="20"/>
        <item x="15"/>
        <item x="23"/>
        <item x="68"/>
        <item x="41"/>
        <item x="27"/>
        <item x="4"/>
        <item x="57"/>
        <item x="5"/>
        <item x="2"/>
        <item x="24"/>
        <item x="47"/>
        <item x="35"/>
        <item x="50"/>
        <item x="9"/>
        <item x="19"/>
        <item x="10"/>
        <item x="71"/>
        <item x="38"/>
        <item x="59"/>
        <item x="13"/>
        <item x="65"/>
        <item x="34"/>
        <item x="39"/>
        <item x="45"/>
        <item x="8"/>
        <item x="64"/>
        <item x="12"/>
        <item x="69"/>
        <item x="37"/>
        <item x="17"/>
        <item x="49"/>
        <item x="3"/>
        <item x="30"/>
        <item x="56"/>
        <item x="63"/>
        <item x="66"/>
        <item x="54"/>
        <item x="25"/>
        <item x="62"/>
        <item x="46"/>
        <item x="31"/>
        <item x="36"/>
        <item x="28"/>
        <item x="0"/>
        <item x="53"/>
        <item x="7"/>
        <item x="14"/>
        <item x="40"/>
        <item x="61"/>
        <item x="1"/>
        <item x="21"/>
        <item x="52"/>
        <item x="58"/>
        <item x="11"/>
        <item x="18"/>
        <item x="70"/>
        <item x="51"/>
        <item x="22"/>
        <item x="33"/>
        <item x="6"/>
        <item x="55"/>
        <item x="29"/>
        <item x="60"/>
        <item x="48"/>
        <item x="32"/>
        <item x="67"/>
        <item x="42"/>
        <item x="43"/>
        <item x="2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t="default"/>
      </items>
    </pivotField>
    <pivotField axis="axisRow" compact="0" outline="0" showAll="0" defaultSubtotal="0">
      <items count="43">
        <item x="14"/>
        <item x="6"/>
        <item x="5"/>
        <item x="7"/>
        <item x="15"/>
        <item x="13"/>
        <item x="4"/>
        <item x="18"/>
        <item x="9"/>
        <item x="20"/>
        <item x="19"/>
        <item x="2"/>
        <item x="12"/>
        <item x="16"/>
        <item x="0"/>
        <item x="21"/>
        <item x="17"/>
        <item x="3"/>
        <item x="10"/>
        <item x="11"/>
        <item x="22"/>
        <item x="1"/>
        <item x="8"/>
        <item m="1" x="42"/>
        <item x="23"/>
        <item x="24"/>
        <item x="25"/>
        <item x="26"/>
        <item m="1" x="40"/>
        <item m="1" x="39"/>
        <item m="1" x="38"/>
        <item x="27"/>
        <item x="28"/>
        <item x="29"/>
        <item x="30"/>
        <item x="31"/>
        <item x="32"/>
        <item m="1" x="41"/>
        <item x="33"/>
        <item x="34"/>
        <item x="35"/>
        <item x="36"/>
        <item x="37"/>
      </items>
    </pivotField>
    <pivotField axis="axisPage" compact="0" outline="0" showAll="0" defaultSubtotal="0">
      <items count="13">
        <item x="1"/>
        <item x="2"/>
        <item x="0"/>
        <item x="3"/>
        <item m="1" x="12"/>
        <item x="6"/>
        <item x="7"/>
        <item x="8"/>
        <item x="9"/>
        <item x="4"/>
        <item x="5"/>
        <item x="10"/>
        <item x="11"/>
      </items>
    </pivotField>
    <pivotField dataField="1" compact="0" outline="0" showAll="0"/>
    <pivotField axis="axisRow" compact="0" outline="0" showAll="0" sortType="ascending" defaultSubtotal="0">
      <items count="146">
        <item x="135"/>
        <item x="61"/>
        <item x="60"/>
        <item x="10"/>
        <item x="103"/>
        <item x="123"/>
        <item x="71"/>
        <item x="58"/>
        <item x="80"/>
        <item x="90"/>
        <item x="20"/>
        <item x="1"/>
        <item x="108"/>
        <item x="8"/>
        <item x="79"/>
        <item x="96"/>
        <item m="1" x="142"/>
        <item x="107"/>
        <item x="78"/>
        <item x="127"/>
        <item x="126"/>
        <item m="1" x="143"/>
        <item x="18"/>
        <item x="23"/>
        <item x="92"/>
        <item x="72"/>
        <item x="124"/>
        <item x="65"/>
        <item x="136"/>
        <item x="100"/>
        <item x="45"/>
        <item x="132"/>
        <item x="88"/>
        <item x="128"/>
        <item x="91"/>
        <item x="70"/>
        <item x="95"/>
        <item x="62"/>
        <item x="9"/>
        <item x="68"/>
        <item x="69"/>
        <item x="120"/>
        <item x="104"/>
        <item x="67"/>
        <item x="119"/>
        <item x="125"/>
        <item x="131"/>
        <item x="81"/>
        <item x="98"/>
        <item x="129"/>
        <item x="19"/>
        <item x="7"/>
        <item x="109"/>
        <item x="116"/>
        <item m="1" x="144"/>
        <item x="21"/>
        <item x="122"/>
        <item x="87"/>
        <item x="22"/>
        <item x="46"/>
        <item x="63"/>
        <item x="73"/>
        <item x="97"/>
        <item x="111"/>
        <item x="114"/>
        <item x="48"/>
        <item x="110"/>
        <item x="4"/>
        <item m="1" x="145"/>
        <item x="121"/>
        <item x="101"/>
        <item x="83"/>
        <item x="24"/>
        <item x="5"/>
        <item x="118"/>
        <item x="102"/>
        <item x="117"/>
        <item x="82"/>
        <item x="75"/>
        <item x="49"/>
        <item x="106"/>
        <item x="89"/>
        <item x="57"/>
        <item m="1" x="141"/>
        <item x="6"/>
        <item x="26"/>
        <item x="11"/>
        <item x="86"/>
        <item x="105"/>
        <item x="16"/>
        <item x="94"/>
        <item x="29"/>
        <item x="33"/>
        <item x="55"/>
        <item x="53"/>
        <item m="1" x="139"/>
        <item x="137"/>
        <item x="74"/>
        <item m="1" x="140"/>
        <item x="36"/>
        <item x="113"/>
        <item x="112"/>
        <item x="44"/>
        <item x="2"/>
        <item x="84"/>
        <item x="59"/>
        <item x="76"/>
        <item x="54"/>
        <item x="134"/>
        <item x="77"/>
        <item x="64"/>
        <item x="41"/>
        <item x="28"/>
        <item x="85"/>
        <item x="115"/>
        <item x="93"/>
        <item x="14"/>
        <item x="34"/>
        <item x="3"/>
        <item x="15"/>
        <item x="0"/>
        <item x="52"/>
        <item x="25"/>
        <item x="42"/>
        <item x="66"/>
        <item x="51"/>
        <item x="17"/>
        <item x="133"/>
        <item x="12"/>
        <item x="13"/>
        <item x="38"/>
        <item x="50"/>
        <item x="35"/>
        <item x="32"/>
        <item x="40"/>
        <item x="39"/>
        <item x="37"/>
        <item x="27"/>
        <item x="31"/>
        <item x="43"/>
        <item x="30"/>
        <item x="47"/>
        <item x="56"/>
        <item x="138"/>
        <item x="130"/>
        <item x="99"/>
      </items>
    </pivotField>
  </pivotFields>
  <rowFields count="4">
    <field x="6"/>
    <field x="3"/>
    <field x="1"/>
    <field x="2"/>
  </rowFields>
  <rowItems count="24">
    <i>
      <x v="41"/>
      <x v="14"/>
      <x v="48"/>
      <x v="39"/>
    </i>
    <i>
      <x v="42"/>
      <x v="5"/>
      <x v="66"/>
      <x v="75"/>
    </i>
    <i>
      <x v="44"/>
      <x v="14"/>
      <x v="47"/>
      <x v="47"/>
    </i>
    <i>
      <x v="45"/>
      <x v="13"/>
      <x v="58"/>
      <x v="28"/>
    </i>
    <i>
      <x v="52"/>
      <x v="18"/>
      <x v="20"/>
      <x v="12"/>
    </i>
    <i>
      <x v="53"/>
      <x v="18"/>
      <x v="37"/>
      <x v="69"/>
    </i>
    <i>
      <x v="56"/>
      <x v="14"/>
      <x v="51"/>
      <x v="9"/>
    </i>
    <i>
      <x v="63"/>
      <x v="14"/>
      <x v="25"/>
      <x v="64"/>
    </i>
    <i>
      <x v="64"/>
      <x v="4"/>
      <x v="28"/>
      <x v="61"/>
    </i>
    <i>
      <x v="66"/>
      <x v="4"/>
      <x v="22"/>
      <x v="71"/>
    </i>
    <i>
      <x v="74"/>
      <x v="14"/>
      <x v="43"/>
      <x v="33"/>
    </i>
    <i>
      <x v="75"/>
      <x v="17"/>
      <x v="4"/>
      <x v="8"/>
    </i>
    <i>
      <x v="76"/>
      <x v="14"/>
      <x v="39"/>
      <x v="1"/>
    </i>
    <i>
      <x v="80"/>
      <x v="11"/>
      <x v="13"/>
      <x v="3"/>
    </i>
    <i>
      <x v="87"/>
      <x v="14"/>
      <x v="68"/>
      <x v="78"/>
    </i>
    <i>
      <x v="88"/>
      <x v="18"/>
      <x v="12"/>
      <x v="49"/>
    </i>
    <i>
      <x v="100"/>
      <x v="18"/>
      <x v="27"/>
      <x v="43"/>
    </i>
    <i>
      <x v="101"/>
      <x v="18"/>
      <x v="27"/>
      <x v="32"/>
    </i>
    <i>
      <x v="104"/>
      <x v="13"/>
      <x v="35"/>
      <x v="50"/>
    </i>
    <i>
      <x v="108"/>
      <x v="18"/>
      <x v="27"/>
      <x/>
    </i>
    <i>
      <x v="113"/>
      <x v="11"/>
      <x v="36"/>
      <x v="6"/>
    </i>
    <i>
      <x v="114"/>
      <x v="18"/>
      <x v="32"/>
      <x v="31"/>
    </i>
    <i>
      <x v="115"/>
      <x v="18"/>
      <x v="70"/>
      <x v="82"/>
    </i>
    <i t="grand">
      <x/>
    </i>
  </rowItems>
  <colItems count="1">
    <i/>
  </colItems>
  <pageFields count="2">
    <pageField fld="4" item="6" hier="-1"/>
    <pageField fld="0" item="3" hier="-1"/>
  </pageFields>
  <dataFields count="1">
    <dataField name="Sum of Total Cap" fld="5" baseField="4" baseItem="2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12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5" indent="0" compact="0" compactData="0" gridDropZones="1" multipleFieldFilters="0" fieldListSortAscending="1">
  <location ref="A3:J43" firstHeaderRow="1" firstDataRow="3" firstDataCol="2"/>
  <pivotFields count="5">
    <pivotField axis="axisCol" compact="0" outline="0" showAll="0" sortType="descending" defaultSubtotal="0">
      <items count="5">
        <item x="4"/>
        <item x="3"/>
        <item x="2"/>
        <item x="1"/>
        <item x="0"/>
      </items>
    </pivotField>
    <pivotField axis="axisCol" compact="0" outline="0" showAll="0" sortType="descending">
      <items count="6">
        <item x="4"/>
        <item x="3"/>
        <item x="2"/>
        <item x="1"/>
        <item x="0"/>
        <item t="default"/>
      </items>
    </pivotField>
    <pivotField axis="axisRow" compact="0" outline="0" showAll="0">
      <items count="22">
        <item x="11"/>
        <item x="12"/>
        <item x="8"/>
        <item x="3"/>
        <item x="0"/>
        <item x="1"/>
        <item x="4"/>
        <item m="1" x="20"/>
        <item x="7"/>
        <item x="9"/>
        <item x="10"/>
        <item x="16"/>
        <item x="13"/>
        <item x="14"/>
        <item x="15"/>
        <item x="17"/>
        <item x="18"/>
        <item x="19"/>
        <item x="2"/>
        <item x="5"/>
        <item x="6"/>
        <item t="default"/>
      </items>
    </pivotField>
    <pivotField axis="axisRow" compact="0" outline="0" showAll="0" defaultSubtotal="0">
      <items count="6">
        <item x="1"/>
        <item x="2"/>
        <item x="0"/>
        <item x="3"/>
        <item x="4"/>
        <item x="5"/>
      </items>
    </pivotField>
    <pivotField dataField="1" compact="0" outline="0" showAll="0"/>
  </pivotFields>
  <rowFields count="2">
    <field x="3"/>
    <field x="2"/>
  </rowFields>
  <rowItems count="38">
    <i>
      <x/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  <x/>
    </i>
    <i r="1">
      <x v="3"/>
    </i>
    <i r="1">
      <x v="13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8"/>
    </i>
    <i>
      <x v="3"/>
      <x v="14"/>
    </i>
    <i r="1">
      <x v="19"/>
    </i>
    <i r="1">
      <x v="20"/>
    </i>
    <i>
      <x v="4"/>
      <x/>
    </i>
    <i r="1">
      <x v="3"/>
    </i>
    <i r="1">
      <x v="11"/>
    </i>
    <i r="1">
      <x v="15"/>
    </i>
    <i r="1">
      <x v="16"/>
    </i>
    <i>
      <x v="5"/>
      <x v="2"/>
    </i>
    <i r="1">
      <x v="4"/>
    </i>
    <i r="1">
      <x v="5"/>
    </i>
    <i r="1">
      <x v="17"/>
    </i>
  </rowItems>
  <colFields count="2">
    <field x="0"/>
    <field x="1"/>
  </colFields>
  <colItems count="8">
    <i>
      <x/>
      <x/>
    </i>
    <i r="1">
      <x v="1"/>
    </i>
    <i>
      <x v="1"/>
      <x v="1"/>
    </i>
    <i r="1">
      <x v="2"/>
    </i>
    <i>
      <x v="2"/>
      <x v="2"/>
    </i>
    <i r="1">
      <x v="3"/>
    </i>
    <i>
      <x v="3"/>
      <x v="3"/>
    </i>
    <i>
      <x v="4"/>
      <x v="4"/>
    </i>
  </colItems>
  <dataFields count="1">
    <dataField name="Sum of value" fld="4" baseField="2" baseItem="3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secure.sos.state.or.us/oard/viewSingleRule.action?ruleVrsnRsn=269347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ia.gov/outlooks/aeo/data/browser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ia.gov/outlooks/aeo/data/browser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62"/>
  <sheetViews>
    <sheetView zoomScale="85" zoomScaleNormal="85" workbookViewId="0">
      <pane xSplit="3" ySplit="3" topLeftCell="T94" activePane="bottomRight" state="frozen"/>
      <selection activeCell="D32" sqref="D32"/>
      <selection pane="topRight" activeCell="D32" sqref="D32"/>
      <selection pane="bottomLeft" activeCell="D32" sqref="D32"/>
      <selection pane="bottomRight" activeCell="W121" sqref="W121"/>
    </sheetView>
  </sheetViews>
  <sheetFormatPr defaultRowHeight="15" x14ac:dyDescent="0.25"/>
  <cols>
    <col min="1" max="1" width="12" bestFit="1" customWidth="1"/>
    <col min="2" max="2" width="22.7109375" bestFit="1" customWidth="1"/>
    <col min="3" max="3" width="26.140625" bestFit="1" customWidth="1"/>
    <col min="4" max="19" width="13.42578125" customWidth="1"/>
    <col min="20" max="20" width="13" customWidth="1"/>
    <col min="21" max="28" width="15.140625" customWidth="1"/>
    <col min="29" max="43" width="15.85546875" customWidth="1"/>
  </cols>
  <sheetData>
    <row r="1" spans="1:43" ht="21" x14ac:dyDescent="0.35">
      <c r="A1" s="94" t="s">
        <v>663</v>
      </c>
      <c r="U1" s="67"/>
      <c r="V1" s="67"/>
      <c r="X1" s="143" t="s">
        <v>709</v>
      </c>
      <c r="Y1" s="98"/>
      <c r="Z1" s="98"/>
      <c r="AA1" s="98"/>
      <c r="AB1" s="98"/>
      <c r="AC1" s="98"/>
      <c r="AD1" s="98"/>
      <c r="AE1" s="98"/>
    </row>
    <row r="2" spans="1:43" x14ac:dyDescent="0.25">
      <c r="A2" s="19" t="s">
        <v>274</v>
      </c>
      <c r="D2" s="19" t="s">
        <v>249</v>
      </c>
    </row>
    <row r="3" spans="1:43" x14ac:dyDescent="0.25">
      <c r="A3" s="19" t="s">
        <v>250</v>
      </c>
      <c r="B3" s="19" t="s">
        <v>269</v>
      </c>
      <c r="C3" s="19" t="s">
        <v>254</v>
      </c>
      <c r="D3" s="20">
        <v>42370</v>
      </c>
      <c r="E3" s="20">
        <v>42461</v>
      </c>
      <c r="F3" s="20">
        <v>42552</v>
      </c>
      <c r="G3" s="20">
        <v>42644</v>
      </c>
      <c r="H3" s="20">
        <v>42736</v>
      </c>
      <c r="I3" s="20">
        <v>42826</v>
      </c>
      <c r="J3" s="20">
        <v>42917</v>
      </c>
      <c r="K3" s="20">
        <v>43009</v>
      </c>
      <c r="L3" s="20">
        <v>43101</v>
      </c>
      <c r="M3" s="20">
        <v>43191</v>
      </c>
      <c r="N3" s="20">
        <v>43282</v>
      </c>
      <c r="O3" s="20">
        <v>43374</v>
      </c>
      <c r="P3" s="20">
        <v>43466</v>
      </c>
      <c r="Q3" s="20">
        <v>43556</v>
      </c>
      <c r="R3" s="20">
        <v>43647</v>
      </c>
      <c r="S3" s="20">
        <v>43739</v>
      </c>
      <c r="T3" s="20">
        <v>43831</v>
      </c>
      <c r="U3" s="20">
        <v>43922</v>
      </c>
      <c r="V3" s="20">
        <v>44013</v>
      </c>
      <c r="W3" s="20">
        <v>44105</v>
      </c>
      <c r="X3" s="20">
        <v>44197</v>
      </c>
      <c r="Y3" s="20">
        <v>44287</v>
      </c>
      <c r="Z3" s="20">
        <v>44378</v>
      </c>
      <c r="AA3" s="20">
        <v>44470</v>
      </c>
      <c r="AB3" s="20">
        <v>44562</v>
      </c>
      <c r="AC3" s="20">
        <v>44652</v>
      </c>
      <c r="AD3" s="20">
        <v>44743</v>
      </c>
      <c r="AE3" s="20">
        <v>44835</v>
      </c>
      <c r="AF3" s="20">
        <v>44927</v>
      </c>
      <c r="AG3" s="20">
        <v>45017</v>
      </c>
      <c r="AH3" s="20">
        <v>45108</v>
      </c>
      <c r="AI3" s="20">
        <v>45200</v>
      </c>
      <c r="AJ3" s="20">
        <v>45292</v>
      </c>
      <c r="AK3" s="20">
        <v>45383</v>
      </c>
      <c r="AL3" s="20">
        <v>45474</v>
      </c>
      <c r="AM3" s="20">
        <v>45566</v>
      </c>
      <c r="AN3" s="20">
        <v>45658</v>
      </c>
      <c r="AO3" s="20">
        <v>45748</v>
      </c>
      <c r="AP3" s="20">
        <v>45839</v>
      </c>
      <c r="AQ3" s="20">
        <v>45931</v>
      </c>
    </row>
    <row r="4" spans="1:43" x14ac:dyDescent="0.25">
      <c r="A4" s="137" t="s">
        <v>253</v>
      </c>
      <c r="B4" s="137" t="s">
        <v>272</v>
      </c>
      <c r="C4" s="137" t="s">
        <v>3</v>
      </c>
      <c r="D4" s="138">
        <v>190787754</v>
      </c>
      <c r="E4" s="138">
        <v>157566921</v>
      </c>
      <c r="F4" s="138">
        <v>184886343</v>
      </c>
      <c r="G4" s="138">
        <v>163486021</v>
      </c>
      <c r="H4" s="138">
        <v>139086543</v>
      </c>
      <c r="I4" s="138">
        <v>184749867</v>
      </c>
      <c r="J4" s="138">
        <v>193087164</v>
      </c>
      <c r="K4" s="138">
        <v>161636376</v>
      </c>
      <c r="L4" s="138">
        <v>162000728</v>
      </c>
      <c r="M4" s="138">
        <v>184700513</v>
      </c>
      <c r="N4" s="138">
        <v>208472910</v>
      </c>
      <c r="O4" s="138">
        <v>172121556</v>
      </c>
      <c r="P4" s="138">
        <v>173067446</v>
      </c>
      <c r="Q4" s="138">
        <v>167000751</v>
      </c>
      <c r="R4" s="138">
        <v>188320552</v>
      </c>
      <c r="S4" s="138">
        <v>181735667</v>
      </c>
      <c r="T4" s="138">
        <v>144013743</v>
      </c>
      <c r="U4" s="138">
        <v>183303723</v>
      </c>
      <c r="V4" s="138">
        <v>180623697</v>
      </c>
      <c r="W4" s="138">
        <v>181496735</v>
      </c>
      <c r="X4" s="138">
        <v>190714824</v>
      </c>
    </row>
    <row r="5" spans="1:43" x14ac:dyDescent="0.25">
      <c r="A5" s="137"/>
      <c r="B5" s="137"/>
      <c r="C5" s="137" t="s">
        <v>258</v>
      </c>
      <c r="D5" s="138">
        <v>0</v>
      </c>
      <c r="E5" s="138">
        <v>0</v>
      </c>
      <c r="F5" s="138">
        <v>0</v>
      </c>
      <c r="G5" s="138">
        <v>0</v>
      </c>
      <c r="H5" s="138">
        <v>0</v>
      </c>
      <c r="I5" s="138">
        <v>0</v>
      </c>
      <c r="J5" s="138">
        <v>0</v>
      </c>
      <c r="K5" s="138">
        <v>0</v>
      </c>
      <c r="L5" s="138">
        <v>0</v>
      </c>
      <c r="M5" s="138">
        <v>16659</v>
      </c>
      <c r="N5" s="138">
        <v>0</v>
      </c>
      <c r="O5" s="138">
        <v>0</v>
      </c>
      <c r="P5" s="138">
        <v>-1915</v>
      </c>
      <c r="Q5" s="138">
        <v>-6563</v>
      </c>
      <c r="R5" s="138">
        <v>-7587</v>
      </c>
      <c r="S5" s="138">
        <v>-5258</v>
      </c>
      <c r="T5" s="138">
        <v>-29358</v>
      </c>
      <c r="U5" s="138">
        <v>-11347</v>
      </c>
      <c r="V5" s="138">
        <v>-12518</v>
      </c>
      <c r="W5" s="138">
        <v>-24341</v>
      </c>
      <c r="X5" s="138">
        <v>-49197</v>
      </c>
    </row>
    <row r="6" spans="1:43" x14ac:dyDescent="0.25">
      <c r="A6" s="137"/>
      <c r="B6" s="137"/>
      <c r="C6" s="137" t="s">
        <v>259</v>
      </c>
      <c r="D6" s="138">
        <v>10272272</v>
      </c>
      <c r="E6" s="138">
        <v>921340</v>
      </c>
      <c r="F6" s="138">
        <v>-556919</v>
      </c>
      <c r="G6" s="138">
        <v>2169583</v>
      </c>
      <c r="H6" s="138">
        <v>1604260</v>
      </c>
      <c r="I6" s="138">
        <v>369644</v>
      </c>
      <c r="J6" s="138">
        <v>71965</v>
      </c>
      <c r="K6" s="138">
        <v>2358476</v>
      </c>
      <c r="L6" s="138">
        <v>-76495</v>
      </c>
      <c r="M6" s="138">
        <v>-3232199</v>
      </c>
      <c r="N6" s="138">
        <v>-3865648</v>
      </c>
      <c r="O6" s="138">
        <v>-4155248</v>
      </c>
      <c r="P6" s="138">
        <v>1815092</v>
      </c>
      <c r="Q6" s="138">
        <v>2970595</v>
      </c>
      <c r="R6" s="138">
        <v>3828923</v>
      </c>
      <c r="S6" s="138">
        <v>1063480</v>
      </c>
      <c r="T6" s="138">
        <v>-3805966</v>
      </c>
      <c r="U6" s="138">
        <v>-4447782</v>
      </c>
      <c r="V6" s="138">
        <v>-4810890</v>
      </c>
      <c r="W6" s="138">
        <v>-4679314</v>
      </c>
      <c r="X6" s="138">
        <v>-4923247</v>
      </c>
    </row>
    <row r="7" spans="1:43" x14ac:dyDescent="0.25">
      <c r="A7" s="137"/>
      <c r="B7" s="137"/>
      <c r="C7" s="137" t="s">
        <v>4</v>
      </c>
      <c r="D7" s="138">
        <v>375239852</v>
      </c>
      <c r="E7" s="138">
        <v>326790235</v>
      </c>
      <c r="F7" s="138">
        <v>377613067</v>
      </c>
      <c r="G7" s="138">
        <v>320334675</v>
      </c>
      <c r="H7" s="138">
        <v>263889421</v>
      </c>
      <c r="I7" s="138">
        <v>350623417</v>
      </c>
      <c r="J7" s="138">
        <v>398951677</v>
      </c>
      <c r="K7" s="138">
        <v>357091065</v>
      </c>
      <c r="L7" s="138">
        <v>321842960</v>
      </c>
      <c r="M7" s="138">
        <v>396147902</v>
      </c>
      <c r="N7" s="138">
        <v>389448668</v>
      </c>
      <c r="O7" s="138">
        <v>366263564</v>
      </c>
      <c r="P7" s="138">
        <v>354689704</v>
      </c>
      <c r="Q7" s="138">
        <v>375127081</v>
      </c>
      <c r="R7" s="138">
        <v>380415507</v>
      </c>
      <c r="S7" s="138">
        <v>386761381</v>
      </c>
      <c r="T7" s="138">
        <v>338058278</v>
      </c>
      <c r="U7" s="138">
        <v>262658633</v>
      </c>
      <c r="V7" s="138">
        <v>405345801</v>
      </c>
      <c r="W7" s="138">
        <v>323983839</v>
      </c>
      <c r="X7" s="138">
        <v>339894409</v>
      </c>
    </row>
    <row r="8" spans="1:43" x14ac:dyDescent="0.25">
      <c r="A8" s="137"/>
      <c r="B8" s="137"/>
      <c r="C8" s="137" t="s">
        <v>267</v>
      </c>
      <c r="D8" s="138">
        <v>6826453</v>
      </c>
      <c r="E8" s="138">
        <v>1428586</v>
      </c>
      <c r="F8" s="138">
        <v>1836989</v>
      </c>
      <c r="G8" s="138">
        <v>17687671</v>
      </c>
      <c r="H8" s="138">
        <v>15472789</v>
      </c>
      <c r="I8" s="138">
        <v>19442225</v>
      </c>
      <c r="J8" s="138">
        <v>26862864</v>
      </c>
      <c r="K8" s="138">
        <v>20220327</v>
      </c>
      <c r="L8" s="138">
        <v>18561719</v>
      </c>
      <c r="M8" s="138">
        <v>20979029</v>
      </c>
      <c r="N8" s="138">
        <v>19554903</v>
      </c>
      <c r="O8" s="138">
        <v>13918141</v>
      </c>
      <c r="P8" s="138">
        <v>19781062</v>
      </c>
      <c r="Q8" s="138">
        <v>20857756</v>
      </c>
      <c r="R8" s="138">
        <v>18078829</v>
      </c>
      <c r="S8" s="138">
        <v>17233972</v>
      </c>
      <c r="T8" s="138">
        <v>-12693296</v>
      </c>
      <c r="U8" s="138">
        <v>-11214131</v>
      </c>
      <c r="V8" s="138">
        <v>-14911124</v>
      </c>
      <c r="W8" s="138">
        <v>-14568456</v>
      </c>
      <c r="X8" s="138">
        <v>-16074050</v>
      </c>
    </row>
    <row r="9" spans="1:43" x14ac:dyDescent="0.25">
      <c r="A9" s="137"/>
      <c r="B9" s="137" t="s">
        <v>273</v>
      </c>
      <c r="C9" s="137"/>
      <c r="D9" s="138">
        <v>583126331</v>
      </c>
      <c r="E9" s="138">
        <v>486707082</v>
      </c>
      <c r="F9" s="138">
        <v>563779480</v>
      </c>
      <c r="G9" s="138">
        <v>503677950</v>
      </c>
      <c r="H9" s="138">
        <v>420053013</v>
      </c>
      <c r="I9" s="138">
        <v>555185153</v>
      </c>
      <c r="J9" s="138">
        <v>618973670</v>
      </c>
      <c r="K9" s="138">
        <v>541306244</v>
      </c>
      <c r="L9" s="138">
        <v>502328912</v>
      </c>
      <c r="M9" s="138">
        <v>598611904</v>
      </c>
      <c r="N9" s="138">
        <v>613610833</v>
      </c>
      <c r="O9" s="138">
        <v>548148013</v>
      </c>
      <c r="P9" s="138">
        <v>549351389</v>
      </c>
      <c r="Q9" s="138">
        <v>565949620</v>
      </c>
      <c r="R9" s="138">
        <v>590636224</v>
      </c>
      <c r="S9" s="138">
        <v>586789242</v>
      </c>
      <c r="T9" s="138">
        <v>465543401</v>
      </c>
      <c r="U9" s="138">
        <v>430289096</v>
      </c>
      <c r="V9" s="138">
        <v>566234966</v>
      </c>
      <c r="W9" s="138">
        <v>486208463</v>
      </c>
      <c r="X9" s="138">
        <v>509562739</v>
      </c>
    </row>
    <row r="10" spans="1:43" x14ac:dyDescent="0.25">
      <c r="A10" s="137"/>
      <c r="B10" s="137" t="s">
        <v>270</v>
      </c>
      <c r="C10" s="137" t="s">
        <v>256</v>
      </c>
      <c r="D10" s="138">
        <v>0</v>
      </c>
      <c r="E10" s="138">
        <v>0</v>
      </c>
      <c r="F10" s="138">
        <v>218045</v>
      </c>
      <c r="G10" s="138">
        <v>336127</v>
      </c>
      <c r="H10" s="138">
        <v>319232</v>
      </c>
      <c r="I10" s="138">
        <v>423939</v>
      </c>
      <c r="J10" s="138">
        <v>362447</v>
      </c>
      <c r="K10" s="138">
        <v>402283</v>
      </c>
      <c r="L10" s="138">
        <v>187421</v>
      </c>
      <c r="M10" s="138">
        <v>322942</v>
      </c>
      <c r="N10" s="138">
        <v>368794</v>
      </c>
      <c r="O10" s="138">
        <v>457503</v>
      </c>
      <c r="P10" s="138">
        <v>429380</v>
      </c>
      <c r="Q10" s="138">
        <v>471796</v>
      </c>
      <c r="R10" s="138">
        <v>495990</v>
      </c>
      <c r="S10" s="138">
        <v>530766</v>
      </c>
      <c r="T10" s="138">
        <v>586566</v>
      </c>
      <c r="U10" s="138">
        <v>633956</v>
      </c>
      <c r="V10" s="138">
        <v>663940</v>
      </c>
      <c r="W10" s="138">
        <v>708102</v>
      </c>
      <c r="X10" s="138">
        <v>673729</v>
      </c>
    </row>
    <row r="11" spans="1:43" x14ac:dyDescent="0.25">
      <c r="A11" s="137"/>
      <c r="B11" s="137"/>
      <c r="C11" s="137" t="s">
        <v>257</v>
      </c>
      <c r="D11" s="138">
        <v>88727</v>
      </c>
      <c r="E11" s="138">
        <v>81346</v>
      </c>
      <c r="F11" s="138">
        <v>98006</v>
      </c>
      <c r="G11" s="138">
        <v>92354</v>
      </c>
      <c r="H11" s="138">
        <v>99904</v>
      </c>
      <c r="I11" s="138">
        <v>115353</v>
      </c>
      <c r="J11" s="138">
        <v>104296</v>
      </c>
      <c r="K11" s="138">
        <v>33816</v>
      </c>
      <c r="L11" s="138">
        <v>84406</v>
      </c>
      <c r="M11" s="138">
        <v>111748</v>
      </c>
      <c r="N11" s="138">
        <v>105494</v>
      </c>
      <c r="O11" s="138">
        <v>81027</v>
      </c>
      <c r="P11" s="138">
        <v>74326</v>
      </c>
      <c r="Q11" s="138">
        <v>83726</v>
      </c>
      <c r="R11" s="138">
        <v>60935</v>
      </c>
      <c r="S11" s="138">
        <v>75549</v>
      </c>
      <c r="T11" s="138">
        <v>61614</v>
      </c>
      <c r="U11" s="138">
        <v>67090</v>
      </c>
      <c r="V11" s="138">
        <v>86146</v>
      </c>
      <c r="W11" s="138">
        <v>74656</v>
      </c>
      <c r="X11" s="138">
        <v>0</v>
      </c>
    </row>
    <row r="12" spans="1:43" x14ac:dyDescent="0.25">
      <c r="A12" s="137"/>
      <c r="B12" s="137"/>
      <c r="C12" s="137" t="s">
        <v>7</v>
      </c>
      <c r="D12" s="138">
        <v>11353817</v>
      </c>
      <c r="E12" s="138">
        <v>11119753</v>
      </c>
      <c r="F12" s="138">
        <v>13040561</v>
      </c>
      <c r="G12" s="138">
        <v>11380628</v>
      </c>
      <c r="H12" s="138">
        <v>9024384</v>
      </c>
      <c r="I12" s="138">
        <v>13381643</v>
      </c>
      <c r="J12" s="138">
        <v>14467683</v>
      </c>
      <c r="K12" s="138">
        <v>14095269</v>
      </c>
      <c r="L12" s="138">
        <v>10797938</v>
      </c>
      <c r="M12" s="138">
        <v>13219212</v>
      </c>
      <c r="N12" s="138">
        <v>14939801</v>
      </c>
      <c r="O12" s="138">
        <v>13234476</v>
      </c>
      <c r="P12" s="138">
        <v>11226878</v>
      </c>
      <c r="Q12" s="138">
        <v>16376995</v>
      </c>
      <c r="R12" s="138">
        <v>16836304</v>
      </c>
      <c r="S12" s="138">
        <v>15256559</v>
      </c>
      <c r="T12" s="138">
        <v>15543670</v>
      </c>
      <c r="U12" s="138">
        <v>16372107</v>
      </c>
      <c r="V12" s="138">
        <v>18513397</v>
      </c>
      <c r="W12" s="138">
        <v>18868338</v>
      </c>
      <c r="X12" s="138">
        <v>15337096</v>
      </c>
    </row>
    <row r="13" spans="1:43" x14ac:dyDescent="0.25">
      <c r="A13" s="137"/>
      <c r="B13" s="137"/>
      <c r="C13" s="137" t="s">
        <v>255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337496</v>
      </c>
      <c r="L13" s="138">
        <v>301585</v>
      </c>
      <c r="M13" s="138">
        <v>202848</v>
      </c>
      <c r="N13" s="138">
        <v>226799</v>
      </c>
      <c r="O13" s="138">
        <v>488983</v>
      </c>
      <c r="P13" s="138">
        <v>161527</v>
      </c>
      <c r="Q13" s="138">
        <v>455869</v>
      </c>
      <c r="R13" s="138">
        <v>11311233</v>
      </c>
      <c r="S13" s="138">
        <v>4743246</v>
      </c>
      <c r="T13" s="138">
        <v>7874290</v>
      </c>
      <c r="U13" s="138">
        <v>6250013</v>
      </c>
      <c r="V13" s="138">
        <v>386406</v>
      </c>
      <c r="W13" s="138">
        <v>3942228</v>
      </c>
      <c r="X13" s="138">
        <v>6944201</v>
      </c>
    </row>
    <row r="14" spans="1:43" x14ac:dyDescent="0.25">
      <c r="A14" s="137"/>
      <c r="B14" s="137"/>
      <c r="C14" s="137" t="s">
        <v>260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431079</v>
      </c>
      <c r="M14" s="138">
        <v>422832</v>
      </c>
      <c r="N14" s="138">
        <v>440204</v>
      </c>
      <c r="O14" s="138">
        <v>433671</v>
      </c>
      <c r="P14" s="138">
        <v>477625</v>
      </c>
      <c r="Q14" s="138">
        <v>490452</v>
      </c>
      <c r="R14" s="138">
        <v>605468</v>
      </c>
      <c r="S14" s="138">
        <v>647036</v>
      </c>
      <c r="T14" s="138">
        <v>690934</v>
      </c>
      <c r="U14" s="138">
        <v>710727</v>
      </c>
      <c r="V14" s="138">
        <v>872188</v>
      </c>
      <c r="W14" s="138">
        <v>962153</v>
      </c>
      <c r="X14" s="138">
        <v>965691</v>
      </c>
    </row>
    <row r="15" spans="1:43" x14ac:dyDescent="0.25">
      <c r="A15" s="137"/>
      <c r="B15" s="137"/>
      <c r="C15" s="137" t="s">
        <v>261</v>
      </c>
      <c r="D15" s="138">
        <v>7061</v>
      </c>
      <c r="E15" s="138">
        <v>10979</v>
      </c>
      <c r="F15" s="138">
        <v>15031</v>
      </c>
      <c r="G15" s="138">
        <v>14084</v>
      </c>
      <c r="H15" s="138">
        <v>14322</v>
      </c>
      <c r="I15" s="138">
        <v>18144</v>
      </c>
      <c r="J15" s="138">
        <v>24117</v>
      </c>
      <c r="K15" s="138">
        <v>22967</v>
      </c>
      <c r="L15" s="138">
        <v>18643</v>
      </c>
      <c r="M15" s="138">
        <v>26424</v>
      </c>
      <c r="N15" s="138">
        <v>34852</v>
      </c>
      <c r="O15" s="138">
        <v>43869</v>
      </c>
      <c r="P15" s="138">
        <v>43384</v>
      </c>
      <c r="Q15" s="138">
        <v>54052</v>
      </c>
      <c r="R15" s="138">
        <v>70193</v>
      </c>
      <c r="S15" s="138">
        <v>69198</v>
      </c>
      <c r="T15" s="138">
        <v>54300</v>
      </c>
      <c r="U15" s="138">
        <v>37633</v>
      </c>
      <c r="V15" s="138">
        <v>72090</v>
      </c>
      <c r="W15" s="138">
        <v>67128</v>
      </c>
      <c r="X15" s="138">
        <v>74825</v>
      </c>
    </row>
    <row r="16" spans="1:43" x14ac:dyDescent="0.25">
      <c r="A16" s="137"/>
      <c r="B16" s="137"/>
      <c r="C16" s="137" t="s">
        <v>262</v>
      </c>
      <c r="D16" s="138">
        <v>10084584</v>
      </c>
      <c r="E16" s="138">
        <v>10636624</v>
      </c>
      <c r="F16" s="138">
        <v>9704693</v>
      </c>
      <c r="G16" s="138">
        <v>10227805</v>
      </c>
      <c r="H16" s="138">
        <v>9776863</v>
      </c>
      <c r="I16" s="138">
        <v>9310276</v>
      </c>
      <c r="J16" s="138">
        <v>9212448</v>
      </c>
      <c r="K16" s="138">
        <v>8937202</v>
      </c>
      <c r="L16" s="138">
        <v>8411434</v>
      </c>
      <c r="M16" s="138">
        <v>8861240</v>
      </c>
      <c r="N16" s="138">
        <v>9273634</v>
      </c>
      <c r="O16" s="138">
        <v>8795011</v>
      </c>
      <c r="P16" s="138">
        <v>7797055</v>
      </c>
      <c r="Q16" s="138">
        <v>9379218</v>
      </c>
      <c r="R16" s="138">
        <v>14044376</v>
      </c>
      <c r="S16" s="138">
        <v>13891154</v>
      </c>
      <c r="T16" s="138">
        <v>12854775</v>
      </c>
      <c r="U16" s="138">
        <v>13932401</v>
      </c>
      <c r="V16" s="138">
        <v>19053482</v>
      </c>
      <c r="W16" s="138">
        <v>27292139</v>
      </c>
      <c r="X16" s="138">
        <v>22585155</v>
      </c>
    </row>
    <row r="17" spans="1:24" x14ac:dyDescent="0.25">
      <c r="A17" s="137"/>
      <c r="B17" s="137"/>
      <c r="C17" s="137" t="s">
        <v>263</v>
      </c>
      <c r="D17" s="138">
        <v>1219304</v>
      </c>
      <c r="E17" s="138">
        <v>0</v>
      </c>
      <c r="F17" s="138">
        <v>341382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298937</v>
      </c>
      <c r="R17" s="138">
        <v>0</v>
      </c>
      <c r="S17" s="138">
        <v>172797</v>
      </c>
      <c r="T17" s="138">
        <v>9787</v>
      </c>
      <c r="U17" s="138">
        <v>53494</v>
      </c>
      <c r="V17" s="138">
        <v>-312</v>
      </c>
      <c r="W17" s="138">
        <v>0</v>
      </c>
      <c r="X17" s="138">
        <v>0</v>
      </c>
    </row>
    <row r="18" spans="1:24" x14ac:dyDescent="0.25">
      <c r="A18" s="137"/>
      <c r="B18" s="137"/>
      <c r="C18" s="137" t="s">
        <v>264</v>
      </c>
      <c r="D18" s="138">
        <v>14139186</v>
      </c>
      <c r="E18" s="138">
        <v>13543571</v>
      </c>
      <c r="F18" s="138">
        <v>16763834</v>
      </c>
      <c r="G18" s="138">
        <v>11612820</v>
      </c>
      <c r="H18" s="138">
        <v>12743468</v>
      </c>
      <c r="I18" s="138">
        <v>17354390</v>
      </c>
      <c r="J18" s="138">
        <v>15301245</v>
      </c>
      <c r="K18" s="138">
        <v>22286606</v>
      </c>
      <c r="L18" s="138">
        <v>23044585</v>
      </c>
      <c r="M18" s="138">
        <v>24546488</v>
      </c>
      <c r="N18" s="138">
        <v>29679739</v>
      </c>
      <c r="O18" s="138">
        <v>30617772</v>
      </c>
      <c r="P18" s="138">
        <v>26435068</v>
      </c>
      <c r="Q18" s="138">
        <v>27263997</v>
      </c>
      <c r="R18" s="138">
        <v>30484265</v>
      </c>
      <c r="S18" s="138">
        <v>27523886</v>
      </c>
      <c r="T18" s="138">
        <v>24578817</v>
      </c>
      <c r="U18" s="138">
        <v>19133423</v>
      </c>
      <c r="V18" s="138">
        <v>21871120</v>
      </c>
      <c r="W18" s="138">
        <v>8254879</v>
      </c>
      <c r="X18" s="138">
        <v>9870790</v>
      </c>
    </row>
    <row r="19" spans="1:24" x14ac:dyDescent="0.25">
      <c r="A19" s="137"/>
      <c r="B19" s="137"/>
      <c r="C19" s="137" t="s">
        <v>265</v>
      </c>
      <c r="D19" s="138">
        <v>24779263</v>
      </c>
      <c r="E19" s="138">
        <v>16846719</v>
      </c>
      <c r="F19" s="138">
        <v>19851146</v>
      </c>
      <c r="G19" s="138">
        <v>15078450</v>
      </c>
      <c r="H19" s="138">
        <v>15727391</v>
      </c>
      <c r="I19" s="138">
        <v>14239785</v>
      </c>
      <c r="J19" s="138">
        <v>21952322</v>
      </c>
      <c r="K19" s="138">
        <v>9236517</v>
      </c>
      <c r="L19" s="138">
        <v>8661266</v>
      </c>
      <c r="M19" s="138">
        <v>4791519</v>
      </c>
      <c r="N19" s="138">
        <v>5968474</v>
      </c>
      <c r="O19" s="138">
        <v>2689426</v>
      </c>
      <c r="P19" s="138">
        <v>2402287</v>
      </c>
      <c r="Q19" s="138">
        <v>5458262</v>
      </c>
      <c r="R19" s="138">
        <v>962825</v>
      </c>
      <c r="S19" s="138">
        <v>323008</v>
      </c>
      <c r="T19" s="138">
        <v>8231</v>
      </c>
      <c r="U19" s="138">
        <v>347882</v>
      </c>
      <c r="V19" s="138">
        <v>-316619</v>
      </c>
      <c r="W19" s="138">
        <v>0</v>
      </c>
      <c r="X19" s="138">
        <v>0</v>
      </c>
    </row>
    <row r="20" spans="1:24" x14ac:dyDescent="0.25">
      <c r="A20" s="137"/>
      <c r="B20" s="137"/>
      <c r="C20" s="137" t="s">
        <v>266</v>
      </c>
      <c r="D20" s="138">
        <v>47944</v>
      </c>
      <c r="E20" s="138">
        <v>83529</v>
      </c>
      <c r="F20" s="138">
        <v>253637</v>
      </c>
      <c r="G20" s="138">
        <v>212524</v>
      </c>
      <c r="H20" s="138">
        <v>234492</v>
      </c>
      <c r="I20" s="138">
        <v>224761</v>
      </c>
      <c r="J20" s="138">
        <v>249111</v>
      </c>
      <c r="K20" s="138">
        <v>205210</v>
      </c>
      <c r="L20" s="138">
        <v>384241</v>
      </c>
      <c r="M20" s="138">
        <v>347101</v>
      </c>
      <c r="N20" s="138">
        <v>321762</v>
      </c>
      <c r="O20" s="138">
        <v>242110</v>
      </c>
      <c r="P20" s="138">
        <v>263261</v>
      </c>
      <c r="Q20" s="138">
        <v>282897</v>
      </c>
      <c r="R20" s="138">
        <v>307650</v>
      </c>
      <c r="S20" s="138">
        <v>300748</v>
      </c>
      <c r="T20" s="138">
        <v>266542</v>
      </c>
      <c r="U20" s="138">
        <v>244130</v>
      </c>
      <c r="V20" s="138">
        <v>122573</v>
      </c>
      <c r="W20" s="138">
        <v>139075</v>
      </c>
      <c r="X20" s="138">
        <v>213206</v>
      </c>
    </row>
    <row r="21" spans="1:24" x14ac:dyDescent="0.25">
      <c r="A21" s="137"/>
      <c r="B21" s="137"/>
      <c r="C21" s="137" t="s">
        <v>275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76765</v>
      </c>
      <c r="P21" s="138">
        <v>27631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</row>
    <row r="22" spans="1:24" x14ac:dyDescent="0.25">
      <c r="A22" s="137"/>
      <c r="B22" s="137"/>
      <c r="C22" s="137" t="s">
        <v>268</v>
      </c>
      <c r="D22" s="138">
        <v>18821</v>
      </c>
      <c r="E22" s="138">
        <v>18876</v>
      </c>
      <c r="F22" s="138">
        <v>7995</v>
      </c>
      <c r="G22" s="138">
        <v>19358</v>
      </c>
      <c r="H22" s="138">
        <v>20826</v>
      </c>
      <c r="I22" s="138">
        <v>43505</v>
      </c>
      <c r="J22" s="138">
        <v>24333</v>
      </c>
      <c r="K22" s="138">
        <v>39627</v>
      </c>
      <c r="L22" s="138">
        <v>138064</v>
      </c>
      <c r="M22" s="138">
        <v>152677</v>
      </c>
      <c r="N22" s="138">
        <v>162962</v>
      </c>
      <c r="O22" s="138">
        <v>286715</v>
      </c>
      <c r="P22" s="138">
        <v>495110</v>
      </c>
      <c r="Q22" s="138">
        <v>365157</v>
      </c>
      <c r="R22" s="138">
        <v>257693</v>
      </c>
      <c r="S22" s="138">
        <v>485144</v>
      </c>
      <c r="T22" s="138">
        <v>458192</v>
      </c>
      <c r="U22" s="138">
        <v>68331</v>
      </c>
      <c r="V22" s="138">
        <v>81833</v>
      </c>
      <c r="W22" s="138">
        <v>141995</v>
      </c>
      <c r="X22" s="138">
        <v>419595</v>
      </c>
    </row>
    <row r="23" spans="1:24" x14ac:dyDescent="0.25">
      <c r="A23" s="137"/>
      <c r="B23" s="137"/>
      <c r="C23" s="137" t="s">
        <v>671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229264</v>
      </c>
      <c r="S23" s="138">
        <v>223209</v>
      </c>
      <c r="T23" s="138">
        <v>217376</v>
      </c>
      <c r="U23" s="138">
        <v>168376</v>
      </c>
      <c r="V23" s="138">
        <v>147499</v>
      </c>
      <c r="W23" s="138">
        <v>191566</v>
      </c>
      <c r="X23" s="138">
        <v>0</v>
      </c>
    </row>
    <row r="24" spans="1:24" x14ac:dyDescent="0.25">
      <c r="A24" s="137"/>
      <c r="B24" s="137" t="s">
        <v>271</v>
      </c>
      <c r="C24" s="137"/>
      <c r="D24" s="138">
        <v>61738707</v>
      </c>
      <c r="E24" s="138">
        <v>52341397</v>
      </c>
      <c r="F24" s="138">
        <v>60294330</v>
      </c>
      <c r="G24" s="138">
        <v>48974150</v>
      </c>
      <c r="H24" s="138">
        <v>47960882</v>
      </c>
      <c r="I24" s="138">
        <v>55111796</v>
      </c>
      <c r="J24" s="138">
        <v>61698002</v>
      </c>
      <c r="K24" s="138">
        <v>55596993</v>
      </c>
      <c r="L24" s="138">
        <v>52460662</v>
      </c>
      <c r="M24" s="138">
        <v>53005031</v>
      </c>
      <c r="N24" s="138">
        <v>61522515</v>
      </c>
      <c r="O24" s="138">
        <v>57447328</v>
      </c>
      <c r="P24" s="138">
        <v>49833532</v>
      </c>
      <c r="Q24" s="138">
        <v>60981358</v>
      </c>
      <c r="R24" s="138">
        <v>75666196</v>
      </c>
      <c r="S24" s="138">
        <v>64242300</v>
      </c>
      <c r="T24" s="138">
        <v>63205094</v>
      </c>
      <c r="U24" s="138">
        <v>58019563</v>
      </c>
      <c r="V24" s="138">
        <v>61553743</v>
      </c>
      <c r="W24" s="138">
        <v>60642259</v>
      </c>
      <c r="X24" s="138">
        <v>57084288</v>
      </c>
    </row>
    <row r="25" spans="1:24" x14ac:dyDescent="0.25">
      <c r="A25" s="137" t="s">
        <v>251</v>
      </c>
      <c r="B25" s="137" t="s">
        <v>272</v>
      </c>
      <c r="C25" s="137" t="s">
        <v>3</v>
      </c>
      <c r="D25" s="138">
        <v>230</v>
      </c>
      <c r="E25" s="138">
        <v>998</v>
      </c>
      <c r="F25" s="138">
        <v>102</v>
      </c>
      <c r="G25" s="138">
        <v>495</v>
      </c>
      <c r="H25" s="138">
        <v>322</v>
      </c>
      <c r="I25" s="138">
        <v>690</v>
      </c>
      <c r="J25" s="138">
        <v>489</v>
      </c>
      <c r="K25" s="138">
        <v>418</v>
      </c>
      <c r="L25" s="138">
        <v>625</v>
      </c>
      <c r="M25" s="138">
        <v>1068</v>
      </c>
      <c r="N25" s="138">
        <v>626</v>
      </c>
      <c r="O25" s="138">
        <v>1089</v>
      </c>
      <c r="P25" s="138">
        <v>2324</v>
      </c>
      <c r="Q25" s="138">
        <v>1374</v>
      </c>
      <c r="R25" s="138">
        <v>1316</v>
      </c>
      <c r="S25" s="138">
        <v>201</v>
      </c>
      <c r="T25" s="138">
        <v>411</v>
      </c>
      <c r="U25" s="138">
        <v>179</v>
      </c>
      <c r="V25" s="138">
        <v>1553</v>
      </c>
      <c r="W25" s="138">
        <v>2354</v>
      </c>
      <c r="X25" s="138">
        <v>339</v>
      </c>
    </row>
    <row r="26" spans="1:24" x14ac:dyDescent="0.25">
      <c r="A26" s="137"/>
      <c r="B26" s="137"/>
      <c r="C26" s="137" t="s">
        <v>258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12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21</v>
      </c>
      <c r="U26" s="138">
        <v>0</v>
      </c>
      <c r="V26" s="138">
        <v>0</v>
      </c>
      <c r="W26" s="138">
        <v>5</v>
      </c>
      <c r="X26" s="138">
        <v>0</v>
      </c>
    </row>
    <row r="27" spans="1:24" x14ac:dyDescent="0.25">
      <c r="A27" s="137"/>
      <c r="B27" s="137"/>
      <c r="C27" s="137" t="s">
        <v>259</v>
      </c>
      <c r="D27" s="138">
        <v>129</v>
      </c>
      <c r="E27" s="138">
        <v>185</v>
      </c>
      <c r="F27" s="138">
        <v>213</v>
      </c>
      <c r="G27" s="138">
        <v>100</v>
      </c>
      <c r="H27" s="138">
        <v>158</v>
      </c>
      <c r="I27" s="138">
        <v>311</v>
      </c>
      <c r="J27" s="138">
        <v>306</v>
      </c>
      <c r="K27" s="138">
        <v>214</v>
      </c>
      <c r="L27" s="138">
        <v>562</v>
      </c>
      <c r="M27" s="138">
        <v>870</v>
      </c>
      <c r="N27" s="138">
        <v>1053</v>
      </c>
      <c r="O27" s="138">
        <v>1046</v>
      </c>
      <c r="P27" s="138">
        <v>18</v>
      </c>
      <c r="Q27" s="138">
        <v>219</v>
      </c>
      <c r="R27" s="138">
        <v>132</v>
      </c>
      <c r="S27" s="138">
        <v>106</v>
      </c>
      <c r="T27" s="138">
        <v>612</v>
      </c>
      <c r="U27" s="138">
        <v>499</v>
      </c>
      <c r="V27" s="138">
        <v>657</v>
      </c>
      <c r="W27" s="138">
        <v>591</v>
      </c>
      <c r="X27" s="138">
        <v>1691</v>
      </c>
    </row>
    <row r="28" spans="1:24" x14ac:dyDescent="0.25">
      <c r="A28" s="137"/>
      <c r="B28" s="137"/>
      <c r="C28" s="137" t="s">
        <v>4</v>
      </c>
      <c r="D28" s="138">
        <v>0</v>
      </c>
      <c r="E28" s="138">
        <v>703</v>
      </c>
      <c r="F28" s="138">
        <v>123</v>
      </c>
      <c r="G28" s="138">
        <v>122</v>
      </c>
      <c r="H28" s="138">
        <v>194</v>
      </c>
      <c r="I28" s="138">
        <v>841</v>
      </c>
      <c r="J28" s="138">
        <v>677</v>
      </c>
      <c r="K28" s="138">
        <v>331</v>
      </c>
      <c r="L28" s="138">
        <v>128</v>
      </c>
      <c r="M28" s="138">
        <v>1205</v>
      </c>
      <c r="N28" s="138">
        <v>401</v>
      </c>
      <c r="O28" s="138">
        <v>1794</v>
      </c>
      <c r="P28" s="138">
        <v>1564</v>
      </c>
      <c r="Q28" s="138">
        <v>2099</v>
      </c>
      <c r="R28" s="138">
        <v>2409</v>
      </c>
      <c r="S28" s="138">
        <v>2</v>
      </c>
      <c r="T28" s="138">
        <v>2173</v>
      </c>
      <c r="U28" s="138">
        <v>4738</v>
      </c>
      <c r="V28" s="138">
        <v>1354</v>
      </c>
      <c r="W28" s="138">
        <v>362</v>
      </c>
      <c r="X28" s="138">
        <v>0</v>
      </c>
    </row>
    <row r="29" spans="1:24" x14ac:dyDescent="0.25">
      <c r="A29" s="137"/>
      <c r="B29" s="137"/>
      <c r="C29" s="137" t="s">
        <v>267</v>
      </c>
      <c r="D29" s="138">
        <v>351</v>
      </c>
      <c r="E29" s="138">
        <v>388</v>
      </c>
      <c r="F29" s="138">
        <v>415</v>
      </c>
      <c r="G29" s="138">
        <v>39</v>
      </c>
      <c r="H29" s="138">
        <v>86</v>
      </c>
      <c r="I29" s="138">
        <v>113</v>
      </c>
      <c r="J29" s="138">
        <v>80</v>
      </c>
      <c r="K29" s="138">
        <v>75</v>
      </c>
      <c r="L29" s="138">
        <v>133</v>
      </c>
      <c r="M29" s="138">
        <v>84</v>
      </c>
      <c r="N29" s="138">
        <v>87</v>
      </c>
      <c r="O29" s="138">
        <v>201</v>
      </c>
      <c r="P29" s="138">
        <v>0</v>
      </c>
      <c r="Q29" s="138">
        <v>0</v>
      </c>
      <c r="R29" s="138">
        <v>0</v>
      </c>
      <c r="S29" s="138">
        <v>0</v>
      </c>
      <c r="T29" s="138">
        <v>1497</v>
      </c>
      <c r="U29" s="138">
        <v>1313</v>
      </c>
      <c r="V29" s="138">
        <v>1671</v>
      </c>
      <c r="W29" s="138">
        <v>1541</v>
      </c>
      <c r="X29" s="138">
        <v>5333</v>
      </c>
    </row>
    <row r="30" spans="1:24" x14ac:dyDescent="0.25">
      <c r="A30" s="137"/>
      <c r="B30" s="137" t="s">
        <v>273</v>
      </c>
      <c r="C30" s="137"/>
      <c r="D30" s="138">
        <v>710</v>
      </c>
      <c r="E30" s="138">
        <v>2274</v>
      </c>
      <c r="F30" s="138">
        <v>853</v>
      </c>
      <c r="G30" s="138">
        <v>756</v>
      </c>
      <c r="H30" s="138">
        <v>760</v>
      </c>
      <c r="I30" s="138">
        <v>1955</v>
      </c>
      <c r="J30" s="138">
        <v>1552</v>
      </c>
      <c r="K30" s="138">
        <v>1038</v>
      </c>
      <c r="L30" s="138">
        <v>1448</v>
      </c>
      <c r="M30" s="138">
        <v>3239</v>
      </c>
      <c r="N30" s="138">
        <v>2167</v>
      </c>
      <c r="O30" s="138">
        <v>4130</v>
      </c>
      <c r="P30" s="138">
        <v>3906</v>
      </c>
      <c r="Q30" s="138">
        <v>3692</v>
      </c>
      <c r="R30" s="138">
        <v>3857</v>
      </c>
      <c r="S30" s="138">
        <v>309</v>
      </c>
      <c r="T30" s="138">
        <v>4714</v>
      </c>
      <c r="U30" s="138">
        <v>6729</v>
      </c>
      <c r="V30" s="138">
        <v>5235</v>
      </c>
      <c r="W30" s="138">
        <v>4853</v>
      </c>
      <c r="X30" s="138">
        <v>7363</v>
      </c>
    </row>
    <row r="31" spans="1:24" x14ac:dyDescent="0.25">
      <c r="A31" s="137"/>
      <c r="B31" s="137" t="s">
        <v>270</v>
      </c>
      <c r="C31" s="137" t="s">
        <v>256</v>
      </c>
      <c r="D31" s="138">
        <v>0</v>
      </c>
      <c r="E31" s="138">
        <v>0</v>
      </c>
      <c r="F31" s="138">
        <v>1655</v>
      </c>
      <c r="G31" s="138">
        <v>2486</v>
      </c>
      <c r="H31" s="138">
        <v>1673</v>
      </c>
      <c r="I31" s="138">
        <v>2277</v>
      </c>
      <c r="J31" s="138">
        <v>2237</v>
      </c>
      <c r="K31" s="138">
        <v>2478</v>
      </c>
      <c r="L31" s="138">
        <v>876</v>
      </c>
      <c r="M31" s="138">
        <v>1337</v>
      </c>
      <c r="N31" s="138">
        <v>1512</v>
      </c>
      <c r="O31" s="138">
        <v>1801</v>
      </c>
      <c r="P31" s="138">
        <v>1629</v>
      </c>
      <c r="Q31" s="138">
        <v>1786</v>
      </c>
      <c r="R31" s="138">
        <v>1863</v>
      </c>
      <c r="S31" s="138">
        <v>2366</v>
      </c>
      <c r="T31" s="138">
        <v>2235</v>
      </c>
      <c r="U31" s="138">
        <v>2386</v>
      </c>
      <c r="V31" s="138">
        <v>3265</v>
      </c>
      <c r="W31" s="138">
        <v>3243</v>
      </c>
      <c r="X31" s="138">
        <v>3159</v>
      </c>
    </row>
    <row r="32" spans="1:24" x14ac:dyDescent="0.25">
      <c r="A32" s="137"/>
      <c r="B32" s="137"/>
      <c r="C32" s="137" t="s">
        <v>257</v>
      </c>
      <c r="D32" s="138">
        <v>474</v>
      </c>
      <c r="E32" s="138">
        <v>315</v>
      </c>
      <c r="F32" s="138">
        <v>379</v>
      </c>
      <c r="G32" s="138">
        <v>357</v>
      </c>
      <c r="H32" s="138">
        <v>383</v>
      </c>
      <c r="I32" s="138">
        <v>442</v>
      </c>
      <c r="J32" s="138">
        <v>397</v>
      </c>
      <c r="K32" s="138">
        <v>129</v>
      </c>
      <c r="L32" s="138">
        <v>327</v>
      </c>
      <c r="M32" s="138">
        <v>433</v>
      </c>
      <c r="N32" s="138">
        <v>409</v>
      </c>
      <c r="O32" s="138">
        <v>314</v>
      </c>
      <c r="P32" s="138">
        <v>276</v>
      </c>
      <c r="Q32" s="138">
        <v>311</v>
      </c>
      <c r="R32" s="138">
        <v>226</v>
      </c>
      <c r="S32" s="138">
        <v>280</v>
      </c>
      <c r="T32" s="138">
        <v>219</v>
      </c>
      <c r="U32" s="138">
        <v>241</v>
      </c>
      <c r="V32" s="138">
        <v>360</v>
      </c>
      <c r="W32" s="138">
        <v>312</v>
      </c>
      <c r="X32" s="138">
        <v>0</v>
      </c>
    </row>
    <row r="33" spans="1:24" x14ac:dyDescent="0.25">
      <c r="A33" s="137"/>
      <c r="B33" s="137"/>
      <c r="C33" s="137" t="s">
        <v>7</v>
      </c>
      <c r="D33" s="138">
        <v>58529</v>
      </c>
      <c r="E33" s="138">
        <v>65175</v>
      </c>
      <c r="F33" s="138">
        <v>76526</v>
      </c>
      <c r="G33" s="138">
        <v>69420</v>
      </c>
      <c r="H33" s="138">
        <v>57466</v>
      </c>
      <c r="I33" s="138">
        <v>83384</v>
      </c>
      <c r="J33" s="138">
        <v>92219</v>
      </c>
      <c r="K33" s="138">
        <v>88392</v>
      </c>
      <c r="L33" s="138">
        <v>73382</v>
      </c>
      <c r="M33" s="138">
        <v>88804</v>
      </c>
      <c r="N33" s="138">
        <v>101480</v>
      </c>
      <c r="O33" s="138">
        <v>91173</v>
      </c>
      <c r="P33" s="138">
        <v>83643</v>
      </c>
      <c r="Q33" s="138">
        <v>121921</v>
      </c>
      <c r="R33" s="138">
        <v>125305</v>
      </c>
      <c r="S33" s="138">
        <v>116165</v>
      </c>
      <c r="T33" s="138">
        <v>117045</v>
      </c>
      <c r="U33" s="138">
        <v>112442</v>
      </c>
      <c r="V33" s="138">
        <v>126284</v>
      </c>
      <c r="W33" s="138">
        <v>126047</v>
      </c>
      <c r="X33" s="138">
        <v>101311</v>
      </c>
    </row>
    <row r="34" spans="1:24" x14ac:dyDescent="0.25">
      <c r="A34" s="137"/>
      <c r="B34" s="137"/>
      <c r="C34" s="137" t="s">
        <v>255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2863</v>
      </c>
      <c r="L34" s="138">
        <v>1967</v>
      </c>
      <c r="M34" s="138">
        <v>1637</v>
      </c>
      <c r="N34" s="138">
        <v>1800</v>
      </c>
      <c r="O34" s="138">
        <v>4035</v>
      </c>
      <c r="P34" s="138">
        <v>907</v>
      </c>
      <c r="Q34" s="138">
        <v>3104</v>
      </c>
      <c r="R34" s="138">
        <v>98814</v>
      </c>
      <c r="S34" s="138">
        <v>42517</v>
      </c>
      <c r="T34" s="138">
        <v>70541</v>
      </c>
      <c r="U34" s="138">
        <v>53761</v>
      </c>
      <c r="V34" s="138">
        <v>1896</v>
      </c>
      <c r="W34" s="138">
        <v>29176</v>
      </c>
      <c r="X34" s="138">
        <v>43742</v>
      </c>
    </row>
    <row r="35" spans="1:24" x14ac:dyDescent="0.25">
      <c r="A35" s="137"/>
      <c r="B35" s="137"/>
      <c r="C35" s="137" t="s">
        <v>260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4288</v>
      </c>
      <c r="M35" s="138">
        <v>4206</v>
      </c>
      <c r="N35" s="138">
        <v>4382</v>
      </c>
      <c r="O35" s="138">
        <v>4313</v>
      </c>
      <c r="P35" s="138">
        <v>4662</v>
      </c>
      <c r="Q35" s="138">
        <v>4756</v>
      </c>
      <c r="R35" s="138">
        <v>5787</v>
      </c>
      <c r="S35" s="138">
        <v>6098</v>
      </c>
      <c r="T35" s="138">
        <v>6390</v>
      </c>
      <c r="U35" s="138">
        <v>6453</v>
      </c>
      <c r="V35" s="138">
        <v>7824</v>
      </c>
      <c r="W35" s="138">
        <v>8573</v>
      </c>
      <c r="X35" s="138">
        <v>9137</v>
      </c>
    </row>
    <row r="36" spans="1:24" x14ac:dyDescent="0.25">
      <c r="A36" s="137"/>
      <c r="B36" s="137"/>
      <c r="C36" s="137" t="s">
        <v>261</v>
      </c>
      <c r="D36" s="138">
        <v>321</v>
      </c>
      <c r="E36" s="138">
        <v>500</v>
      </c>
      <c r="F36" s="138">
        <v>684</v>
      </c>
      <c r="G36" s="138">
        <v>640</v>
      </c>
      <c r="H36" s="138">
        <v>649</v>
      </c>
      <c r="I36" s="138">
        <v>822</v>
      </c>
      <c r="J36" s="138">
        <v>1095</v>
      </c>
      <c r="K36" s="138">
        <v>946</v>
      </c>
      <c r="L36" s="138">
        <v>539</v>
      </c>
      <c r="M36" s="138">
        <v>761</v>
      </c>
      <c r="N36" s="138">
        <v>968</v>
      </c>
      <c r="O36" s="138">
        <v>1214</v>
      </c>
      <c r="P36" s="138">
        <v>1187</v>
      </c>
      <c r="Q36" s="138">
        <v>1500</v>
      </c>
      <c r="R36" s="138">
        <v>1965</v>
      </c>
      <c r="S36" s="138">
        <v>1940</v>
      </c>
      <c r="T36" s="138">
        <v>1529</v>
      </c>
      <c r="U36" s="138">
        <v>1032</v>
      </c>
      <c r="V36" s="138">
        <v>1952</v>
      </c>
      <c r="W36" s="138">
        <v>1818</v>
      </c>
      <c r="X36" s="138">
        <v>1900</v>
      </c>
    </row>
    <row r="37" spans="1:24" x14ac:dyDescent="0.25">
      <c r="A37" s="137"/>
      <c r="B37" s="137"/>
      <c r="C37" s="137" t="s">
        <v>564</v>
      </c>
      <c r="D37" s="138">
        <v>8573</v>
      </c>
      <c r="E37" s="138">
        <v>8574</v>
      </c>
      <c r="F37" s="138">
        <v>8573</v>
      </c>
      <c r="G37" s="138">
        <v>8574</v>
      </c>
      <c r="H37" s="138">
        <v>10301</v>
      </c>
      <c r="I37" s="138">
        <v>10301</v>
      </c>
      <c r="J37" s="138">
        <v>10301</v>
      </c>
      <c r="K37" s="138">
        <v>10301</v>
      </c>
      <c r="L37" s="138">
        <v>14222</v>
      </c>
      <c r="M37" s="138">
        <v>14222</v>
      </c>
      <c r="N37" s="138">
        <v>14223</v>
      </c>
      <c r="O37" s="138">
        <v>14223</v>
      </c>
      <c r="P37" s="138">
        <v>18317</v>
      </c>
      <c r="Q37" s="138">
        <v>18317</v>
      </c>
      <c r="R37" s="138">
        <v>18318</v>
      </c>
      <c r="S37" s="138">
        <v>18318</v>
      </c>
      <c r="T37" s="138">
        <v>24872</v>
      </c>
      <c r="U37" s="138">
        <v>24872</v>
      </c>
      <c r="V37" s="138">
        <v>24872</v>
      </c>
      <c r="W37" s="138">
        <v>24872</v>
      </c>
      <c r="X37" s="138">
        <v>0</v>
      </c>
    </row>
    <row r="38" spans="1:24" x14ac:dyDescent="0.25">
      <c r="A38" s="137"/>
      <c r="B38" s="137"/>
      <c r="C38" s="137" t="s">
        <v>262</v>
      </c>
      <c r="D38" s="138">
        <v>35773</v>
      </c>
      <c r="E38" s="138">
        <v>40149</v>
      </c>
      <c r="F38" s="138">
        <v>37633</v>
      </c>
      <c r="G38" s="138">
        <v>37148</v>
      </c>
      <c r="H38" s="138">
        <v>35320</v>
      </c>
      <c r="I38" s="138">
        <v>41860</v>
      </c>
      <c r="J38" s="138">
        <v>33280</v>
      </c>
      <c r="K38" s="138">
        <v>32285</v>
      </c>
      <c r="L38" s="138">
        <v>30356</v>
      </c>
      <c r="M38" s="138">
        <v>31671</v>
      </c>
      <c r="N38" s="138">
        <v>33147</v>
      </c>
      <c r="O38" s="138">
        <v>35201</v>
      </c>
      <c r="P38" s="138">
        <v>27189</v>
      </c>
      <c r="Q38" s="138">
        <v>34844</v>
      </c>
      <c r="R38" s="138">
        <v>51580</v>
      </c>
      <c r="S38" s="138">
        <v>55045</v>
      </c>
      <c r="T38" s="138">
        <v>45329</v>
      </c>
      <c r="U38" s="138">
        <v>47983</v>
      </c>
      <c r="V38" s="138">
        <v>72658</v>
      </c>
      <c r="W38" s="138">
        <v>98924</v>
      </c>
      <c r="X38" s="138">
        <v>79497</v>
      </c>
    </row>
    <row r="39" spans="1:24" x14ac:dyDescent="0.25">
      <c r="A39" s="137"/>
      <c r="B39" s="137"/>
      <c r="C39" s="137" t="s">
        <v>263</v>
      </c>
      <c r="D39" s="138">
        <v>2223</v>
      </c>
      <c r="E39" s="138">
        <v>0</v>
      </c>
      <c r="F39" s="138">
        <v>622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469</v>
      </c>
      <c r="R39" s="138">
        <v>0</v>
      </c>
      <c r="S39" s="138">
        <v>271</v>
      </c>
      <c r="T39" s="138">
        <v>0</v>
      </c>
      <c r="U39" s="138">
        <v>98</v>
      </c>
      <c r="V39" s="138">
        <v>0</v>
      </c>
      <c r="W39" s="138">
        <v>0</v>
      </c>
      <c r="X39" s="138">
        <v>0</v>
      </c>
    </row>
    <row r="40" spans="1:24" x14ac:dyDescent="0.25">
      <c r="A40" s="137"/>
      <c r="B40" s="137"/>
      <c r="C40" s="137" t="s">
        <v>264</v>
      </c>
      <c r="D40" s="138">
        <v>40263</v>
      </c>
      <c r="E40" s="138">
        <v>40120</v>
      </c>
      <c r="F40" s="138">
        <v>51501</v>
      </c>
      <c r="G40" s="138">
        <v>36170</v>
      </c>
      <c r="H40" s="138">
        <v>44266</v>
      </c>
      <c r="I40" s="138">
        <v>52398</v>
      </c>
      <c r="J40" s="138">
        <v>47958</v>
      </c>
      <c r="K40" s="138">
        <v>70276</v>
      </c>
      <c r="L40" s="138">
        <v>68913</v>
      </c>
      <c r="M40" s="138">
        <v>73362</v>
      </c>
      <c r="N40" s="138">
        <v>92640</v>
      </c>
      <c r="O40" s="138">
        <v>95805</v>
      </c>
      <c r="P40" s="138">
        <v>79909</v>
      </c>
      <c r="Q40" s="138">
        <v>88120</v>
      </c>
      <c r="R40" s="138">
        <v>104296</v>
      </c>
      <c r="S40" s="138">
        <v>89853</v>
      </c>
      <c r="T40" s="138">
        <v>79069</v>
      </c>
      <c r="U40" s="138">
        <v>59775</v>
      </c>
      <c r="V40" s="138">
        <v>73079</v>
      </c>
      <c r="W40" s="138">
        <v>29552</v>
      </c>
      <c r="X40" s="138">
        <v>30850</v>
      </c>
    </row>
    <row r="41" spans="1:24" x14ac:dyDescent="0.25">
      <c r="A41" s="137"/>
      <c r="B41" s="137"/>
      <c r="C41" s="137" t="s">
        <v>265</v>
      </c>
      <c r="D41" s="138">
        <v>60400</v>
      </c>
      <c r="E41" s="138">
        <v>42330</v>
      </c>
      <c r="F41" s="138">
        <v>51234</v>
      </c>
      <c r="G41" s="138">
        <v>38364</v>
      </c>
      <c r="H41" s="138">
        <v>41545</v>
      </c>
      <c r="I41" s="138">
        <v>36241</v>
      </c>
      <c r="J41" s="138">
        <v>65353</v>
      </c>
      <c r="K41" s="138">
        <v>39825</v>
      </c>
      <c r="L41" s="138">
        <v>21805</v>
      </c>
      <c r="M41" s="138">
        <v>11729</v>
      </c>
      <c r="N41" s="138">
        <v>14563</v>
      </c>
      <c r="O41" s="138">
        <v>6624</v>
      </c>
      <c r="P41" s="138">
        <v>6067</v>
      </c>
      <c r="Q41" s="138">
        <v>13083</v>
      </c>
      <c r="R41" s="138">
        <v>2282</v>
      </c>
      <c r="S41" s="138">
        <v>760</v>
      </c>
      <c r="T41" s="138">
        <v>19</v>
      </c>
      <c r="U41" s="138">
        <v>788</v>
      </c>
      <c r="V41" s="138">
        <v>70</v>
      </c>
      <c r="W41" s="138">
        <v>0</v>
      </c>
      <c r="X41" s="138">
        <v>0</v>
      </c>
    </row>
    <row r="42" spans="1:24" x14ac:dyDescent="0.25">
      <c r="A42" s="137"/>
      <c r="B42" s="137"/>
      <c r="C42" s="137" t="s">
        <v>266</v>
      </c>
      <c r="D42" s="138">
        <v>61</v>
      </c>
      <c r="E42" s="138">
        <v>112</v>
      </c>
      <c r="F42" s="138">
        <v>346</v>
      </c>
      <c r="G42" s="138">
        <v>292</v>
      </c>
      <c r="H42" s="138">
        <v>308</v>
      </c>
      <c r="I42" s="138">
        <v>297</v>
      </c>
      <c r="J42" s="138">
        <v>327</v>
      </c>
      <c r="K42" s="138">
        <v>272</v>
      </c>
      <c r="L42" s="138">
        <v>472</v>
      </c>
      <c r="M42" s="138">
        <v>514</v>
      </c>
      <c r="N42" s="138">
        <v>486</v>
      </c>
      <c r="O42" s="138">
        <v>387</v>
      </c>
      <c r="P42" s="138">
        <v>383</v>
      </c>
      <c r="Q42" s="138">
        <v>399</v>
      </c>
      <c r="R42" s="138">
        <v>435</v>
      </c>
      <c r="S42" s="138">
        <v>419</v>
      </c>
      <c r="T42" s="138">
        <v>342</v>
      </c>
      <c r="U42" s="138">
        <v>273</v>
      </c>
      <c r="V42" s="138">
        <v>166</v>
      </c>
      <c r="W42" s="138">
        <v>190</v>
      </c>
      <c r="X42" s="138">
        <v>348</v>
      </c>
    </row>
    <row r="43" spans="1:24" x14ac:dyDescent="0.25">
      <c r="A43" s="137"/>
      <c r="B43" s="137"/>
      <c r="C43" s="137" t="s">
        <v>275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43</v>
      </c>
      <c r="P43" s="138">
        <v>10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138">
        <v>0</v>
      </c>
      <c r="W43" s="138">
        <v>0</v>
      </c>
      <c r="X43" s="138">
        <v>0</v>
      </c>
    </row>
    <row r="44" spans="1:24" x14ac:dyDescent="0.25">
      <c r="A44" s="137"/>
      <c r="B44" s="137"/>
      <c r="C44" s="137" t="s">
        <v>268</v>
      </c>
      <c r="D44" s="138">
        <v>28</v>
      </c>
      <c r="E44" s="138">
        <v>28</v>
      </c>
      <c r="F44" s="138">
        <v>13</v>
      </c>
      <c r="G44" s="138">
        <v>31</v>
      </c>
      <c r="H44" s="138">
        <v>32</v>
      </c>
      <c r="I44" s="138">
        <v>68</v>
      </c>
      <c r="J44" s="138">
        <v>38</v>
      </c>
      <c r="K44" s="138">
        <v>61</v>
      </c>
      <c r="L44" s="138">
        <v>199</v>
      </c>
      <c r="M44" s="138">
        <v>218</v>
      </c>
      <c r="N44" s="138">
        <v>238</v>
      </c>
      <c r="O44" s="138">
        <v>535</v>
      </c>
      <c r="P44" s="138">
        <v>1219</v>
      </c>
      <c r="Q44" s="138">
        <v>1385</v>
      </c>
      <c r="R44" s="138">
        <v>375</v>
      </c>
      <c r="S44" s="138">
        <v>700</v>
      </c>
      <c r="T44" s="138">
        <v>305</v>
      </c>
      <c r="U44" s="138">
        <v>45</v>
      </c>
      <c r="V44" s="138">
        <v>57</v>
      </c>
      <c r="W44" s="138">
        <v>107</v>
      </c>
      <c r="X44" s="138">
        <v>1319</v>
      </c>
    </row>
    <row r="45" spans="1:24" x14ac:dyDescent="0.25">
      <c r="A45" s="137"/>
      <c r="B45" s="137"/>
      <c r="C45" s="137" t="s">
        <v>671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1268</v>
      </c>
      <c r="S45" s="138">
        <v>1235</v>
      </c>
      <c r="T45" s="138">
        <v>1182</v>
      </c>
      <c r="U45" s="138">
        <v>916</v>
      </c>
      <c r="V45" s="138">
        <v>720</v>
      </c>
      <c r="W45" s="138">
        <v>936</v>
      </c>
      <c r="X45" s="138">
        <v>0</v>
      </c>
    </row>
    <row r="46" spans="1:24" x14ac:dyDescent="0.25">
      <c r="A46" s="137"/>
      <c r="B46" s="137" t="s">
        <v>271</v>
      </c>
      <c r="C46" s="137"/>
      <c r="D46" s="138">
        <v>206645</v>
      </c>
      <c r="E46" s="138">
        <v>197303</v>
      </c>
      <c r="F46" s="138">
        <v>229166</v>
      </c>
      <c r="G46" s="138">
        <v>193482</v>
      </c>
      <c r="H46" s="138">
        <v>191943</v>
      </c>
      <c r="I46" s="138">
        <v>228090</v>
      </c>
      <c r="J46" s="138">
        <v>253205</v>
      </c>
      <c r="K46" s="138">
        <v>247828</v>
      </c>
      <c r="L46" s="138">
        <v>217346</v>
      </c>
      <c r="M46" s="138">
        <v>228894</v>
      </c>
      <c r="N46" s="138">
        <v>265848</v>
      </c>
      <c r="O46" s="138">
        <v>255668</v>
      </c>
      <c r="P46" s="138">
        <v>225398</v>
      </c>
      <c r="Q46" s="138">
        <v>289995</v>
      </c>
      <c r="R46" s="138">
        <v>412514</v>
      </c>
      <c r="S46" s="138">
        <v>335967</v>
      </c>
      <c r="T46" s="138">
        <v>349077</v>
      </c>
      <c r="U46" s="138">
        <v>311065</v>
      </c>
      <c r="V46" s="138">
        <v>313203</v>
      </c>
      <c r="W46" s="138">
        <v>323750</v>
      </c>
      <c r="X46" s="138">
        <v>271263</v>
      </c>
    </row>
    <row r="47" spans="1:24" x14ac:dyDescent="0.25">
      <c r="A47" s="137" t="s">
        <v>252</v>
      </c>
      <c r="B47" s="137" t="s">
        <v>272</v>
      </c>
      <c r="C47" s="137" t="s">
        <v>3</v>
      </c>
      <c r="D47" s="138">
        <v>56065</v>
      </c>
      <c r="E47" s="138">
        <v>47111</v>
      </c>
      <c r="F47" s="138">
        <v>54209</v>
      </c>
      <c r="G47" s="138">
        <v>48337</v>
      </c>
      <c r="H47" s="138">
        <v>45529</v>
      </c>
      <c r="I47" s="138">
        <v>60739</v>
      </c>
      <c r="J47" s="138">
        <v>63246</v>
      </c>
      <c r="K47" s="138">
        <v>52953</v>
      </c>
      <c r="L47" s="138">
        <v>66852</v>
      </c>
      <c r="M47" s="138">
        <v>76577</v>
      </c>
      <c r="N47" s="138">
        <v>85850</v>
      </c>
      <c r="O47" s="138">
        <v>71455</v>
      </c>
      <c r="P47" s="138">
        <v>83000</v>
      </c>
      <c r="Q47" s="138">
        <v>79497</v>
      </c>
      <c r="R47" s="138">
        <v>89450</v>
      </c>
      <c r="S47" s="138">
        <v>85252</v>
      </c>
      <c r="T47" s="138">
        <v>86983</v>
      </c>
      <c r="U47" s="138">
        <v>110368</v>
      </c>
      <c r="V47" s="138">
        <v>110131</v>
      </c>
      <c r="W47" s="138">
        <v>111456</v>
      </c>
      <c r="X47" s="138">
        <v>140117</v>
      </c>
    </row>
    <row r="48" spans="1:24" x14ac:dyDescent="0.25">
      <c r="A48" s="137"/>
      <c r="B48" s="137"/>
      <c r="C48" s="137" t="s">
        <v>258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3</v>
      </c>
      <c r="Q48" s="138">
        <v>11</v>
      </c>
      <c r="R48" s="138">
        <v>13</v>
      </c>
      <c r="S48" s="138">
        <v>9</v>
      </c>
      <c r="T48" s="138">
        <v>61</v>
      </c>
      <c r="U48" s="138">
        <v>18</v>
      </c>
      <c r="V48" s="138">
        <v>20</v>
      </c>
      <c r="W48" s="138">
        <v>56</v>
      </c>
      <c r="X48" s="138">
        <v>71</v>
      </c>
    </row>
    <row r="49" spans="1:24" x14ac:dyDescent="0.25">
      <c r="A49" s="137"/>
      <c r="B49" s="137"/>
      <c r="C49" s="137" t="s">
        <v>259</v>
      </c>
      <c r="D49" s="138">
        <v>455</v>
      </c>
      <c r="E49" s="138">
        <v>213</v>
      </c>
      <c r="F49" s="138">
        <v>194</v>
      </c>
      <c r="G49" s="138">
        <v>169</v>
      </c>
      <c r="H49" s="138">
        <v>262</v>
      </c>
      <c r="I49" s="138">
        <v>335</v>
      </c>
      <c r="J49" s="138">
        <v>309</v>
      </c>
      <c r="K49" s="138">
        <v>367</v>
      </c>
      <c r="L49" s="138">
        <v>549</v>
      </c>
      <c r="M49" s="138">
        <v>437</v>
      </c>
      <c r="N49" s="138">
        <v>534</v>
      </c>
      <c r="O49" s="138">
        <v>488</v>
      </c>
      <c r="P49" s="138">
        <v>1056</v>
      </c>
      <c r="Q49" s="138">
        <v>1593</v>
      </c>
      <c r="R49" s="138">
        <v>1623</v>
      </c>
      <c r="S49" s="138">
        <v>1064</v>
      </c>
      <c r="T49" s="138">
        <v>1617</v>
      </c>
      <c r="U49" s="138">
        <v>1318</v>
      </c>
      <c r="V49" s="138">
        <v>1121</v>
      </c>
      <c r="W49" s="138">
        <v>1172</v>
      </c>
      <c r="X49" s="138">
        <v>1566</v>
      </c>
    </row>
    <row r="50" spans="1:24" x14ac:dyDescent="0.25">
      <c r="A50" s="137"/>
      <c r="B50" s="137"/>
      <c r="C50" s="137" t="s">
        <v>4</v>
      </c>
      <c r="D50" s="138">
        <v>104547</v>
      </c>
      <c r="E50" s="138">
        <v>91755</v>
      </c>
      <c r="F50" s="138">
        <v>105333</v>
      </c>
      <c r="G50" s="138">
        <v>89375</v>
      </c>
      <c r="H50" s="138">
        <v>81068</v>
      </c>
      <c r="I50" s="138">
        <v>108298</v>
      </c>
      <c r="J50" s="138">
        <v>122947</v>
      </c>
      <c r="K50" s="138">
        <v>109770</v>
      </c>
      <c r="L50" s="138">
        <v>122722</v>
      </c>
      <c r="M50" s="138">
        <v>152102</v>
      </c>
      <c r="N50" s="138">
        <v>148748</v>
      </c>
      <c r="O50" s="138">
        <v>141307</v>
      </c>
      <c r="P50" s="138">
        <v>155569</v>
      </c>
      <c r="Q50" s="138">
        <v>165206</v>
      </c>
      <c r="R50" s="138">
        <v>167815</v>
      </c>
      <c r="S50" s="138">
        <v>168167</v>
      </c>
      <c r="T50" s="138">
        <v>189739</v>
      </c>
      <c r="U50" s="138">
        <v>150469</v>
      </c>
      <c r="V50" s="138">
        <v>226254</v>
      </c>
      <c r="W50" s="138">
        <v>180120</v>
      </c>
      <c r="X50" s="138">
        <v>229384</v>
      </c>
    </row>
    <row r="51" spans="1:24" x14ac:dyDescent="0.25">
      <c r="A51" s="137"/>
      <c r="B51" s="137"/>
      <c r="C51" s="137" t="s">
        <v>267</v>
      </c>
      <c r="D51" s="138">
        <v>484</v>
      </c>
      <c r="E51" s="138">
        <v>414</v>
      </c>
      <c r="F51" s="138">
        <v>451</v>
      </c>
      <c r="G51" s="138">
        <v>387</v>
      </c>
      <c r="H51" s="138">
        <v>823</v>
      </c>
      <c r="I51" s="138">
        <v>1039</v>
      </c>
      <c r="J51" s="138">
        <v>1360</v>
      </c>
      <c r="K51" s="138">
        <v>1037</v>
      </c>
      <c r="L51" s="138">
        <v>2325</v>
      </c>
      <c r="M51" s="138">
        <v>2519</v>
      </c>
      <c r="N51" s="138">
        <v>2359</v>
      </c>
      <c r="O51" s="138">
        <v>1816</v>
      </c>
      <c r="P51" s="138">
        <v>3929</v>
      </c>
      <c r="Q51" s="138">
        <v>4353</v>
      </c>
      <c r="R51" s="138">
        <v>3916</v>
      </c>
      <c r="S51" s="138">
        <v>3907</v>
      </c>
      <c r="T51" s="138">
        <v>5726</v>
      </c>
      <c r="U51" s="138">
        <v>5009</v>
      </c>
      <c r="V51" s="138">
        <v>5379</v>
      </c>
      <c r="W51" s="138">
        <v>5456</v>
      </c>
      <c r="X51" s="138">
        <v>6827</v>
      </c>
    </row>
    <row r="52" spans="1:24" x14ac:dyDescent="0.25">
      <c r="A52" s="137"/>
      <c r="B52" s="137" t="s">
        <v>273</v>
      </c>
      <c r="C52" s="137"/>
      <c r="D52" s="138">
        <v>161551</v>
      </c>
      <c r="E52" s="138">
        <v>139493</v>
      </c>
      <c r="F52" s="138">
        <v>160187</v>
      </c>
      <c r="G52" s="138">
        <v>138268</v>
      </c>
      <c r="H52" s="138">
        <v>127682</v>
      </c>
      <c r="I52" s="138">
        <v>170411</v>
      </c>
      <c r="J52" s="138">
        <v>187862</v>
      </c>
      <c r="K52" s="138">
        <v>164127</v>
      </c>
      <c r="L52" s="138">
        <v>192448</v>
      </c>
      <c r="M52" s="138">
        <v>231635</v>
      </c>
      <c r="N52" s="138">
        <v>237491</v>
      </c>
      <c r="O52" s="138">
        <v>215066</v>
      </c>
      <c r="P52" s="138">
        <v>243557</v>
      </c>
      <c r="Q52" s="138">
        <v>250660</v>
      </c>
      <c r="R52" s="138">
        <v>262817</v>
      </c>
      <c r="S52" s="138">
        <v>258399</v>
      </c>
      <c r="T52" s="138">
        <v>284126</v>
      </c>
      <c r="U52" s="138">
        <v>267182</v>
      </c>
      <c r="V52" s="138">
        <v>342905</v>
      </c>
      <c r="W52" s="138">
        <v>298260</v>
      </c>
      <c r="X52" s="138">
        <v>377965</v>
      </c>
    </row>
    <row r="53" spans="1:24" x14ac:dyDescent="0.25">
      <c r="A53" s="137"/>
      <c r="B53" s="137" t="s">
        <v>270</v>
      </c>
      <c r="C53" s="137" t="s">
        <v>256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</row>
    <row r="54" spans="1:24" x14ac:dyDescent="0.25">
      <c r="A54" s="137"/>
      <c r="B54" s="137"/>
      <c r="C54" s="137" t="s">
        <v>257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0</v>
      </c>
      <c r="T54" s="138">
        <v>0</v>
      </c>
      <c r="U54" s="138">
        <v>0</v>
      </c>
      <c r="V54" s="138">
        <v>0</v>
      </c>
      <c r="W54" s="138">
        <v>0</v>
      </c>
      <c r="X54" s="138">
        <v>0</v>
      </c>
    </row>
    <row r="55" spans="1:24" x14ac:dyDescent="0.25">
      <c r="A55" s="137"/>
      <c r="B55" s="137"/>
      <c r="C55" s="137" t="s">
        <v>7</v>
      </c>
      <c r="D55" s="138">
        <v>148</v>
      </c>
      <c r="E55" s="138">
        <v>1256</v>
      </c>
      <c r="F55" s="138">
        <v>1287</v>
      </c>
      <c r="G55" s="138">
        <v>483</v>
      </c>
      <c r="H55" s="138">
        <v>514</v>
      </c>
      <c r="I55" s="138">
        <v>906</v>
      </c>
      <c r="J55" s="138">
        <v>2144</v>
      </c>
      <c r="K55" s="138">
        <v>1286</v>
      </c>
      <c r="L55" s="138">
        <v>659</v>
      </c>
      <c r="M55" s="138">
        <v>1134</v>
      </c>
      <c r="N55" s="138">
        <v>1096</v>
      </c>
      <c r="O55" s="138">
        <v>593</v>
      </c>
      <c r="P55" s="138">
        <v>1869</v>
      </c>
      <c r="Q55" s="138">
        <v>1406</v>
      </c>
      <c r="R55" s="138">
        <v>1513</v>
      </c>
      <c r="S55" s="138">
        <v>942</v>
      </c>
      <c r="T55" s="138">
        <v>159</v>
      </c>
      <c r="U55" s="138">
        <v>3928</v>
      </c>
      <c r="V55" s="138">
        <v>1445</v>
      </c>
      <c r="W55" s="138">
        <v>3193</v>
      </c>
      <c r="X55" s="138">
        <v>634</v>
      </c>
    </row>
    <row r="56" spans="1:24" x14ac:dyDescent="0.25">
      <c r="A56" s="137"/>
      <c r="B56" s="137"/>
      <c r="C56" s="137" t="s">
        <v>255</v>
      </c>
      <c r="D56" s="138">
        <v>0</v>
      </c>
      <c r="E56" s="138">
        <v>0</v>
      </c>
      <c r="F56" s="138"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18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117</v>
      </c>
      <c r="U56" s="138">
        <v>208</v>
      </c>
      <c r="V56" s="138">
        <v>302</v>
      </c>
      <c r="W56" s="138">
        <v>141</v>
      </c>
      <c r="X56" s="138">
        <v>15423</v>
      </c>
    </row>
    <row r="57" spans="1:24" x14ac:dyDescent="0.25">
      <c r="A57" s="137"/>
      <c r="B57" s="137"/>
      <c r="C57" s="137" t="s">
        <v>260</v>
      </c>
      <c r="D57" s="138">
        <v>0</v>
      </c>
      <c r="E57" s="138">
        <v>0</v>
      </c>
      <c r="F57" s="138">
        <v>0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v>0</v>
      </c>
      <c r="R57" s="138">
        <v>0</v>
      </c>
      <c r="S57" s="138">
        <v>0</v>
      </c>
      <c r="T57" s="138">
        <v>0</v>
      </c>
      <c r="U57" s="138">
        <v>0</v>
      </c>
      <c r="V57" s="138">
        <v>0</v>
      </c>
      <c r="W57" s="138">
        <v>0</v>
      </c>
      <c r="X57" s="138">
        <v>0</v>
      </c>
    </row>
    <row r="58" spans="1:24" x14ac:dyDescent="0.25">
      <c r="A58" s="137"/>
      <c r="B58" s="137"/>
      <c r="C58" s="137" t="s">
        <v>261</v>
      </c>
      <c r="D58" s="138">
        <v>0</v>
      </c>
      <c r="E58" s="138">
        <v>0</v>
      </c>
      <c r="F58" s="138">
        <v>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  <c r="U58" s="138">
        <v>0</v>
      </c>
      <c r="V58" s="138">
        <v>0</v>
      </c>
      <c r="W58" s="138">
        <v>0</v>
      </c>
      <c r="X58" s="138">
        <v>0</v>
      </c>
    </row>
    <row r="59" spans="1:24" x14ac:dyDescent="0.25">
      <c r="A59" s="137"/>
      <c r="B59" s="137"/>
      <c r="C59" s="137" t="s">
        <v>262</v>
      </c>
      <c r="D59" s="138">
        <v>0</v>
      </c>
      <c r="E59" s="138">
        <v>1516</v>
      </c>
      <c r="F59" s="138">
        <v>2383</v>
      </c>
      <c r="G59" s="138">
        <v>0</v>
      </c>
      <c r="H59" s="138">
        <v>0</v>
      </c>
      <c r="I59" s="138">
        <v>8226</v>
      </c>
      <c r="J59" s="138">
        <v>0</v>
      </c>
      <c r="K59" s="138">
        <v>0</v>
      </c>
      <c r="L59" s="138">
        <v>292</v>
      </c>
      <c r="M59" s="138">
        <v>0</v>
      </c>
      <c r="N59" s="138">
        <v>0</v>
      </c>
      <c r="O59" s="138">
        <v>3765</v>
      </c>
      <c r="P59" s="138">
        <v>0</v>
      </c>
      <c r="Q59" s="138">
        <v>388</v>
      </c>
      <c r="R59" s="138">
        <v>354</v>
      </c>
      <c r="S59" s="138">
        <v>4915</v>
      </c>
      <c r="T59" s="138">
        <v>106</v>
      </c>
      <c r="U59" s="138">
        <v>3</v>
      </c>
      <c r="V59" s="138">
        <v>6032</v>
      </c>
      <c r="W59" s="138">
        <v>1252</v>
      </c>
      <c r="X59" s="138">
        <v>1528</v>
      </c>
    </row>
    <row r="60" spans="1:24" x14ac:dyDescent="0.25">
      <c r="A60" s="137"/>
      <c r="B60" s="137"/>
      <c r="C60" s="137" t="s">
        <v>263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38">
        <v>0</v>
      </c>
      <c r="S60" s="138">
        <v>0</v>
      </c>
      <c r="T60" s="138">
        <v>4</v>
      </c>
      <c r="U60" s="138">
        <v>0</v>
      </c>
      <c r="V60" s="138">
        <v>0</v>
      </c>
      <c r="W60" s="138">
        <v>0</v>
      </c>
      <c r="X60" s="138">
        <v>0</v>
      </c>
    </row>
    <row r="61" spans="1:24" x14ac:dyDescent="0.25">
      <c r="A61" s="137"/>
      <c r="B61" s="137"/>
      <c r="C61" s="137" t="s">
        <v>264</v>
      </c>
      <c r="D61" s="138">
        <v>0</v>
      </c>
      <c r="E61" s="138">
        <v>1817</v>
      </c>
      <c r="F61" s="138">
        <v>1447</v>
      </c>
      <c r="G61" s="138">
        <v>2771</v>
      </c>
      <c r="H61" s="138">
        <v>7370</v>
      </c>
      <c r="I61" s="138">
        <v>2800</v>
      </c>
      <c r="J61" s="138">
        <v>3123</v>
      </c>
      <c r="K61" s="138">
        <v>3653</v>
      </c>
      <c r="L61" s="138">
        <v>3494</v>
      </c>
      <c r="M61" s="138">
        <v>2984</v>
      </c>
      <c r="N61" s="138">
        <v>5393</v>
      </c>
      <c r="O61" s="138">
        <v>3490</v>
      </c>
      <c r="P61" s="138">
        <v>4010</v>
      </c>
      <c r="Q61" s="138">
        <v>8574</v>
      </c>
      <c r="R61" s="138">
        <v>11085</v>
      </c>
      <c r="S61" s="138">
        <v>1691</v>
      </c>
      <c r="T61" s="138">
        <v>1334</v>
      </c>
      <c r="U61" s="138">
        <v>0</v>
      </c>
      <c r="V61" s="138">
        <v>4652</v>
      </c>
      <c r="W61" s="138">
        <v>3455</v>
      </c>
      <c r="X61" s="138">
        <v>149</v>
      </c>
    </row>
    <row r="62" spans="1:24" x14ac:dyDescent="0.25">
      <c r="A62" s="137"/>
      <c r="B62" s="137"/>
      <c r="C62" s="137" t="s">
        <v>265</v>
      </c>
      <c r="D62" s="138">
        <v>0</v>
      </c>
      <c r="E62" s="138">
        <v>480</v>
      </c>
      <c r="F62" s="138">
        <v>2618</v>
      </c>
      <c r="G62" s="138">
        <v>905</v>
      </c>
      <c r="H62" s="138">
        <v>3234</v>
      </c>
      <c r="I62" s="138">
        <v>2470</v>
      </c>
      <c r="J62" s="138">
        <v>12273</v>
      </c>
      <c r="K62" s="138">
        <v>17390</v>
      </c>
      <c r="L62" s="138">
        <v>203</v>
      </c>
      <c r="M62" s="138">
        <v>0</v>
      </c>
      <c r="N62" s="138">
        <v>10</v>
      </c>
      <c r="O62" s="138">
        <v>206</v>
      </c>
      <c r="P62" s="138">
        <v>282</v>
      </c>
      <c r="Q62" s="138">
        <v>9</v>
      </c>
      <c r="R62" s="138">
        <v>4</v>
      </c>
      <c r="S62" s="138">
        <v>0</v>
      </c>
      <c r="T62" s="138">
        <v>0</v>
      </c>
      <c r="U62" s="138">
        <v>0</v>
      </c>
      <c r="V62" s="138">
        <v>788</v>
      </c>
      <c r="W62" s="138">
        <v>0</v>
      </c>
      <c r="X62" s="138">
        <v>0</v>
      </c>
    </row>
    <row r="63" spans="1:24" x14ac:dyDescent="0.25">
      <c r="A63" s="137"/>
      <c r="B63" s="137"/>
      <c r="C63" s="137" t="s">
        <v>266</v>
      </c>
      <c r="D63" s="138">
        <v>0</v>
      </c>
      <c r="E63" s="138">
        <v>0</v>
      </c>
      <c r="F63" s="138">
        <v>0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8">
        <v>0</v>
      </c>
      <c r="R63" s="138">
        <v>0</v>
      </c>
      <c r="S63" s="138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0</v>
      </c>
    </row>
    <row r="64" spans="1:24" x14ac:dyDescent="0.25">
      <c r="A64" s="137"/>
      <c r="B64" s="137"/>
      <c r="C64" s="137" t="s">
        <v>275</v>
      </c>
      <c r="D64" s="138">
        <v>0</v>
      </c>
      <c r="E64" s="138">
        <v>0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v>0</v>
      </c>
      <c r="R64" s="138">
        <v>0</v>
      </c>
      <c r="S64" s="138">
        <v>0</v>
      </c>
      <c r="T64" s="138">
        <v>0</v>
      </c>
      <c r="U64" s="138">
        <v>0</v>
      </c>
      <c r="V64" s="138">
        <v>0</v>
      </c>
      <c r="W64" s="138">
        <v>0</v>
      </c>
      <c r="X64" s="138">
        <v>0</v>
      </c>
    </row>
    <row r="65" spans="1:43" x14ac:dyDescent="0.25">
      <c r="A65" s="137"/>
      <c r="B65" s="137"/>
      <c r="C65" s="137" t="s">
        <v>268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</row>
    <row r="66" spans="1:43" x14ac:dyDescent="0.25">
      <c r="A66" s="137"/>
      <c r="B66" s="137"/>
      <c r="C66" s="137" t="s">
        <v>671</v>
      </c>
      <c r="D66" s="138">
        <v>0</v>
      </c>
      <c r="E66" s="138">
        <v>0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  <c r="U66" s="138">
        <v>0</v>
      </c>
      <c r="V66" s="138">
        <v>0</v>
      </c>
      <c r="W66" s="138">
        <v>0</v>
      </c>
      <c r="X66" s="138">
        <v>0</v>
      </c>
    </row>
    <row r="67" spans="1:43" x14ac:dyDescent="0.25">
      <c r="A67" s="137"/>
      <c r="B67" s="137" t="s">
        <v>271</v>
      </c>
      <c r="C67" s="137"/>
      <c r="D67" s="138">
        <v>148</v>
      </c>
      <c r="E67" s="138">
        <v>5069</v>
      </c>
      <c r="F67" s="138">
        <v>7735</v>
      </c>
      <c r="G67" s="138">
        <v>4159</v>
      </c>
      <c r="H67" s="138">
        <v>11118</v>
      </c>
      <c r="I67" s="138">
        <v>14402</v>
      </c>
      <c r="J67" s="138">
        <v>17540</v>
      </c>
      <c r="K67" s="138">
        <v>22329</v>
      </c>
      <c r="L67" s="138">
        <v>4666</v>
      </c>
      <c r="M67" s="138">
        <v>4118</v>
      </c>
      <c r="N67" s="138">
        <v>6499</v>
      </c>
      <c r="O67" s="138">
        <v>8054</v>
      </c>
      <c r="P67" s="138">
        <v>6161</v>
      </c>
      <c r="Q67" s="138">
        <v>10377</v>
      </c>
      <c r="R67" s="138">
        <v>12956</v>
      </c>
      <c r="S67" s="138">
        <v>7548</v>
      </c>
      <c r="T67" s="138">
        <v>1720</v>
      </c>
      <c r="U67" s="138">
        <v>4139</v>
      </c>
      <c r="V67" s="138">
        <v>13219</v>
      </c>
      <c r="W67" s="138">
        <v>8041</v>
      </c>
      <c r="X67" s="138">
        <v>17734</v>
      </c>
    </row>
    <row r="68" spans="1:43" s="129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43" s="129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43" s="129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43" s="129" customFormat="1" x14ac:dyDescent="0.25">
      <c r="A71" s="137"/>
      <c r="B71" s="137"/>
      <c r="C71" s="137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</row>
    <row r="72" spans="1:43" s="129" customFormat="1" x14ac:dyDescent="0.25">
      <c r="A72" s="137"/>
      <c r="B72" s="137"/>
      <c r="C72" s="137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</row>
    <row r="73" spans="1:43" s="129" customFormat="1" x14ac:dyDescent="0.25">
      <c r="A73" s="137"/>
      <c r="B73" s="137"/>
      <c r="C73" s="137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</row>
    <row r="74" spans="1:43" x14ac:dyDescent="0.25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43" ht="21" x14ac:dyDescent="0.35">
      <c r="A75" s="94" t="s">
        <v>707</v>
      </c>
      <c r="B75" s="38"/>
      <c r="C75" s="38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8"/>
      <c r="Q75" s="8"/>
      <c r="R75" s="8"/>
      <c r="S75" s="8"/>
    </row>
    <row r="76" spans="1:43" x14ac:dyDescent="0.25">
      <c r="B76" s="38" t="s">
        <v>618</v>
      </c>
      <c r="C76" s="38"/>
      <c r="D76" s="66">
        <f t="shared" ref="D76:AQ76" si="0">D3</f>
        <v>42370</v>
      </c>
      <c r="E76" s="66">
        <f t="shared" si="0"/>
        <v>42461</v>
      </c>
      <c r="F76" s="66">
        <f t="shared" si="0"/>
        <v>42552</v>
      </c>
      <c r="G76" s="66">
        <f t="shared" si="0"/>
        <v>42644</v>
      </c>
      <c r="H76" s="66">
        <f t="shared" si="0"/>
        <v>42736</v>
      </c>
      <c r="I76" s="66">
        <f t="shared" si="0"/>
        <v>42826</v>
      </c>
      <c r="J76" s="66">
        <f t="shared" si="0"/>
        <v>42917</v>
      </c>
      <c r="K76" s="66">
        <f t="shared" si="0"/>
        <v>43009</v>
      </c>
      <c r="L76" s="66">
        <f t="shared" si="0"/>
        <v>43101</v>
      </c>
      <c r="M76" s="66">
        <f t="shared" si="0"/>
        <v>43191</v>
      </c>
      <c r="N76" s="66">
        <f t="shared" si="0"/>
        <v>43282</v>
      </c>
      <c r="O76" s="66">
        <f t="shared" si="0"/>
        <v>43374</v>
      </c>
      <c r="P76" s="66">
        <f t="shared" si="0"/>
        <v>43466</v>
      </c>
      <c r="Q76" s="66">
        <f t="shared" si="0"/>
        <v>43556</v>
      </c>
      <c r="R76" s="66">
        <f t="shared" si="0"/>
        <v>43647</v>
      </c>
      <c r="S76" s="66">
        <f t="shared" si="0"/>
        <v>43739</v>
      </c>
      <c r="T76" s="66">
        <f t="shared" si="0"/>
        <v>43831</v>
      </c>
      <c r="U76" s="66">
        <f t="shared" si="0"/>
        <v>43922</v>
      </c>
      <c r="V76" s="66">
        <f>V3</f>
        <v>44013</v>
      </c>
      <c r="W76" s="66">
        <f t="shared" si="0"/>
        <v>44105</v>
      </c>
      <c r="X76" s="66">
        <f t="shared" si="0"/>
        <v>44197</v>
      </c>
      <c r="Y76" s="66">
        <f t="shared" si="0"/>
        <v>44287</v>
      </c>
      <c r="Z76" s="66">
        <f t="shared" si="0"/>
        <v>44378</v>
      </c>
      <c r="AA76" s="66">
        <f t="shared" si="0"/>
        <v>44470</v>
      </c>
      <c r="AB76" s="66">
        <f t="shared" si="0"/>
        <v>44562</v>
      </c>
      <c r="AC76" s="66">
        <f t="shared" si="0"/>
        <v>44652</v>
      </c>
      <c r="AD76" s="66">
        <f t="shared" si="0"/>
        <v>44743</v>
      </c>
      <c r="AE76" s="66">
        <f t="shared" si="0"/>
        <v>44835</v>
      </c>
      <c r="AF76" s="66">
        <f t="shared" si="0"/>
        <v>44927</v>
      </c>
      <c r="AG76" s="66">
        <f t="shared" si="0"/>
        <v>45017</v>
      </c>
      <c r="AH76" s="66">
        <f t="shared" si="0"/>
        <v>45108</v>
      </c>
      <c r="AI76" s="66">
        <f t="shared" si="0"/>
        <v>45200</v>
      </c>
      <c r="AJ76" s="66">
        <f t="shared" si="0"/>
        <v>45292</v>
      </c>
      <c r="AK76" s="66">
        <f t="shared" si="0"/>
        <v>45383</v>
      </c>
      <c r="AL76" s="66">
        <f t="shared" si="0"/>
        <v>45474</v>
      </c>
      <c r="AM76" s="66">
        <f t="shared" si="0"/>
        <v>45566</v>
      </c>
      <c r="AN76" s="66">
        <f t="shared" si="0"/>
        <v>45658</v>
      </c>
      <c r="AO76" s="66">
        <f t="shared" si="0"/>
        <v>45748</v>
      </c>
      <c r="AP76" s="66">
        <f t="shared" si="0"/>
        <v>45839</v>
      </c>
      <c r="AQ76" s="66">
        <f t="shared" si="0"/>
        <v>45931</v>
      </c>
    </row>
    <row r="77" spans="1:43" s="67" customFormat="1" x14ac:dyDescent="0.25">
      <c r="C77" s="67" t="s">
        <v>551</v>
      </c>
      <c r="D77" s="68">
        <f t="shared" ref="D77:S77" si="1">SUM(D7,0.9*D8)</f>
        <v>381383659.69999999</v>
      </c>
      <c r="E77" s="68">
        <f t="shared" si="1"/>
        <v>328075962.39999998</v>
      </c>
      <c r="F77" s="68">
        <f t="shared" si="1"/>
        <v>379266357.10000002</v>
      </c>
      <c r="G77" s="68">
        <f t="shared" si="1"/>
        <v>336253578.89999998</v>
      </c>
      <c r="H77" s="68">
        <f t="shared" si="1"/>
        <v>277814931.10000002</v>
      </c>
      <c r="I77" s="68">
        <f t="shared" si="1"/>
        <v>368121419.5</v>
      </c>
      <c r="J77" s="68">
        <f t="shared" si="1"/>
        <v>423128254.60000002</v>
      </c>
      <c r="K77" s="68">
        <f t="shared" si="1"/>
        <v>375289359.30000001</v>
      </c>
      <c r="L77" s="68">
        <f t="shared" si="1"/>
        <v>338548507.10000002</v>
      </c>
      <c r="M77" s="68">
        <f t="shared" si="1"/>
        <v>415029028.10000002</v>
      </c>
      <c r="N77" s="68">
        <f t="shared" si="1"/>
        <v>407048080.69999999</v>
      </c>
      <c r="O77" s="68">
        <f t="shared" si="1"/>
        <v>378789890.89999998</v>
      </c>
      <c r="P77" s="68">
        <f t="shared" si="1"/>
        <v>372492659.80000001</v>
      </c>
      <c r="Q77" s="68">
        <f t="shared" si="1"/>
        <v>393899061.39999998</v>
      </c>
      <c r="R77" s="68">
        <f t="shared" si="1"/>
        <v>396686453.10000002</v>
      </c>
      <c r="S77" s="68">
        <f t="shared" si="1"/>
        <v>402271955.80000001</v>
      </c>
      <c r="T77" s="68">
        <f>SUM(T7,0.9*T8)</f>
        <v>326634311.60000002</v>
      </c>
      <c r="U77" s="68">
        <f>SUM(U7,0.9*U8)</f>
        <v>252565915.09999999</v>
      </c>
      <c r="V77" s="68">
        <f>SUM(V7,0.9*V8)</f>
        <v>391925789.39999998</v>
      </c>
      <c r="W77" s="68">
        <f>SUM(W7,0.9*W8)</f>
        <v>310872228.60000002</v>
      </c>
      <c r="X77" s="68">
        <f t="shared" ref="X77:AE77" si="2">X80-X78</f>
        <v>320300505.83796024</v>
      </c>
      <c r="Y77" s="68">
        <f t="shared" si="2"/>
        <v>329848854.70980209</v>
      </c>
      <c r="Z77" s="68">
        <f t="shared" si="2"/>
        <v>419444027.11587024</v>
      </c>
      <c r="AA77" s="68">
        <f t="shared" si="2"/>
        <v>334155835.80472648</v>
      </c>
      <c r="AB77" s="68">
        <f t="shared" si="2"/>
        <v>327717644.81783783</v>
      </c>
      <c r="AC77" s="68">
        <f t="shared" si="2"/>
        <v>325641086.22089696</v>
      </c>
      <c r="AD77" s="68">
        <f t="shared" si="2"/>
        <v>420441613.04929745</v>
      </c>
      <c r="AE77" s="68">
        <f t="shared" si="2"/>
        <v>333428745.04728168</v>
      </c>
    </row>
    <row r="78" spans="1:43" s="67" customFormat="1" x14ac:dyDescent="0.25">
      <c r="C78" s="67" t="s">
        <v>5</v>
      </c>
      <c r="D78" s="68">
        <f t="shared" ref="D78:S78" si="3">SUM(0.1*D8,D16:D19)</f>
        <v>50904982.299999997</v>
      </c>
      <c r="E78" s="68">
        <f t="shared" si="3"/>
        <v>41169772.600000001</v>
      </c>
      <c r="F78" s="68">
        <f t="shared" si="3"/>
        <v>46844753.899999999</v>
      </c>
      <c r="G78" s="68">
        <f t="shared" si="3"/>
        <v>38687842.100000001</v>
      </c>
      <c r="H78" s="68">
        <f>SUM(0.1*H8,H16:H19)</f>
        <v>39795000.899999999</v>
      </c>
      <c r="I78" s="68">
        <f t="shared" si="3"/>
        <v>42848673.5</v>
      </c>
      <c r="J78" s="68">
        <f t="shared" si="3"/>
        <v>49152301.399999999</v>
      </c>
      <c r="K78" s="68">
        <f t="shared" si="3"/>
        <v>42482357.700000003</v>
      </c>
      <c r="L78" s="68">
        <f t="shared" si="3"/>
        <v>41973456.899999999</v>
      </c>
      <c r="M78" s="68">
        <f t="shared" si="3"/>
        <v>40297149.899999999</v>
      </c>
      <c r="N78" s="68">
        <f t="shared" si="3"/>
        <v>46877337.299999997</v>
      </c>
      <c r="O78" s="68">
        <f t="shared" si="3"/>
        <v>43494023.100000001</v>
      </c>
      <c r="P78" s="68">
        <f t="shared" si="3"/>
        <v>38612516.200000003</v>
      </c>
      <c r="Q78" s="68">
        <f t="shared" si="3"/>
        <v>44486189.600000001</v>
      </c>
      <c r="R78" s="68">
        <f t="shared" si="3"/>
        <v>47299348.899999999</v>
      </c>
      <c r="S78" s="68">
        <f t="shared" si="3"/>
        <v>43634242.200000003</v>
      </c>
      <c r="T78" s="68">
        <f>SUM(0.1*T8,T16:T19)</f>
        <v>36182280.399999999</v>
      </c>
      <c r="U78" s="68">
        <f>SUM(0.1*U8,U16:U19)</f>
        <v>32345786.899999999</v>
      </c>
      <c r="V78" s="68">
        <f>SUM(0.1*V8,V16:V19)</f>
        <v>39116558.600000001</v>
      </c>
      <c r="W78" s="68">
        <f>SUM(0.1*W8,W16:W19)</f>
        <v>34090172.399999999</v>
      </c>
      <c r="X78" s="68">
        <f t="shared" ref="X78:AE78" si="4">X80*X79</f>
        <v>35984817.674787529</v>
      </c>
      <c r="Y78" s="68">
        <f t="shared" si="4"/>
        <v>37057546.524682999</v>
      </c>
      <c r="Z78" s="68">
        <f t="shared" si="4"/>
        <v>47123300.043051057</v>
      </c>
      <c r="AA78" s="68">
        <f t="shared" si="4"/>
        <v>37541423.15492478</v>
      </c>
      <c r="AB78" s="68">
        <f t="shared" si="4"/>
        <v>36818111.375530168</v>
      </c>
      <c r="AC78" s="68">
        <f t="shared" si="4"/>
        <v>36584816.138276525</v>
      </c>
      <c r="AD78" s="68">
        <f t="shared" si="4"/>
        <v>47235375.882067904</v>
      </c>
      <c r="AE78" s="68">
        <f t="shared" si="4"/>
        <v>37459736.651585594</v>
      </c>
    </row>
    <row r="79" spans="1:43" s="67" customFormat="1" x14ac:dyDescent="0.25">
      <c r="C79" s="69" t="s">
        <v>611</v>
      </c>
      <c r="D79" s="70">
        <f>D78/D80</f>
        <v>0.11775692755767568</v>
      </c>
      <c r="E79" s="70">
        <f t="shared" ref="E79:R79" si="5">E78/E80</f>
        <v>0.11149694823150767</v>
      </c>
      <c r="F79" s="70">
        <f t="shared" si="5"/>
        <v>0.10993553721249949</v>
      </c>
      <c r="G79" s="70">
        <f t="shared" si="5"/>
        <v>0.10318369732748199</v>
      </c>
      <c r="H79" s="70">
        <f t="shared" si="5"/>
        <v>0.12529520298502503</v>
      </c>
      <c r="I79" s="70">
        <f t="shared" si="5"/>
        <v>0.10426226684091097</v>
      </c>
      <c r="J79" s="70">
        <f t="shared" si="5"/>
        <v>0.10407437015044083</v>
      </c>
      <c r="K79" s="70">
        <f t="shared" si="5"/>
        <v>0.10168796970044768</v>
      </c>
      <c r="L79" s="70">
        <f t="shared" si="5"/>
        <v>0.11030495180562035</v>
      </c>
      <c r="M79" s="70">
        <f t="shared" si="5"/>
        <v>8.8501719969195355E-2</v>
      </c>
      <c r="N79" s="70">
        <f t="shared" si="5"/>
        <v>0.10327101202338926</v>
      </c>
      <c r="O79" s="70">
        <f t="shared" si="5"/>
        <v>0.10299711084898204</v>
      </c>
      <c r="P79" s="70">
        <f t="shared" si="5"/>
        <v>9.3923692656207286E-2</v>
      </c>
      <c r="Q79" s="70">
        <f t="shared" si="5"/>
        <v>0.10147738661034471</v>
      </c>
      <c r="R79" s="70">
        <f t="shared" si="5"/>
        <v>0.10653347176178395</v>
      </c>
      <c r="S79" s="70">
        <f>S78/S80</f>
        <v>9.7855204515457317E-2</v>
      </c>
      <c r="T79" s="70">
        <f>T78/T80</f>
        <v>9.9726090806784268E-2</v>
      </c>
      <c r="U79" s="70">
        <f>U78/U80</f>
        <v>0.11352916244907343</v>
      </c>
      <c r="V79" s="70">
        <f>V78/V80</f>
        <v>9.0748760026706246E-2</v>
      </c>
      <c r="W79" s="70">
        <f>W78/W80</f>
        <v>9.8822863886548609E-2</v>
      </c>
      <c r="X79" s="70">
        <f t="shared" ref="X79:AE79" si="6">+BR_eth_T0</f>
        <v>0.10100000000000001</v>
      </c>
      <c r="Y79" s="70">
        <f t="shared" si="6"/>
        <v>0.10100000000000001</v>
      </c>
      <c r="Z79" s="70">
        <f t="shared" si="6"/>
        <v>0.10100000000000001</v>
      </c>
      <c r="AA79" s="70">
        <f t="shared" si="6"/>
        <v>0.10100000000000001</v>
      </c>
      <c r="AB79" s="70">
        <f t="shared" si="6"/>
        <v>0.10100000000000001</v>
      </c>
      <c r="AC79" s="70">
        <f t="shared" si="6"/>
        <v>0.10100000000000001</v>
      </c>
      <c r="AD79" s="70">
        <f t="shared" si="6"/>
        <v>0.10100000000000001</v>
      </c>
      <c r="AE79" s="70">
        <f t="shared" si="6"/>
        <v>0.10100000000000001</v>
      </c>
    </row>
    <row r="80" spans="1:43" s="67" customFormat="1" ht="15.75" thickBot="1" x14ac:dyDescent="0.3">
      <c r="C80" s="71" t="s">
        <v>30</v>
      </c>
      <c r="D80" s="72">
        <f>SUM(D77:D78)</f>
        <v>432288642</v>
      </c>
      <c r="E80" s="72">
        <f t="shared" ref="E80:R80" si="7">SUM(E77:E78)</f>
        <v>369245735</v>
      </c>
      <c r="F80" s="72">
        <f t="shared" si="7"/>
        <v>426111111</v>
      </c>
      <c r="G80" s="72">
        <f t="shared" si="7"/>
        <v>374941421</v>
      </c>
      <c r="H80" s="72">
        <f t="shared" si="7"/>
        <v>317609932</v>
      </c>
      <c r="I80" s="72">
        <f t="shared" si="7"/>
        <v>410970093</v>
      </c>
      <c r="J80" s="72">
        <f t="shared" si="7"/>
        <v>472280556</v>
      </c>
      <c r="K80" s="72">
        <f t="shared" si="7"/>
        <v>417771717</v>
      </c>
      <c r="L80" s="72">
        <f t="shared" si="7"/>
        <v>380521964</v>
      </c>
      <c r="M80" s="72">
        <f t="shared" si="7"/>
        <v>455326178</v>
      </c>
      <c r="N80" s="72">
        <f t="shared" si="7"/>
        <v>453925418</v>
      </c>
      <c r="O80" s="72">
        <f t="shared" si="7"/>
        <v>422283914</v>
      </c>
      <c r="P80" s="72">
        <f t="shared" si="7"/>
        <v>411105176</v>
      </c>
      <c r="Q80" s="72">
        <f t="shared" si="7"/>
        <v>438385251</v>
      </c>
      <c r="R80" s="72">
        <f t="shared" si="7"/>
        <v>443985802</v>
      </c>
      <c r="S80" s="72">
        <f>SUM(S77:S78)</f>
        <v>445906198</v>
      </c>
      <c r="T80" s="72">
        <f>SUM(T77:T78)</f>
        <v>362816592</v>
      </c>
      <c r="U80" s="72">
        <f>SUM(U77:U78)</f>
        <v>284911702</v>
      </c>
      <c r="V80" s="72">
        <f>SUM(V77:V78)</f>
        <v>431042348</v>
      </c>
      <c r="W80" s="72">
        <f>SUM(W77:W78)</f>
        <v>344962401</v>
      </c>
      <c r="X80" s="139">
        <f t="shared" ref="X80:AE80" si="8">T80*(1+X81)</f>
        <v>356285323.51274776</v>
      </c>
      <c r="Y80" s="139">
        <f t="shared" si="8"/>
        <v>366906401.23448509</v>
      </c>
      <c r="Z80" s="139">
        <f t="shared" si="8"/>
        <v>466567327.1589213</v>
      </c>
      <c r="AA80" s="139">
        <f t="shared" si="8"/>
        <v>371697258.95965123</v>
      </c>
      <c r="AB80" s="139">
        <f t="shared" si="8"/>
        <v>364535756.19336802</v>
      </c>
      <c r="AC80" s="139">
        <f t="shared" si="8"/>
        <v>362225902.35917348</v>
      </c>
      <c r="AD80" s="139">
        <f t="shared" si="8"/>
        <v>467676988.93136537</v>
      </c>
      <c r="AE80" s="139">
        <f t="shared" si="8"/>
        <v>370888481.69886726</v>
      </c>
    </row>
    <row r="81" spans="3:31" s="67" customFormat="1" x14ac:dyDescent="0.25">
      <c r="C81" s="140" t="s">
        <v>639</v>
      </c>
      <c r="D81" s="141"/>
      <c r="E81" s="141"/>
      <c r="F81" s="141"/>
      <c r="G81" s="141"/>
      <c r="H81" s="142">
        <f t="shared" ref="H81:S81" si="9">H80/D80-1</f>
        <v>-0.26528272746060255</v>
      </c>
      <c r="I81" s="142">
        <f t="shared" si="9"/>
        <v>0.11299888947938697</v>
      </c>
      <c r="J81" s="142">
        <f t="shared" si="9"/>
        <v>0.10835071841156463</v>
      </c>
      <c r="K81" s="142">
        <f t="shared" si="9"/>
        <v>0.11423196691837356</v>
      </c>
      <c r="L81" s="142">
        <f t="shared" si="9"/>
        <v>0.19807954872141709</v>
      </c>
      <c r="M81" s="142">
        <f t="shared" si="9"/>
        <v>0.10793020162661815</v>
      </c>
      <c r="N81" s="142">
        <f t="shared" si="9"/>
        <v>-3.8864903004814821E-2</v>
      </c>
      <c r="O81" s="142">
        <f t="shared" si="9"/>
        <v>1.0800628229220122E-2</v>
      </c>
      <c r="P81" s="142">
        <f t="shared" si="9"/>
        <v>8.0371739067340631E-2</v>
      </c>
      <c r="Q81" s="142">
        <f t="shared" si="9"/>
        <v>-3.720613445598997E-2</v>
      </c>
      <c r="R81" s="142">
        <f t="shared" si="9"/>
        <v>-2.189702450194142E-2</v>
      </c>
      <c r="S81" s="142">
        <f t="shared" si="9"/>
        <v>5.5939341321914471E-2</v>
      </c>
      <c r="T81" s="142">
        <f>T80/P80-1</f>
        <v>-0.11746041358525727</v>
      </c>
      <c r="U81" s="142">
        <f>U80/Q80-1</f>
        <v>-0.35008830395163093</v>
      </c>
      <c r="V81" s="142">
        <f>V80/R80-1</f>
        <v>-2.9152855658208687E-2</v>
      </c>
      <c r="W81" s="142">
        <f>W80/S80-1</f>
        <v>-0.22637899507286063</v>
      </c>
      <c r="X81" s="144">
        <f>'[1]Quarterly Work'!J23+X82</f>
        <v>-1.800157057660759E-2</v>
      </c>
      <c r="Y81" s="144">
        <f>'[1]Quarterly Work'!J24+Y82</f>
        <v>0.28778986141638052</v>
      </c>
      <c r="Z81" s="144">
        <f>'[1]Quarterly Work'!J25+Z82</f>
        <v>8.24164477661051E-2</v>
      </c>
      <c r="AA81" s="144">
        <f>'[1]Quarterly Work'!J26+AA82</f>
        <v>7.7500788150101058E-2</v>
      </c>
      <c r="AB81" s="144">
        <f>'[1]Quarterly Work'!J27</f>
        <v>2.3156813194762593E-2</v>
      </c>
      <c r="AC81" s="144">
        <f>'[1]Quarterly Work'!J28</f>
        <v>-1.2756656355854545E-2</v>
      </c>
      <c r="AD81" s="144">
        <f>'[1]Quarterly Work'!J29</f>
        <v>2.3783529361156575E-3</v>
      </c>
      <c r="AE81" s="144">
        <f>'[1]Quarterly Work'!J30</f>
        <v>-2.1759032150188151E-3</v>
      </c>
    </row>
    <row r="82" spans="3:31" s="67" customFormat="1" x14ac:dyDescent="0.25">
      <c r="C82" s="128"/>
      <c r="D82" s="23"/>
      <c r="E82" s="23"/>
      <c r="F82" s="23"/>
      <c r="G82" s="23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/>
      <c r="U82"/>
      <c r="V82" s="129"/>
      <c r="W82"/>
      <c r="X82" s="170">
        <v>0.03</v>
      </c>
      <c r="Y82" s="170">
        <f>X82</f>
        <v>0.03</v>
      </c>
      <c r="Z82" s="170">
        <f t="shared" ref="Z82:AA82" si="10">Y82</f>
        <v>0.03</v>
      </c>
      <c r="AA82" s="170">
        <f t="shared" si="10"/>
        <v>0.03</v>
      </c>
    </row>
    <row r="83" spans="3:31" s="67" customFormat="1" x14ac:dyDescent="0.25">
      <c r="C83" s="67" t="s">
        <v>553</v>
      </c>
      <c r="D83" s="68">
        <f t="shared" ref="D83:S83" si="11">SUM(D4,0.8*D5,0.95*D6)</f>
        <v>200546412.40000001</v>
      </c>
      <c r="E83" s="68">
        <f t="shared" si="11"/>
        <v>158442194</v>
      </c>
      <c r="F83" s="68">
        <f t="shared" si="11"/>
        <v>184357269.94999999</v>
      </c>
      <c r="G83" s="68">
        <f t="shared" si="11"/>
        <v>165547124.84999999</v>
      </c>
      <c r="H83" s="68">
        <f t="shared" si="11"/>
        <v>140610590</v>
      </c>
      <c r="I83" s="68">
        <f t="shared" si="11"/>
        <v>185101028.80000001</v>
      </c>
      <c r="J83" s="68">
        <f t="shared" si="11"/>
        <v>193155530.75</v>
      </c>
      <c r="K83" s="68">
        <f t="shared" si="11"/>
        <v>163876928.19999999</v>
      </c>
      <c r="L83" s="68">
        <f t="shared" si="11"/>
        <v>161928057.75</v>
      </c>
      <c r="M83" s="68">
        <f t="shared" si="11"/>
        <v>181643251.14999998</v>
      </c>
      <c r="N83" s="68">
        <f t="shared" si="11"/>
        <v>204800544.40000001</v>
      </c>
      <c r="O83" s="68">
        <f t="shared" si="11"/>
        <v>168174070.40000001</v>
      </c>
      <c r="P83" s="68">
        <f t="shared" si="11"/>
        <v>174790251.40000001</v>
      </c>
      <c r="Q83" s="68">
        <f t="shared" si="11"/>
        <v>169817565.84999999</v>
      </c>
      <c r="R83" s="68">
        <f t="shared" si="11"/>
        <v>191951959.25</v>
      </c>
      <c r="S83" s="68">
        <f t="shared" si="11"/>
        <v>182741766.59999999</v>
      </c>
      <c r="T83" s="68">
        <f>SUM(T4,0.8*T5,0.95*T6)</f>
        <v>140374588.90000001</v>
      </c>
      <c r="U83" s="68">
        <f>SUM(U4,0.8*U5,0.95*U6)</f>
        <v>179069252.5</v>
      </c>
      <c r="V83" s="68">
        <f>SUM(V4,0.8*V5,0.95*V6)</f>
        <v>176043337.09999999</v>
      </c>
      <c r="W83" s="68">
        <f>SUM(W4,0.8*W5,0.95*W6)</f>
        <v>177031913.89999998</v>
      </c>
      <c r="X83" s="68">
        <f t="shared" ref="X83:AE83" si="12">X88-SUM(X84,X86)</f>
        <v>161178038.22882986</v>
      </c>
      <c r="Y83" s="68">
        <f t="shared" si="12"/>
        <v>199778952.44797099</v>
      </c>
      <c r="Z83" s="68">
        <f t="shared" si="12"/>
        <v>177184210.06003809</v>
      </c>
      <c r="AA83" s="68">
        <f t="shared" si="12"/>
        <v>179264108.94673952</v>
      </c>
      <c r="AB83" s="68">
        <f t="shared" si="12"/>
        <v>145108562.84790868</v>
      </c>
      <c r="AC83" s="68">
        <f t="shared" si="12"/>
        <v>184452679.55952922</v>
      </c>
      <c r="AD83" s="68">
        <f t="shared" si="12"/>
        <v>170358771.00371325</v>
      </c>
      <c r="AE83" s="68">
        <f t="shared" si="12"/>
        <v>173329851.25105202</v>
      </c>
    </row>
    <row r="84" spans="3:31" s="67" customFormat="1" x14ac:dyDescent="0.25">
      <c r="C84" s="67" t="s">
        <v>7</v>
      </c>
      <c r="D84" s="68">
        <f t="shared" ref="D84:S84" si="13">SUM(D12,D5*0.2*(D12/SUM(D12:D13)),D6*0.05*(D12/SUM(D12:D13)))</f>
        <v>11867430.6</v>
      </c>
      <c r="E84" s="68">
        <f t="shared" si="13"/>
        <v>11165820</v>
      </c>
      <c r="F84" s="68">
        <f t="shared" si="13"/>
        <v>13012715.050000001</v>
      </c>
      <c r="G84" s="68">
        <f t="shared" si="13"/>
        <v>11489107.15</v>
      </c>
      <c r="H84" s="68">
        <f t="shared" si="13"/>
        <v>9104597</v>
      </c>
      <c r="I84" s="68">
        <f t="shared" si="13"/>
        <v>13400125.199999999</v>
      </c>
      <c r="J84" s="68">
        <f t="shared" si="13"/>
        <v>14471281.25</v>
      </c>
      <c r="K84" s="68">
        <f t="shared" si="13"/>
        <v>14210435.268036803</v>
      </c>
      <c r="L84" s="68">
        <f t="shared" si="13"/>
        <v>10794217.172234204</v>
      </c>
      <c r="M84" s="68">
        <f t="shared" si="13"/>
        <v>13063325.912483048</v>
      </c>
      <c r="N84" s="68">
        <f t="shared" si="13"/>
        <v>14749408.915234635</v>
      </c>
      <c r="O84" s="68">
        <f t="shared" si="13"/>
        <v>13034116.418898588</v>
      </c>
      <c r="P84" s="68">
        <f t="shared" si="13"/>
        <v>11315967.817921368</v>
      </c>
      <c r="Q84" s="68">
        <f t="shared" si="13"/>
        <v>16520225.203099381</v>
      </c>
      <c r="R84" s="68">
        <f t="shared" si="13"/>
        <v>16949908.901677188</v>
      </c>
      <c r="S84" s="68">
        <f t="shared" si="13"/>
        <v>15296319.811208989</v>
      </c>
      <c r="T84" s="68">
        <f>SUM(T12,T5*0.2*(T12/SUM(T12:T13)),T6*0.05*(T12/SUM(T12:T13)))</f>
        <v>15413462.236833055</v>
      </c>
      <c r="U84" s="68">
        <f>SUM(U12,U5*0.2*(U12/SUM(U12:U13)),U6*0.05*(U12/SUM(U12:U13)))</f>
        <v>16209516.889061701</v>
      </c>
      <c r="V84" s="68">
        <f>SUM(V12,V5*0.2*(V12/SUM(V12:V13)),V6*0.05*(V12/SUM(V12:V13)))</f>
        <v>18275318.012330357</v>
      </c>
      <c r="W84" s="68">
        <f>SUM(W12,W5*0.2*(W12/SUM(W12:W13)),W6*0.05*(W12/SUM(W12:W13)))</f>
        <v>18670780.484283019</v>
      </c>
      <c r="X84" s="68">
        <f t="shared" ref="X84:AE84" si="14">X88*X85</f>
        <v>18114045.58076299</v>
      </c>
      <c r="Y84" s="68">
        <f t="shared" si="14"/>
        <v>22452221.720070135</v>
      </c>
      <c r="Z84" s="68">
        <f t="shared" si="14"/>
        <v>19912904.341609787</v>
      </c>
      <c r="AA84" s="68">
        <f t="shared" si="14"/>
        <v>20146654.445849165</v>
      </c>
      <c r="AB84" s="68">
        <f t="shared" si="14"/>
        <v>18247184.549737018</v>
      </c>
      <c r="AC84" s="68">
        <f t="shared" si="14"/>
        <v>23194648.327844992</v>
      </c>
      <c r="AD84" s="68">
        <f t="shared" si="14"/>
        <v>21422360.425616637</v>
      </c>
      <c r="AE84" s="68">
        <f t="shared" si="14"/>
        <v>21795969.318994563</v>
      </c>
    </row>
    <row r="85" spans="3:31" s="67" customFormat="1" x14ac:dyDescent="0.25">
      <c r="C85" s="69" t="s">
        <v>611</v>
      </c>
      <c r="D85" s="70">
        <f>D84/D88</f>
        <v>5.5869384181331347E-2</v>
      </c>
      <c r="E85" s="70">
        <f t="shared" ref="E85:R85" si="15">E84/E88</f>
        <v>6.5833092061322054E-2</v>
      </c>
      <c r="F85" s="70">
        <f t="shared" si="15"/>
        <v>6.5930567152852546E-2</v>
      </c>
      <c r="G85" s="70">
        <f t="shared" si="15"/>
        <v>6.4896925449701173E-2</v>
      </c>
      <c r="H85" s="70">
        <f t="shared" si="15"/>
        <v>6.0812781805495791E-2</v>
      </c>
      <c r="I85" s="70">
        <f t="shared" si="15"/>
        <v>6.7506535503566889E-2</v>
      </c>
      <c r="J85" s="70">
        <f t="shared" si="15"/>
        <v>6.969851875392663E-2</v>
      </c>
      <c r="K85" s="70">
        <f t="shared" si="15"/>
        <v>7.9642577236442066E-2</v>
      </c>
      <c r="L85" s="70">
        <f t="shared" si="15"/>
        <v>6.2385752232972005E-2</v>
      </c>
      <c r="M85" s="70">
        <f t="shared" si="15"/>
        <v>6.7023368584565382E-2</v>
      </c>
      <c r="N85" s="70">
        <f t="shared" si="15"/>
        <v>6.7111751966367289E-2</v>
      </c>
      <c r="O85" s="70">
        <f t="shared" si="15"/>
        <v>7.1738307743542812E-2</v>
      </c>
      <c r="P85" s="70">
        <f t="shared" si="15"/>
        <v>6.0750667673647646E-2</v>
      </c>
      <c r="Q85" s="70">
        <f>Q84/Q88</f>
        <v>8.8439150430515756E-2</v>
      </c>
      <c r="R85" s="70">
        <f t="shared" si="15"/>
        <v>7.6943815626543066E-2</v>
      </c>
      <c r="S85" s="70">
        <f>S84/S88</f>
        <v>7.5427985503380535E-2</v>
      </c>
      <c r="T85" s="70">
        <f>T84/T88</f>
        <v>9.4216402166413804E-2</v>
      </c>
      <c r="U85" s="70">
        <f>U84/U88</f>
        <v>8.045754341862002E-2</v>
      </c>
      <c r="V85" s="70">
        <f>V84/V88</f>
        <v>9.3863941329469722E-2</v>
      </c>
      <c r="W85" s="70">
        <f>W84/W88</f>
        <v>9.3539275751921974E-2</v>
      </c>
      <c r="X85" s="70">
        <f>+BR_bio_T1</f>
        <v>9.8000000000000004E-2</v>
      </c>
      <c r="Y85" s="70">
        <f>+BR_bio_T1</f>
        <v>9.8000000000000004E-2</v>
      </c>
      <c r="Z85" s="70">
        <f>+BR_bio_T1</f>
        <v>9.8000000000000004E-2</v>
      </c>
      <c r="AA85" s="70">
        <f>+BR_bio_T1</f>
        <v>9.8000000000000004E-2</v>
      </c>
      <c r="AB85" s="70">
        <f>+BR_bio_T0</f>
        <v>0.105</v>
      </c>
      <c r="AC85" s="70">
        <f>+BR_bio_T0</f>
        <v>0.105</v>
      </c>
      <c r="AD85" s="70">
        <f>+BR_bio_T0</f>
        <v>0.105</v>
      </c>
      <c r="AE85" s="70">
        <f>+BR_bio_T0</f>
        <v>0.105</v>
      </c>
    </row>
    <row r="86" spans="3:31" s="67" customFormat="1" x14ac:dyDescent="0.25">
      <c r="C86" s="67" t="s">
        <v>6</v>
      </c>
      <c r="D86" s="68">
        <f t="shared" ref="D86:S86" si="16">SUM(D13,D5*0.2*(D13/SUM(D12:D13)),D6*0.05*(D13/SUM(D12:D13)))</f>
        <v>0</v>
      </c>
      <c r="E86" s="68">
        <f t="shared" si="16"/>
        <v>0</v>
      </c>
      <c r="F86" s="68">
        <f t="shared" si="16"/>
        <v>0</v>
      </c>
      <c r="G86" s="68">
        <f t="shared" si="16"/>
        <v>0</v>
      </c>
      <c r="H86" s="68">
        <f t="shared" si="16"/>
        <v>0</v>
      </c>
      <c r="I86" s="68">
        <f t="shared" si="16"/>
        <v>0</v>
      </c>
      <c r="J86" s="68">
        <f t="shared" si="16"/>
        <v>0</v>
      </c>
      <c r="K86" s="68">
        <f t="shared" si="16"/>
        <v>340253.53196319623</v>
      </c>
      <c r="L86" s="68">
        <f t="shared" si="16"/>
        <v>301481.0777657968</v>
      </c>
      <c r="M86" s="68">
        <f t="shared" si="16"/>
        <v>200455.93751695345</v>
      </c>
      <c r="N86" s="68">
        <f t="shared" si="16"/>
        <v>223908.68476536599</v>
      </c>
      <c r="O86" s="68">
        <f t="shared" si="16"/>
        <v>481580.18110141181</v>
      </c>
      <c r="P86" s="68">
        <f t="shared" si="16"/>
        <v>162808.78207863175</v>
      </c>
      <c r="Q86" s="68">
        <f t="shared" si="16"/>
        <v>459855.94690061948</v>
      </c>
      <c r="R86" s="68">
        <f t="shared" si="16"/>
        <v>11387556.848322812</v>
      </c>
      <c r="S86" s="68">
        <f t="shared" si="16"/>
        <v>4755607.5887910109</v>
      </c>
      <c r="T86" s="68">
        <f>SUM(T13,T5*0.2*(T13/SUM(T12:T13)),T6*0.05*(T13/SUM(T12:T13)))</f>
        <v>7808327.8631669451</v>
      </c>
      <c r="U86" s="68">
        <f>SUM(U13,U5*0.2*(U13/SUM(U12:U13)),U6*0.05*(U13/SUM(U12:U13)))</f>
        <v>6187944.6109382985</v>
      </c>
      <c r="V86" s="68">
        <f>SUM(V13,V5*0.2*(V13/SUM(V12:V13)),V6*0.05*(V13/SUM(V12:V13)))</f>
        <v>381436.88766964397</v>
      </c>
      <c r="W86" s="68">
        <f>SUM(W13,W5*0.2*(W13/SUM(W12:W13)),W6*0.05*(W13/SUM(W12:W13)))</f>
        <v>3900951.6157169794</v>
      </c>
      <c r="X86" s="68">
        <f>X87*X88</f>
        <v>5545115.9941111188</v>
      </c>
      <c r="Y86" s="68">
        <f t="shared" ref="Y86:AE86" si="17">Y87*Y88</f>
        <v>6873129.0979806529</v>
      </c>
      <c r="Z86" s="68">
        <f t="shared" si="17"/>
        <v>6095787.0433499347</v>
      </c>
      <c r="AA86" s="68">
        <f t="shared" si="17"/>
        <v>6167343.197708928</v>
      </c>
      <c r="AB86" s="68">
        <f t="shared" si="17"/>
        <v>10426962.599849725</v>
      </c>
      <c r="AC86" s="68">
        <f t="shared" si="17"/>
        <v>13254084.758768566</v>
      </c>
      <c r="AD86" s="68">
        <f t="shared" si="17"/>
        <v>12241348.814638078</v>
      </c>
      <c r="AE86" s="68">
        <f t="shared" si="17"/>
        <v>12454839.610854035</v>
      </c>
    </row>
    <row r="87" spans="3:31" s="67" customFormat="1" x14ac:dyDescent="0.25">
      <c r="C87" s="69" t="s">
        <v>611</v>
      </c>
      <c r="D87" s="70">
        <f>D86/D88</f>
        <v>0</v>
      </c>
      <c r="E87" s="70">
        <f t="shared" ref="E87:R87" si="18">E86/E88</f>
        <v>0</v>
      </c>
      <c r="F87" s="70">
        <f t="shared" si="18"/>
        <v>0</v>
      </c>
      <c r="G87" s="70">
        <f t="shared" si="18"/>
        <v>0</v>
      </c>
      <c r="H87" s="70">
        <f t="shared" si="18"/>
        <v>0</v>
      </c>
      <c r="I87" s="70">
        <f t="shared" si="18"/>
        <v>0</v>
      </c>
      <c r="J87" s="70">
        <f t="shared" si="18"/>
        <v>0</v>
      </c>
      <c r="K87" s="70">
        <f t="shared" si="18"/>
        <v>1.9069555357184209E-3</v>
      </c>
      <c r="L87" s="70">
        <f t="shared" si="18"/>
        <v>1.7424259230957673E-3</v>
      </c>
      <c r="M87" s="70">
        <f t="shared" si="18"/>
        <v>1.0284694935403047E-3</v>
      </c>
      <c r="N87" s="70">
        <f t="shared" si="18"/>
        <v>1.0188139878315738E-3</v>
      </c>
      <c r="O87" s="70">
        <f t="shared" si="18"/>
        <v>2.650563039697287E-3</v>
      </c>
      <c r="P87" s="70">
        <f t="shared" si="18"/>
        <v>8.7405181541309028E-4</v>
      </c>
      <c r="Q87" s="70">
        <f t="shared" si="18"/>
        <v>2.4617866139428376E-3</v>
      </c>
      <c r="R87" s="70">
        <f t="shared" si="18"/>
        <v>5.1693615561994463E-2</v>
      </c>
      <c r="S87" s="70">
        <f>S86/S88</f>
        <v>2.3450470746841916E-2</v>
      </c>
      <c r="T87" s="70">
        <f>T86/T88</f>
        <v>4.7729221825667335E-2</v>
      </c>
      <c r="U87" s="70">
        <f>U86/U88</f>
        <v>3.0714476292785012E-2</v>
      </c>
      <c r="V87" s="70">
        <f>V86/V88</f>
        <v>1.9590996786464998E-3</v>
      </c>
      <c r="W87" s="70">
        <f>W86/W88</f>
        <v>1.954348877834115E-2</v>
      </c>
      <c r="X87" s="70">
        <f>+BR_ren_T1</f>
        <v>0.03</v>
      </c>
      <c r="Y87" s="70">
        <f>+BR_ren_T1</f>
        <v>0.03</v>
      </c>
      <c r="Z87" s="70">
        <f>+BR_ren_T1</f>
        <v>0.03</v>
      </c>
      <c r="AA87" s="70">
        <f>+BR_ren_T1</f>
        <v>0.03</v>
      </c>
      <c r="AB87" s="70">
        <f>+BR_ren_T0</f>
        <v>0.06</v>
      </c>
      <c r="AC87" s="70">
        <f>+BR_ren_T0</f>
        <v>0.06</v>
      </c>
      <c r="AD87" s="70">
        <f>+BR_ren_T0</f>
        <v>0.06</v>
      </c>
      <c r="AE87" s="70">
        <f>+BR_ren_T0</f>
        <v>0.06</v>
      </c>
    </row>
    <row r="88" spans="3:31" s="67" customFormat="1" ht="15.75" thickBot="1" x14ac:dyDescent="0.3">
      <c r="C88" s="71" t="s">
        <v>548</v>
      </c>
      <c r="D88" s="72">
        <f t="shared" ref="D88:S88" si="19">SUM(D4:D6,D12:D13)</f>
        <v>212413843</v>
      </c>
      <c r="E88" s="72">
        <f t="shared" si="19"/>
        <v>169608014</v>
      </c>
      <c r="F88" s="72">
        <f t="shared" si="19"/>
        <v>197369985</v>
      </c>
      <c r="G88" s="72">
        <f t="shared" si="19"/>
        <v>177036232</v>
      </c>
      <c r="H88" s="72">
        <f t="shared" si="19"/>
        <v>149715187</v>
      </c>
      <c r="I88" s="72">
        <f t="shared" si="19"/>
        <v>198501154</v>
      </c>
      <c r="J88" s="72">
        <f t="shared" si="19"/>
        <v>207626812</v>
      </c>
      <c r="K88" s="72">
        <f t="shared" si="19"/>
        <v>178427617</v>
      </c>
      <c r="L88" s="72">
        <f t="shared" si="19"/>
        <v>173023756</v>
      </c>
      <c r="M88" s="72">
        <f t="shared" si="19"/>
        <v>194907033</v>
      </c>
      <c r="N88" s="72">
        <f t="shared" si="19"/>
        <v>219773862</v>
      </c>
      <c r="O88" s="72">
        <f t="shared" si="19"/>
        <v>181689767</v>
      </c>
      <c r="P88" s="72">
        <f t="shared" si="19"/>
        <v>186269028</v>
      </c>
      <c r="Q88" s="72">
        <f t="shared" si="19"/>
        <v>186797647</v>
      </c>
      <c r="R88" s="72">
        <f t="shared" si="19"/>
        <v>220289425</v>
      </c>
      <c r="S88" s="72">
        <f t="shared" si="19"/>
        <v>202793694</v>
      </c>
      <c r="T88" s="72">
        <f>SUM(T4:T6,T12:T13)</f>
        <v>163596379</v>
      </c>
      <c r="U88" s="72">
        <f>SUM(U4:U6,U12:U13)</f>
        <v>201466714</v>
      </c>
      <c r="V88" s="72">
        <f>SUM(V4:V6,V12:V13)</f>
        <v>194700092</v>
      </c>
      <c r="W88" s="72">
        <f>SUM(W4:W6,W12:W13)</f>
        <v>199603646</v>
      </c>
      <c r="X88" s="139">
        <f t="shared" ref="X88:AE88" si="20">T88*(1+X89)</f>
        <v>184837199.80370396</v>
      </c>
      <c r="Y88" s="139">
        <f t="shared" si="20"/>
        <v>229104303.26602179</v>
      </c>
      <c r="Z88" s="139">
        <f t="shared" si="20"/>
        <v>203192901.44499782</v>
      </c>
      <c r="AA88" s="139">
        <f t="shared" si="20"/>
        <v>205578106.59029761</v>
      </c>
      <c r="AB88" s="139">
        <f t="shared" si="20"/>
        <v>173782709.99749541</v>
      </c>
      <c r="AC88" s="139">
        <f t="shared" si="20"/>
        <v>220901412.64614278</v>
      </c>
      <c r="AD88" s="139">
        <f t="shared" si="20"/>
        <v>204022480.24396798</v>
      </c>
      <c r="AE88" s="139">
        <f t="shared" si="20"/>
        <v>207580660.1809006</v>
      </c>
    </row>
    <row r="89" spans="3:31" s="67" customFormat="1" x14ac:dyDescent="0.25">
      <c r="C89" s="140" t="s">
        <v>639</v>
      </c>
      <c r="D89" s="141"/>
      <c r="E89" s="141"/>
      <c r="F89" s="141"/>
      <c r="G89" s="141"/>
      <c r="H89" s="142">
        <f t="shared" ref="H89:S89" si="21">H88/D88-1</f>
        <v>-0.2951721748191336</v>
      </c>
      <c r="I89" s="142">
        <f t="shared" si="21"/>
        <v>0.17035244572818353</v>
      </c>
      <c r="J89" s="142">
        <f t="shared" si="21"/>
        <v>5.196751167610425E-2</v>
      </c>
      <c r="K89" s="142">
        <f t="shared" si="21"/>
        <v>7.8593233954504793E-3</v>
      </c>
      <c r="L89" s="142">
        <f t="shared" si="21"/>
        <v>0.15568606944330909</v>
      </c>
      <c r="M89" s="142">
        <f t="shared" si="21"/>
        <v>-1.8106297759860834E-2</v>
      </c>
      <c r="N89" s="142">
        <f t="shared" si="21"/>
        <v>5.8504245588474335E-2</v>
      </c>
      <c r="O89" s="142">
        <f t="shared" si="21"/>
        <v>1.8282763928859636E-2</v>
      </c>
      <c r="P89" s="142">
        <f t="shared" si="21"/>
        <v>7.6551753968397307E-2</v>
      </c>
      <c r="Q89" s="142">
        <f t="shared" si="21"/>
        <v>-4.1606430897750069E-2</v>
      </c>
      <c r="R89" s="142">
        <f t="shared" si="21"/>
        <v>2.3458795113679987E-3</v>
      </c>
      <c r="S89" s="142">
        <f t="shared" si="21"/>
        <v>0.11615363566402714</v>
      </c>
      <c r="T89" s="142">
        <f>T88/P88-1</f>
        <v>-0.12171990826086232</v>
      </c>
      <c r="U89" s="142">
        <f>U88/Q88-1</f>
        <v>7.8529185113343614E-2</v>
      </c>
      <c r="V89" s="142">
        <f>V88/R88-1</f>
        <v>-0.11616233053402358</v>
      </c>
      <c r="W89" s="142">
        <f>W88/S88-1</f>
        <v>-1.5730508858919467E-2</v>
      </c>
      <c r="X89" s="144">
        <f>'[1]Quarterly Work'!Q23+X90</f>
        <v>0.12983674170260182</v>
      </c>
      <c r="Y89" s="144">
        <f>'[1]Quarterly Work'!Q24+Y90</f>
        <v>0.13718191316716363</v>
      </c>
      <c r="Z89" s="144">
        <f>'[1]Quarterly Work'!Q25+Z90</f>
        <v>4.3619955993640734E-2</v>
      </c>
      <c r="AA89" s="144">
        <f>'[1]Quarterly Work'!Q26+AA90</f>
        <v>2.9931620539123759E-2</v>
      </c>
      <c r="AB89" s="144">
        <f>'[1]Quarterly Work'!Q27</f>
        <v>-5.9806628849324528E-2</v>
      </c>
      <c r="AC89" s="144">
        <f>'[1]Quarterly Work'!Q28</f>
        <v>-3.5804175229106505E-2</v>
      </c>
      <c r="AD89" s="144">
        <f>'[1]Quarterly Work'!Q29</f>
        <v>4.0827154544802458E-3</v>
      </c>
      <c r="AE89" s="144">
        <f>'[1]Quarterly Work'!Q30</f>
        <v>9.74108393066353E-3</v>
      </c>
    </row>
    <row r="90" spans="3:31" s="67" customFormat="1" x14ac:dyDescent="0.25"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X90" s="170">
        <v>0.04</v>
      </c>
      <c r="Y90" s="170">
        <f>X90</f>
        <v>0.04</v>
      </c>
      <c r="Z90" s="170">
        <f t="shared" ref="Z90:AA90" si="22">Y90</f>
        <v>0.04</v>
      </c>
      <c r="AA90" s="170">
        <f t="shared" si="22"/>
        <v>0.04</v>
      </c>
    </row>
    <row r="91" spans="3:31" s="67" customFormat="1" x14ac:dyDescent="0.25">
      <c r="C91" s="67" t="s">
        <v>613</v>
      </c>
      <c r="D91" s="68">
        <f t="shared" ref="D91:W91" si="23">D15</f>
        <v>7061</v>
      </c>
      <c r="E91" s="68">
        <f t="shared" si="23"/>
        <v>10979</v>
      </c>
      <c r="F91" s="68">
        <f t="shared" si="23"/>
        <v>15031</v>
      </c>
      <c r="G91" s="68">
        <f t="shared" si="23"/>
        <v>14084</v>
      </c>
      <c r="H91" s="68">
        <f t="shared" si="23"/>
        <v>14322</v>
      </c>
      <c r="I91" s="68">
        <f t="shared" si="23"/>
        <v>18144</v>
      </c>
      <c r="J91" s="68">
        <f t="shared" si="23"/>
        <v>24117</v>
      </c>
      <c r="K91" s="68">
        <f t="shared" si="23"/>
        <v>22967</v>
      </c>
      <c r="L91" s="68">
        <f t="shared" si="23"/>
        <v>18643</v>
      </c>
      <c r="M91" s="68">
        <f t="shared" si="23"/>
        <v>26424</v>
      </c>
      <c r="N91" s="68">
        <f t="shared" si="23"/>
        <v>34852</v>
      </c>
      <c r="O91" s="68">
        <f t="shared" si="23"/>
        <v>43869</v>
      </c>
      <c r="P91" s="68">
        <f t="shared" si="23"/>
        <v>43384</v>
      </c>
      <c r="Q91" s="68">
        <f t="shared" si="23"/>
        <v>54052</v>
      </c>
      <c r="R91" s="68">
        <f t="shared" si="23"/>
        <v>70193</v>
      </c>
      <c r="S91" s="68">
        <f t="shared" si="23"/>
        <v>69198</v>
      </c>
      <c r="T91" s="68">
        <f t="shared" si="23"/>
        <v>54300</v>
      </c>
      <c r="U91" s="68">
        <f t="shared" si="23"/>
        <v>37633</v>
      </c>
      <c r="V91" s="68">
        <f t="shared" si="23"/>
        <v>72090</v>
      </c>
      <c r="W91" s="68">
        <f t="shared" si="23"/>
        <v>67128</v>
      </c>
      <c r="X91" s="68">
        <f>X94-X92</f>
        <v>94598.749645370757</v>
      </c>
      <c r="Y91" s="68">
        <f t="shared" ref="X91:AE91" si="24">Y94-Y92</f>
        <v>103952.35151917092</v>
      </c>
      <c r="Z91" s="68">
        <f t="shared" si="24"/>
        <v>114703.47019459167</v>
      </c>
      <c r="AA91" s="68">
        <f t="shared" si="24"/>
        <v>126636.71379898256</v>
      </c>
      <c r="AB91" s="68">
        <f t="shared" si="24"/>
        <v>139706.13713442138</v>
      </c>
      <c r="AC91" s="68">
        <f t="shared" si="24"/>
        <v>153269.99453985854</v>
      </c>
      <c r="AD91" s="68">
        <f t="shared" si="24"/>
        <v>166534.9900185226</v>
      </c>
      <c r="AE91" s="68">
        <f t="shared" si="24"/>
        <v>180843.89579874719</v>
      </c>
    </row>
    <row r="92" spans="3:31" s="67" customFormat="1" x14ac:dyDescent="0.25">
      <c r="C92" s="67" t="s">
        <v>614</v>
      </c>
      <c r="D92" s="68">
        <f>'Electric Vehicles'!$B86*(3.6/116.09)*(D91/SUM($D91:$G91))</f>
        <v>191567.53531276336</v>
      </c>
      <c r="E92" s="68">
        <f>'Electric Vehicles'!$B86*(3.6/116.09)*(E91/SUM($D91:$G91))</f>
        <v>297864.32094587578</v>
      </c>
      <c r="F92" s="68">
        <f>'Electric Vehicles'!$B86*(3.6/116.09)*(F91/SUM($D91:$G91))</f>
        <v>407796.57602126413</v>
      </c>
      <c r="G92" s="68">
        <f>'Electric Vehicles'!$B86*(3.6/116.09)*(G91/SUM($D91:$G91))</f>
        <v>382104.11660458281</v>
      </c>
      <c r="H92" s="68">
        <f>'Electric Vehicles'!$C86*(3.6/116.09)*(H91/SUM($H91:$K91))</f>
        <v>281507.37611096178</v>
      </c>
      <c r="I92" s="68">
        <f>'Electric Vehicles'!$C86*(3.6/116.09)*(I91/SUM($H91:$K91))</f>
        <v>356631.04539570527</v>
      </c>
      <c r="J92" s="68">
        <f>'Electric Vehicles'!$C86*(3.6/116.09)*(J91/SUM($H91:$K91))</f>
        <v>474033.89119313407</v>
      </c>
      <c r="K92" s="68">
        <f>'Electric Vehicles'!$C86*(3.6/116.09)*(K91/SUM($H91:$K91))</f>
        <v>451429.96139788156</v>
      </c>
      <c r="L92" s="68">
        <f>'Electric Vehicles'!$D86*(3.6/116.09)*(L91/SUM($L91:$O91))</f>
        <v>318047.5502671334</v>
      </c>
      <c r="M92" s="68">
        <f>'Electric Vehicles'!$D86*(3.6/116.09)*(M91/SUM($L91:$O91))</f>
        <v>450790.5631206744</v>
      </c>
      <c r="N92" s="68">
        <f>'Electric Vehicles'!$D86*(3.6/116.09)*(N91/SUM($L91:$O91))</f>
        <v>594571.32553291484</v>
      </c>
      <c r="O92" s="68">
        <f>'Electric Vehicles'!$D86*(3.6/116.09)*(O91/SUM($L91:$O91))</f>
        <v>748400.36381853104</v>
      </c>
      <c r="P92" s="68">
        <f>'Electric Vehicles'!$E86*(3.6/118.383)*(P91/SUM($P91:$S91))</f>
        <v>483822.83333091799</v>
      </c>
      <c r="Q92" s="68">
        <f>'Electric Vehicles'!$E86*(3.6/118.383)*(Q91/SUM($P91:$S91))</f>
        <v>602793.46734286321</v>
      </c>
      <c r="R92" s="68">
        <f>'Electric Vehicles'!$E86*(3.6/118.383)*(R91/SUM($P91:$S91))</f>
        <v>782799.5606674609</v>
      </c>
      <c r="S92" s="68">
        <f>'Electric Vehicles'!$E86*(3.6/118.383)*(S91/SUM($P91:$S91))</f>
        <v>771703.21825633547</v>
      </c>
      <c r="T92" s="68">
        <f>'Electric Vehicles'!$F86*(3.6/122.48)*(T91/SUM($T91:$W91))</f>
        <v>808474.95238599239</v>
      </c>
      <c r="U92" s="68">
        <f>'Electric Vehicles'!$F86*(3.6/122.48)*(U91/SUM($T91:$W91))</f>
        <v>560319.29803208204</v>
      </c>
      <c r="V92" s="68">
        <f>'Electric Vehicles'!$F86*(3.6/122.48)*(V91/SUM($T91:$W91))</f>
        <v>1073351.0003223976</v>
      </c>
      <c r="W92" s="68">
        <f>'Electric Vehicles'!$F86*(3.6/122.48)*(W91/SUM($T91:$W91))</f>
        <v>999471.57649662788</v>
      </c>
      <c r="X92" s="68">
        <f>X94*X93</f>
        <v>1097790.2290970942</v>
      </c>
      <c r="Y92" s="68">
        <f t="shared" ref="X92:AE92" si="25">Y94*Y93</f>
        <v>1172509.2332060947</v>
      </c>
      <c r="Z92" s="68">
        <f t="shared" si="25"/>
        <v>1257943.90266522</v>
      </c>
      <c r="AA92" s="68">
        <f t="shared" si="25"/>
        <v>1350816.7725929939</v>
      </c>
      <c r="AB92" s="68">
        <f t="shared" si="25"/>
        <v>1450357.6709042881</v>
      </c>
      <c r="AC92" s="68">
        <f t="shared" si="25"/>
        <v>1550404.0029431647</v>
      </c>
      <c r="AD92" s="68">
        <f t="shared" si="25"/>
        <v>1641855.4428206529</v>
      </c>
      <c r="AE92" s="68">
        <f t="shared" si="25"/>
        <v>1738141.7382044645</v>
      </c>
    </row>
    <row r="93" spans="3:31" s="67" customFormat="1" x14ac:dyDescent="0.25">
      <c r="C93" s="69" t="s">
        <v>616</v>
      </c>
      <c r="D93" s="70">
        <f>D92/D94</f>
        <v>0.96445123059040005</v>
      </c>
      <c r="E93" s="70">
        <f t="shared" ref="E93:W93" si="26">E92/E94</f>
        <v>0.96445123059040005</v>
      </c>
      <c r="F93" s="70">
        <f t="shared" si="26"/>
        <v>0.96445123059040005</v>
      </c>
      <c r="G93" s="70">
        <f t="shared" si="26"/>
        <v>0.96445123059040005</v>
      </c>
      <c r="H93" s="70">
        <f t="shared" si="26"/>
        <v>0.95158695803547244</v>
      </c>
      <c r="I93" s="70">
        <f t="shared" si="26"/>
        <v>0.95158695803547244</v>
      </c>
      <c r="J93" s="70">
        <f t="shared" si="26"/>
        <v>0.95158695803547244</v>
      </c>
      <c r="K93" s="70">
        <f t="shared" si="26"/>
        <v>0.95158695803547244</v>
      </c>
      <c r="L93" s="70">
        <f t="shared" si="26"/>
        <v>0.94462868059347527</v>
      </c>
      <c r="M93" s="70">
        <f t="shared" si="26"/>
        <v>0.94462868059347527</v>
      </c>
      <c r="N93" s="70">
        <f t="shared" si="26"/>
        <v>0.94462868059347527</v>
      </c>
      <c r="O93" s="70">
        <f t="shared" si="26"/>
        <v>0.94462868059347527</v>
      </c>
      <c r="P93" s="70">
        <f t="shared" si="26"/>
        <v>0.91770971607879626</v>
      </c>
      <c r="Q93" s="70">
        <f t="shared" si="26"/>
        <v>0.91770971607879626</v>
      </c>
      <c r="R93" s="70">
        <f t="shared" si="26"/>
        <v>0.91770971607879626</v>
      </c>
      <c r="S93" s="70">
        <f t="shared" si="26"/>
        <v>0.91770971607879626</v>
      </c>
      <c r="T93" s="70">
        <f t="shared" si="26"/>
        <v>0.93706354148340298</v>
      </c>
      <c r="U93" s="70">
        <f t="shared" si="26"/>
        <v>0.93706354148340298</v>
      </c>
      <c r="V93" s="70">
        <f t="shared" si="26"/>
        <v>0.93706354148340298</v>
      </c>
      <c r="W93" s="70">
        <f t="shared" si="26"/>
        <v>0.93706354148340298</v>
      </c>
      <c r="X93" s="70">
        <f>TREND($D93:$W93,$D76:$W76,X76)</f>
        <v>0.92066452195395332</v>
      </c>
      <c r="Y93" s="70">
        <f t="shared" ref="Y93:AE93" si="27">TREND($D93:$W93,$D76:$W76,Y76)</f>
        <v>0.91856209950764423</v>
      </c>
      <c r="Z93" s="70">
        <f t="shared" si="27"/>
        <v>0.91643631681193161</v>
      </c>
      <c r="AA93" s="70">
        <f t="shared" si="27"/>
        <v>0.91428717386681568</v>
      </c>
      <c r="AB93" s="70">
        <f t="shared" si="27"/>
        <v>0.91213803092169976</v>
      </c>
      <c r="AC93" s="70">
        <f t="shared" si="27"/>
        <v>0.91003560847539089</v>
      </c>
      <c r="AD93" s="70">
        <f t="shared" si="27"/>
        <v>0.90790982577967827</v>
      </c>
      <c r="AE93" s="70">
        <f t="shared" si="27"/>
        <v>0.90576068283456235</v>
      </c>
    </row>
    <row r="94" spans="3:31" s="67" customFormat="1" ht="15.75" thickBot="1" x14ac:dyDescent="0.3">
      <c r="C94" s="71" t="s">
        <v>615</v>
      </c>
      <c r="D94" s="72">
        <f t="shared" ref="D94:Q94" si="28">SUM(D91:D92)</f>
        <v>198628.53531276336</v>
      </c>
      <c r="E94" s="72">
        <f t="shared" si="28"/>
        <v>308843.32094587578</v>
      </c>
      <c r="F94" s="72">
        <f t="shared" si="28"/>
        <v>422827.57602126413</v>
      </c>
      <c r="G94" s="72">
        <f t="shared" si="28"/>
        <v>396188.11660458281</v>
      </c>
      <c r="H94" s="72">
        <f t="shared" si="28"/>
        <v>295829.37611096178</v>
      </c>
      <c r="I94" s="72">
        <f t="shared" si="28"/>
        <v>374775.04539570527</v>
      </c>
      <c r="J94" s="72">
        <f t="shared" si="28"/>
        <v>498150.89119313407</v>
      </c>
      <c r="K94" s="72">
        <f t="shared" si="28"/>
        <v>474396.96139788156</v>
      </c>
      <c r="L94" s="72">
        <f t="shared" si="28"/>
        <v>336690.5502671334</v>
      </c>
      <c r="M94" s="72">
        <f t="shared" si="28"/>
        <v>477214.5631206744</v>
      </c>
      <c r="N94" s="72">
        <f t="shared" si="28"/>
        <v>629423.32553291484</v>
      </c>
      <c r="O94" s="72">
        <f t="shared" si="28"/>
        <v>792269.36381853104</v>
      </c>
      <c r="P94" s="72">
        <f>SUM(P91:P92)</f>
        <v>527206.83333091799</v>
      </c>
      <c r="Q94" s="72">
        <f t="shared" si="28"/>
        <v>656845.46734286321</v>
      </c>
      <c r="R94" s="72">
        <f t="shared" ref="R94:W94" si="29">SUM(R91:R92)</f>
        <v>852992.5606674609</v>
      </c>
      <c r="S94" s="72">
        <f t="shared" si="29"/>
        <v>840901.21825633547</v>
      </c>
      <c r="T94" s="72">
        <f t="shared" si="29"/>
        <v>862774.95238599239</v>
      </c>
      <c r="U94" s="72">
        <f t="shared" si="29"/>
        <v>597952.29803208204</v>
      </c>
      <c r="V94" s="72">
        <f t="shared" si="29"/>
        <v>1145441.0003223976</v>
      </c>
      <c r="W94" s="72">
        <f t="shared" si="29"/>
        <v>1066599.5764966279</v>
      </c>
      <c r="X94" s="139">
        <f>'Electric Vehicles'!$H$36*X97*(ED_eon_T0/ED_gas_T0)/4</f>
        <v>1192388.9787424649</v>
      </c>
      <c r="Y94" s="139">
        <f>'Electric Vehicles'!$H$37*Y97*(ED_eon_T0/ED_gas_T0)/4</f>
        <v>1276461.5847252656</v>
      </c>
      <c r="Z94" s="139">
        <f>'Electric Vehicles'!$H$38*Z97*(ED_eon_T0/ED_gas_T0)/4</f>
        <v>1372647.3728598116</v>
      </c>
      <c r="AA94" s="139">
        <f>'Electric Vehicles'!$H$39*AA97*(ED_eon_T0/ED_gas_T0)/4</f>
        <v>1477453.4863919765</v>
      </c>
      <c r="AB94" s="139">
        <f>'Electric Vehicles'!$H$40*AB97*(ED_eon_T0/ED_gas_T0)/4</f>
        <v>1590063.8080387095</v>
      </c>
      <c r="AC94" s="139">
        <f>'Electric Vehicles'!$H$41*AC97*(ED_eon_T0/ED_gas_T0)/4</f>
        <v>1703673.9974830232</v>
      </c>
      <c r="AD94" s="139">
        <f>'Electric Vehicles'!$H$42*AD97*(ED_eon_T0/ED_gas_T0)/4</f>
        <v>1808390.4328391755</v>
      </c>
      <c r="AE94" s="139">
        <f>'Electric Vehicles'!$H$43*AE97*(ED_eon_T0/ED_gas_T0)/4</f>
        <v>1918985.6340032117</v>
      </c>
    </row>
    <row r="95" spans="3:31" s="67" customFormat="1" x14ac:dyDescent="0.25">
      <c r="C95" s="140" t="s">
        <v>639</v>
      </c>
      <c r="D95" s="141"/>
      <c r="E95" s="141"/>
      <c r="F95" s="141"/>
      <c r="G95" s="141"/>
      <c r="H95" s="142">
        <f t="shared" ref="H95:AA95" si="30">H94/D94-1</f>
        <v>0.4893599031234086</v>
      </c>
      <c r="I95" s="142">
        <f t="shared" si="30"/>
        <v>0.21347952174553875</v>
      </c>
      <c r="J95" s="142">
        <f t="shared" si="30"/>
        <v>0.17814191751789132</v>
      </c>
      <c r="K95" s="142">
        <f t="shared" si="30"/>
        <v>0.19740330796280658</v>
      </c>
      <c r="L95" s="142">
        <f t="shared" si="30"/>
        <v>0.13812412645877714</v>
      </c>
      <c r="M95" s="142">
        <f t="shared" si="30"/>
        <v>0.27333601578730682</v>
      </c>
      <c r="N95" s="142">
        <f t="shared" si="30"/>
        <v>0.2635194208432845</v>
      </c>
      <c r="O95" s="142">
        <f t="shared" si="30"/>
        <v>0.67005573029808407</v>
      </c>
      <c r="P95" s="142">
        <f t="shared" si="30"/>
        <v>0.5658498075239331</v>
      </c>
      <c r="Q95" s="142">
        <f t="shared" si="30"/>
        <v>0.37641538650354445</v>
      </c>
      <c r="R95" s="142">
        <f t="shared" si="30"/>
        <v>0.35519693355065352</v>
      </c>
      <c r="S95" s="142">
        <f t="shared" si="30"/>
        <v>6.1382979903970458E-2</v>
      </c>
      <c r="T95" s="142">
        <f t="shared" si="30"/>
        <v>0.63650183920215708</v>
      </c>
      <c r="U95" s="142">
        <f t="shared" si="30"/>
        <v>-8.9660616140081917E-2</v>
      </c>
      <c r="V95" s="142">
        <f t="shared" si="30"/>
        <v>0.34284992992916341</v>
      </c>
      <c r="W95" s="142">
        <f t="shared" si="30"/>
        <v>0.26840056042289118</v>
      </c>
      <c r="X95" s="142">
        <f t="shared" si="30"/>
        <v>0.38203940140465309</v>
      </c>
      <c r="Y95" s="142">
        <f t="shared" si="30"/>
        <v>1.1347214299973798</v>
      </c>
      <c r="Z95" s="142">
        <f t="shared" si="30"/>
        <v>0.19835711527129218</v>
      </c>
      <c r="AA95" s="142">
        <f t="shared" si="30"/>
        <v>0.38519976844998083</v>
      </c>
      <c r="AB95" s="142">
        <f>AB94/X94-1</f>
        <v>0.33351099044511989</v>
      </c>
      <c r="AC95" s="142">
        <f>AC94/Y94-1</f>
        <v>0.33468489602035856</v>
      </c>
      <c r="AD95" s="142">
        <f>AD94/Z94-1</f>
        <v>0.31744719626827722</v>
      </c>
      <c r="AE95" s="142">
        <f>AE94/AA94-1</f>
        <v>0.29884673302946507</v>
      </c>
    </row>
    <row r="96" spans="3:31" s="67" customFormat="1" x14ac:dyDescent="0.25">
      <c r="C96" s="92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31" s="67" customFormat="1" x14ac:dyDescent="0.25">
      <c r="C97" s="92" t="s">
        <v>657</v>
      </c>
      <c r="D97" s="23">
        <f>D94*116.09/3.4/'Electric Vehicles'!$H16*4</f>
        <v>2880.3380970937405</v>
      </c>
      <c r="E97" s="23">
        <f>E94*116.09/3.4/'Electric Vehicles'!$H17*4</f>
        <v>4089.3934920699317</v>
      </c>
      <c r="F97" s="23">
        <f>F94*116.09/3.4/'Electric Vehicles'!$H18*4</f>
        <v>5147.6717872853669</v>
      </c>
      <c r="G97" s="23">
        <f>G94*116.09/3.4/'Electric Vehicles'!$H19*4</f>
        <v>4410.180503275441</v>
      </c>
      <c r="H97" s="23">
        <f>H94*116.09/3.4/'Electric Vehicles'!$H20*4</f>
        <v>3003.8163227761765</v>
      </c>
      <c r="I97" s="23">
        <f>I94*116.09/3.4/'Electric Vehicles'!$H21*4</f>
        <v>3525.492673663176</v>
      </c>
      <c r="J97" s="23">
        <f>J94*116.09/3.4/'Electric Vehicles'!$H22*4</f>
        <v>4383.2722349109172</v>
      </c>
      <c r="K97" s="23">
        <f>K94*116.09/3.4/'Electric Vehicles'!$H23*4</f>
        <v>3935.4211888100649</v>
      </c>
      <c r="L97" s="23">
        <f>L94*116.09/3.4/'Electric Vehicles'!$H24*4</f>
        <v>2623.8591963574204</v>
      </c>
      <c r="M97" s="23">
        <f>M94*116.09/3.4/'Electric Vehicles'!$H25*4</f>
        <v>3492.3972035112624</v>
      </c>
      <c r="N97" s="23">
        <f>N94*116.09/3.4/'Electric Vehicles'!$H26*4</f>
        <v>4329.6831797996474</v>
      </c>
      <c r="O97" s="23">
        <f>O94*116.09/3.4/'Electric Vehicles'!$H27*4</f>
        <v>4998.0147561404265</v>
      </c>
      <c r="P97" s="23">
        <f>P94*118.383/3.4/'Electric Vehicles'!H28*4</f>
        <v>3087.5588639407774</v>
      </c>
      <c r="Q97" s="23">
        <f>Q94*118.383/3.4/'Electric Vehicles'!H29*4</f>
        <v>3617.2545331410133</v>
      </c>
      <c r="R97" s="23">
        <f>R94*118.383/3.4/'Electric Vehicles'!H30*4</f>
        <v>4337.9223060090517</v>
      </c>
      <c r="S97" s="23">
        <f>S94*118.383/3.4/'Electric Vehicles'!H31*4</f>
        <v>3985.5632193632109</v>
      </c>
      <c r="T97" s="23">
        <f>T94*122.48/3.4/'Electric Vehicles'!H32*4</f>
        <v>3962.6262906515967</v>
      </c>
      <c r="U97" s="23">
        <f>U94*122.48/3.4/'Electric Vehicles'!H33*4</f>
        <v>2668.1141046035987</v>
      </c>
      <c r="V97" s="23">
        <f>V94*122.48/3.4/'Electric Vehicles'!H34*4</f>
        <v>4997.9200053966897</v>
      </c>
      <c r="W97" s="23">
        <f>W94*122.48/3.4/'Electric Vehicles'!H35*4</f>
        <v>4399.5016705377311</v>
      </c>
      <c r="X97" s="23">
        <f>AVERAGE($R97:$T97,$V97:$W97)</f>
        <v>4336.7066983916566</v>
      </c>
      <c r="Y97" s="23">
        <f>X97+Y98</f>
        <v>4361.7066983916566</v>
      </c>
      <c r="Z97" s="23">
        <f t="shared" ref="Z97:AE97" si="31">Y97+Z98</f>
        <v>4386.7066983916566</v>
      </c>
      <c r="AA97" s="23">
        <f t="shared" si="31"/>
        <v>4411.7066983916566</v>
      </c>
      <c r="AB97" s="23">
        <f t="shared" si="31"/>
        <v>4436.7066983916566</v>
      </c>
      <c r="AC97" s="23">
        <f t="shared" si="31"/>
        <v>4461.7066983916566</v>
      </c>
      <c r="AD97" s="23">
        <f t="shared" si="31"/>
        <v>4486.7066983916566</v>
      </c>
      <c r="AE97" s="23">
        <f t="shared" si="31"/>
        <v>4511.7066983916566</v>
      </c>
    </row>
    <row r="98" spans="1:31" s="67" customFormat="1" x14ac:dyDescent="0.25">
      <c r="C98" s="92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>
        <v>25</v>
      </c>
      <c r="Z98" s="23">
        <v>25</v>
      </c>
      <c r="AA98" s="23">
        <v>25</v>
      </c>
      <c r="AB98" s="23">
        <v>25</v>
      </c>
      <c r="AC98" s="23">
        <v>25</v>
      </c>
      <c r="AD98" s="23">
        <v>25</v>
      </c>
      <c r="AE98" s="23">
        <v>25</v>
      </c>
    </row>
    <row r="99" spans="1:31" s="67" customFormat="1" ht="15.75" thickBot="1" x14ac:dyDescent="0.3">
      <c r="C99" s="71" t="s">
        <v>652</v>
      </c>
      <c r="D99" s="72">
        <f t="shared" ref="D99:S99" si="32">D14</f>
        <v>0</v>
      </c>
      <c r="E99" s="72">
        <f t="shared" si="32"/>
        <v>0</v>
      </c>
      <c r="F99" s="72">
        <f t="shared" si="32"/>
        <v>0</v>
      </c>
      <c r="G99" s="72">
        <f t="shared" si="32"/>
        <v>0</v>
      </c>
      <c r="H99" s="72">
        <f t="shared" si="32"/>
        <v>0</v>
      </c>
      <c r="I99" s="72">
        <f t="shared" si="32"/>
        <v>0</v>
      </c>
      <c r="J99" s="72">
        <f t="shared" si="32"/>
        <v>0</v>
      </c>
      <c r="K99" s="72">
        <f t="shared" si="32"/>
        <v>0</v>
      </c>
      <c r="L99" s="72">
        <f t="shared" si="32"/>
        <v>431079</v>
      </c>
      <c r="M99" s="72">
        <f t="shared" si="32"/>
        <v>422832</v>
      </c>
      <c r="N99" s="72">
        <f t="shared" si="32"/>
        <v>440204</v>
      </c>
      <c r="O99" s="72">
        <f t="shared" si="32"/>
        <v>433671</v>
      </c>
      <c r="P99" s="72">
        <f t="shared" si="32"/>
        <v>477625</v>
      </c>
      <c r="Q99" s="72">
        <f t="shared" si="32"/>
        <v>490452</v>
      </c>
      <c r="R99" s="72">
        <f t="shared" si="32"/>
        <v>605468</v>
      </c>
      <c r="S99" s="72">
        <f t="shared" si="32"/>
        <v>647036</v>
      </c>
      <c r="T99" s="72">
        <f>T14</f>
        <v>690934</v>
      </c>
      <c r="U99" s="72">
        <f>U14</f>
        <v>710727</v>
      </c>
      <c r="V99" s="72">
        <f>V14</f>
        <v>872188</v>
      </c>
      <c r="W99" s="72">
        <f>W14</f>
        <v>962153</v>
      </c>
      <c r="X99" s="72">
        <f>T99*(1+GR_eof_T1)</f>
        <v>1036401</v>
      </c>
      <c r="Y99" s="72">
        <f>U99*(1+GR_eof_T1)</f>
        <v>1066090.5</v>
      </c>
      <c r="Z99" s="72">
        <f>V99*(1+GR_eof_T1)</f>
        <v>1308282</v>
      </c>
      <c r="AA99" s="72">
        <f>W99*(1+GR_eof_T1)</f>
        <v>1443229.5</v>
      </c>
      <c r="AB99" s="72">
        <f>X99*(1+GR_eof_T0)</f>
        <v>1710061.65</v>
      </c>
      <c r="AC99" s="72">
        <f>Y99*(1+GR_eof_T0)</f>
        <v>1759049.325</v>
      </c>
      <c r="AD99" s="72">
        <f>Z99*(1+GR_eof_T0)</f>
        <v>2158665.2999999998</v>
      </c>
      <c r="AE99" s="72">
        <f>AA99*(1+GR_eof_T0)</f>
        <v>2381328.6749999998</v>
      </c>
    </row>
    <row r="100" spans="1:31" s="67" customFormat="1" x14ac:dyDescent="0.25">
      <c r="C100" s="140" t="s">
        <v>639</v>
      </c>
      <c r="D100" s="141"/>
      <c r="E100" s="141"/>
      <c r="F100" s="141"/>
      <c r="G100" s="141"/>
      <c r="H100" s="142"/>
      <c r="I100" s="142"/>
      <c r="J100" s="142"/>
      <c r="K100" s="142"/>
      <c r="L100" s="142"/>
      <c r="M100" s="142"/>
      <c r="N100" s="142"/>
      <c r="O100" s="142"/>
      <c r="P100" s="142">
        <f t="shared" ref="P100:AA100" si="33">P99/L99-1</f>
        <v>0.10797556828330768</v>
      </c>
      <c r="Q100" s="142">
        <f t="shared" si="33"/>
        <v>0.1599216710182767</v>
      </c>
      <c r="R100" s="142">
        <f t="shared" si="33"/>
        <v>0.37542593888288156</v>
      </c>
      <c r="S100" s="142">
        <f t="shared" si="33"/>
        <v>0.49199738972631324</v>
      </c>
      <c r="T100" s="142">
        <f>T99/P99-1</f>
        <v>0.44660350693535733</v>
      </c>
      <c r="U100" s="142">
        <f>U99/Q99-1</f>
        <v>0.4491265200264245</v>
      </c>
      <c r="V100" s="142">
        <f>V99/R99-1</f>
        <v>0.44051873922321239</v>
      </c>
      <c r="W100" s="142">
        <f t="shared" si="33"/>
        <v>0.48701617838883782</v>
      </c>
      <c r="X100" s="142">
        <f t="shared" si="33"/>
        <v>0.5</v>
      </c>
      <c r="Y100" s="142">
        <f t="shared" si="33"/>
        <v>0.5</v>
      </c>
      <c r="Z100" s="142">
        <f t="shared" si="33"/>
        <v>0.5</v>
      </c>
      <c r="AA100" s="142">
        <f t="shared" si="33"/>
        <v>0.5</v>
      </c>
      <c r="AB100" s="142">
        <f>AB99/X99-1</f>
        <v>0.64999999999999991</v>
      </c>
      <c r="AC100" s="142">
        <f>AC99/Y99-1</f>
        <v>0.64999999999999991</v>
      </c>
      <c r="AD100" s="142">
        <f>AD99/Z99-1</f>
        <v>0.64999999999999991</v>
      </c>
      <c r="AE100" s="142">
        <f>AE99/AA99-1</f>
        <v>0.64999999999999991</v>
      </c>
    </row>
    <row r="101" spans="1:31" s="67" customFormat="1" x14ac:dyDescent="0.25"/>
    <row r="102" spans="1:31" s="67" customFormat="1" x14ac:dyDescent="0.25">
      <c r="C102" s="67" t="s">
        <v>612</v>
      </c>
      <c r="D102" s="68">
        <f>D105-D103</f>
        <v>47944</v>
      </c>
      <c r="E102" s="68">
        <f t="shared" ref="E102:R102" si="34">E105-E103</f>
        <v>83529</v>
      </c>
      <c r="F102" s="68">
        <f t="shared" si="34"/>
        <v>253637</v>
      </c>
      <c r="G102" s="68">
        <f t="shared" si="34"/>
        <v>212524</v>
      </c>
      <c r="H102" s="68">
        <f t="shared" si="34"/>
        <v>234492</v>
      </c>
      <c r="I102" s="68">
        <f t="shared" si="34"/>
        <v>224761</v>
      </c>
      <c r="J102" s="68">
        <f t="shared" si="34"/>
        <v>249111</v>
      </c>
      <c r="K102" s="68">
        <f t="shared" si="34"/>
        <v>205210</v>
      </c>
      <c r="L102" s="68">
        <f t="shared" si="34"/>
        <v>384241</v>
      </c>
      <c r="M102" s="68">
        <f t="shared" si="34"/>
        <v>347101</v>
      </c>
      <c r="N102" s="68">
        <f t="shared" si="34"/>
        <v>321762</v>
      </c>
      <c r="O102" s="68">
        <f t="shared" si="34"/>
        <v>318875</v>
      </c>
      <c r="P102" s="68">
        <f t="shared" si="34"/>
        <v>290892</v>
      </c>
      <c r="Q102" s="68">
        <f t="shared" si="34"/>
        <v>282897</v>
      </c>
      <c r="R102" s="68">
        <f t="shared" si="34"/>
        <v>307650</v>
      </c>
      <c r="S102" s="68">
        <f t="shared" ref="S102:AA102" si="35">S105-S103</f>
        <v>300748</v>
      </c>
      <c r="T102" s="68">
        <f>T105-T103</f>
        <v>266542</v>
      </c>
      <c r="U102" s="68">
        <f>U105-U103</f>
        <v>244130</v>
      </c>
      <c r="V102" s="68">
        <f>V105-V103</f>
        <v>122573</v>
      </c>
      <c r="W102" s="68">
        <f>W105-W103</f>
        <v>139075</v>
      </c>
      <c r="X102" s="68">
        <f t="shared" si="35"/>
        <v>142925.3125</v>
      </c>
      <c r="Y102" s="68">
        <f t="shared" si="35"/>
        <v>147683.75</v>
      </c>
      <c r="Z102" s="68">
        <f t="shared" si="35"/>
        <v>136352.96875</v>
      </c>
      <c r="AA102" s="68">
        <f t="shared" si="35"/>
        <v>144036.40625</v>
      </c>
      <c r="AB102" s="68">
        <f>AB105-AB103</f>
        <v>154359.33749999991</v>
      </c>
      <c r="AC102" s="68">
        <f>AC105-AC103</f>
        <v>159498.44999999995</v>
      </c>
      <c r="AD102" s="68">
        <f>AD105-AD103</f>
        <v>147261.20625000005</v>
      </c>
      <c r="AE102" s="68">
        <f>AE105-AE103</f>
        <v>155559.31874999986</v>
      </c>
    </row>
    <row r="103" spans="1:31" s="67" customFormat="1" x14ac:dyDescent="0.25">
      <c r="C103" s="67" t="s">
        <v>610</v>
      </c>
      <c r="D103" s="68">
        <f t="shared" ref="D103:S103" si="36">SUM(D10:D11)</f>
        <v>88727</v>
      </c>
      <c r="E103" s="68">
        <f t="shared" si="36"/>
        <v>81346</v>
      </c>
      <c r="F103" s="68">
        <f t="shared" si="36"/>
        <v>316051</v>
      </c>
      <c r="G103" s="68">
        <f t="shared" si="36"/>
        <v>428481</v>
      </c>
      <c r="H103" s="68">
        <f t="shared" si="36"/>
        <v>419136</v>
      </c>
      <c r="I103" s="68">
        <f t="shared" si="36"/>
        <v>539292</v>
      </c>
      <c r="J103" s="68">
        <f t="shared" si="36"/>
        <v>466743</v>
      </c>
      <c r="K103" s="68">
        <f t="shared" si="36"/>
        <v>436099</v>
      </c>
      <c r="L103" s="68">
        <f t="shared" si="36"/>
        <v>271827</v>
      </c>
      <c r="M103" s="68">
        <f t="shared" si="36"/>
        <v>434690</v>
      </c>
      <c r="N103" s="68">
        <f t="shared" si="36"/>
        <v>474288</v>
      </c>
      <c r="O103" s="68">
        <f t="shared" si="36"/>
        <v>538530</v>
      </c>
      <c r="P103" s="68">
        <f t="shared" si="36"/>
        <v>503706</v>
      </c>
      <c r="Q103" s="68">
        <f t="shared" si="36"/>
        <v>555522</v>
      </c>
      <c r="R103" s="68">
        <f t="shared" si="36"/>
        <v>556925</v>
      </c>
      <c r="S103" s="68">
        <f t="shared" si="36"/>
        <v>606315</v>
      </c>
      <c r="T103" s="68">
        <f>SUM(T10:T11)</f>
        <v>648180</v>
      </c>
      <c r="U103" s="68">
        <f>SUM(U10:U11)</f>
        <v>701046</v>
      </c>
      <c r="V103" s="68">
        <f>SUM(V10:V11)</f>
        <v>750086</v>
      </c>
      <c r="W103" s="68">
        <f>SUM(W10:W11)</f>
        <v>782758</v>
      </c>
      <c r="X103" s="68">
        <f t="shared" ref="X103:AE103" si="37">X105*X104</f>
        <v>1000477.1875</v>
      </c>
      <c r="Y103" s="68">
        <f t="shared" si="37"/>
        <v>1033786.25</v>
      </c>
      <c r="Z103" s="68">
        <f t="shared" si="37"/>
        <v>954470.78125</v>
      </c>
      <c r="AA103" s="68">
        <f t="shared" si="37"/>
        <v>1008254.84375</v>
      </c>
      <c r="AB103" s="68">
        <f t="shared" si="37"/>
        <v>1389234.0375000001</v>
      </c>
      <c r="AC103" s="68">
        <f t="shared" si="37"/>
        <v>1435486.05</v>
      </c>
      <c r="AD103" s="68">
        <f t="shared" si="37"/>
        <v>1325350.85625</v>
      </c>
      <c r="AE103" s="68">
        <f t="shared" si="37"/>
        <v>1400033.8687500001</v>
      </c>
    </row>
    <row r="104" spans="1:31" s="67" customFormat="1" x14ac:dyDescent="0.25">
      <c r="C104" s="69" t="s">
        <v>611</v>
      </c>
      <c r="D104" s="70">
        <f>D103/D105</f>
        <v>0.64920136678593121</v>
      </c>
      <c r="E104" s="70">
        <f t="shared" ref="E104:R104" si="38">E103/E105</f>
        <v>0.49337983320697498</v>
      </c>
      <c r="F104" s="70">
        <f t="shared" si="38"/>
        <v>0.55477910716041057</v>
      </c>
      <c r="G104" s="70">
        <f t="shared" si="38"/>
        <v>0.6684518841506697</v>
      </c>
      <c r="H104" s="70">
        <f t="shared" si="38"/>
        <v>0.64124547907984353</v>
      </c>
      <c r="I104" s="70">
        <f t="shared" si="38"/>
        <v>0.70583061646247058</v>
      </c>
      <c r="J104" s="70">
        <f t="shared" si="38"/>
        <v>0.6520086498084805</v>
      </c>
      <c r="K104" s="70">
        <f t="shared" si="38"/>
        <v>0.68001384667921394</v>
      </c>
      <c r="L104" s="70">
        <f t="shared" si="38"/>
        <v>0.41432747824920585</v>
      </c>
      <c r="M104" s="70">
        <f t="shared" si="38"/>
        <v>0.55601816853865038</v>
      </c>
      <c r="N104" s="70">
        <f t="shared" si="38"/>
        <v>0.5958017712455248</v>
      </c>
      <c r="O104" s="70">
        <f t="shared" si="38"/>
        <v>0.62809290825222619</v>
      </c>
      <c r="P104" s="70">
        <f t="shared" si="38"/>
        <v>0.63391299751572494</v>
      </c>
      <c r="Q104" s="70">
        <f t="shared" si="38"/>
        <v>0.66258278975070939</v>
      </c>
      <c r="R104" s="70">
        <f t="shared" si="38"/>
        <v>0.64416042564265674</v>
      </c>
      <c r="S104" s="70">
        <f>S103/S105</f>
        <v>0.66843758371799977</v>
      </c>
      <c r="T104" s="70">
        <f>T103/T105</f>
        <v>0.70860873576890027</v>
      </c>
      <c r="U104" s="70">
        <f>U103/U105</f>
        <v>0.74170948056235031</v>
      </c>
      <c r="V104" s="70">
        <f>V103/V105</f>
        <v>0.85954078282582314</v>
      </c>
      <c r="W104" s="70">
        <f>W103/W105</f>
        <v>0.84913210961204466</v>
      </c>
      <c r="X104" s="70">
        <f>BR_bgs_T1</f>
        <v>0.875</v>
      </c>
      <c r="Y104" s="70">
        <f>BR_bgs_T1</f>
        <v>0.875</v>
      </c>
      <c r="Z104" s="70">
        <f>BR_bgs_T1</f>
        <v>0.875</v>
      </c>
      <c r="AA104" s="70">
        <f>BR_bgs_T1</f>
        <v>0.875</v>
      </c>
      <c r="AB104" s="70">
        <f>BR_bgs_T0</f>
        <v>0.9</v>
      </c>
      <c r="AC104" s="70">
        <f>BR_bgs_T0</f>
        <v>0.9</v>
      </c>
      <c r="AD104" s="70">
        <f>BR_bgs_T0</f>
        <v>0.9</v>
      </c>
      <c r="AE104" s="70">
        <f>BR_bgs_T0</f>
        <v>0.9</v>
      </c>
    </row>
    <row r="105" spans="1:31" s="67" customFormat="1" ht="15.75" thickBot="1" x14ac:dyDescent="0.3">
      <c r="C105" s="71" t="s">
        <v>10</v>
      </c>
      <c r="D105" s="72">
        <f t="shared" ref="D105:S105" si="39">SUM(D10,D11,D20,D21)</f>
        <v>136671</v>
      </c>
      <c r="E105" s="72">
        <f t="shared" si="39"/>
        <v>164875</v>
      </c>
      <c r="F105" s="72">
        <f t="shared" si="39"/>
        <v>569688</v>
      </c>
      <c r="G105" s="72">
        <f t="shared" si="39"/>
        <v>641005</v>
      </c>
      <c r="H105" s="72">
        <f t="shared" si="39"/>
        <v>653628</v>
      </c>
      <c r="I105" s="72">
        <f t="shared" si="39"/>
        <v>764053</v>
      </c>
      <c r="J105" s="72">
        <f t="shared" si="39"/>
        <v>715854</v>
      </c>
      <c r="K105" s="72">
        <f t="shared" si="39"/>
        <v>641309</v>
      </c>
      <c r="L105" s="72">
        <f t="shared" si="39"/>
        <v>656068</v>
      </c>
      <c r="M105" s="72">
        <f t="shared" si="39"/>
        <v>781791</v>
      </c>
      <c r="N105" s="72">
        <f t="shared" si="39"/>
        <v>796050</v>
      </c>
      <c r="O105" s="72">
        <f t="shared" si="39"/>
        <v>857405</v>
      </c>
      <c r="P105" s="72">
        <f t="shared" si="39"/>
        <v>794598</v>
      </c>
      <c r="Q105" s="72">
        <f t="shared" si="39"/>
        <v>838419</v>
      </c>
      <c r="R105" s="72">
        <f t="shared" si="39"/>
        <v>864575</v>
      </c>
      <c r="S105" s="72">
        <f t="shared" si="39"/>
        <v>907063</v>
      </c>
      <c r="T105" s="72">
        <f>SUM(T10,T11,T20,T21)</f>
        <v>914722</v>
      </c>
      <c r="U105" s="72">
        <f>SUM(U10,U11,U20,U21)</f>
        <v>945176</v>
      </c>
      <c r="V105" s="72">
        <f>SUM(V10,V11,V20,V21)</f>
        <v>872659</v>
      </c>
      <c r="W105" s="72">
        <f>SUM(W10,W11,W20,W21)</f>
        <v>921833</v>
      </c>
      <c r="X105" s="139">
        <f>T105*(1+GR_ng_T1)</f>
        <v>1143402.5</v>
      </c>
      <c r="Y105" s="139">
        <f>U105*(1+GR_ng_T1)</f>
        <v>1181470</v>
      </c>
      <c r="Z105" s="139">
        <f>V105*(1+GR_ng_T1)</f>
        <v>1090823.75</v>
      </c>
      <c r="AA105" s="139">
        <f>W105*(1+GR_ng_T1)</f>
        <v>1152291.25</v>
      </c>
      <c r="AB105" s="139">
        <f>X105*(1+GR_ng_T0)</f>
        <v>1543593.375</v>
      </c>
      <c r="AC105" s="139">
        <f>Y105*(1+GR_ng_T0)</f>
        <v>1594984.5</v>
      </c>
      <c r="AD105" s="139">
        <f>Z105*(1+GR_ng_T0)</f>
        <v>1472612.0625</v>
      </c>
      <c r="AE105" s="139">
        <f>AA105*(1+GR_ng_T0)</f>
        <v>1555593.1875</v>
      </c>
    </row>
    <row r="106" spans="1:31" s="67" customFormat="1" x14ac:dyDescent="0.25">
      <c r="C106" s="140" t="s">
        <v>639</v>
      </c>
      <c r="D106" s="141"/>
      <c r="E106" s="141"/>
      <c r="F106" s="141"/>
      <c r="G106" s="141"/>
      <c r="H106" s="142">
        <f t="shared" ref="H106:AA106" si="40">H105/D105-1</f>
        <v>3.7824922624404591</v>
      </c>
      <c r="I106" s="142">
        <f t="shared" si="40"/>
        <v>3.6341349507202425</v>
      </c>
      <c r="J106" s="142">
        <f t="shared" si="40"/>
        <v>0.25657201836794874</v>
      </c>
      <c r="K106" s="142">
        <f t="shared" si="40"/>
        <v>4.7425527101974119E-4</v>
      </c>
      <c r="L106" s="142">
        <f t="shared" si="40"/>
        <v>3.7330102137607124E-3</v>
      </c>
      <c r="M106" s="142">
        <f t="shared" si="40"/>
        <v>2.3215666975981986E-2</v>
      </c>
      <c r="N106" s="142">
        <f t="shared" si="40"/>
        <v>0.11202843037826149</v>
      </c>
      <c r="O106" s="142">
        <f t="shared" si="40"/>
        <v>0.33696080984361676</v>
      </c>
      <c r="P106" s="142">
        <f t="shared" si="40"/>
        <v>0.21115189279160096</v>
      </c>
      <c r="Q106" s="142">
        <f t="shared" si="40"/>
        <v>7.2433681124494997E-2</v>
      </c>
      <c r="R106" s="142">
        <f t="shared" si="40"/>
        <v>8.6081276301739784E-2</v>
      </c>
      <c r="S106" s="142">
        <f t="shared" si="40"/>
        <v>5.7916620500230387E-2</v>
      </c>
      <c r="T106" s="142">
        <f>T105/P105-1</f>
        <v>0.15117581468868524</v>
      </c>
      <c r="U106" s="142">
        <f>U105/Q105-1</f>
        <v>0.12733132240562295</v>
      </c>
      <c r="V106" s="142">
        <f>V105/R105-1</f>
        <v>9.3502587976752594E-3</v>
      </c>
      <c r="W106" s="142">
        <f t="shared" si="40"/>
        <v>1.6283323209082434E-2</v>
      </c>
      <c r="X106" s="142">
        <f t="shared" si="40"/>
        <v>0.25</v>
      </c>
      <c r="Y106" s="142">
        <f t="shared" si="40"/>
        <v>0.25</v>
      </c>
      <c r="Z106" s="142">
        <f t="shared" si="40"/>
        <v>0.25</v>
      </c>
      <c r="AA106" s="142">
        <f t="shared" si="40"/>
        <v>0.25</v>
      </c>
      <c r="AB106" s="142">
        <f>AB105/X105-1</f>
        <v>0.35000000000000009</v>
      </c>
      <c r="AC106" s="142">
        <f>AC105/Y105-1</f>
        <v>0.35000000000000009</v>
      </c>
      <c r="AD106" s="142">
        <f>AD105/Z105-1</f>
        <v>0.35000000000000009</v>
      </c>
      <c r="AE106" s="142">
        <f>AE105/AA105-1</f>
        <v>0.35000000000000009</v>
      </c>
    </row>
    <row r="107" spans="1:31" s="67" customFormat="1" x14ac:dyDescent="0.25"/>
    <row r="108" spans="1:31" s="67" customFormat="1" ht="15.75" thickBot="1" x14ac:dyDescent="0.3">
      <c r="C108" s="71" t="s">
        <v>617</v>
      </c>
      <c r="D108" s="72">
        <f t="shared" ref="D108:S108" si="41">SUM(D22:D23)</f>
        <v>18821</v>
      </c>
      <c r="E108" s="72">
        <f t="shared" si="41"/>
        <v>18876</v>
      </c>
      <c r="F108" s="72">
        <f t="shared" si="41"/>
        <v>7995</v>
      </c>
      <c r="G108" s="72">
        <f t="shared" si="41"/>
        <v>19358</v>
      </c>
      <c r="H108" s="72">
        <f t="shared" si="41"/>
        <v>20826</v>
      </c>
      <c r="I108" s="72">
        <f t="shared" si="41"/>
        <v>43505</v>
      </c>
      <c r="J108" s="72">
        <f t="shared" si="41"/>
        <v>24333</v>
      </c>
      <c r="K108" s="72">
        <f t="shared" si="41"/>
        <v>39627</v>
      </c>
      <c r="L108" s="72">
        <f t="shared" si="41"/>
        <v>138064</v>
      </c>
      <c r="M108" s="72">
        <f t="shared" si="41"/>
        <v>152677</v>
      </c>
      <c r="N108" s="72">
        <f t="shared" si="41"/>
        <v>162962</v>
      </c>
      <c r="O108" s="72">
        <f t="shared" si="41"/>
        <v>286715</v>
      </c>
      <c r="P108" s="72">
        <f t="shared" si="41"/>
        <v>495110</v>
      </c>
      <c r="Q108" s="72">
        <f t="shared" si="41"/>
        <v>365157</v>
      </c>
      <c r="R108" s="72">
        <f t="shared" si="41"/>
        <v>486957</v>
      </c>
      <c r="S108" s="72">
        <f t="shared" si="41"/>
        <v>708353</v>
      </c>
      <c r="T108" s="72">
        <f>SUM(T22:T23)</f>
        <v>675568</v>
      </c>
      <c r="U108" s="72">
        <f>SUM(U22:U23)</f>
        <v>236707</v>
      </c>
      <c r="V108" s="72">
        <f>SUM(V22:V23)</f>
        <v>229332</v>
      </c>
      <c r="W108" s="72">
        <f>SUM(W22:W23)</f>
        <v>333561</v>
      </c>
      <c r="X108" s="139">
        <f>T108*(1+GR_lp_T1)</f>
        <v>1013352</v>
      </c>
      <c r="Y108" s="139">
        <f>U108*(1+GR_lp_T1)</f>
        <v>355060.5</v>
      </c>
      <c r="Z108" s="139">
        <f>V108*(1+GR_lp_T1)</f>
        <v>343998</v>
      </c>
      <c r="AA108" s="139">
        <f>W108*(1+GR_lp_T1)</f>
        <v>500341.5</v>
      </c>
      <c r="AB108" s="139">
        <f>X108*(1+GR_lp_T0)</f>
        <v>1722698.4</v>
      </c>
      <c r="AC108" s="139">
        <f>Y108*(1+GR_lp_T0)</f>
        <v>603602.85</v>
      </c>
      <c r="AD108" s="139">
        <f>Z108*(1+GR_lp_T0)</f>
        <v>584796.6</v>
      </c>
      <c r="AE108" s="139">
        <f>AA108*(1+GR_lp_T0)</f>
        <v>850580.54999999993</v>
      </c>
    </row>
    <row r="109" spans="1:31" s="67" customFormat="1" x14ac:dyDescent="0.25">
      <c r="C109" s="140" t="s">
        <v>639</v>
      </c>
      <c r="D109" s="141"/>
      <c r="E109" s="141"/>
      <c r="F109" s="141"/>
      <c r="G109" s="141"/>
      <c r="H109" s="142">
        <f t="shared" ref="H109:AA109" si="42">H108/D108-1</f>
        <v>0.10652993996068227</v>
      </c>
      <c r="I109" s="142">
        <f t="shared" si="42"/>
        <v>1.3047785547785549</v>
      </c>
      <c r="J109" s="142">
        <f t="shared" si="42"/>
        <v>2.0435272045028143</v>
      </c>
      <c r="K109" s="142">
        <f t="shared" si="42"/>
        <v>1.0470606467610288</v>
      </c>
      <c r="L109" s="142">
        <f t="shared" si="42"/>
        <v>5.629405550753865</v>
      </c>
      <c r="M109" s="142">
        <f t="shared" si="42"/>
        <v>2.5094127111826228</v>
      </c>
      <c r="N109" s="142">
        <f t="shared" si="42"/>
        <v>5.6971602350717134</v>
      </c>
      <c r="O109" s="142">
        <f t="shared" si="42"/>
        <v>6.2353445882857645</v>
      </c>
      <c r="P109" s="142">
        <f t="shared" si="42"/>
        <v>2.5860905087495656</v>
      </c>
      <c r="Q109" s="142">
        <f t="shared" si="42"/>
        <v>1.3916961952356934</v>
      </c>
      <c r="R109" s="142">
        <f t="shared" si="42"/>
        <v>1.9881628845988635</v>
      </c>
      <c r="S109" s="142">
        <f t="shared" si="42"/>
        <v>1.4705822855448791</v>
      </c>
      <c r="T109" s="142">
        <f>T108/P108-1</f>
        <v>0.36448062046817875</v>
      </c>
      <c r="U109" s="142">
        <f>U108/Q108-1</f>
        <v>-0.35176650043679847</v>
      </c>
      <c r="V109" s="142">
        <f>V108/R108-1</f>
        <v>-0.52905081968223067</v>
      </c>
      <c r="W109" s="142">
        <f t="shared" si="42"/>
        <v>-0.52910342724602</v>
      </c>
      <c r="X109" s="142">
        <f t="shared" si="42"/>
        <v>0.5</v>
      </c>
      <c r="Y109" s="142">
        <f t="shared" si="42"/>
        <v>0.5</v>
      </c>
      <c r="Z109" s="142">
        <f t="shared" si="42"/>
        <v>0.5</v>
      </c>
      <c r="AA109" s="142">
        <f t="shared" si="42"/>
        <v>0.5</v>
      </c>
      <c r="AB109" s="142">
        <f>AB108/X108-1</f>
        <v>0.7</v>
      </c>
      <c r="AC109" s="142">
        <f>AC108/Y108-1</f>
        <v>0.7</v>
      </c>
      <c r="AD109" s="142">
        <f>AD108/Z108-1</f>
        <v>0.7</v>
      </c>
      <c r="AE109" s="142">
        <f>AE108/AA108-1</f>
        <v>0.7</v>
      </c>
    </row>
    <row r="110" spans="1:31" s="129" customFormat="1" x14ac:dyDescent="0.25"/>
    <row r="111" spans="1:31" s="129" customFormat="1" x14ac:dyDescent="0.25"/>
    <row r="112" spans="1:31" ht="21" x14ac:dyDescent="0.35">
      <c r="A112" s="94" t="s">
        <v>708</v>
      </c>
    </row>
    <row r="113" spans="2:31" x14ac:dyDescent="0.25">
      <c r="B113" s="65" t="s">
        <v>23</v>
      </c>
      <c r="C113" s="2" t="s">
        <v>4</v>
      </c>
      <c r="D113" s="3">
        <f t="shared" ref="D113:S113" si="43">SUM(D130:D131)</f>
        <v>-104666.70000000001</v>
      </c>
      <c r="E113" s="3">
        <f t="shared" si="43"/>
        <v>-91075.400000000009</v>
      </c>
      <c r="F113" s="3">
        <f t="shared" si="43"/>
        <v>-105242.4</v>
      </c>
      <c r="G113" s="3">
        <f t="shared" si="43"/>
        <v>-89566.2</v>
      </c>
      <c r="H113" s="3">
        <f t="shared" si="43"/>
        <v>-81537.3</v>
      </c>
      <c r="I113" s="3">
        <f t="shared" si="43"/>
        <v>-108290.40000000001</v>
      </c>
      <c r="J113" s="3">
        <f t="shared" si="43"/>
        <v>-123422</v>
      </c>
      <c r="K113" s="3">
        <f t="shared" si="43"/>
        <v>-110304.8</v>
      </c>
      <c r="L113" s="3">
        <f t="shared" si="43"/>
        <v>-124566.8</v>
      </c>
      <c r="M113" s="3">
        <f t="shared" si="43"/>
        <v>-153088.5</v>
      </c>
      <c r="N113" s="3">
        <f t="shared" si="43"/>
        <v>-150391.80000000002</v>
      </c>
      <c r="O113" s="3">
        <f t="shared" si="43"/>
        <v>-140966.5</v>
      </c>
      <c r="P113" s="3">
        <f t="shared" si="43"/>
        <v>-157541.1</v>
      </c>
      <c r="Q113" s="3">
        <f t="shared" si="43"/>
        <v>-167024.70000000001</v>
      </c>
      <c r="R113" s="3">
        <f t="shared" si="43"/>
        <v>-168930.4</v>
      </c>
      <c r="S113" s="3">
        <f t="shared" si="43"/>
        <v>-171681.3</v>
      </c>
      <c r="T113" s="3">
        <f>SUM(T130:T131)</f>
        <v>-191372.1</v>
      </c>
      <c r="U113" s="3">
        <f>SUM(U130:U131)</f>
        <v>-149057.4</v>
      </c>
      <c r="V113" s="3">
        <f>SUM(V130:V131)</f>
        <v>-228237.2</v>
      </c>
      <c r="W113" s="3">
        <f>SUM(W130:W131)</f>
        <v>-183281.5</v>
      </c>
      <c r="X113" s="3">
        <f>X77*ED_gas_T1*(CIT_gas_T1-CIA_cbob_T1)/1000000</f>
        <v>-216159.53681223406</v>
      </c>
      <c r="Y113" s="3">
        <f>Y77*ED_gas_T1*(CIT_gas_T1-CIA_cbob_T1)/1000000</f>
        <v>-222603.38136395984</v>
      </c>
      <c r="Z113" s="3">
        <f>Z77*ED_gas_T1*(CIT_gas_T1-CIA_cbob_T1)/1000000</f>
        <v>-283068.00947074656</v>
      </c>
      <c r="AA113" s="3">
        <f>AA77*ED_gas_T1*(CIT_gas_T1-CIA_cbob_T1)/1000000</f>
        <v>-225510.01129918979</v>
      </c>
      <c r="AB113" s="3">
        <f>AB77*ED_gas_T0*(CIT_gas_T0-CIA_gas_T0)/1000000</f>
        <v>-266120.62282022444</v>
      </c>
      <c r="AC113" s="3">
        <f>AC77*ED_gas_T0*(CIT_gas_T0-CIA_gas_T0)/1000000</f>
        <v>-264434.36919342395</v>
      </c>
      <c r="AD113" s="3">
        <f>AD77*ED_gas_T0*(CIT_gas_T0-CIA_gas_T0)/1000000</f>
        <v>-341416.41652042262</v>
      </c>
      <c r="AE113" s="3">
        <f>AE77*ED_gas_T0*(CIT_gas_T0-CIA_gas_T0)/1000000</f>
        <v>-270758.27835718257</v>
      </c>
    </row>
    <row r="114" spans="2:31" ht="15.75" thickBot="1" x14ac:dyDescent="0.3">
      <c r="B114" s="57"/>
      <c r="C114" s="58" t="s">
        <v>3</v>
      </c>
      <c r="D114" s="73">
        <f t="shared" ref="D114:S114" si="44">SUM(D134:D135)</f>
        <v>-56144.7</v>
      </c>
      <c r="E114" s="73">
        <f t="shared" si="44"/>
        <v>-46139.6</v>
      </c>
      <c r="F114" s="73">
        <f t="shared" si="44"/>
        <v>-54088.950000000004</v>
      </c>
      <c r="G114" s="73">
        <f t="shared" si="44"/>
        <v>-47907.55</v>
      </c>
      <c r="H114" s="73">
        <f t="shared" si="44"/>
        <v>-45305.8</v>
      </c>
      <c r="I114" s="73">
        <f t="shared" si="44"/>
        <v>-60071.8</v>
      </c>
      <c r="J114" s="73">
        <f t="shared" si="44"/>
        <v>-62759.850000000006</v>
      </c>
      <c r="K114" s="73">
        <f t="shared" si="44"/>
        <v>-52680.35</v>
      </c>
      <c r="L114" s="73">
        <f t="shared" si="44"/>
        <v>-66214.650000000009</v>
      </c>
      <c r="M114" s="73">
        <f t="shared" si="44"/>
        <v>-75088.049999999988</v>
      </c>
      <c r="N114" s="73">
        <f t="shared" si="44"/>
        <v>-84730.95</v>
      </c>
      <c r="O114" s="73">
        <f t="shared" si="44"/>
        <v>-69835.900000000009</v>
      </c>
      <c r="P114" s="73">
        <f t="shared" si="44"/>
        <v>-81664.499999999985</v>
      </c>
      <c r="Q114" s="73">
        <f t="shared" si="44"/>
        <v>-79437.100000000006</v>
      </c>
      <c r="R114" s="73">
        <f t="shared" si="44"/>
        <v>-89560.85</v>
      </c>
      <c r="S114" s="73">
        <f t="shared" si="44"/>
        <v>-85968.3</v>
      </c>
      <c r="T114" s="73">
        <f>SUM(T134:T135)</f>
        <v>-87558.75</v>
      </c>
      <c r="U114" s="73">
        <f>SUM(U134:U135)</f>
        <v>-110981.45</v>
      </c>
      <c r="V114" s="73">
        <f>SUM(V134:V135)</f>
        <v>-109034.8</v>
      </c>
      <c r="W114" s="73">
        <f>SUM(W134:W135)</f>
        <v>-109694.75</v>
      </c>
      <c r="X114" s="73">
        <f>X83*ED_die_T1*(CIT_die_T1-CIA_die_T1)/1000000</f>
        <v>-118129.96306652081</v>
      </c>
      <c r="Y114" s="73">
        <f>Y83*ED_die_T1*(CIT_die_T1-CIA_die_T1)/1000000</f>
        <v>-146421.19071235679</v>
      </c>
      <c r="Z114" s="73">
        <f>Z83*ED_die_T1*(CIT_die_T1-CIA_die_T1)/1000000</f>
        <v>-129861.14250036259</v>
      </c>
      <c r="AA114" s="73">
        <f>AA83*ED_die_T1*(CIT_die_T1-CIA_die_T1)/1000000</f>
        <v>-131385.53367280826</v>
      </c>
      <c r="AB114" s="73">
        <f>AB83*ED_die_T0*(CIT_die_T0-CIA_die_T0)/1000000</f>
        <v>-135233.40275528209</v>
      </c>
      <c r="AC114" s="73">
        <f>AC83*ED_die_T0*(CIT_die_T0-CIA_die_T0)/1000000</f>
        <v>-171900.01068585663</v>
      </c>
      <c r="AD114" s="73">
        <f>AD83*ED_die_T0*(CIT_die_T0-CIA_die_T0)/1000000</f>
        <v>-158765.24334533478</v>
      </c>
      <c r="AE114" s="73">
        <f>AE83*ED_die_T0*(CIT_die_T0-CIA_die_T0)/1000000</f>
        <v>-161534.13088595326</v>
      </c>
    </row>
    <row r="115" spans="2:31" ht="15.75" thickBot="1" x14ac:dyDescent="0.3">
      <c r="B115" s="61" t="s">
        <v>607</v>
      </c>
      <c r="C115" s="62"/>
      <c r="D115" s="18">
        <f>SUM(D113:D114)</f>
        <v>-160811.40000000002</v>
      </c>
      <c r="E115" s="18">
        <f t="shared" ref="E115:R115" si="45">SUM(E113:E114)</f>
        <v>-137215</v>
      </c>
      <c r="F115" s="18">
        <f t="shared" si="45"/>
        <v>-159331.35</v>
      </c>
      <c r="G115" s="18">
        <f t="shared" si="45"/>
        <v>-137473.75</v>
      </c>
      <c r="H115" s="18">
        <f t="shared" si="45"/>
        <v>-126843.1</v>
      </c>
      <c r="I115" s="18">
        <f t="shared" si="45"/>
        <v>-168362.2</v>
      </c>
      <c r="J115" s="18">
        <f t="shared" si="45"/>
        <v>-186181.85</v>
      </c>
      <c r="K115" s="18">
        <f t="shared" si="45"/>
        <v>-162985.15</v>
      </c>
      <c r="L115" s="18">
        <f t="shared" si="45"/>
        <v>-190781.45</v>
      </c>
      <c r="M115" s="18">
        <f t="shared" si="45"/>
        <v>-228176.55</v>
      </c>
      <c r="N115" s="18">
        <f t="shared" si="45"/>
        <v>-235122.75</v>
      </c>
      <c r="O115" s="18">
        <f t="shared" si="45"/>
        <v>-210802.40000000002</v>
      </c>
      <c r="P115" s="18">
        <f t="shared" si="45"/>
        <v>-239205.59999999998</v>
      </c>
      <c r="Q115" s="18">
        <f t="shared" si="45"/>
        <v>-246461.80000000002</v>
      </c>
      <c r="R115" s="18">
        <f t="shared" si="45"/>
        <v>-258491.25</v>
      </c>
      <c r="S115" s="18">
        <f t="shared" ref="S115:AE115" si="46">SUM(S113:S114)</f>
        <v>-257649.59999999998</v>
      </c>
      <c r="T115" s="18">
        <f t="shared" si="46"/>
        <v>-278930.84999999998</v>
      </c>
      <c r="U115" s="18">
        <f t="shared" si="46"/>
        <v>-260038.84999999998</v>
      </c>
      <c r="V115" s="18">
        <f t="shared" si="46"/>
        <v>-337272</v>
      </c>
      <c r="W115" s="18">
        <f t="shared" si="46"/>
        <v>-292976.25</v>
      </c>
      <c r="X115" s="18">
        <f t="shared" si="46"/>
        <v>-334289.49987875484</v>
      </c>
      <c r="Y115" s="18">
        <f t="shared" si="46"/>
        <v>-369024.57207631663</v>
      </c>
      <c r="Z115" s="18">
        <f t="shared" si="46"/>
        <v>-412929.15197110915</v>
      </c>
      <c r="AA115" s="18">
        <f t="shared" si="46"/>
        <v>-356895.54497199808</v>
      </c>
      <c r="AB115" s="18">
        <f t="shared" si="46"/>
        <v>-401354.0255755065</v>
      </c>
      <c r="AC115" s="18">
        <f t="shared" si="46"/>
        <v>-436334.37987928058</v>
      </c>
      <c r="AD115" s="18">
        <f t="shared" si="46"/>
        <v>-500181.65986575739</v>
      </c>
      <c r="AE115" s="18">
        <f t="shared" si="46"/>
        <v>-432292.40924313583</v>
      </c>
    </row>
    <row r="116" spans="2:31" x14ac:dyDescent="0.25">
      <c r="B116" s="59"/>
      <c r="C116" s="59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129"/>
      <c r="Y116" s="129"/>
      <c r="Z116" s="129"/>
      <c r="AA116" s="129"/>
      <c r="AB116" s="129"/>
      <c r="AC116" s="129"/>
      <c r="AD116" s="129"/>
      <c r="AE116" s="129"/>
    </row>
    <row r="117" spans="2:31" x14ac:dyDescent="0.25">
      <c r="B117" s="65" t="s">
        <v>24</v>
      </c>
      <c r="C117" s="2" t="s">
        <v>5</v>
      </c>
      <c r="D117" s="3">
        <f t="shared" ref="D117:S117" si="47">SUM(D132:D133)</f>
        <v>138645.70000000001</v>
      </c>
      <c r="E117" s="3">
        <f t="shared" si="47"/>
        <v>118783.40000000001</v>
      </c>
      <c r="F117" s="3">
        <f t="shared" si="47"/>
        <v>134538.4</v>
      </c>
      <c r="G117" s="3">
        <f t="shared" si="47"/>
        <v>107971.2</v>
      </c>
      <c r="H117" s="3">
        <f t="shared" si="47"/>
        <v>110453.3</v>
      </c>
      <c r="I117" s="3">
        <f t="shared" si="47"/>
        <v>116910.40000000001</v>
      </c>
      <c r="J117" s="3">
        <f t="shared" si="47"/>
        <v>131067</v>
      </c>
      <c r="K117" s="3">
        <f t="shared" si="47"/>
        <v>121246.8</v>
      </c>
      <c r="L117" s="3">
        <f t="shared" si="47"/>
        <v>116865.8</v>
      </c>
      <c r="M117" s="3">
        <f t="shared" si="47"/>
        <v>113534.5</v>
      </c>
      <c r="N117" s="3">
        <f t="shared" si="47"/>
        <v>134719.80000000002</v>
      </c>
      <c r="O117" s="3">
        <f t="shared" si="47"/>
        <v>130007.5</v>
      </c>
      <c r="P117" s="3">
        <f t="shared" si="47"/>
        <v>108480.1</v>
      </c>
      <c r="Q117" s="3">
        <f t="shared" si="47"/>
        <v>127109.7</v>
      </c>
      <c r="R117" s="3">
        <f t="shared" si="47"/>
        <v>146323.4</v>
      </c>
      <c r="S117" s="3">
        <f t="shared" si="47"/>
        <v>138932.29999999999</v>
      </c>
      <c r="T117" s="3">
        <f>SUM(T132:T133)</f>
        <v>122550.09999999999</v>
      </c>
      <c r="U117" s="3">
        <f>SUM(U132:U133)</f>
        <v>108271.40000000001</v>
      </c>
      <c r="V117" s="3">
        <f>SUM(V132:V133)</f>
        <v>133964.20000000001</v>
      </c>
      <c r="W117" s="3">
        <f>SUM(W132:W133)</f>
        <v>123377.5</v>
      </c>
      <c r="X117" s="3">
        <f>X78*ED_eth_T1*(CIT_gas_T1-CIA_eth_T1)/1000000</f>
        <v>133838.37915810023</v>
      </c>
      <c r="Y117" s="3">
        <f>Y78*ED_eth_T1*(CIT_gas_T1-CIA_eth_T1)/1000000</f>
        <v>137828.18096406397</v>
      </c>
      <c r="Z117" s="3">
        <f>Z78*ED_eth_T1*(CIT_gas_T1-CIA_eth_T1)/1000000</f>
        <v>175265.75111040985</v>
      </c>
      <c r="AA117" s="3">
        <f>AA78*ED_eth_T1*(CIT_gas_T1-CIA_eth_T1)/1000000</f>
        <v>139627.86394396186</v>
      </c>
      <c r="AB117" s="3">
        <f>AB78*ED_eth_T0*(CIT_gas_T0-CIA_Eth_T0)/1000000</f>
        <v>141079.09057889704</v>
      </c>
      <c r="AC117" s="3">
        <f>AC78*ED_eth_T0*(CIT_gas_T0-CIA_Eth_T0)/1000000</f>
        <v>140185.15336488755</v>
      </c>
      <c r="AD117" s="3">
        <f>AD78*ED_eth_T0*(CIT_gas_T0-CIA_Eth_T0)/1000000</f>
        <v>180995.8094978072</v>
      </c>
      <c r="AE117" s="3">
        <f>AE78*ED_eth_T0*(CIT_gas_T0-CIA_Eth_T0)/1000000</f>
        <v>143537.66075146958</v>
      </c>
    </row>
    <row r="118" spans="2:31" x14ac:dyDescent="0.25">
      <c r="B118" s="65"/>
      <c r="C118" s="2" t="s">
        <v>7</v>
      </c>
      <c r="D118" s="3">
        <f t="shared" ref="D118:S118" si="48">SUM(D136:D137)</f>
        <v>58364.7</v>
      </c>
      <c r="E118" s="3">
        <f t="shared" si="48"/>
        <v>63917.599999999999</v>
      </c>
      <c r="F118" s="3">
        <f t="shared" si="48"/>
        <v>75239.95</v>
      </c>
      <c r="G118" s="3">
        <f t="shared" si="48"/>
        <v>68933.55</v>
      </c>
      <c r="H118" s="3">
        <f t="shared" si="48"/>
        <v>56946.8</v>
      </c>
      <c r="I118" s="3">
        <f t="shared" si="48"/>
        <v>82476.800000000003</v>
      </c>
      <c r="J118" s="3">
        <f t="shared" si="48"/>
        <v>90074.85</v>
      </c>
      <c r="K118" s="3">
        <f t="shared" si="48"/>
        <v>87098.014302230004</v>
      </c>
      <c r="L118" s="3">
        <f t="shared" si="48"/>
        <v>72723.646281665031</v>
      </c>
      <c r="M118" s="3">
        <f t="shared" si="48"/>
        <v>87693.219200915511</v>
      </c>
      <c r="N118" s="3">
        <f t="shared" si="48"/>
        <v>100409.03239736639</v>
      </c>
      <c r="O118" s="3">
        <f t="shared" si="48"/>
        <v>90605.683479329469</v>
      </c>
      <c r="P118" s="3">
        <f t="shared" si="48"/>
        <v>81721.490345357786</v>
      </c>
      <c r="Q118" s="3">
        <f t="shared" si="48"/>
        <v>120443.8281439712</v>
      </c>
      <c r="R118" s="3">
        <f t="shared" si="48"/>
        <v>123711.940061976</v>
      </c>
      <c r="S118" s="3">
        <f t="shared" si="48"/>
        <v>115171.8799265197</v>
      </c>
      <c r="T118" s="3">
        <f>SUM(T136:T137)</f>
        <v>116854.10870139446</v>
      </c>
      <c r="U118" s="3">
        <f>SUM(U136:U137)</f>
        <v>108464.87469065205</v>
      </c>
      <c r="V118" s="3">
        <f>SUM(V136:V137)</f>
        <v>124821.69480247037</v>
      </c>
      <c r="W118" s="3">
        <f>SUM(W136:W137)</f>
        <v>122811.95971553394</v>
      </c>
      <c r="X118" s="3">
        <f>X84*ED_bio_T1*(CIT_die_T1-CIA_Bio_T1)/1000000</f>
        <v>135461.31970203601</v>
      </c>
      <c r="Y118" s="3">
        <f>Y84*ED_bio_T1*(CIT_die_T1-CIA_Bio_T1)/1000000</f>
        <v>167903.27543800455</v>
      </c>
      <c r="Z118" s="3">
        <f>Z84*ED_bio_T1*(CIT_die_T1-CIA_Bio_T1)/1000000</f>
        <v>148913.63109296345</v>
      </c>
      <c r="AA118" s="3">
        <f>AA84*ED_bio_T1*(CIT_die_T1-CIA_Bio_T1)/1000000</f>
        <v>150661.6722723663</v>
      </c>
      <c r="AB118" s="3">
        <f>AB84*ED_Bio_T0*(CIT_die_T0-CIA_bio_T0)/1000000</f>
        <v>143407.54840006653</v>
      </c>
      <c r="AC118" s="3">
        <f>AC84*ED_Bio_T0*(CIT_die_T0-CIA_bio_T0)/1000000</f>
        <v>182290.45931066075</v>
      </c>
      <c r="AD118" s="3">
        <f>AD84*ED_Bio_T0*(CIT_die_T0-CIA_bio_T0)/1000000</f>
        <v>168361.76458929738</v>
      </c>
      <c r="AE118" s="3">
        <f>AE84*ED_Bio_T0*(CIT_die_T0-CIA_bio_T0)/1000000</f>
        <v>171298.01677186007</v>
      </c>
    </row>
    <row r="119" spans="2:31" x14ac:dyDescent="0.25">
      <c r="B119" s="65"/>
      <c r="C119" s="2" t="s">
        <v>6</v>
      </c>
      <c r="D119" s="3">
        <f t="shared" ref="D119:S119" si="49">SUM(D138:D139)</f>
        <v>0</v>
      </c>
      <c r="E119" s="3">
        <f t="shared" si="49"/>
        <v>0</v>
      </c>
      <c r="F119" s="3">
        <f t="shared" si="49"/>
        <v>0</v>
      </c>
      <c r="G119" s="3">
        <f t="shared" si="49"/>
        <v>0</v>
      </c>
      <c r="H119" s="3">
        <f t="shared" si="49"/>
        <v>0</v>
      </c>
      <c r="I119" s="3">
        <f t="shared" si="49"/>
        <v>0</v>
      </c>
      <c r="J119" s="3">
        <f t="shared" si="49"/>
        <v>0</v>
      </c>
      <c r="K119" s="3">
        <f t="shared" si="49"/>
        <v>2863.335697769985</v>
      </c>
      <c r="L119" s="3">
        <f t="shared" si="49"/>
        <v>1949.0037183349648</v>
      </c>
      <c r="M119" s="3">
        <f t="shared" si="49"/>
        <v>1637.830799084486</v>
      </c>
      <c r="N119" s="3">
        <f t="shared" si="49"/>
        <v>1800.9176026336174</v>
      </c>
      <c r="O119" s="3">
        <f t="shared" si="49"/>
        <v>4037.2165206705317</v>
      </c>
      <c r="P119" s="3">
        <f t="shared" si="49"/>
        <v>907.0096546422235</v>
      </c>
      <c r="Q119" s="3">
        <f t="shared" si="49"/>
        <v>3104.2718560287944</v>
      </c>
      <c r="R119" s="3">
        <f t="shared" si="49"/>
        <v>98816.909938023993</v>
      </c>
      <c r="S119" s="3">
        <f t="shared" si="49"/>
        <v>42518.420073480294</v>
      </c>
      <c r="T119" s="3">
        <f>SUM(T138:T139)</f>
        <v>70397.641298605522</v>
      </c>
      <c r="U119" s="3">
        <f>SUM(U138:U139)</f>
        <v>53557.575309347936</v>
      </c>
      <c r="V119" s="3">
        <f>SUM(V138:V139)</f>
        <v>1584.1051975296259</v>
      </c>
      <c r="W119" s="3">
        <f>SUM(W138:W139)</f>
        <v>29037.79028446606</v>
      </c>
      <c r="X119" s="3">
        <f>X86*ED_ren_T1*(CIT_die_T1-CIA_ren_T1)/1000000</f>
        <v>42625.021073258475</v>
      </c>
      <c r="Y119" s="3">
        <f>Y86*ED_ren_T1*(CIT_die_T1-CIA_ren_T1)/1000000</f>
        <v>52833.389410028743</v>
      </c>
      <c r="Z119" s="3">
        <f>Z86*ED_ren_T1*(CIT_die_T1-CIA_ren_T1)/1000000</f>
        <v>46858.001069198224</v>
      </c>
      <c r="AA119" s="3">
        <f>AA86*ED_ren_T1*(CIT_die_T1-CIA_ren_T1)/1000000</f>
        <v>47408.049542613851</v>
      </c>
      <c r="AB119" s="3">
        <f>AB86*ED_ren_T0*(CIT_die_T0-CIA_ren_T0)/1000000</f>
        <v>81868.3812568305</v>
      </c>
      <c r="AC119" s="3">
        <f>AC86*ED_ren_T0*(CIT_die_T0-CIA_ren_T0)/1000000</f>
        <v>104065.82490828632</v>
      </c>
      <c r="AD119" s="3">
        <f>AD86*ED_ren_T0*(CIT_die_T0-CIA_ren_T0)/1000000</f>
        <v>96114.223318407603</v>
      </c>
      <c r="AE119" s="3">
        <f>AE86*ED_ren_T0*(CIT_die_T0-CIA_ren_T0)/1000000</f>
        <v>97790.468507939993</v>
      </c>
    </row>
    <row r="120" spans="2:31" x14ac:dyDescent="0.25">
      <c r="B120" s="65"/>
      <c r="C120" s="2" t="s">
        <v>25</v>
      </c>
      <c r="D120" s="3">
        <f>SUM(D140:D141)</f>
        <v>8894</v>
      </c>
      <c r="E120" s="3">
        <f t="shared" ref="E120:W120" si="50">SUM(E140:E141)</f>
        <v>9074</v>
      </c>
      <c r="F120" s="3">
        <f t="shared" si="50"/>
        <v>9257</v>
      </c>
      <c r="G120" s="3">
        <f t="shared" si="50"/>
        <v>9214</v>
      </c>
      <c r="H120" s="3">
        <f t="shared" si="50"/>
        <v>10950</v>
      </c>
      <c r="I120" s="3">
        <f t="shared" si="50"/>
        <v>11123</v>
      </c>
      <c r="J120" s="3">
        <f t="shared" si="50"/>
        <v>11396</v>
      </c>
      <c r="K120" s="3">
        <f t="shared" si="50"/>
        <v>11247</v>
      </c>
      <c r="L120" s="3">
        <f t="shared" si="50"/>
        <v>14761</v>
      </c>
      <c r="M120" s="3">
        <f t="shared" si="50"/>
        <v>14983</v>
      </c>
      <c r="N120" s="3">
        <f t="shared" si="50"/>
        <v>15191</v>
      </c>
      <c r="O120" s="3">
        <f t="shared" si="50"/>
        <v>15437</v>
      </c>
      <c r="P120" s="3">
        <f t="shared" si="50"/>
        <v>19504</v>
      </c>
      <c r="Q120" s="3">
        <f t="shared" si="50"/>
        <v>19817</v>
      </c>
      <c r="R120" s="3">
        <f t="shared" si="50"/>
        <v>20283</v>
      </c>
      <c r="S120" s="3">
        <f t="shared" si="50"/>
        <v>20258</v>
      </c>
      <c r="T120" s="3">
        <f t="shared" si="50"/>
        <v>26401</v>
      </c>
      <c r="U120" s="3">
        <f t="shared" si="50"/>
        <v>25904</v>
      </c>
      <c r="V120" s="3">
        <f t="shared" si="50"/>
        <v>26824</v>
      </c>
      <c r="W120" s="3">
        <f t="shared" si="50"/>
        <v>26690</v>
      </c>
      <c r="X120" s="3">
        <f>'Electric Vehicles'!H36*(KWh_T1/4)*EEReon_T1*ED_eon_T1*(CIT_gas_T1-(CIA_eon_T1/EEReon_T1))/1000000</f>
        <v>31497.404572492986</v>
      </c>
      <c r="Y120" s="3">
        <f>'Electric Vehicles'!H37*(KWh_T1/4)*EEReon_T1*ED_eon_T1*(CIT_gas_T1-(CIA_eon_T1/EEReon_T1))/1000000</f>
        <v>33524.951434438517</v>
      </c>
      <c r="Z120" s="3">
        <f>'Electric Vehicles'!H38*(KWh_T1/4)*EEReon_T1*ED_eon_T1*(CIT_gas_T1-(CIA_eon_T1/EEReon_T1))/1000000</f>
        <v>35845.715355716056</v>
      </c>
      <c r="AA120" s="3">
        <f>'Electric Vehicles'!H39*(KWh_T1/4)*EEReon_T1*ED_eon_T1*(CIT_gas_T1-(CIA_eon_T1/EEReon_T1))/1000000</f>
        <v>38364.014980122534</v>
      </c>
      <c r="AB120" s="3">
        <f>'Electric Vehicles'!H40*(KWh_T0/4)*EEReon_T0*ED_eon_T0*(CIT_gas_T0-(CIA_eon_T0/EEReon_T0))/1000000</f>
        <v>49975.989798996401</v>
      </c>
      <c r="AC120" s="3">
        <f>'Electric Vehicles'!H41*(KWh_T0/4)*EEReon_T0*ED_eon_T0*(CIT_gas_T0-(CIA_eon_T0/EEReon_T0))/1000000</f>
        <v>53246.7430782593</v>
      </c>
      <c r="AD120" s="3">
        <f>'Electric Vehicles'!H42*(KWh_T0/4)*EEReon_T0*ED_eon_T0*(CIT_gas_T0-(CIA_eon_T0/EEReon_T0))/1000000</f>
        <v>56204.629815771485</v>
      </c>
      <c r="AE120" s="3">
        <f>'Electric Vehicles'!H43*(KWh_T0/4)*EEReon_T0*ED_eon_T0*(CIT_gas_T0-(CIA_eon_T0/EEReon_T0))/1000000</f>
        <v>59311.435562239261</v>
      </c>
    </row>
    <row r="121" spans="2:31" x14ac:dyDescent="0.25">
      <c r="B121" s="65"/>
      <c r="C121" s="5" t="s">
        <v>26</v>
      </c>
      <c r="D121" s="11">
        <f t="shared" ref="D121:S121" si="51">SUM(D142:D143)</f>
        <v>0</v>
      </c>
      <c r="E121" s="81">
        <f t="shared" si="51"/>
        <v>0</v>
      </c>
      <c r="F121" s="81">
        <f t="shared" si="51"/>
        <v>0</v>
      </c>
      <c r="G121" s="81">
        <f t="shared" si="51"/>
        <v>0</v>
      </c>
      <c r="H121" s="81">
        <f t="shared" si="51"/>
        <v>0</v>
      </c>
      <c r="I121" s="81">
        <f t="shared" si="51"/>
        <v>0</v>
      </c>
      <c r="J121" s="81">
        <f t="shared" si="51"/>
        <v>0</v>
      </c>
      <c r="K121" s="81">
        <f t="shared" si="51"/>
        <v>0</v>
      </c>
      <c r="L121" s="81">
        <f t="shared" si="51"/>
        <v>4288</v>
      </c>
      <c r="M121" s="81">
        <f t="shared" si="51"/>
        <v>4206</v>
      </c>
      <c r="N121" s="81">
        <f t="shared" si="51"/>
        <v>4382</v>
      </c>
      <c r="O121" s="81">
        <f t="shared" si="51"/>
        <v>4313</v>
      </c>
      <c r="P121" s="81">
        <f t="shared" si="51"/>
        <v>4662</v>
      </c>
      <c r="Q121" s="81">
        <f t="shared" si="51"/>
        <v>4756</v>
      </c>
      <c r="R121" s="81">
        <f t="shared" si="51"/>
        <v>5787</v>
      </c>
      <c r="S121" s="81">
        <f t="shared" si="51"/>
        <v>6098</v>
      </c>
      <c r="T121" s="131">
        <f>SUM(T142:T143)</f>
        <v>6390</v>
      </c>
      <c r="U121" s="131">
        <f>SUM(U142:U143)</f>
        <v>6453</v>
      </c>
      <c r="V121" s="131">
        <f>SUM(V142:V143)</f>
        <v>7824</v>
      </c>
      <c r="W121" s="166">
        <f>SUM(W142:W143)</f>
        <v>8573</v>
      </c>
      <c r="X121" s="3">
        <f>TREND($L121:$W121,$L76:$W76,X76)</f>
        <v>8147.9040164609032</v>
      </c>
      <c r="Y121" s="3">
        <f t="shared" ref="Y121:AE121" si="52">TREND($L121:$W121,$L76:$W76,Y76)</f>
        <v>8526.7545611964888</v>
      </c>
      <c r="Z121" s="3">
        <f t="shared" si="52"/>
        <v>8909.8145564291044</v>
      </c>
      <c r="AA121" s="3">
        <f t="shared" si="52"/>
        <v>9297.0840021588083</v>
      </c>
      <c r="AB121" s="3">
        <f t="shared" si="52"/>
        <v>9684.3534478885122</v>
      </c>
      <c r="AC121" s="3">
        <f t="shared" si="52"/>
        <v>10063.203992624069</v>
      </c>
      <c r="AD121" s="3">
        <f t="shared" si="52"/>
        <v>10446.263987856713</v>
      </c>
      <c r="AE121" s="3">
        <f t="shared" si="52"/>
        <v>10833.533433586417</v>
      </c>
    </row>
    <row r="122" spans="2:31" x14ac:dyDescent="0.25">
      <c r="B122" s="65"/>
      <c r="C122" s="2" t="s">
        <v>10</v>
      </c>
      <c r="D122" s="3">
        <f t="shared" ref="D122:S122" si="53">SUM(D144:D147)</f>
        <v>535</v>
      </c>
      <c r="E122" s="3">
        <f t="shared" si="53"/>
        <v>427</v>
      </c>
      <c r="F122" s="3">
        <f t="shared" si="53"/>
        <v>2380</v>
      </c>
      <c r="G122" s="3">
        <f t="shared" si="53"/>
        <v>3135</v>
      </c>
      <c r="H122" s="3">
        <f t="shared" si="53"/>
        <v>2364</v>
      </c>
      <c r="I122" s="3">
        <f t="shared" si="53"/>
        <v>3016</v>
      </c>
      <c r="J122" s="3">
        <f t="shared" si="53"/>
        <v>2961</v>
      </c>
      <c r="K122" s="3">
        <f t="shared" si="53"/>
        <v>2879</v>
      </c>
      <c r="L122" s="3">
        <f t="shared" si="53"/>
        <v>1675</v>
      </c>
      <c r="M122" s="3">
        <f t="shared" si="53"/>
        <v>2284</v>
      </c>
      <c r="N122" s="3">
        <f t="shared" si="53"/>
        <v>2407</v>
      </c>
      <c r="O122" s="3">
        <f t="shared" si="53"/>
        <v>2545</v>
      </c>
      <c r="P122" s="3">
        <f t="shared" si="53"/>
        <v>2298</v>
      </c>
      <c r="Q122" s="3">
        <f t="shared" si="53"/>
        <v>2496</v>
      </c>
      <c r="R122" s="3">
        <f t="shared" si="53"/>
        <v>2524</v>
      </c>
      <c r="S122" s="3">
        <f t="shared" si="53"/>
        <v>3065</v>
      </c>
      <c r="T122" s="3">
        <f>SUM(T144:T147)</f>
        <v>2796</v>
      </c>
      <c r="U122" s="3">
        <f>SUM(U144:U147)</f>
        <v>2900</v>
      </c>
      <c r="V122" s="3">
        <f>SUM(V144:V147)</f>
        <v>3791</v>
      </c>
      <c r="W122" s="3">
        <f>SUM(W144:W147)</f>
        <v>3745</v>
      </c>
      <c r="X122" s="3">
        <f>SUM(X102*EERng_T1*ED_die_T1*(CIT_die_T1-(CIA_fcg_T1/EERng_T1))/1000000,X103*EERng_T1*ED_die_T1*(CIT_die_T1-(CIA_bgs_T1/EERng_T1))/1000000)</f>
        <v>5057.0925789457006</v>
      </c>
      <c r="Y122" s="3">
        <f>SUM(Y102*EERng_T1*ED_die_T1*(CIT_die_T1-(CIA_fcg_T1/EERng_T1))/1000000,Y103*EERng_T1*ED_die_T1*(CIT_die_T1-(CIA_bgs_T1/EERng_T1))/1000000)</f>
        <v>5225.4592492556012</v>
      </c>
      <c r="Z122" s="3">
        <f>SUM(Z102*EERng_T1*ED_die_T1*(CIT_die_T1-(CIA_fcg_T1/EERng_T1))/1000000,Z103*EERng_T1*ED_die_T1*(CIT_die_T1-(CIA_bgs_T1/EERng_T1))/1000000)</f>
        <v>4824.544892164151</v>
      </c>
      <c r="AA122" s="3">
        <f>SUM(AA102*EERng_T1*ED_die_T1*(CIT_die_T1-(CIA_fcg_T1/EERng_T1))/1000000,AA103*EERng_T1*ED_die_T1*(CIT_die_T1-(CIA_bgs_T1/EERng_T1))/1000000)</f>
        <v>5096.4061467060501</v>
      </c>
      <c r="AB122" s="3">
        <f>SUM(AB102*EERng_T0*ED_die_T0*(CIT_die_T0-(CIA_fcg_T0/EERng_T0))/1000000,AB103*EERng_T0*ED_die_T0*(CIT_die_T0-(CIA_bgs_T0/EERng_T0))/1000000)</f>
        <v>6711.3477729101696</v>
      </c>
      <c r="AC122" s="3">
        <f>SUM(AC102*EERng_T0*ED_die_T0*(CIT_die_T0-(CIA_fcg_T0/EERng_T0))/1000000,AC103*EERng_T0*ED_die_T0*(CIT_die_T0-(CIA_bgs_T0/EERng_T0))/1000000)</f>
        <v>6934.78985157036</v>
      </c>
      <c r="AD122" s="3">
        <f>SUM(AD102*EERng_T0*ED_die_T0*(CIT_die_T0-(CIA_fcg_T0/EERng_T0))/1000000,AD103*EERng_T0*ED_die_T0*(CIT_die_T0-(CIA_bgs_T0/EERng_T0))/1000000)</f>
        <v>6402.7300493046141</v>
      </c>
      <c r="AE122" s="3">
        <f>SUM(AE102*EERng_T0*ED_die_T0*(CIT_die_T0-(CIA_fcg_T0/EERng_T0))/1000000,AE103*EERng_T0*ED_die_T0*(CIT_die_T0-(CIA_bgs_T0/EERng_T0))/1000000)</f>
        <v>6763.5214322440042</v>
      </c>
    </row>
    <row r="123" spans="2:31" ht="15.75" thickBot="1" x14ac:dyDescent="0.3">
      <c r="B123" s="57"/>
      <c r="C123" s="58" t="s">
        <v>11</v>
      </c>
      <c r="D123" s="73">
        <f t="shared" ref="D123:S123" si="54">SUM(D148:D149)</f>
        <v>28</v>
      </c>
      <c r="E123" s="73">
        <f t="shared" si="54"/>
        <v>28</v>
      </c>
      <c r="F123" s="73">
        <f t="shared" si="54"/>
        <v>13</v>
      </c>
      <c r="G123" s="73">
        <f t="shared" si="54"/>
        <v>31</v>
      </c>
      <c r="H123" s="73">
        <f t="shared" si="54"/>
        <v>32</v>
      </c>
      <c r="I123" s="73">
        <f t="shared" si="54"/>
        <v>68</v>
      </c>
      <c r="J123" s="73">
        <f t="shared" si="54"/>
        <v>38</v>
      </c>
      <c r="K123" s="73">
        <f t="shared" si="54"/>
        <v>61</v>
      </c>
      <c r="L123" s="73">
        <f t="shared" si="54"/>
        <v>199</v>
      </c>
      <c r="M123" s="73">
        <f t="shared" si="54"/>
        <v>218</v>
      </c>
      <c r="N123" s="73">
        <f t="shared" si="54"/>
        <v>238</v>
      </c>
      <c r="O123" s="73">
        <f t="shared" si="54"/>
        <v>535</v>
      </c>
      <c r="P123" s="73">
        <f t="shared" si="54"/>
        <v>1219</v>
      </c>
      <c r="Q123" s="73">
        <f t="shared" si="54"/>
        <v>1385</v>
      </c>
      <c r="R123" s="73">
        <f t="shared" si="54"/>
        <v>1643</v>
      </c>
      <c r="S123" s="73">
        <f t="shared" si="54"/>
        <v>1935</v>
      </c>
      <c r="T123" s="73">
        <f>SUM(T148:T149)</f>
        <v>1487</v>
      </c>
      <c r="U123" s="73">
        <f>SUM(U148:U149)</f>
        <v>961</v>
      </c>
      <c r="V123" s="73">
        <f>SUM(V148:V149)</f>
        <v>777</v>
      </c>
      <c r="W123" s="73">
        <f>SUM(W148:W149)</f>
        <v>1043</v>
      </c>
      <c r="X123" s="3">
        <f>X108*ED_lp_T1*(CIT_gas_T1-CIA_lp_T1)/1000000</f>
        <v>1248.8676716999998</v>
      </c>
      <c r="Y123" s="3">
        <f>Y108*ED_lp_T1*(CIT_gas_T1-CIA_lp_T1)/1000000</f>
        <v>437.58099845624997</v>
      </c>
      <c r="Z123" s="3">
        <f>Z108*ED_lp_T1*(CIT_gas_T1-CIA_lp_T1)/1000000</f>
        <v>423.94743517499995</v>
      </c>
      <c r="AA123" s="3">
        <f>AA108*ED_lp_T1*(CIT_gas_T1-CIA_lp_T1)/1000000</f>
        <v>616.62711886875002</v>
      </c>
      <c r="AB123" s="3">
        <f>AB108*ED_lp_T0*(CIT_gas_T0-CIA_lp_T0)/1000000</f>
        <v>1950.1409293869613</v>
      </c>
      <c r="AC123" s="3">
        <f>AC108*ED_lp_T0*(CIT_gas_T0-CIA_lp_T0)/1000000</f>
        <v>683.29466311666545</v>
      </c>
      <c r="AD123" s="3">
        <f>AD108*ED_lp_T0*(CIT_gas_T0-CIA_lp_T0)/1000000</f>
        <v>662.00548222854047</v>
      </c>
      <c r="AE123" s="3">
        <f>AE108*ED_lp_T0*(CIT_gas_T0-CIA_lp_T0)/1000000</f>
        <v>962.88006321679552</v>
      </c>
    </row>
    <row r="124" spans="2:31" ht="15.75" thickBot="1" x14ac:dyDescent="0.3">
      <c r="B124" s="61" t="s">
        <v>608</v>
      </c>
      <c r="C124" s="62"/>
      <c r="D124" s="18">
        <f>SUM(D117:D123)</f>
        <v>206467.40000000002</v>
      </c>
      <c r="E124" s="18">
        <f t="shared" ref="E124:R124" si="55">SUM(E117:E123)</f>
        <v>192230</v>
      </c>
      <c r="F124" s="18">
        <f t="shared" si="55"/>
        <v>221428.34999999998</v>
      </c>
      <c r="G124" s="18">
        <f t="shared" si="55"/>
        <v>189284.75</v>
      </c>
      <c r="H124" s="18">
        <f t="shared" si="55"/>
        <v>180746.1</v>
      </c>
      <c r="I124" s="18">
        <f t="shared" si="55"/>
        <v>213594.2</v>
      </c>
      <c r="J124" s="18">
        <f t="shared" si="55"/>
        <v>235536.85</v>
      </c>
      <c r="K124" s="18">
        <f t="shared" si="55"/>
        <v>225395.15</v>
      </c>
      <c r="L124" s="18">
        <f t="shared" si="55"/>
        <v>212461.45</v>
      </c>
      <c r="M124" s="18">
        <f t="shared" si="55"/>
        <v>224556.55</v>
      </c>
      <c r="N124" s="18">
        <f t="shared" si="55"/>
        <v>259147.75000000003</v>
      </c>
      <c r="O124" s="18">
        <f t="shared" si="55"/>
        <v>247480.4</v>
      </c>
      <c r="P124" s="18">
        <f t="shared" si="55"/>
        <v>218791.6</v>
      </c>
      <c r="Q124" s="18">
        <f t="shared" si="55"/>
        <v>279111.8</v>
      </c>
      <c r="R124" s="18">
        <f t="shared" si="55"/>
        <v>399089.25</v>
      </c>
      <c r="S124" s="18">
        <f t="shared" ref="S124:AE124" si="56">SUM(S117:S123)</f>
        <v>327978.59999999998</v>
      </c>
      <c r="T124" s="18">
        <f t="shared" si="56"/>
        <v>346875.85</v>
      </c>
      <c r="U124" s="18">
        <f t="shared" si="56"/>
        <v>306511.84999999998</v>
      </c>
      <c r="V124" s="18">
        <f t="shared" si="56"/>
        <v>299586</v>
      </c>
      <c r="W124" s="18">
        <f t="shared" si="56"/>
        <v>315278.25</v>
      </c>
      <c r="X124" s="18">
        <f t="shared" si="56"/>
        <v>357875.98877299431</v>
      </c>
      <c r="Y124" s="18">
        <f t="shared" si="56"/>
        <v>406279.59205544408</v>
      </c>
      <c r="Z124" s="18">
        <f t="shared" si="56"/>
        <v>421041.40551205591</v>
      </c>
      <c r="AA124" s="18">
        <f t="shared" si="56"/>
        <v>391071.71800679812</v>
      </c>
      <c r="AB124" s="18">
        <f t="shared" si="56"/>
        <v>434676.85218497616</v>
      </c>
      <c r="AC124" s="18">
        <f t="shared" si="56"/>
        <v>497469.46916940506</v>
      </c>
      <c r="AD124" s="18">
        <f t="shared" si="56"/>
        <v>519187.42674067349</v>
      </c>
      <c r="AE124" s="18">
        <f t="shared" si="56"/>
        <v>490497.51652255608</v>
      </c>
    </row>
    <row r="125" spans="2:31" x14ac:dyDescent="0.25"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</row>
    <row r="126" spans="2:31" ht="15.75" thickBot="1" x14ac:dyDescent="0.3">
      <c r="B126" s="90" t="s">
        <v>651</v>
      </c>
      <c r="C126" s="30"/>
      <c r="D126" s="91">
        <f>SUM(D115,D124)</f>
        <v>45656</v>
      </c>
      <c r="E126" s="91">
        <f t="shared" ref="E126:R126" si="57">SUM(E115,E124)</f>
        <v>55015</v>
      </c>
      <c r="F126" s="91">
        <f t="shared" si="57"/>
        <v>62096.999999999971</v>
      </c>
      <c r="G126" s="91">
        <f t="shared" si="57"/>
        <v>51811</v>
      </c>
      <c r="H126" s="91">
        <f t="shared" si="57"/>
        <v>53903</v>
      </c>
      <c r="I126" s="91">
        <f t="shared" si="57"/>
        <v>45232</v>
      </c>
      <c r="J126" s="91">
        <f t="shared" si="57"/>
        <v>49355</v>
      </c>
      <c r="K126" s="91">
        <f t="shared" si="57"/>
        <v>62410</v>
      </c>
      <c r="L126" s="91">
        <f t="shared" si="57"/>
        <v>21680</v>
      </c>
      <c r="M126" s="91">
        <f t="shared" si="57"/>
        <v>-3620</v>
      </c>
      <c r="N126" s="91">
        <f t="shared" si="57"/>
        <v>24025.000000000029</v>
      </c>
      <c r="O126" s="91">
        <f t="shared" si="57"/>
        <v>36677.999999999971</v>
      </c>
      <c r="P126" s="91">
        <f t="shared" si="57"/>
        <v>-20413.999999999971</v>
      </c>
      <c r="Q126" s="91">
        <f t="shared" si="57"/>
        <v>32649.999999999971</v>
      </c>
      <c r="R126" s="91">
        <f t="shared" si="57"/>
        <v>140598</v>
      </c>
      <c r="S126" s="91">
        <f t="shared" ref="S126:AE126" si="58">SUM(S115,S124)</f>
        <v>70329</v>
      </c>
      <c r="T126" s="91">
        <f t="shared" si="58"/>
        <v>67945</v>
      </c>
      <c r="U126" s="91">
        <f t="shared" si="58"/>
        <v>46473</v>
      </c>
      <c r="V126" s="91">
        <f t="shared" si="58"/>
        <v>-37686</v>
      </c>
      <c r="W126" s="91">
        <f t="shared" si="58"/>
        <v>22302</v>
      </c>
      <c r="X126" s="91">
        <f t="shared" si="58"/>
        <v>23586.488894239475</v>
      </c>
      <c r="Y126" s="91">
        <f t="shared" si="58"/>
        <v>37255.01997912745</v>
      </c>
      <c r="Z126" s="91">
        <f t="shared" si="58"/>
        <v>8112.2535409467528</v>
      </c>
      <c r="AA126" s="91">
        <f t="shared" si="58"/>
        <v>34176.173034800042</v>
      </c>
      <c r="AB126" s="91">
        <f t="shared" si="58"/>
        <v>33322.826609469659</v>
      </c>
      <c r="AC126" s="91">
        <f t="shared" si="58"/>
        <v>61135.089290124481</v>
      </c>
      <c r="AD126" s="91">
        <f t="shared" si="58"/>
        <v>19005.766874916095</v>
      </c>
      <c r="AE126" s="91">
        <f t="shared" si="58"/>
        <v>58205.107279420248</v>
      </c>
    </row>
    <row r="128" spans="2:31" x14ac:dyDescent="0.25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24" ht="21" x14ac:dyDescent="0.35">
      <c r="A129" s="94" t="s">
        <v>662</v>
      </c>
    </row>
    <row r="130" spans="1:24" x14ac:dyDescent="0.25">
      <c r="B130" s="67" t="s">
        <v>551</v>
      </c>
      <c r="C130" s="67" t="s">
        <v>23</v>
      </c>
      <c r="D130" s="68">
        <f>-(D50+0.9*D51)</f>
        <v>-104982.6</v>
      </c>
      <c r="E130" s="68">
        <f t="shared" ref="E130:S130" si="59">-(E50+0.9*E51)</f>
        <v>-92127.6</v>
      </c>
      <c r="F130" s="68">
        <f t="shared" si="59"/>
        <v>-105738.9</v>
      </c>
      <c r="G130" s="68">
        <f t="shared" si="59"/>
        <v>-89723.3</v>
      </c>
      <c r="H130" s="68">
        <f t="shared" si="59"/>
        <v>-81808.7</v>
      </c>
      <c r="I130" s="68">
        <f t="shared" si="59"/>
        <v>-109233.1</v>
      </c>
      <c r="J130" s="68">
        <f t="shared" si="59"/>
        <v>-124171</v>
      </c>
      <c r="K130" s="68">
        <f t="shared" si="59"/>
        <v>-110703.3</v>
      </c>
      <c r="L130" s="68">
        <f t="shared" si="59"/>
        <v>-124814.5</v>
      </c>
      <c r="M130" s="68">
        <f t="shared" si="59"/>
        <v>-154369.1</v>
      </c>
      <c r="N130" s="68">
        <f t="shared" si="59"/>
        <v>-150871.1</v>
      </c>
      <c r="O130" s="68">
        <f t="shared" si="59"/>
        <v>-142941.4</v>
      </c>
      <c r="P130" s="68">
        <f t="shared" si="59"/>
        <v>-159105.1</v>
      </c>
      <c r="Q130" s="68">
        <f t="shared" si="59"/>
        <v>-169123.7</v>
      </c>
      <c r="R130" s="68">
        <f t="shared" si="59"/>
        <v>-171339.4</v>
      </c>
      <c r="S130" s="68">
        <f t="shared" si="59"/>
        <v>-171683.3</v>
      </c>
      <c r="T130" s="68">
        <f>-(T50+0.9*T51)</f>
        <v>-194892.4</v>
      </c>
      <c r="U130" s="68">
        <f>-(U50+0.9*U51)</f>
        <v>-154977.1</v>
      </c>
      <c r="V130" s="68">
        <f>-(V50+0.9*V51)</f>
        <v>-231095.1</v>
      </c>
      <c r="W130" s="68">
        <f>-(W50+0.9*W51)</f>
        <v>-185030.39999999999</v>
      </c>
      <c r="X130" s="68">
        <f>-(X50+0.9*X51)</f>
        <v>-235528.3</v>
      </c>
    </row>
    <row r="131" spans="1:24" x14ac:dyDescent="0.25">
      <c r="B131" s="67"/>
      <c r="C131" s="67" t="s">
        <v>24</v>
      </c>
      <c r="D131" s="68">
        <f>D28+0.9*D29</f>
        <v>315.90000000000003</v>
      </c>
      <c r="E131" s="68">
        <f t="shared" ref="E131:S131" si="60">E28+0.9*E29</f>
        <v>1052.2</v>
      </c>
      <c r="F131" s="68">
        <f t="shared" si="60"/>
        <v>496.5</v>
      </c>
      <c r="G131" s="68">
        <f t="shared" si="60"/>
        <v>157.1</v>
      </c>
      <c r="H131" s="68">
        <f t="shared" si="60"/>
        <v>271.39999999999998</v>
      </c>
      <c r="I131" s="68">
        <f t="shared" si="60"/>
        <v>942.7</v>
      </c>
      <c r="J131" s="68">
        <f t="shared" si="60"/>
        <v>749</v>
      </c>
      <c r="K131" s="68">
        <f t="shared" si="60"/>
        <v>398.5</v>
      </c>
      <c r="L131" s="68">
        <f t="shared" si="60"/>
        <v>247.7</v>
      </c>
      <c r="M131" s="68">
        <f t="shared" si="60"/>
        <v>1280.5999999999999</v>
      </c>
      <c r="N131" s="68">
        <f t="shared" si="60"/>
        <v>479.3</v>
      </c>
      <c r="O131" s="68">
        <f t="shared" si="60"/>
        <v>1974.9</v>
      </c>
      <c r="P131" s="68">
        <f t="shared" si="60"/>
        <v>1564</v>
      </c>
      <c r="Q131" s="68">
        <f t="shared" si="60"/>
        <v>2099</v>
      </c>
      <c r="R131" s="68">
        <f t="shared" si="60"/>
        <v>2409</v>
      </c>
      <c r="S131" s="68">
        <f t="shared" si="60"/>
        <v>2</v>
      </c>
      <c r="T131" s="68">
        <f>T28+0.9*T29</f>
        <v>3520.3</v>
      </c>
      <c r="U131" s="68">
        <f>U28+0.9*U29</f>
        <v>5919.7</v>
      </c>
      <c r="V131" s="68">
        <f>V28+0.9*V29</f>
        <v>2857.9</v>
      </c>
      <c r="W131" s="68">
        <f>W28+0.9*W29</f>
        <v>1748.9</v>
      </c>
      <c r="X131" s="68">
        <f>X28+0.9*X29</f>
        <v>4799.7</v>
      </c>
    </row>
    <row r="132" spans="1:24" x14ac:dyDescent="0.25">
      <c r="B132" s="67" t="s">
        <v>5</v>
      </c>
      <c r="C132" s="67" t="s">
        <v>23</v>
      </c>
      <c r="D132" s="68">
        <f>-(SUM(D59:D62)+0.1*D51)</f>
        <v>-48.400000000000006</v>
      </c>
      <c r="E132" s="68">
        <f t="shared" ref="E132:S132" si="61">-(SUM(E59:E62)+0.1*E51)</f>
        <v>-3854.4</v>
      </c>
      <c r="F132" s="68">
        <f t="shared" si="61"/>
        <v>-6493.1</v>
      </c>
      <c r="G132" s="68">
        <f t="shared" si="61"/>
        <v>-3714.7</v>
      </c>
      <c r="H132" s="68">
        <f t="shared" si="61"/>
        <v>-10686.3</v>
      </c>
      <c r="I132" s="68">
        <f t="shared" si="61"/>
        <v>-13599.9</v>
      </c>
      <c r="J132" s="68">
        <f t="shared" si="61"/>
        <v>-15532</v>
      </c>
      <c r="K132" s="68">
        <f t="shared" si="61"/>
        <v>-21146.7</v>
      </c>
      <c r="L132" s="68">
        <f t="shared" si="61"/>
        <v>-4221.5</v>
      </c>
      <c r="M132" s="68">
        <f t="shared" si="61"/>
        <v>-3235.9</v>
      </c>
      <c r="N132" s="68">
        <f t="shared" si="61"/>
        <v>-5638.9</v>
      </c>
      <c r="O132" s="68">
        <f t="shared" si="61"/>
        <v>-7642.6</v>
      </c>
      <c r="P132" s="68">
        <f t="shared" si="61"/>
        <v>-4684.8999999999996</v>
      </c>
      <c r="Q132" s="68">
        <f t="shared" si="61"/>
        <v>-9406.2999999999993</v>
      </c>
      <c r="R132" s="68">
        <f t="shared" si="61"/>
        <v>-11834.6</v>
      </c>
      <c r="S132" s="68">
        <f t="shared" si="61"/>
        <v>-6996.7</v>
      </c>
      <c r="T132" s="68">
        <f>-(SUM(T59:T62)+0.1*T51)</f>
        <v>-2016.6</v>
      </c>
      <c r="U132" s="68">
        <f>-(SUM(U59:U62)+0.1*U51)</f>
        <v>-503.90000000000003</v>
      </c>
      <c r="V132" s="68">
        <f>-(SUM(V59:V62)+0.1*V51)</f>
        <v>-12009.9</v>
      </c>
      <c r="W132" s="68">
        <f>-(SUM(W59:W62)+0.1*W51)</f>
        <v>-5252.6</v>
      </c>
      <c r="X132" s="68">
        <f>-(SUM(X59:X62)+0.1*X51)</f>
        <v>-2359.6999999999998</v>
      </c>
    </row>
    <row r="133" spans="1:24" x14ac:dyDescent="0.25">
      <c r="B133" s="67"/>
      <c r="C133" s="67" t="s">
        <v>24</v>
      </c>
      <c r="D133" s="68">
        <f>SUM(D38:D41)+0.1*D29</f>
        <v>138694.1</v>
      </c>
      <c r="E133" s="68">
        <f t="shared" ref="E133:S133" si="62">SUM(E38:E41)+0.1*E29</f>
        <v>122637.8</v>
      </c>
      <c r="F133" s="68">
        <f t="shared" si="62"/>
        <v>141031.5</v>
      </c>
      <c r="G133" s="68">
        <f t="shared" si="62"/>
        <v>111685.9</v>
      </c>
      <c r="H133" s="68">
        <f t="shared" si="62"/>
        <v>121139.6</v>
      </c>
      <c r="I133" s="68">
        <f t="shared" si="62"/>
        <v>130510.3</v>
      </c>
      <c r="J133" s="68">
        <f t="shared" si="62"/>
        <v>146599</v>
      </c>
      <c r="K133" s="68">
        <f t="shared" si="62"/>
        <v>142393.5</v>
      </c>
      <c r="L133" s="68">
        <f t="shared" si="62"/>
        <v>121087.3</v>
      </c>
      <c r="M133" s="68">
        <f t="shared" si="62"/>
        <v>116770.4</v>
      </c>
      <c r="N133" s="68">
        <f t="shared" si="62"/>
        <v>140358.70000000001</v>
      </c>
      <c r="O133" s="68">
        <f t="shared" si="62"/>
        <v>137650.1</v>
      </c>
      <c r="P133" s="68">
        <f t="shared" si="62"/>
        <v>113165</v>
      </c>
      <c r="Q133" s="68">
        <f t="shared" si="62"/>
        <v>136516</v>
      </c>
      <c r="R133" s="68">
        <f t="shared" si="62"/>
        <v>158158</v>
      </c>
      <c r="S133" s="68">
        <f t="shared" si="62"/>
        <v>145929</v>
      </c>
      <c r="T133" s="68">
        <f>SUM(T38:T41)+0.1*T29</f>
        <v>124566.7</v>
      </c>
      <c r="U133" s="68">
        <f>SUM(U38:U41)+0.1*U29</f>
        <v>108775.3</v>
      </c>
      <c r="V133" s="68">
        <f>SUM(V38:V41)+0.1*V29</f>
        <v>145974.1</v>
      </c>
      <c r="W133" s="68">
        <f>SUM(W38:W41)+0.1*W29</f>
        <v>128630.1</v>
      </c>
      <c r="X133" s="68">
        <f>SUM(X38:X41)+0.1*X29</f>
        <v>110880.3</v>
      </c>
    </row>
    <row r="134" spans="1:24" x14ac:dyDescent="0.25">
      <c r="B134" s="67" t="s">
        <v>619</v>
      </c>
      <c r="C134" s="67" t="s">
        <v>23</v>
      </c>
      <c r="D134" s="68">
        <f>-(SUM(D47,0.8*D48,0.95*D49))</f>
        <v>-56497.25</v>
      </c>
      <c r="E134" s="68">
        <f t="shared" ref="E134:S134" si="63">-(SUM(E47,0.8*E48,0.95*E49))</f>
        <v>-47313.35</v>
      </c>
      <c r="F134" s="68">
        <f t="shared" si="63"/>
        <v>-54393.3</v>
      </c>
      <c r="G134" s="68">
        <f t="shared" si="63"/>
        <v>-48497.55</v>
      </c>
      <c r="H134" s="68">
        <f t="shared" si="63"/>
        <v>-45777.9</v>
      </c>
      <c r="I134" s="68">
        <f t="shared" si="63"/>
        <v>-61057.25</v>
      </c>
      <c r="J134" s="68">
        <f t="shared" si="63"/>
        <v>-63539.55</v>
      </c>
      <c r="K134" s="68">
        <f t="shared" si="63"/>
        <v>-53301.65</v>
      </c>
      <c r="L134" s="68">
        <f t="shared" si="63"/>
        <v>-67373.55</v>
      </c>
      <c r="M134" s="68">
        <f t="shared" si="63"/>
        <v>-76992.149999999994</v>
      </c>
      <c r="N134" s="68">
        <f t="shared" si="63"/>
        <v>-86357.3</v>
      </c>
      <c r="O134" s="68">
        <f t="shared" si="63"/>
        <v>-71918.600000000006</v>
      </c>
      <c r="P134" s="68">
        <f t="shared" si="63"/>
        <v>-84005.599999999991</v>
      </c>
      <c r="Q134" s="68">
        <f t="shared" si="63"/>
        <v>-81019.150000000009</v>
      </c>
      <c r="R134" s="68">
        <f t="shared" si="63"/>
        <v>-91002.25</v>
      </c>
      <c r="S134" s="68">
        <f t="shared" si="63"/>
        <v>-86270</v>
      </c>
      <c r="T134" s="68">
        <f>-(SUM(T47,0.8*T48,0.95*T49))</f>
        <v>-88567.95</v>
      </c>
      <c r="U134" s="68">
        <f>-(SUM(U47,0.8*U48,0.95*U49))</f>
        <v>-111634.5</v>
      </c>
      <c r="V134" s="68">
        <f>-(SUM(V47,0.8*V48,0.95*V49))</f>
        <v>-111211.95</v>
      </c>
      <c r="W134" s="68">
        <f>-(SUM(W47,0.8*W48,0.95*W49))</f>
        <v>-112614.2</v>
      </c>
      <c r="X134" s="68">
        <f>-(SUM(X47,0.8*X48,0.95*X49))</f>
        <v>-141661.5</v>
      </c>
    </row>
    <row r="135" spans="1:24" x14ac:dyDescent="0.25">
      <c r="B135" s="67"/>
      <c r="C135" s="67" t="s">
        <v>24</v>
      </c>
      <c r="D135" s="68">
        <f>(SUM(D25,0.8*D26,0.95*D27))</f>
        <v>352.55</v>
      </c>
      <c r="E135" s="68">
        <f t="shared" ref="E135:S135" si="64">(SUM(E25,0.8*E26,0.95*E27))</f>
        <v>1173.75</v>
      </c>
      <c r="F135" s="68">
        <f t="shared" si="64"/>
        <v>304.35000000000002</v>
      </c>
      <c r="G135" s="68">
        <f t="shared" si="64"/>
        <v>590</v>
      </c>
      <c r="H135" s="68">
        <f t="shared" si="64"/>
        <v>472.1</v>
      </c>
      <c r="I135" s="68">
        <f t="shared" si="64"/>
        <v>985.45</v>
      </c>
      <c r="J135" s="68">
        <f t="shared" si="64"/>
        <v>779.7</v>
      </c>
      <c r="K135" s="68">
        <f t="shared" si="64"/>
        <v>621.29999999999995</v>
      </c>
      <c r="L135" s="68">
        <f t="shared" si="64"/>
        <v>1158.9000000000001</v>
      </c>
      <c r="M135" s="68">
        <f t="shared" si="64"/>
        <v>1904.1</v>
      </c>
      <c r="N135" s="68">
        <f t="shared" si="64"/>
        <v>1626.35</v>
      </c>
      <c r="O135" s="68">
        <f t="shared" si="64"/>
        <v>2082.6999999999998</v>
      </c>
      <c r="P135" s="68">
        <f t="shared" si="64"/>
        <v>2341.1</v>
      </c>
      <c r="Q135" s="68">
        <f t="shared" si="64"/>
        <v>1582.05</v>
      </c>
      <c r="R135" s="68">
        <f t="shared" si="64"/>
        <v>1441.4</v>
      </c>
      <c r="S135" s="68">
        <f t="shared" si="64"/>
        <v>301.7</v>
      </c>
      <c r="T135" s="68">
        <f>(SUM(T25,0.8*T26,0.95*T27))</f>
        <v>1009.2</v>
      </c>
      <c r="U135" s="68">
        <f>(SUM(U25,0.8*U26,0.95*U27))</f>
        <v>653.04999999999995</v>
      </c>
      <c r="V135" s="68">
        <f>(SUM(V25,0.8*V26,0.95*V27))</f>
        <v>2177.15</v>
      </c>
      <c r="W135" s="68">
        <f>(SUM(W25,0.8*W26,0.95*W27))</f>
        <v>2919.45</v>
      </c>
      <c r="X135" s="68">
        <f>(SUM(X25,0.8*X26,0.95*X27))</f>
        <v>1945.4499999999998</v>
      </c>
    </row>
    <row r="136" spans="1:24" x14ac:dyDescent="0.25">
      <c r="B136" s="67" t="s">
        <v>7</v>
      </c>
      <c r="C136" s="67" t="s">
        <v>23</v>
      </c>
      <c r="D136" s="68">
        <f>-SUM(D55,0.2*D48*(D55/SUM(D55:D56)),0.05*D49*(D55/SUM(D55:D56)))</f>
        <v>-170.75</v>
      </c>
      <c r="E136" s="68">
        <f t="shared" ref="E136:W136" si="65">-SUM(E55,0.2*E48*(E55/SUM(E55:E56)),0.05*E49*(E55/SUM(E55:E56)))</f>
        <v>-1266.6500000000001</v>
      </c>
      <c r="F136" s="68">
        <f t="shared" si="65"/>
        <v>-1296.7</v>
      </c>
      <c r="G136" s="68">
        <f t="shared" si="65"/>
        <v>-491.45</v>
      </c>
      <c r="H136" s="68">
        <f t="shared" si="65"/>
        <v>-527.1</v>
      </c>
      <c r="I136" s="68">
        <f t="shared" si="65"/>
        <v>-922.75</v>
      </c>
      <c r="J136" s="68">
        <f t="shared" si="65"/>
        <v>-2159.4499999999998</v>
      </c>
      <c r="K136" s="68">
        <f t="shared" si="65"/>
        <v>-1304.3499999999999</v>
      </c>
      <c r="L136" s="68">
        <f t="shared" si="65"/>
        <v>-685.72016248153614</v>
      </c>
      <c r="M136" s="68">
        <f t="shared" si="65"/>
        <v>-1155.8499999999999</v>
      </c>
      <c r="N136" s="68">
        <f t="shared" si="65"/>
        <v>-1122.7</v>
      </c>
      <c r="O136" s="68">
        <f t="shared" si="65"/>
        <v>-617.4</v>
      </c>
      <c r="P136" s="68">
        <f t="shared" si="65"/>
        <v>-1922.3999999999999</v>
      </c>
      <c r="Q136" s="68">
        <f t="shared" si="65"/>
        <v>-1487.8500000000001</v>
      </c>
      <c r="R136" s="68">
        <f t="shared" si="65"/>
        <v>-1596.75</v>
      </c>
      <c r="S136" s="68">
        <f t="shared" si="65"/>
        <v>-997</v>
      </c>
      <c r="T136" s="68">
        <f t="shared" si="65"/>
        <v>-212.60489130434786</v>
      </c>
      <c r="U136" s="68">
        <f t="shared" si="65"/>
        <v>-3994.0048355899421</v>
      </c>
      <c r="V136" s="68">
        <f t="shared" si="65"/>
        <v>-1494.6692902117916</v>
      </c>
      <c r="W136" s="68">
        <f t="shared" si="65"/>
        <v>-3259.8480503899223</v>
      </c>
      <c r="X136" s="68">
        <f t="shared" ref="X136" si="66">-SUM(X55,0.2*X48*(X55/SUM(X55:X56)),0.05*X49*(X55/SUM(X55:X56)))</f>
        <v>-637.65230117705664</v>
      </c>
    </row>
    <row r="137" spans="1:24" x14ac:dyDescent="0.25">
      <c r="B137" s="67"/>
      <c r="C137" s="67" t="s">
        <v>24</v>
      </c>
      <c r="D137" s="68">
        <f>SUM(D33,0.2*D26*(D33/SUM(D33:D34)),0.05*D27*(D33/SUM(D33:D34)))</f>
        <v>58535.45</v>
      </c>
      <c r="E137" s="68">
        <f t="shared" ref="E137:W137" si="67">SUM(E33,0.2*E26*(E33/SUM(E33:E34)),0.05*E27*(E33/SUM(E33:E34)))</f>
        <v>65184.25</v>
      </c>
      <c r="F137" s="68">
        <f t="shared" si="67"/>
        <v>76536.649999999994</v>
      </c>
      <c r="G137" s="68">
        <f t="shared" si="67"/>
        <v>69425</v>
      </c>
      <c r="H137" s="68">
        <f t="shared" si="67"/>
        <v>57473.9</v>
      </c>
      <c r="I137" s="68">
        <f t="shared" si="67"/>
        <v>83399.55</v>
      </c>
      <c r="J137" s="68">
        <f t="shared" si="67"/>
        <v>92234.3</v>
      </c>
      <c r="K137" s="68">
        <f t="shared" si="67"/>
        <v>88402.364302230009</v>
      </c>
      <c r="L137" s="68">
        <f t="shared" si="67"/>
        <v>73409.366444146566</v>
      </c>
      <c r="M137" s="68">
        <f t="shared" si="67"/>
        <v>88849.069200915517</v>
      </c>
      <c r="N137" s="68">
        <f t="shared" si="67"/>
        <v>101531.73239736639</v>
      </c>
      <c r="O137" s="68">
        <f t="shared" si="67"/>
        <v>91223.083479329463</v>
      </c>
      <c r="P137" s="68">
        <f t="shared" si="67"/>
        <v>83643.89034535778</v>
      </c>
      <c r="Q137" s="68">
        <f t="shared" si="67"/>
        <v>121931.67814397121</v>
      </c>
      <c r="R137" s="68">
        <f t="shared" si="67"/>
        <v>125308.690061976</v>
      </c>
      <c r="S137" s="68">
        <f t="shared" si="67"/>
        <v>116168.8799265197</v>
      </c>
      <c r="T137" s="68">
        <f t="shared" si="67"/>
        <v>117066.71359269881</v>
      </c>
      <c r="U137" s="68">
        <f t="shared" si="67"/>
        <v>112458.879526242</v>
      </c>
      <c r="V137" s="68">
        <f t="shared" si="67"/>
        <v>126316.36409268217</v>
      </c>
      <c r="W137" s="68">
        <f t="shared" si="67"/>
        <v>126071.80776592386</v>
      </c>
      <c r="X137" s="68">
        <f t="shared" ref="X137" si="68">SUM(X33,0.2*X26*(X33/SUM(X33:X34)),0.05*X27*(X33/SUM(X33:X34)))</f>
        <v>101370.05320848242</v>
      </c>
    </row>
    <row r="138" spans="1:24" x14ac:dyDescent="0.25">
      <c r="B138" s="67" t="s">
        <v>6</v>
      </c>
      <c r="C138" s="67" t="s">
        <v>23</v>
      </c>
      <c r="D138" s="68">
        <f>-SUM(D56,0.2*D48*(D56/SUM(D55:D56)),0.05*D49*(D56/SUM(D55:D56)))</f>
        <v>0</v>
      </c>
      <c r="E138" s="68">
        <f t="shared" ref="E138:W138" si="69">-SUM(E56,0.2*E48*(E56/SUM(E55:E56)),0.05*E49*(E56/SUM(E55:E56)))</f>
        <v>0</v>
      </c>
      <c r="F138" s="68">
        <f t="shared" si="69"/>
        <v>0</v>
      </c>
      <c r="G138" s="68">
        <f t="shared" si="69"/>
        <v>0</v>
      </c>
      <c r="H138" s="68">
        <f t="shared" si="69"/>
        <v>0</v>
      </c>
      <c r="I138" s="68">
        <f t="shared" si="69"/>
        <v>0</v>
      </c>
      <c r="J138" s="68">
        <f t="shared" si="69"/>
        <v>0</v>
      </c>
      <c r="K138" s="68">
        <f t="shared" si="69"/>
        <v>0</v>
      </c>
      <c r="L138" s="68">
        <f t="shared" si="69"/>
        <v>-18.72983751846381</v>
      </c>
      <c r="M138" s="68">
        <f t="shared" si="69"/>
        <v>0</v>
      </c>
      <c r="N138" s="68">
        <f t="shared" si="69"/>
        <v>0</v>
      </c>
      <c r="O138" s="68">
        <f t="shared" si="69"/>
        <v>0</v>
      </c>
      <c r="P138" s="68">
        <f t="shared" si="69"/>
        <v>0</v>
      </c>
      <c r="Q138" s="68">
        <f t="shared" si="69"/>
        <v>0</v>
      </c>
      <c r="R138" s="68">
        <f t="shared" si="69"/>
        <v>0</v>
      </c>
      <c r="S138" s="68">
        <f t="shared" si="69"/>
        <v>0</v>
      </c>
      <c r="T138" s="68">
        <f t="shared" si="69"/>
        <v>-156.44510869565218</v>
      </c>
      <c r="U138" s="68">
        <f t="shared" si="69"/>
        <v>-211.49516441005804</v>
      </c>
      <c r="V138" s="68">
        <f t="shared" si="69"/>
        <v>-312.38070978820838</v>
      </c>
      <c r="W138" s="68">
        <f t="shared" si="69"/>
        <v>-143.95194961007797</v>
      </c>
      <c r="X138" s="68">
        <f t="shared" ref="X138" si="70">-SUM(X56,0.2*X48*(X56/SUM(X55:X56)),0.05*X49*(X56/SUM(X55:X56)))</f>
        <v>-15511.847698822943</v>
      </c>
    </row>
    <row r="139" spans="1:24" x14ac:dyDescent="0.25">
      <c r="B139" s="67"/>
      <c r="C139" s="67" t="s">
        <v>24</v>
      </c>
      <c r="D139" s="68">
        <f>SUM(D34,0.2*D26*(D34/SUM(D33:D34)),0.05*D27*(D34/SUM(D33:D34)))</f>
        <v>0</v>
      </c>
      <c r="E139" s="68">
        <f t="shared" ref="E139:W139" si="71">SUM(E34,0.2*E26*(E34/SUM(E33:E34)),0.05*E27*(E34/SUM(E33:E34)))</f>
        <v>0</v>
      </c>
      <c r="F139" s="68">
        <f t="shared" si="71"/>
        <v>0</v>
      </c>
      <c r="G139" s="68">
        <f t="shared" si="71"/>
        <v>0</v>
      </c>
      <c r="H139" s="68">
        <f t="shared" si="71"/>
        <v>0</v>
      </c>
      <c r="I139" s="68">
        <f t="shared" si="71"/>
        <v>0</v>
      </c>
      <c r="J139" s="68">
        <f t="shared" si="71"/>
        <v>0</v>
      </c>
      <c r="K139" s="68">
        <f t="shared" si="71"/>
        <v>2863.335697769985</v>
      </c>
      <c r="L139" s="68">
        <f t="shared" si="71"/>
        <v>1967.7335558534287</v>
      </c>
      <c r="M139" s="68">
        <f t="shared" si="71"/>
        <v>1637.830799084486</v>
      </c>
      <c r="N139" s="68">
        <f t="shared" si="71"/>
        <v>1800.9176026336174</v>
      </c>
      <c r="O139" s="68">
        <f t="shared" si="71"/>
        <v>4037.2165206705317</v>
      </c>
      <c r="P139" s="68">
        <f t="shared" si="71"/>
        <v>907.0096546422235</v>
      </c>
      <c r="Q139" s="68">
        <f t="shared" si="71"/>
        <v>3104.2718560287944</v>
      </c>
      <c r="R139" s="68">
        <f t="shared" si="71"/>
        <v>98816.909938023993</v>
      </c>
      <c r="S139" s="68">
        <f t="shared" si="71"/>
        <v>42518.420073480294</v>
      </c>
      <c r="T139" s="68">
        <f t="shared" si="71"/>
        <v>70554.086407301176</v>
      </c>
      <c r="U139" s="68">
        <f t="shared" si="71"/>
        <v>53769.070473757994</v>
      </c>
      <c r="V139" s="68">
        <f t="shared" si="71"/>
        <v>1896.4859073178343</v>
      </c>
      <c r="W139" s="68">
        <f t="shared" si="71"/>
        <v>29181.742234076137</v>
      </c>
      <c r="X139" s="68">
        <f t="shared" ref="X139" si="72">SUM(X34,0.2*X26*(X34/SUM(X33:X34)),0.05*X27*(X34/SUM(X33:X34)))</f>
        <v>43767.49679151758</v>
      </c>
    </row>
    <row r="140" spans="1:24" x14ac:dyDescent="0.25">
      <c r="B140" s="67" t="s">
        <v>620</v>
      </c>
      <c r="C140" s="67" t="s">
        <v>23</v>
      </c>
      <c r="D140" s="68">
        <f t="shared" ref="D140:S140" si="73">-D58</f>
        <v>0</v>
      </c>
      <c r="E140" s="68">
        <f t="shared" si="73"/>
        <v>0</v>
      </c>
      <c r="F140" s="68">
        <f t="shared" si="73"/>
        <v>0</v>
      </c>
      <c r="G140" s="68">
        <f t="shared" si="73"/>
        <v>0</v>
      </c>
      <c r="H140" s="68">
        <f t="shared" si="73"/>
        <v>0</v>
      </c>
      <c r="I140" s="68">
        <f t="shared" si="73"/>
        <v>0</v>
      </c>
      <c r="J140" s="68">
        <f t="shared" si="73"/>
        <v>0</v>
      </c>
      <c r="K140" s="68">
        <f t="shared" si="73"/>
        <v>0</v>
      </c>
      <c r="L140" s="68">
        <f t="shared" si="73"/>
        <v>0</v>
      </c>
      <c r="M140" s="68">
        <f t="shared" si="73"/>
        <v>0</v>
      </c>
      <c r="N140" s="68">
        <f t="shared" si="73"/>
        <v>0</v>
      </c>
      <c r="O140" s="68">
        <f t="shared" si="73"/>
        <v>0</v>
      </c>
      <c r="P140" s="68">
        <f t="shared" si="73"/>
        <v>0</v>
      </c>
      <c r="Q140" s="68">
        <f t="shared" si="73"/>
        <v>0</v>
      </c>
      <c r="R140" s="68">
        <f t="shared" si="73"/>
        <v>0</v>
      </c>
      <c r="S140" s="68">
        <f t="shared" si="73"/>
        <v>0</v>
      </c>
      <c r="T140" s="68">
        <f>-T58</f>
        <v>0</v>
      </c>
      <c r="U140" s="68">
        <f>-U58</f>
        <v>0</v>
      </c>
      <c r="V140" s="68">
        <f>-V58</f>
        <v>0</v>
      </c>
      <c r="W140" s="68">
        <f>-W58</f>
        <v>0</v>
      </c>
      <c r="X140" s="68">
        <f>-X58</f>
        <v>0</v>
      </c>
    </row>
    <row r="141" spans="1:24" x14ac:dyDescent="0.25">
      <c r="B141" s="67"/>
      <c r="C141" s="67" t="s">
        <v>24</v>
      </c>
      <c r="D141" s="68">
        <f t="shared" ref="D141:S141" si="74">SUM(D36:D37)</f>
        <v>8894</v>
      </c>
      <c r="E141" s="68">
        <f t="shared" si="74"/>
        <v>9074</v>
      </c>
      <c r="F141" s="68">
        <f t="shared" si="74"/>
        <v>9257</v>
      </c>
      <c r="G141" s="68">
        <f t="shared" si="74"/>
        <v>9214</v>
      </c>
      <c r="H141" s="68">
        <f t="shared" si="74"/>
        <v>10950</v>
      </c>
      <c r="I141" s="68">
        <f t="shared" si="74"/>
        <v>11123</v>
      </c>
      <c r="J141" s="68">
        <f t="shared" si="74"/>
        <v>11396</v>
      </c>
      <c r="K141" s="68">
        <f t="shared" si="74"/>
        <v>11247</v>
      </c>
      <c r="L141" s="68">
        <f t="shared" si="74"/>
        <v>14761</v>
      </c>
      <c r="M141" s="68">
        <f t="shared" si="74"/>
        <v>14983</v>
      </c>
      <c r="N141" s="68">
        <f t="shared" si="74"/>
        <v>15191</v>
      </c>
      <c r="O141" s="68">
        <f t="shared" si="74"/>
        <v>15437</v>
      </c>
      <c r="P141" s="68">
        <f t="shared" si="74"/>
        <v>19504</v>
      </c>
      <c r="Q141" s="68">
        <f t="shared" si="74"/>
        <v>19817</v>
      </c>
      <c r="R141" s="68">
        <f t="shared" si="74"/>
        <v>20283</v>
      </c>
      <c r="S141" s="68">
        <f t="shared" si="74"/>
        <v>20258</v>
      </c>
      <c r="T141" s="68">
        <f>SUM(T36:T37)</f>
        <v>26401</v>
      </c>
      <c r="U141" s="68">
        <f>SUM(U36:U37)</f>
        <v>25904</v>
      </c>
      <c r="V141" s="68">
        <f>SUM(V36:V37)</f>
        <v>26824</v>
      </c>
      <c r="W141" s="68">
        <f>SUM(W36:W37)</f>
        <v>26690</v>
      </c>
      <c r="X141" s="68">
        <f>SUM(X36:X37)</f>
        <v>1900</v>
      </c>
    </row>
    <row r="142" spans="1:24" x14ac:dyDescent="0.25">
      <c r="B142" s="67" t="s">
        <v>621</v>
      </c>
      <c r="C142" s="67" t="s">
        <v>23</v>
      </c>
      <c r="D142" s="68">
        <f t="shared" ref="D142:S142" si="75">-D57</f>
        <v>0</v>
      </c>
      <c r="E142" s="68">
        <f t="shared" si="75"/>
        <v>0</v>
      </c>
      <c r="F142" s="68">
        <f t="shared" si="75"/>
        <v>0</v>
      </c>
      <c r="G142" s="68">
        <f t="shared" si="75"/>
        <v>0</v>
      </c>
      <c r="H142" s="68">
        <f t="shared" si="75"/>
        <v>0</v>
      </c>
      <c r="I142" s="68">
        <f t="shared" si="75"/>
        <v>0</v>
      </c>
      <c r="J142" s="68">
        <f t="shared" si="75"/>
        <v>0</v>
      </c>
      <c r="K142" s="68">
        <f t="shared" si="75"/>
        <v>0</v>
      </c>
      <c r="L142" s="68">
        <f t="shared" si="75"/>
        <v>0</v>
      </c>
      <c r="M142" s="68">
        <f t="shared" si="75"/>
        <v>0</v>
      </c>
      <c r="N142" s="68">
        <f t="shared" si="75"/>
        <v>0</v>
      </c>
      <c r="O142" s="68">
        <f t="shared" si="75"/>
        <v>0</v>
      </c>
      <c r="P142" s="68">
        <f t="shared" si="75"/>
        <v>0</v>
      </c>
      <c r="Q142" s="68">
        <f t="shared" si="75"/>
        <v>0</v>
      </c>
      <c r="R142" s="68">
        <f t="shared" si="75"/>
        <v>0</v>
      </c>
      <c r="S142" s="68">
        <f t="shared" si="75"/>
        <v>0</v>
      </c>
      <c r="T142" s="68">
        <f>-T57</f>
        <v>0</v>
      </c>
      <c r="U142" s="68">
        <f>-U57</f>
        <v>0</v>
      </c>
      <c r="V142" s="68">
        <f>-V57</f>
        <v>0</v>
      </c>
      <c r="W142" s="68">
        <f>-W57</f>
        <v>0</v>
      </c>
      <c r="X142" s="68">
        <f>-X57</f>
        <v>0</v>
      </c>
    </row>
    <row r="143" spans="1:24" x14ac:dyDescent="0.25">
      <c r="B143" s="67"/>
      <c r="C143" s="67" t="s">
        <v>24</v>
      </c>
      <c r="D143" s="68">
        <f t="shared" ref="D143:S143" si="76">D35</f>
        <v>0</v>
      </c>
      <c r="E143" s="68">
        <f t="shared" si="76"/>
        <v>0</v>
      </c>
      <c r="F143" s="68">
        <f t="shared" si="76"/>
        <v>0</v>
      </c>
      <c r="G143" s="68">
        <f t="shared" si="76"/>
        <v>0</v>
      </c>
      <c r="H143" s="68">
        <f t="shared" si="76"/>
        <v>0</v>
      </c>
      <c r="I143" s="68">
        <f t="shared" si="76"/>
        <v>0</v>
      </c>
      <c r="J143" s="68">
        <f t="shared" si="76"/>
        <v>0</v>
      </c>
      <c r="K143" s="68">
        <f t="shared" si="76"/>
        <v>0</v>
      </c>
      <c r="L143" s="68">
        <f t="shared" si="76"/>
        <v>4288</v>
      </c>
      <c r="M143" s="68">
        <f t="shared" si="76"/>
        <v>4206</v>
      </c>
      <c r="N143" s="68">
        <f t="shared" si="76"/>
        <v>4382</v>
      </c>
      <c r="O143" s="68">
        <f t="shared" si="76"/>
        <v>4313</v>
      </c>
      <c r="P143" s="68">
        <f t="shared" si="76"/>
        <v>4662</v>
      </c>
      <c r="Q143" s="68">
        <f t="shared" si="76"/>
        <v>4756</v>
      </c>
      <c r="R143" s="68">
        <f t="shared" si="76"/>
        <v>5787</v>
      </c>
      <c r="S143" s="68">
        <f t="shared" si="76"/>
        <v>6098</v>
      </c>
      <c r="T143" s="68">
        <f>T35</f>
        <v>6390</v>
      </c>
      <c r="U143" s="68">
        <f>U35</f>
        <v>6453</v>
      </c>
      <c r="V143" s="68">
        <f>V35</f>
        <v>7824</v>
      </c>
      <c r="W143" s="68">
        <f>W35</f>
        <v>8573</v>
      </c>
      <c r="X143" s="68">
        <f>X35</f>
        <v>9137</v>
      </c>
    </row>
    <row r="144" spans="1:24" x14ac:dyDescent="0.25">
      <c r="B144" s="67" t="s">
        <v>622</v>
      </c>
      <c r="C144" s="67" t="s">
        <v>23</v>
      </c>
      <c r="D144" s="68">
        <f t="shared" ref="D144:S144" si="77">-SUM(D63:D64)</f>
        <v>0</v>
      </c>
      <c r="E144" s="68">
        <f t="shared" si="77"/>
        <v>0</v>
      </c>
      <c r="F144" s="68">
        <f t="shared" si="77"/>
        <v>0</v>
      </c>
      <c r="G144" s="68">
        <f t="shared" si="77"/>
        <v>0</v>
      </c>
      <c r="H144" s="68">
        <f t="shared" si="77"/>
        <v>0</v>
      </c>
      <c r="I144" s="68">
        <f t="shared" si="77"/>
        <v>0</v>
      </c>
      <c r="J144" s="68">
        <f t="shared" si="77"/>
        <v>0</v>
      </c>
      <c r="K144" s="68">
        <f t="shared" si="77"/>
        <v>0</v>
      </c>
      <c r="L144" s="68">
        <f t="shared" si="77"/>
        <v>0</v>
      </c>
      <c r="M144" s="68">
        <f t="shared" si="77"/>
        <v>0</v>
      </c>
      <c r="N144" s="68">
        <f t="shared" si="77"/>
        <v>0</v>
      </c>
      <c r="O144" s="68">
        <f t="shared" si="77"/>
        <v>0</v>
      </c>
      <c r="P144" s="68">
        <f t="shared" si="77"/>
        <v>0</v>
      </c>
      <c r="Q144" s="68">
        <f t="shared" si="77"/>
        <v>0</v>
      </c>
      <c r="R144" s="68">
        <f t="shared" si="77"/>
        <v>0</v>
      </c>
      <c r="S144" s="68">
        <f t="shared" si="77"/>
        <v>0</v>
      </c>
      <c r="T144" s="68">
        <f>-SUM(T63:T64)</f>
        <v>0</v>
      </c>
      <c r="U144" s="68">
        <f>-SUM(U63:U64)</f>
        <v>0</v>
      </c>
      <c r="V144" s="68">
        <f>-SUM(V63:V64)</f>
        <v>0</v>
      </c>
      <c r="W144" s="68">
        <f>-SUM(W63:W64)</f>
        <v>0</v>
      </c>
      <c r="X144" s="68">
        <f>-SUM(X63:X64)</f>
        <v>0</v>
      </c>
    </row>
    <row r="145" spans="2:24" x14ac:dyDescent="0.25">
      <c r="B145" s="67"/>
      <c r="C145" s="67" t="s">
        <v>24</v>
      </c>
      <c r="D145" s="68">
        <f t="shared" ref="D145:S145" si="78">SUM(D42:D43)</f>
        <v>61</v>
      </c>
      <c r="E145" s="68">
        <f t="shared" si="78"/>
        <v>112</v>
      </c>
      <c r="F145" s="68">
        <f t="shared" si="78"/>
        <v>346</v>
      </c>
      <c r="G145" s="68">
        <f t="shared" si="78"/>
        <v>292</v>
      </c>
      <c r="H145" s="68">
        <f t="shared" si="78"/>
        <v>308</v>
      </c>
      <c r="I145" s="68">
        <f t="shared" si="78"/>
        <v>297</v>
      </c>
      <c r="J145" s="68">
        <f t="shared" si="78"/>
        <v>327</v>
      </c>
      <c r="K145" s="68">
        <f t="shared" si="78"/>
        <v>272</v>
      </c>
      <c r="L145" s="68">
        <f t="shared" si="78"/>
        <v>472</v>
      </c>
      <c r="M145" s="68">
        <f t="shared" si="78"/>
        <v>514</v>
      </c>
      <c r="N145" s="68">
        <f t="shared" si="78"/>
        <v>486</v>
      </c>
      <c r="O145" s="68">
        <f t="shared" si="78"/>
        <v>430</v>
      </c>
      <c r="P145" s="68">
        <f t="shared" si="78"/>
        <v>393</v>
      </c>
      <c r="Q145" s="68">
        <f t="shared" si="78"/>
        <v>399</v>
      </c>
      <c r="R145" s="68">
        <f t="shared" si="78"/>
        <v>435</v>
      </c>
      <c r="S145" s="68">
        <f t="shared" si="78"/>
        <v>419</v>
      </c>
      <c r="T145" s="68">
        <f>SUM(T42:T43)</f>
        <v>342</v>
      </c>
      <c r="U145" s="68">
        <f>SUM(U42:U43)</f>
        <v>273</v>
      </c>
      <c r="V145" s="68">
        <f>SUM(V42:V43)</f>
        <v>166</v>
      </c>
      <c r="W145" s="68">
        <f>SUM(W42:W43)</f>
        <v>190</v>
      </c>
      <c r="X145" s="68">
        <f>SUM(X42:X43)</f>
        <v>348</v>
      </c>
    </row>
    <row r="146" spans="2:24" x14ac:dyDescent="0.25">
      <c r="B146" s="67" t="s">
        <v>31</v>
      </c>
      <c r="C146" s="67" t="s">
        <v>23</v>
      </c>
      <c r="D146" s="68">
        <f t="shared" ref="D146:S146" si="79">SUM(D53:D54)</f>
        <v>0</v>
      </c>
      <c r="E146" s="68">
        <f t="shared" si="79"/>
        <v>0</v>
      </c>
      <c r="F146" s="68">
        <f t="shared" si="79"/>
        <v>0</v>
      </c>
      <c r="G146" s="68">
        <f t="shared" si="79"/>
        <v>0</v>
      </c>
      <c r="H146" s="68">
        <f t="shared" si="79"/>
        <v>0</v>
      </c>
      <c r="I146" s="68">
        <f t="shared" si="79"/>
        <v>0</v>
      </c>
      <c r="J146" s="68">
        <f t="shared" si="79"/>
        <v>0</v>
      </c>
      <c r="K146" s="68">
        <f t="shared" si="79"/>
        <v>0</v>
      </c>
      <c r="L146" s="68">
        <f t="shared" si="79"/>
        <v>0</v>
      </c>
      <c r="M146" s="68">
        <f t="shared" si="79"/>
        <v>0</v>
      </c>
      <c r="N146" s="68">
        <f t="shared" si="79"/>
        <v>0</v>
      </c>
      <c r="O146" s="68">
        <f t="shared" si="79"/>
        <v>0</v>
      </c>
      <c r="P146" s="68">
        <f t="shared" si="79"/>
        <v>0</v>
      </c>
      <c r="Q146" s="68">
        <f t="shared" si="79"/>
        <v>0</v>
      </c>
      <c r="R146" s="68">
        <f t="shared" si="79"/>
        <v>0</v>
      </c>
      <c r="S146" s="68">
        <f t="shared" si="79"/>
        <v>0</v>
      </c>
      <c r="T146" s="68">
        <f>SUM(T53:T54)</f>
        <v>0</v>
      </c>
      <c r="U146" s="68">
        <f>SUM(U53:U54)</f>
        <v>0</v>
      </c>
      <c r="V146" s="68">
        <f>SUM(V53:V54)</f>
        <v>0</v>
      </c>
      <c r="W146" s="68">
        <f>SUM(W53:W54)</f>
        <v>0</v>
      </c>
      <c r="X146" s="68">
        <f>SUM(X53:X54)</f>
        <v>0</v>
      </c>
    </row>
    <row r="147" spans="2:24" x14ac:dyDescent="0.25">
      <c r="B147" s="67"/>
      <c r="C147" s="67" t="s">
        <v>24</v>
      </c>
      <c r="D147" s="68">
        <f t="shared" ref="D147:S147" si="80">SUM(D31:D32)</f>
        <v>474</v>
      </c>
      <c r="E147" s="68">
        <f t="shared" si="80"/>
        <v>315</v>
      </c>
      <c r="F147" s="68">
        <f t="shared" si="80"/>
        <v>2034</v>
      </c>
      <c r="G147" s="68">
        <f t="shared" si="80"/>
        <v>2843</v>
      </c>
      <c r="H147" s="68">
        <f t="shared" si="80"/>
        <v>2056</v>
      </c>
      <c r="I147" s="68">
        <f t="shared" si="80"/>
        <v>2719</v>
      </c>
      <c r="J147" s="68">
        <f t="shared" si="80"/>
        <v>2634</v>
      </c>
      <c r="K147" s="68">
        <f t="shared" si="80"/>
        <v>2607</v>
      </c>
      <c r="L147" s="68">
        <f t="shared" si="80"/>
        <v>1203</v>
      </c>
      <c r="M147" s="68">
        <f t="shared" si="80"/>
        <v>1770</v>
      </c>
      <c r="N147" s="68">
        <f t="shared" si="80"/>
        <v>1921</v>
      </c>
      <c r="O147" s="68">
        <f t="shared" si="80"/>
        <v>2115</v>
      </c>
      <c r="P147" s="68">
        <f t="shared" si="80"/>
        <v>1905</v>
      </c>
      <c r="Q147" s="68">
        <f t="shared" si="80"/>
        <v>2097</v>
      </c>
      <c r="R147" s="68">
        <f t="shared" si="80"/>
        <v>2089</v>
      </c>
      <c r="S147" s="68">
        <f t="shared" si="80"/>
        <v>2646</v>
      </c>
      <c r="T147" s="68">
        <f>SUM(T31:T32)</f>
        <v>2454</v>
      </c>
      <c r="U147" s="68">
        <f>SUM(U31:U32)</f>
        <v>2627</v>
      </c>
      <c r="V147" s="68">
        <f>SUM(V31:V32)</f>
        <v>3625</v>
      </c>
      <c r="W147" s="68">
        <f>SUM(W31:W32)</f>
        <v>3555</v>
      </c>
      <c r="X147" s="68">
        <f>SUM(X31:X32)</f>
        <v>3159</v>
      </c>
    </row>
    <row r="148" spans="2:24" x14ac:dyDescent="0.25">
      <c r="B148" s="67" t="s">
        <v>11</v>
      </c>
      <c r="C148" s="67" t="s">
        <v>23</v>
      </c>
      <c r="D148" s="68">
        <f t="shared" ref="D148:S148" si="81">-SUM(D65:D66)</f>
        <v>0</v>
      </c>
      <c r="E148" s="68">
        <f t="shared" si="81"/>
        <v>0</v>
      </c>
      <c r="F148" s="68">
        <f t="shared" si="81"/>
        <v>0</v>
      </c>
      <c r="G148" s="68">
        <f t="shared" si="81"/>
        <v>0</v>
      </c>
      <c r="H148" s="68">
        <f t="shared" si="81"/>
        <v>0</v>
      </c>
      <c r="I148" s="68">
        <f t="shared" si="81"/>
        <v>0</v>
      </c>
      <c r="J148" s="68">
        <f t="shared" si="81"/>
        <v>0</v>
      </c>
      <c r="K148" s="68">
        <f t="shared" si="81"/>
        <v>0</v>
      </c>
      <c r="L148" s="68">
        <f t="shared" si="81"/>
        <v>0</v>
      </c>
      <c r="M148" s="68">
        <f t="shared" si="81"/>
        <v>0</v>
      </c>
      <c r="N148" s="68">
        <f t="shared" si="81"/>
        <v>0</v>
      </c>
      <c r="O148" s="68">
        <f t="shared" si="81"/>
        <v>0</v>
      </c>
      <c r="P148" s="68">
        <f t="shared" si="81"/>
        <v>0</v>
      </c>
      <c r="Q148" s="68">
        <f t="shared" si="81"/>
        <v>0</v>
      </c>
      <c r="R148" s="68">
        <f t="shared" si="81"/>
        <v>0</v>
      </c>
      <c r="S148" s="68">
        <f t="shared" si="81"/>
        <v>0</v>
      </c>
      <c r="T148" s="68">
        <f>-SUM(T65:T66)</f>
        <v>0</v>
      </c>
      <c r="U148" s="68">
        <f>-SUM(U65:U66)</f>
        <v>0</v>
      </c>
      <c r="V148" s="68">
        <f>-SUM(V65:V66)</f>
        <v>0</v>
      </c>
      <c r="W148" s="68">
        <f>-SUM(W65:W66)</f>
        <v>0</v>
      </c>
      <c r="X148" s="68">
        <f>-SUM(X65:X66)</f>
        <v>0</v>
      </c>
    </row>
    <row r="149" spans="2:24" x14ac:dyDescent="0.25">
      <c r="B149" s="67"/>
      <c r="C149" s="67" t="s">
        <v>24</v>
      </c>
      <c r="D149" s="68">
        <f t="shared" ref="D149:S149" si="82">SUM(D44:D45)</f>
        <v>28</v>
      </c>
      <c r="E149" s="68">
        <f t="shared" si="82"/>
        <v>28</v>
      </c>
      <c r="F149" s="68">
        <f t="shared" si="82"/>
        <v>13</v>
      </c>
      <c r="G149" s="68">
        <f t="shared" si="82"/>
        <v>31</v>
      </c>
      <c r="H149" s="68">
        <f t="shared" si="82"/>
        <v>32</v>
      </c>
      <c r="I149" s="68">
        <f t="shared" si="82"/>
        <v>68</v>
      </c>
      <c r="J149" s="68">
        <f t="shared" si="82"/>
        <v>38</v>
      </c>
      <c r="K149" s="68">
        <f t="shared" si="82"/>
        <v>61</v>
      </c>
      <c r="L149" s="68">
        <f t="shared" si="82"/>
        <v>199</v>
      </c>
      <c r="M149" s="68">
        <f t="shared" si="82"/>
        <v>218</v>
      </c>
      <c r="N149" s="68">
        <f t="shared" si="82"/>
        <v>238</v>
      </c>
      <c r="O149" s="68">
        <f t="shared" si="82"/>
        <v>535</v>
      </c>
      <c r="P149" s="68">
        <f t="shared" si="82"/>
        <v>1219</v>
      </c>
      <c r="Q149" s="68">
        <f t="shared" si="82"/>
        <v>1385</v>
      </c>
      <c r="R149" s="68">
        <f t="shared" si="82"/>
        <v>1643</v>
      </c>
      <c r="S149" s="68">
        <f t="shared" si="82"/>
        <v>1935</v>
      </c>
      <c r="T149" s="68">
        <f>SUM(T44:T45)</f>
        <v>1487</v>
      </c>
      <c r="U149" s="68">
        <f>SUM(U44:U45)</f>
        <v>961</v>
      </c>
      <c r="V149" s="68">
        <f>SUM(V44:V45)</f>
        <v>777</v>
      </c>
      <c r="W149" s="68">
        <f>SUM(W44:W45)</f>
        <v>1043</v>
      </c>
      <c r="X149" s="68">
        <f>SUM(X44:X45)</f>
        <v>1319</v>
      </c>
    </row>
    <row r="150" spans="2:24" s="129" customFormat="1" x14ac:dyDescent="0.25">
      <c r="B150" s="67"/>
      <c r="C150" s="67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</row>
    <row r="151" spans="2:24" x14ac:dyDescent="0.25">
      <c r="C151" s="96" t="s">
        <v>705</v>
      </c>
      <c r="D151" s="136">
        <f>SUM(D30,D46,-D52,-D67)</f>
        <v>45656</v>
      </c>
      <c r="E151" s="136">
        <f t="shared" ref="E151:S151" si="83">SUM(E30,E46,-E52,-E67)</f>
        <v>55015</v>
      </c>
      <c r="F151" s="136">
        <f t="shared" si="83"/>
        <v>62097</v>
      </c>
      <c r="G151" s="136">
        <f t="shared" si="83"/>
        <v>51811</v>
      </c>
      <c r="H151" s="136">
        <f t="shared" si="83"/>
        <v>53903</v>
      </c>
      <c r="I151" s="136">
        <f t="shared" si="83"/>
        <v>45232</v>
      </c>
      <c r="J151" s="136">
        <f t="shared" si="83"/>
        <v>49355</v>
      </c>
      <c r="K151" s="136">
        <f t="shared" si="83"/>
        <v>62410</v>
      </c>
      <c r="L151" s="136">
        <f t="shared" si="83"/>
        <v>21680</v>
      </c>
      <c r="M151" s="136">
        <f t="shared" si="83"/>
        <v>-3620</v>
      </c>
      <c r="N151" s="136">
        <f t="shared" si="83"/>
        <v>24025</v>
      </c>
      <c r="O151" s="136">
        <f t="shared" si="83"/>
        <v>36678</v>
      </c>
      <c r="P151" s="136">
        <f t="shared" si="83"/>
        <v>-20414</v>
      </c>
      <c r="Q151" s="136">
        <f t="shared" si="83"/>
        <v>32650</v>
      </c>
      <c r="R151" s="136">
        <f t="shared" si="83"/>
        <v>140598</v>
      </c>
      <c r="S151" s="136">
        <f t="shared" si="83"/>
        <v>70329</v>
      </c>
      <c r="T151" s="136">
        <f>SUM(T30,T46,-T52,-T67)</f>
        <v>67945</v>
      </c>
      <c r="U151" s="136">
        <f>SUM(U30,U46,-U52,-U67)</f>
        <v>46473</v>
      </c>
      <c r="V151" s="136">
        <f>SUM(V30,V46,-V52,-V67)</f>
        <v>-37686</v>
      </c>
      <c r="W151" s="136">
        <f>SUM(W30,W46,-W52,-W67)</f>
        <v>22302</v>
      </c>
      <c r="X151" s="136">
        <f>SUM(X30,X46,-X52,-X67)</f>
        <v>-117073</v>
      </c>
    </row>
    <row r="152" spans="2:24" x14ac:dyDescent="0.25">
      <c r="C152" s="96" t="s">
        <v>706</v>
      </c>
      <c r="D152" s="136">
        <f>SUM(D130:D149)</f>
        <v>45656</v>
      </c>
      <c r="E152" s="136">
        <f t="shared" ref="E152:R152" si="84">SUM(E130:E149)</f>
        <v>55015</v>
      </c>
      <c r="F152" s="136">
        <f t="shared" si="84"/>
        <v>62096.999999999985</v>
      </c>
      <c r="G152" s="136">
        <f t="shared" si="84"/>
        <v>51811</v>
      </c>
      <c r="H152" s="136">
        <f t="shared" si="84"/>
        <v>53903</v>
      </c>
      <c r="I152" s="136">
        <f t="shared" si="84"/>
        <v>45232</v>
      </c>
      <c r="J152" s="136">
        <f t="shared" si="84"/>
        <v>49355</v>
      </c>
      <c r="K152" s="136">
        <f t="shared" si="84"/>
        <v>62410</v>
      </c>
      <c r="L152" s="136">
        <f t="shared" si="84"/>
        <v>21679.999999999985</v>
      </c>
      <c r="M152" s="136">
        <f t="shared" si="84"/>
        <v>-3619.9999999999927</v>
      </c>
      <c r="N152" s="136">
        <f t="shared" si="84"/>
        <v>24025.000000000011</v>
      </c>
      <c r="O152" s="136">
        <f t="shared" si="84"/>
        <v>36677.999999999993</v>
      </c>
      <c r="P152" s="136">
        <f t="shared" si="84"/>
        <v>-20413.999999999964</v>
      </c>
      <c r="Q152" s="136">
        <f t="shared" si="84"/>
        <v>32649.999999999989</v>
      </c>
      <c r="R152" s="136">
        <f t="shared" si="84"/>
        <v>140598</v>
      </c>
      <c r="S152" s="136">
        <f>SUM(S130:S149)</f>
        <v>70329</v>
      </c>
      <c r="T152" s="136">
        <f>SUM(T130:T149)</f>
        <v>67945</v>
      </c>
      <c r="U152" s="136">
        <f>SUM(U130:U149)</f>
        <v>46472.999999999993</v>
      </c>
      <c r="V152" s="136">
        <f>SUM(V130:V149)</f>
        <v>-37686</v>
      </c>
      <c r="W152" s="136">
        <f>SUM(W130:W149)</f>
        <v>22301.999999999989</v>
      </c>
      <c r="X152" s="136">
        <f>SUM(X130:X149)</f>
        <v>-117072.99999999994</v>
      </c>
    </row>
    <row r="153" spans="2:24" x14ac:dyDescent="0.25">
      <c r="T153" s="129"/>
      <c r="U153" s="129"/>
      <c r="V153" s="129"/>
      <c r="W153" s="129"/>
      <c r="X153" s="129"/>
    </row>
    <row r="154" spans="2:24" x14ac:dyDescent="0.25">
      <c r="C154" s="96" t="s">
        <v>736</v>
      </c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</row>
    <row r="157" spans="2:24" x14ac:dyDescent="0.25">
      <c r="N157" s="130"/>
    </row>
    <row r="158" spans="2:24" x14ac:dyDescent="0.25">
      <c r="N158" s="130"/>
    </row>
    <row r="161" spans="14:19" x14ac:dyDescent="0.25">
      <c r="N161" s="130"/>
      <c r="O161" s="130"/>
      <c r="P161" s="130"/>
      <c r="Q161" s="130"/>
      <c r="R161" s="130"/>
      <c r="S161" s="130"/>
    </row>
    <row r="162" spans="14:19" x14ac:dyDescent="0.25">
      <c r="N162" s="130"/>
      <c r="O162" s="130"/>
      <c r="P162" s="130"/>
      <c r="Q162" s="130"/>
      <c r="R162" s="130"/>
      <c r="S162" s="130"/>
    </row>
  </sheetData>
  <pageMargins left="0.7" right="0.7" top="0.75" bottom="0.75" header="0.3" footer="0.3"/>
  <pageSetup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pane xSplit="4" ySplit="1" topLeftCell="E8" activePane="bottomRight" state="frozen"/>
      <selection pane="topRight" activeCell="E1" sqref="E1"/>
      <selection pane="bottomLeft" activeCell="A2" sqref="A2"/>
      <selection pane="bottomRight" activeCell="E30" sqref="E30"/>
    </sheetView>
  </sheetViews>
  <sheetFormatPr defaultRowHeight="15" x14ac:dyDescent="0.25"/>
  <cols>
    <col min="3" max="3" width="19.42578125" customWidth="1"/>
    <col min="4" max="4" width="16.42578125" bestFit="1" customWidth="1"/>
    <col min="5" max="5" width="28.28515625" customWidth="1"/>
  </cols>
  <sheetData>
    <row r="1" spans="1:9" x14ac:dyDescent="0.25">
      <c r="A1" t="s">
        <v>648</v>
      </c>
      <c r="B1" t="s">
        <v>249</v>
      </c>
      <c r="C1" t="s">
        <v>254</v>
      </c>
      <c r="D1" t="s">
        <v>565</v>
      </c>
      <c r="E1" t="s">
        <v>646</v>
      </c>
    </row>
    <row r="2" spans="1:9" x14ac:dyDescent="0.25">
      <c r="A2" s="20">
        <v>44562</v>
      </c>
      <c r="B2" s="20">
        <v>44562</v>
      </c>
      <c r="C2" t="s">
        <v>566</v>
      </c>
      <c r="D2" t="s">
        <v>570</v>
      </c>
      <c r="E2" s="9">
        <v>122.48</v>
      </c>
    </row>
    <row r="3" spans="1:9" x14ac:dyDescent="0.25">
      <c r="A3" s="20">
        <v>44562</v>
      </c>
      <c r="B3" s="20">
        <v>44562</v>
      </c>
      <c r="C3" t="s">
        <v>567</v>
      </c>
      <c r="D3" t="s">
        <v>570</v>
      </c>
      <c r="E3" s="9">
        <v>134.47999999999999</v>
      </c>
      <c r="I3" t="s">
        <v>733</v>
      </c>
    </row>
    <row r="4" spans="1:9" x14ac:dyDescent="0.25">
      <c r="A4" s="20">
        <v>44562</v>
      </c>
      <c r="B4" s="20">
        <v>44562</v>
      </c>
      <c r="C4" t="s">
        <v>266</v>
      </c>
      <c r="D4" t="s">
        <v>570</v>
      </c>
      <c r="E4" s="9">
        <v>105.5</v>
      </c>
      <c r="I4" s="93" t="s">
        <v>732</v>
      </c>
    </row>
    <row r="5" spans="1:9" x14ac:dyDescent="0.25">
      <c r="A5" s="20">
        <v>44562</v>
      </c>
      <c r="B5" s="20">
        <v>44562</v>
      </c>
      <c r="C5" t="s">
        <v>275</v>
      </c>
      <c r="D5" t="s">
        <v>570</v>
      </c>
      <c r="E5" s="9">
        <v>78.83</v>
      </c>
    </row>
    <row r="6" spans="1:9" x14ac:dyDescent="0.25">
      <c r="A6" s="20">
        <v>44562</v>
      </c>
      <c r="B6" s="20">
        <v>44562</v>
      </c>
      <c r="C6" t="s">
        <v>261</v>
      </c>
      <c r="D6" t="s">
        <v>570</v>
      </c>
      <c r="E6" s="9">
        <v>3.6</v>
      </c>
    </row>
    <row r="7" spans="1:9" x14ac:dyDescent="0.25">
      <c r="A7" s="20">
        <v>44562</v>
      </c>
      <c r="B7" s="20">
        <v>44562</v>
      </c>
      <c r="C7" t="s">
        <v>19</v>
      </c>
      <c r="D7" t="s">
        <v>570</v>
      </c>
      <c r="E7" s="9">
        <v>120</v>
      </c>
    </row>
    <row r="8" spans="1:9" x14ac:dyDescent="0.25">
      <c r="A8" s="20">
        <v>44562</v>
      </c>
      <c r="B8" s="20">
        <v>44562</v>
      </c>
      <c r="C8" t="s">
        <v>5</v>
      </c>
      <c r="D8" t="s">
        <v>570</v>
      </c>
      <c r="E8" s="9">
        <v>81.510000000000005</v>
      </c>
    </row>
    <row r="9" spans="1:9" x14ac:dyDescent="0.25">
      <c r="A9" s="20">
        <v>44562</v>
      </c>
      <c r="B9" s="20">
        <v>44562</v>
      </c>
      <c r="C9" t="s">
        <v>7</v>
      </c>
      <c r="D9" t="s">
        <v>570</v>
      </c>
      <c r="E9" s="9">
        <v>126.13</v>
      </c>
    </row>
    <row r="10" spans="1:9" x14ac:dyDescent="0.25">
      <c r="A10" s="20">
        <v>44562</v>
      </c>
      <c r="B10" s="20">
        <v>44562</v>
      </c>
      <c r="C10" t="s">
        <v>255</v>
      </c>
      <c r="D10" t="s">
        <v>570</v>
      </c>
      <c r="E10" s="9">
        <v>129.65</v>
      </c>
    </row>
    <row r="11" spans="1:9" x14ac:dyDescent="0.25">
      <c r="A11" s="20">
        <v>44562</v>
      </c>
      <c r="B11" s="20">
        <v>44562</v>
      </c>
      <c r="C11" t="s">
        <v>268</v>
      </c>
      <c r="D11" t="s">
        <v>570</v>
      </c>
      <c r="E11" s="9">
        <v>89.63</v>
      </c>
    </row>
    <row r="12" spans="1:9" x14ac:dyDescent="0.25">
      <c r="A12" s="20">
        <v>44562</v>
      </c>
      <c r="B12" s="20">
        <v>44562</v>
      </c>
      <c r="C12" t="s">
        <v>568</v>
      </c>
      <c r="D12" t="s">
        <v>570</v>
      </c>
      <c r="E12" s="9">
        <v>122.48</v>
      </c>
    </row>
    <row r="13" spans="1:9" x14ac:dyDescent="0.25">
      <c r="A13" s="20">
        <v>44562</v>
      </c>
      <c r="B13" s="20">
        <v>44562</v>
      </c>
      <c r="C13" t="s">
        <v>569</v>
      </c>
      <c r="D13" t="s">
        <v>570</v>
      </c>
      <c r="E13" s="9">
        <v>126.37</v>
      </c>
    </row>
    <row r="14" spans="1:9" x14ac:dyDescent="0.25">
      <c r="A14" s="20">
        <v>44562</v>
      </c>
      <c r="B14" s="20">
        <v>44562</v>
      </c>
      <c r="C14" t="s">
        <v>566</v>
      </c>
      <c r="D14" t="s">
        <v>571</v>
      </c>
      <c r="E14" s="9">
        <v>93.51</v>
      </c>
      <c r="F14" t="s">
        <v>746</v>
      </c>
    </row>
    <row r="15" spans="1:9" x14ac:dyDescent="0.25">
      <c r="A15" s="20">
        <v>44562</v>
      </c>
      <c r="B15" s="20">
        <v>44562</v>
      </c>
      <c r="C15" t="s">
        <v>567</v>
      </c>
      <c r="D15" t="s">
        <v>571</v>
      </c>
      <c r="E15" s="9">
        <v>93.81</v>
      </c>
      <c r="F15" t="s">
        <v>746</v>
      </c>
    </row>
    <row r="16" spans="1:9" x14ac:dyDescent="0.25">
      <c r="A16" s="20">
        <v>44562</v>
      </c>
      <c r="B16" s="20">
        <v>44562</v>
      </c>
      <c r="C16" t="s">
        <v>569</v>
      </c>
      <c r="D16" t="s">
        <v>571</v>
      </c>
      <c r="E16" s="9">
        <v>90.8</v>
      </c>
      <c r="F16" t="s">
        <v>746</v>
      </c>
    </row>
    <row r="17" spans="1:6" x14ac:dyDescent="0.25">
      <c r="A17" s="20">
        <v>44562</v>
      </c>
      <c r="B17" s="20">
        <v>44562</v>
      </c>
      <c r="C17" t="s">
        <v>566</v>
      </c>
      <c r="D17" t="s">
        <v>572</v>
      </c>
      <c r="E17" s="9">
        <v>100.14</v>
      </c>
      <c r="F17" t="s">
        <v>746</v>
      </c>
    </row>
    <row r="18" spans="1:6" x14ac:dyDescent="0.25">
      <c r="A18" s="20">
        <v>44562</v>
      </c>
      <c r="B18" s="20">
        <v>44562</v>
      </c>
      <c r="C18" t="s">
        <v>567</v>
      </c>
      <c r="D18" t="s">
        <v>572</v>
      </c>
      <c r="E18" s="9">
        <v>100.74</v>
      </c>
      <c r="F18" t="s">
        <v>746</v>
      </c>
    </row>
    <row r="19" spans="1:6" x14ac:dyDescent="0.25">
      <c r="A19" s="20">
        <v>44562</v>
      </c>
      <c r="B19" s="20">
        <v>44562</v>
      </c>
      <c r="C19" t="s">
        <v>568</v>
      </c>
      <c r="D19" t="s">
        <v>572</v>
      </c>
      <c r="E19" s="9">
        <v>98.06</v>
      </c>
      <c r="F19" t="s">
        <v>746</v>
      </c>
    </row>
    <row r="20" spans="1:6" x14ac:dyDescent="0.25">
      <c r="A20" s="20">
        <v>44562</v>
      </c>
      <c r="B20" s="20">
        <v>44562</v>
      </c>
      <c r="C20" t="s">
        <v>261</v>
      </c>
      <c r="D20" t="s">
        <v>572</v>
      </c>
      <c r="E20" s="9">
        <v>63.47</v>
      </c>
    </row>
    <row r="21" spans="1:6" x14ac:dyDescent="0.25">
      <c r="A21" s="20">
        <v>44562</v>
      </c>
      <c r="B21" s="20">
        <v>44562</v>
      </c>
      <c r="C21" t="s">
        <v>266</v>
      </c>
      <c r="D21" t="s">
        <v>572</v>
      </c>
      <c r="E21" s="9">
        <v>79.98</v>
      </c>
      <c r="F21" t="s">
        <v>746</v>
      </c>
    </row>
    <row r="22" spans="1:6" s="129" customFormat="1" x14ac:dyDescent="0.25">
      <c r="A22" s="20">
        <v>44562</v>
      </c>
      <c r="B22" s="20">
        <v>44197</v>
      </c>
      <c r="C22" s="129" t="s">
        <v>31</v>
      </c>
      <c r="D22" s="129" t="s">
        <v>572</v>
      </c>
      <c r="E22" s="9">
        <f>'CI Facility'!N85</f>
        <v>49</v>
      </c>
    </row>
    <row r="23" spans="1:6" x14ac:dyDescent="0.25">
      <c r="A23" s="20">
        <v>44562</v>
      </c>
      <c r="B23" s="20">
        <v>44562</v>
      </c>
      <c r="C23" t="s">
        <v>31</v>
      </c>
      <c r="D23" t="s">
        <v>572</v>
      </c>
      <c r="E23" s="9">
        <f>'CI Facility'!N85</f>
        <v>49</v>
      </c>
    </row>
    <row r="24" spans="1:6" x14ac:dyDescent="0.25">
      <c r="A24" s="20">
        <v>44562</v>
      </c>
      <c r="B24" s="20">
        <v>44562</v>
      </c>
      <c r="C24" t="s">
        <v>268</v>
      </c>
      <c r="D24" t="s">
        <v>572</v>
      </c>
      <c r="E24" s="9">
        <v>80.88</v>
      </c>
      <c r="F24" t="s">
        <v>746</v>
      </c>
    </row>
    <row r="25" spans="1:6" s="129" customFormat="1" x14ac:dyDescent="0.25">
      <c r="A25" s="20">
        <v>44562</v>
      </c>
      <c r="B25" s="20">
        <v>44197</v>
      </c>
      <c r="C25" s="129" t="s">
        <v>5</v>
      </c>
      <c r="D25" s="129" t="s">
        <v>572</v>
      </c>
      <c r="E25" s="9">
        <v>49</v>
      </c>
    </row>
    <row r="26" spans="1:6" x14ac:dyDescent="0.25">
      <c r="A26" s="20">
        <v>44562</v>
      </c>
      <c r="B26" s="20">
        <v>44562</v>
      </c>
      <c r="C26" t="s">
        <v>5</v>
      </c>
      <c r="D26" t="s">
        <v>572</v>
      </c>
      <c r="E26" s="48">
        <v>46.5</v>
      </c>
    </row>
    <row r="27" spans="1:6" s="129" customFormat="1" x14ac:dyDescent="0.25">
      <c r="A27" s="20">
        <v>44562</v>
      </c>
      <c r="B27" s="20">
        <v>44197</v>
      </c>
      <c r="C27" s="129" t="s">
        <v>7</v>
      </c>
      <c r="D27" s="129" t="s">
        <v>572</v>
      </c>
      <c r="E27" s="48">
        <v>36</v>
      </c>
    </row>
    <row r="28" spans="1:6" x14ac:dyDescent="0.25">
      <c r="A28" s="20">
        <v>44562</v>
      </c>
      <c r="B28" s="20">
        <v>44562</v>
      </c>
      <c r="C28" t="s">
        <v>7</v>
      </c>
      <c r="D28" t="s">
        <v>572</v>
      </c>
      <c r="E28" s="48">
        <v>31.5</v>
      </c>
    </row>
    <row r="29" spans="1:6" s="129" customFormat="1" x14ac:dyDescent="0.25">
      <c r="A29" s="20">
        <v>44562</v>
      </c>
      <c r="B29" s="20">
        <v>44197</v>
      </c>
      <c r="C29" s="129" t="s">
        <v>255</v>
      </c>
      <c r="D29" s="129" t="s">
        <v>572</v>
      </c>
      <c r="E29" s="48">
        <v>36</v>
      </c>
    </row>
    <row r="30" spans="1:6" x14ac:dyDescent="0.25">
      <c r="A30" s="20">
        <v>44562</v>
      </c>
      <c r="B30" s="20">
        <v>44562</v>
      </c>
      <c r="C30" t="s">
        <v>255</v>
      </c>
      <c r="D30" t="s">
        <v>572</v>
      </c>
      <c r="E30" s="48">
        <v>33.25</v>
      </c>
    </row>
    <row r="31" spans="1:6" s="129" customFormat="1" x14ac:dyDescent="0.25">
      <c r="A31" s="20">
        <v>44562</v>
      </c>
      <c r="B31" s="20">
        <v>44197</v>
      </c>
      <c r="C31" s="129" t="s">
        <v>650</v>
      </c>
      <c r="D31" s="129" t="s">
        <v>573</v>
      </c>
      <c r="E31" s="130">
        <f>AVERAGE(Forecast_Main!X97:AA97)</f>
        <v>4374.2066983916566</v>
      </c>
    </row>
    <row r="32" spans="1:6" x14ac:dyDescent="0.25">
      <c r="A32" s="20">
        <v>44562</v>
      </c>
      <c r="B32" s="20">
        <v>44562</v>
      </c>
      <c r="C32" t="s">
        <v>650</v>
      </c>
      <c r="D32" t="s">
        <v>573</v>
      </c>
      <c r="E32" s="10">
        <f>AVERAGE(Forecast_Main!AB97:AE97)</f>
        <v>4474.2066983916566</v>
      </c>
    </row>
    <row r="33" spans="1:5" x14ac:dyDescent="0.25">
      <c r="A33" s="20">
        <v>44562</v>
      </c>
      <c r="B33" s="20">
        <v>44562</v>
      </c>
      <c r="C33" t="s">
        <v>711</v>
      </c>
      <c r="D33" t="s">
        <v>573</v>
      </c>
      <c r="E33">
        <v>3.4</v>
      </c>
    </row>
    <row r="34" spans="1:5" s="129" customFormat="1" x14ac:dyDescent="0.25">
      <c r="A34" s="20">
        <v>44562</v>
      </c>
      <c r="B34" s="20">
        <v>44562</v>
      </c>
      <c r="C34" s="129" t="s">
        <v>712</v>
      </c>
      <c r="D34" s="129" t="s">
        <v>573</v>
      </c>
      <c r="E34" s="129">
        <v>0.9</v>
      </c>
    </row>
    <row r="35" spans="1:5" x14ac:dyDescent="0.25">
      <c r="A35" s="20">
        <v>44562</v>
      </c>
      <c r="B35" s="20">
        <v>44197</v>
      </c>
      <c r="C35" t="s">
        <v>4</v>
      </c>
      <c r="D35" t="s">
        <v>647</v>
      </c>
      <c r="E35" s="25"/>
    </row>
    <row r="36" spans="1:5" x14ac:dyDescent="0.25">
      <c r="A36" s="20">
        <v>44562</v>
      </c>
      <c r="B36" s="20">
        <v>44562</v>
      </c>
      <c r="C36" t="s">
        <v>4</v>
      </c>
      <c r="D36" t="s">
        <v>647</v>
      </c>
      <c r="E36" s="25"/>
    </row>
    <row r="37" spans="1:5" x14ac:dyDescent="0.25">
      <c r="A37" s="20">
        <v>44562</v>
      </c>
      <c r="B37" s="20">
        <v>44197</v>
      </c>
      <c r="C37" t="s">
        <v>3</v>
      </c>
      <c r="D37" t="s">
        <v>647</v>
      </c>
      <c r="E37" s="25"/>
    </row>
    <row r="38" spans="1:5" x14ac:dyDescent="0.25">
      <c r="A38" s="20">
        <v>44562</v>
      </c>
      <c r="B38" s="20">
        <v>44562</v>
      </c>
      <c r="C38" t="s">
        <v>3</v>
      </c>
      <c r="D38" t="s">
        <v>647</v>
      </c>
      <c r="E38" s="25"/>
    </row>
    <row r="39" spans="1:5" x14ac:dyDescent="0.25">
      <c r="A39" s="20">
        <v>44562</v>
      </c>
      <c r="B39" s="20">
        <v>44197</v>
      </c>
      <c r="C39" t="s">
        <v>260</v>
      </c>
      <c r="D39" t="s">
        <v>647</v>
      </c>
      <c r="E39" s="167">
        <v>0.5</v>
      </c>
    </row>
    <row r="40" spans="1:5" x14ac:dyDescent="0.25">
      <c r="A40" s="20">
        <v>44562</v>
      </c>
      <c r="B40" s="20">
        <v>44562</v>
      </c>
      <c r="C40" t="s">
        <v>260</v>
      </c>
      <c r="D40" t="s">
        <v>647</v>
      </c>
      <c r="E40" s="167">
        <v>0.65</v>
      </c>
    </row>
    <row r="41" spans="1:5" x14ac:dyDescent="0.25">
      <c r="A41" s="20">
        <v>44562</v>
      </c>
      <c r="B41" s="20">
        <v>44197</v>
      </c>
      <c r="C41" t="s">
        <v>649</v>
      </c>
      <c r="D41" t="s">
        <v>647</v>
      </c>
      <c r="E41" s="167">
        <v>0.25</v>
      </c>
    </row>
    <row r="42" spans="1:5" x14ac:dyDescent="0.25">
      <c r="A42" s="20">
        <v>44562</v>
      </c>
      <c r="B42" s="20">
        <v>44562</v>
      </c>
      <c r="C42" t="s">
        <v>649</v>
      </c>
      <c r="D42" t="s">
        <v>647</v>
      </c>
      <c r="E42" s="167">
        <v>0.35</v>
      </c>
    </row>
    <row r="43" spans="1:5" x14ac:dyDescent="0.25">
      <c r="A43" s="20">
        <v>44562</v>
      </c>
      <c r="B43" s="20">
        <v>44197</v>
      </c>
      <c r="C43" t="s">
        <v>268</v>
      </c>
      <c r="D43" t="s">
        <v>647</v>
      </c>
      <c r="E43" s="167">
        <v>0.5</v>
      </c>
    </row>
    <row r="44" spans="1:5" x14ac:dyDescent="0.25">
      <c r="A44" s="20">
        <v>44562</v>
      </c>
      <c r="B44" s="20">
        <v>44562</v>
      </c>
      <c r="C44" t="s">
        <v>268</v>
      </c>
      <c r="D44" t="s">
        <v>647</v>
      </c>
      <c r="E44" s="167">
        <v>0.7</v>
      </c>
    </row>
    <row r="45" spans="1:5" x14ac:dyDescent="0.25">
      <c r="A45" s="20">
        <v>44562</v>
      </c>
      <c r="B45" s="20">
        <v>44562</v>
      </c>
      <c r="C45" t="s">
        <v>5</v>
      </c>
      <c r="D45" t="s">
        <v>611</v>
      </c>
      <c r="E45" s="150">
        <v>0.10100000000000001</v>
      </c>
    </row>
    <row r="46" spans="1:5" x14ac:dyDescent="0.25">
      <c r="A46" s="20">
        <v>44562</v>
      </c>
      <c r="B46" s="20">
        <v>44197</v>
      </c>
      <c r="C46" t="s">
        <v>5</v>
      </c>
      <c r="D46" t="s">
        <v>611</v>
      </c>
      <c r="E46" s="150">
        <v>0.10100000000000001</v>
      </c>
    </row>
    <row r="47" spans="1:5" x14ac:dyDescent="0.25">
      <c r="A47" s="20">
        <v>44562</v>
      </c>
      <c r="B47" s="20">
        <v>44562</v>
      </c>
      <c r="C47" t="s">
        <v>7</v>
      </c>
      <c r="D47" t="s">
        <v>611</v>
      </c>
      <c r="E47" s="150">
        <v>0.105</v>
      </c>
    </row>
    <row r="48" spans="1:5" x14ac:dyDescent="0.25">
      <c r="A48" s="20">
        <v>44562</v>
      </c>
      <c r="B48" s="20">
        <v>44197</v>
      </c>
      <c r="C48" t="s">
        <v>7</v>
      </c>
      <c r="D48" t="s">
        <v>611</v>
      </c>
      <c r="E48" s="150">
        <v>9.8000000000000004E-2</v>
      </c>
    </row>
    <row r="49" spans="1:5" x14ac:dyDescent="0.25">
      <c r="A49" s="20">
        <v>44562</v>
      </c>
      <c r="B49" s="20">
        <v>44562</v>
      </c>
      <c r="C49" t="s">
        <v>6</v>
      </c>
      <c r="D49" t="s">
        <v>611</v>
      </c>
      <c r="E49" s="150">
        <v>0.06</v>
      </c>
    </row>
    <row r="50" spans="1:5" x14ac:dyDescent="0.25">
      <c r="A50" s="20">
        <v>44562</v>
      </c>
      <c r="B50" s="20">
        <v>44197</v>
      </c>
      <c r="C50" t="s">
        <v>6</v>
      </c>
      <c r="D50" t="s">
        <v>611</v>
      </c>
      <c r="E50" s="150">
        <v>0.03</v>
      </c>
    </row>
    <row r="51" spans="1:5" x14ac:dyDescent="0.25">
      <c r="A51" s="20">
        <v>44562</v>
      </c>
      <c r="B51" s="20">
        <v>44562</v>
      </c>
      <c r="C51" t="s">
        <v>31</v>
      </c>
      <c r="D51" t="s">
        <v>611</v>
      </c>
      <c r="E51" s="150">
        <v>0.9</v>
      </c>
    </row>
    <row r="52" spans="1:5" x14ac:dyDescent="0.25">
      <c r="A52" s="20">
        <v>44562</v>
      </c>
      <c r="B52" s="20">
        <v>44197</v>
      </c>
      <c r="C52" t="s">
        <v>31</v>
      </c>
      <c r="D52" t="s">
        <v>611</v>
      </c>
      <c r="E52" s="150">
        <v>0.875</v>
      </c>
    </row>
    <row r="53" spans="1:5" x14ac:dyDescent="0.25">
      <c r="A53" s="20"/>
      <c r="B53" s="20"/>
    </row>
    <row r="54" spans="1:5" x14ac:dyDescent="0.25">
      <c r="A54" s="20"/>
      <c r="B54" s="20"/>
    </row>
    <row r="55" spans="1:5" x14ac:dyDescent="0.25">
      <c r="A55" s="20"/>
      <c r="B55" s="20"/>
    </row>
    <row r="56" spans="1:5" x14ac:dyDescent="0.25">
      <c r="A56" s="20"/>
      <c r="B56" s="20"/>
    </row>
    <row r="57" spans="1:5" x14ac:dyDescent="0.25">
      <c r="A57" s="20"/>
      <c r="B57" s="20"/>
    </row>
  </sheetData>
  <hyperlinks>
    <hyperlink ref="I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pane xSplit="1" ySplit="1" topLeftCell="E2" activePane="bottomRight" state="frozen"/>
      <selection pane="topRight" activeCell="C1" sqref="C1"/>
      <selection pane="bottomLeft" activeCell="A4" sqref="A4"/>
      <selection pane="bottomRight" activeCell="L19" sqref="L19"/>
    </sheetView>
  </sheetViews>
  <sheetFormatPr defaultRowHeight="15" x14ac:dyDescent="0.25"/>
  <cols>
    <col min="1" max="1" width="29" bestFit="1" customWidth="1"/>
    <col min="2" max="4" width="13.42578125" hidden="1" customWidth="1"/>
    <col min="5" max="8" width="11.5703125" customWidth="1"/>
    <col min="9" max="9" width="12" customWidth="1"/>
  </cols>
  <sheetData>
    <row r="1" spans="1:9" ht="18.75" x14ac:dyDescent="0.3">
      <c r="A1" s="172" t="s">
        <v>562</v>
      </c>
      <c r="B1" s="172"/>
      <c r="C1" s="172"/>
      <c r="D1" s="172"/>
      <c r="E1" s="172"/>
      <c r="F1" s="172"/>
      <c r="G1" s="172"/>
      <c r="H1" s="46"/>
      <c r="I1" s="46"/>
    </row>
    <row r="2" spans="1:9" ht="18.75" x14ac:dyDescent="0.3">
      <c r="A2" s="26"/>
      <c r="B2" s="26"/>
      <c r="C2" s="26"/>
      <c r="D2" s="26"/>
      <c r="E2" s="26"/>
      <c r="F2" s="26"/>
      <c r="G2" s="26"/>
      <c r="H2" s="26"/>
      <c r="I2" s="26"/>
    </row>
    <row r="3" spans="1:9" ht="15.75" thickBot="1" x14ac:dyDescent="0.3">
      <c r="A3" s="38" t="s">
        <v>762</v>
      </c>
      <c r="B3" s="27">
        <v>2015</v>
      </c>
      <c r="C3" s="27">
        <v>2016</v>
      </c>
      <c r="D3" s="27">
        <v>2017</v>
      </c>
      <c r="E3" s="27">
        <v>2018</v>
      </c>
      <c r="F3" s="27">
        <v>2019</v>
      </c>
      <c r="G3" s="39">
        <v>2020</v>
      </c>
      <c r="H3" s="39" t="s">
        <v>676</v>
      </c>
      <c r="I3" s="103" t="s">
        <v>744</v>
      </c>
    </row>
    <row r="4" spans="1:9" x14ac:dyDescent="0.25">
      <c r="A4" t="s">
        <v>686</v>
      </c>
      <c r="B4" s="8">
        <f>'AEO Pacific'!F56/'AEO Pacific'!E56-1</f>
        <v>1.3261500207210952E-2</v>
      </c>
      <c r="C4" s="8">
        <f>'AEO Pacific'!G56/'AEO Pacific'!F56-1</f>
        <v>-3.3946830265848549E-2</v>
      </c>
      <c r="D4" s="8">
        <f>'AEO Pacific'!H56/'AEO Pacific'!G56-1</f>
        <v>4.2946655376798759E-3</v>
      </c>
      <c r="E4" s="8">
        <f>'AEO Pacific'!I56/'AEO Pacific'!H56-1</f>
        <v>-8.0391409627755817E-4</v>
      </c>
      <c r="F4" s="8">
        <f>'AEO Pacific'!J56/'AEO Pacific'!I56-1</f>
        <v>-1.6665000166660171E-4</v>
      </c>
      <c r="G4" s="8">
        <f>'AEO Pacific'!K56/'AEO Pacific'!J56-1</f>
        <v>-0.10450316940960602</v>
      </c>
      <c r="H4" s="8">
        <f>'AEO Pacific'!L56/'AEO Pacific'!K56-1</f>
        <v>4.6157122891207214E-2</v>
      </c>
      <c r="I4" s="8">
        <f>'AEO Pacific'!M56/'AEO Pacific'!L56-1</f>
        <v>9.8777554568640902E-4</v>
      </c>
    </row>
    <row r="5" spans="1:9" x14ac:dyDescent="0.25">
      <c r="A5" t="s">
        <v>563</v>
      </c>
      <c r="B5" s="41">
        <v>3.9217289403143063E-2</v>
      </c>
      <c r="C5" s="41">
        <v>4.0632393000938016E-2</v>
      </c>
      <c r="D5" s="41">
        <v>1.5996041372245307E-2</v>
      </c>
      <c r="E5" s="8">
        <f>'[1]Quarterly Work'!$C$45</f>
        <v>1.8666000423515072E-3</v>
      </c>
      <c r="F5" s="8">
        <f>'[1]Quarterly Work'!$C$46</f>
        <v>-1.1531428822663781E-2</v>
      </c>
      <c r="G5" s="8">
        <f>'[1]Quarterly Work'!$C$47</f>
        <v>-0.12787605835788152</v>
      </c>
      <c r="H5" s="8">
        <f>'[1]Quarterly Work'!$C$48</f>
        <v>7.0898136691411873E-2</v>
      </c>
      <c r="I5" s="8">
        <f>'[1]Quarterly Work'!$C$49</f>
        <v>1.987567130875334E-3</v>
      </c>
    </row>
    <row r="6" spans="1:9" x14ac:dyDescent="0.25">
      <c r="A6" t="s">
        <v>547</v>
      </c>
      <c r="B6" s="40"/>
      <c r="C6" s="40"/>
      <c r="D6" s="41">
        <f>SUM(Forecast_Main!H80:K80)/SUM(Forecast_Main!D80:G80)-1</f>
        <v>1.0012180250500213E-2</v>
      </c>
      <c r="E6" s="41">
        <f>SUM(Forecast_Main!L80:O80)/SUM(Forecast_Main!H80:K80)-1</f>
        <v>5.7718591254750873E-2</v>
      </c>
      <c r="F6" s="41">
        <f>SUM(Forecast_Main!P80:S80)/SUM(Forecast_Main!L80:O80)-1</f>
        <v>1.5960301225261375E-2</v>
      </c>
      <c r="G6" s="45">
        <f>SUM(Forecast_Main!T80:W80)/SUM(Forecast_Main!P80:S80)-1</f>
        <v>-0.18147210130460867</v>
      </c>
      <c r="H6" s="117">
        <f>SUM(Forecast_Main!X80:AA80)/SUM(Forecast_Main!T80:W80)-1</f>
        <v>9.6733912683239831E-2</v>
      </c>
      <c r="I6" s="117">
        <f>SUM(Forecast_Main!AB80:AE80)/SUM(Forecast_Main!X80:AA80)-1</f>
        <v>2.4789795846560381E-3</v>
      </c>
    </row>
    <row r="7" spans="1:9" x14ac:dyDescent="0.25">
      <c r="A7" s="44"/>
      <c r="D7" s="8"/>
      <c r="E7" s="8"/>
    </row>
    <row r="8" spans="1:9" ht="15.75" thickBot="1" x14ac:dyDescent="0.3">
      <c r="A8" s="38" t="s">
        <v>763</v>
      </c>
      <c r="B8" s="27">
        <v>2015</v>
      </c>
      <c r="C8" s="27">
        <v>2016</v>
      </c>
      <c r="D8" s="27">
        <v>2017</v>
      </c>
      <c r="E8" s="27">
        <v>2018</v>
      </c>
      <c r="F8" s="27">
        <v>2019</v>
      </c>
      <c r="G8" s="39">
        <v>2020</v>
      </c>
      <c r="H8" s="39" t="s">
        <v>676</v>
      </c>
      <c r="I8" s="103" t="s">
        <v>744</v>
      </c>
    </row>
    <row r="9" spans="1:9" x14ac:dyDescent="0.25">
      <c r="A9" t="s">
        <v>549</v>
      </c>
      <c r="B9" s="28">
        <f>SUM('AEO Renewable'!F16:F17)/SUM('AEO Renewable'!E16:E17)-1</f>
        <v>3.603603603603589E-2</v>
      </c>
      <c r="C9" s="28">
        <f>SUM('AEO Renewable'!G16:G17)/SUM('AEO Renewable'!F16:F17)-1</f>
        <v>1.7391304347826209E-2</v>
      </c>
      <c r="D9" s="28">
        <f>SUM('AEO Renewable'!H16:H17)/SUM('AEO Renewable'!G16:G17)-1</f>
        <v>2.5041025641025616E-2</v>
      </c>
      <c r="E9" s="28">
        <f>SUM('AEO Renewable'!I16:I17)/SUM('AEO Renewable'!H16:H17)-1</f>
        <v>-1.0199299923788763E-2</v>
      </c>
      <c r="F9" s="28">
        <f>SUM('AEO Renewable'!J16:J17)/SUM('AEO Renewable'!I16:I17)-1</f>
        <v>-5.8733044329464246E-3</v>
      </c>
      <c r="G9" s="28">
        <f>SUM('AEO Renewable'!K16:K17)/SUM('AEO Renewable'!J16:J17)-1</f>
        <v>-0.12276649148288188</v>
      </c>
      <c r="H9" s="28">
        <f>SUM('AEO Renewable'!L16:L17)/SUM('AEO Renewable'!K16:K17)-1</f>
        <v>0.10259867969838243</v>
      </c>
      <c r="I9" s="28">
        <f>SUM('AEO Renewable'!M16:M17)/SUM('AEO Renewable'!L16:L17)-1</f>
        <v>-1.1348045872282997E-2</v>
      </c>
    </row>
    <row r="10" spans="1:9" x14ac:dyDescent="0.25">
      <c r="A10" t="s">
        <v>563</v>
      </c>
      <c r="B10" s="43"/>
      <c r="C10" s="43"/>
      <c r="D10" s="43"/>
      <c r="E10" s="43">
        <f>E5</f>
        <v>1.8666000423515072E-3</v>
      </c>
      <c r="F10" s="43">
        <f>F5</f>
        <v>-1.1531428822663781E-2</v>
      </c>
      <c r="G10" s="43">
        <f>G5</f>
        <v>-0.12787605835788152</v>
      </c>
      <c r="H10" s="43">
        <f>H5</f>
        <v>7.0898136691411873E-2</v>
      </c>
      <c r="I10" s="43">
        <f>I5</f>
        <v>1.987567130875334E-3</v>
      </c>
    </row>
    <row r="11" spans="1:9" x14ac:dyDescent="0.25">
      <c r="A11" t="s">
        <v>547</v>
      </c>
      <c r="B11" s="40"/>
      <c r="C11" s="40"/>
      <c r="D11" s="43">
        <f>SUM(Forecast_Main!H78:K78)/SUM(Forecast_Main!D78:G78)-1</f>
        <v>-1.8743691537150275E-2</v>
      </c>
      <c r="E11" s="43">
        <f>SUM(Forecast_Main!L78:O78)/SUM(Forecast_Main!H78:K78)-1</f>
        <v>-9.3893845961064981E-3</v>
      </c>
      <c r="F11" s="43">
        <f>SUM(Forecast_Main!P78:S78)/SUM(Forecast_Main!L78:O78)-1</f>
        <v>8.0532545043894288E-3</v>
      </c>
      <c r="G11" s="161">
        <f>SUM(Forecast_Main!T78:W78)/SUM(Forecast_Main!P78:S78)-1</f>
        <v>-0.18558336110772788</v>
      </c>
      <c r="H11" s="118">
        <f>SUM(Forecast_Main!X78:AA78)/SUM(Forecast_Main!T78:W78)-1</f>
        <v>0.11269137353015402</v>
      </c>
      <c r="I11" s="118">
        <f>SUM(Forecast_Main!AB78:AE78)/SUM(Forecast_Main!X78:AA78)-1</f>
        <v>2.4789795846560381E-3</v>
      </c>
    </row>
    <row r="12" spans="1:9" ht="7.5" customHeight="1" x14ac:dyDescent="0.25">
      <c r="B12" s="21"/>
      <c r="C12" s="21"/>
      <c r="D12" s="104"/>
      <c r="E12" s="104"/>
      <c r="F12" s="104"/>
      <c r="G12" s="119"/>
      <c r="H12" s="119"/>
      <c r="I12" s="21"/>
    </row>
    <row r="13" spans="1:9" x14ac:dyDescent="0.25">
      <c r="A13" s="120" t="s">
        <v>611</v>
      </c>
      <c r="B13" s="121"/>
      <c r="C13" s="121"/>
      <c r="D13" s="122"/>
      <c r="E13" s="122">
        <f>'Table 1 - Volumes'!D7</f>
        <v>0.10083888527214242</v>
      </c>
      <c r="F13" s="122">
        <f>'Table 1 - Volumes'!E7</f>
        <v>0.10005407333001647</v>
      </c>
      <c r="G13" s="122">
        <f>'Table 1 - Volumes'!F7</f>
        <v>9.9551526879888552E-2</v>
      </c>
      <c r="H13" s="122">
        <f>'Table 1 - Volumes'!G7</f>
        <v>0.10100000000000001</v>
      </c>
      <c r="I13" s="122">
        <f>'Table 1 - Volumes'!H7</f>
        <v>0.10099999999999999</v>
      </c>
    </row>
    <row r="14" spans="1:9" x14ac:dyDescent="0.25">
      <c r="A14" s="44"/>
      <c r="D14" s="8"/>
      <c r="E14" s="8"/>
    </row>
    <row r="15" spans="1:9" ht="15.75" thickBot="1" x14ac:dyDescent="0.3">
      <c r="A15" s="38" t="s">
        <v>764</v>
      </c>
      <c r="B15" s="27">
        <v>2015</v>
      </c>
      <c r="C15" s="27">
        <v>2016</v>
      </c>
      <c r="D15" s="27">
        <v>2017</v>
      </c>
      <c r="E15" s="27">
        <v>2018</v>
      </c>
      <c r="F15" s="27">
        <v>2019</v>
      </c>
      <c r="G15" s="39">
        <v>2020</v>
      </c>
      <c r="H15" s="39" t="s">
        <v>676</v>
      </c>
      <c r="I15" s="103" t="s">
        <v>744</v>
      </c>
    </row>
    <row r="16" spans="1:9" x14ac:dyDescent="0.25">
      <c r="A16" t="s">
        <v>686</v>
      </c>
      <c r="B16" s="8">
        <f>'AEO Pacific'!F59/'AEO Pacific'!E59-1</f>
        <v>9.2715231788078611E-3</v>
      </c>
      <c r="C16" s="8">
        <f>'AEO Pacific'!G59/'AEO Pacific'!F59-1</f>
        <v>-1.8372703412073532E-2</v>
      </c>
      <c r="D16" s="8">
        <f>'AEO Pacific'!H59/'AEO Pacific'!G59-1</f>
        <v>1.9430481283422507E-2</v>
      </c>
      <c r="E16" s="8">
        <f>'AEO Pacific'!I59/'AEO Pacific'!H59-1</f>
        <v>1.2131918052178614E-2</v>
      </c>
      <c r="F16" s="8">
        <f>'AEO Pacific'!J59/'AEO Pacific'!I59-1</f>
        <v>4.7409576501227457E-2</v>
      </c>
      <c r="G16" s="8">
        <f>'AEO Pacific'!K59/'AEO Pacific'!J59-1</f>
        <v>-0.13014751816916648</v>
      </c>
      <c r="H16" s="8">
        <f>'AEO Pacific'!L59/'AEO Pacific'!K59-1</f>
        <v>5.9057094545108102E-2</v>
      </c>
      <c r="I16" s="8">
        <f>'AEO Pacific'!M59/'AEO Pacific'!L59-1</f>
        <v>1.8702984044453252E-2</v>
      </c>
    </row>
    <row r="17" spans="1:9" x14ac:dyDescent="0.25">
      <c r="A17" t="s">
        <v>561</v>
      </c>
      <c r="B17" s="41">
        <v>0</v>
      </c>
      <c r="C17" s="41">
        <v>0</v>
      </c>
      <c r="D17" s="41">
        <v>0</v>
      </c>
      <c r="E17" s="41">
        <f>'[1]Quarterly Work'!$P$45</f>
        <v>2.3188081308633812E-3</v>
      </c>
      <c r="F17" s="41">
        <f>'[1]Quarterly Work'!$P$46</f>
        <v>-8.3545452485587202E-3</v>
      </c>
      <c r="G17" s="41">
        <f>'[1]Quarterly Work'!$P$47</f>
        <v>6.6416092904754809E-2</v>
      </c>
      <c r="H17" s="41">
        <f>'[1]Quarterly Work'!$P$48</f>
        <v>4.1733485307821061E-2</v>
      </c>
      <c r="I17" s="41">
        <f>'[1]Quarterly Work'!$P$49</f>
        <v>-1.9503980515335972E-2</v>
      </c>
    </row>
    <row r="18" spans="1:9" x14ac:dyDescent="0.25">
      <c r="A18" t="s">
        <v>547</v>
      </c>
      <c r="B18" s="40"/>
      <c r="C18" s="40"/>
      <c r="D18" s="41">
        <f>SUM(Forecast_Main!H88:K88)/SUM(Forecast_Main!D88:G88)-1</f>
        <v>-2.9292016996185666E-2</v>
      </c>
      <c r="E18" s="41">
        <f>SUM(Forecast_Main!L88:O88)/SUM(Forecast_Main!H88:K88)-1</f>
        <v>4.7834735406939943E-2</v>
      </c>
      <c r="F18" s="41">
        <f>SUM(Forecast_Main!P88:S88)/SUM(Forecast_Main!L88:O88)-1</f>
        <v>3.4774590735333399E-2</v>
      </c>
      <c r="G18" s="45">
        <f>SUM(Forecast_Main!T88:W88)/SUM(Forecast_Main!P88:S88)-1</f>
        <v>-4.6201058239550341E-2</v>
      </c>
      <c r="H18" s="117">
        <f>SUM(Forecast_Main!X88:AA88)/SUM(Forecast_Main!T88:W88)-1</f>
        <v>8.3419076945462578E-2</v>
      </c>
      <c r="I18" s="117">
        <f>SUM(Forecast_Main!AB88:AE88)/SUM(Forecast_Main!X88:AA88)-1</f>
        <v>-1.9964748092201612E-2</v>
      </c>
    </row>
    <row r="19" spans="1:9" x14ac:dyDescent="0.25">
      <c r="A19" s="44"/>
      <c r="D19" s="8"/>
      <c r="E19" s="8"/>
    </row>
    <row r="20" spans="1:9" ht="15.75" thickBot="1" x14ac:dyDescent="0.3">
      <c r="A20" s="38" t="s">
        <v>765</v>
      </c>
      <c r="B20" s="27">
        <v>2015</v>
      </c>
      <c r="C20" s="27">
        <v>2016</v>
      </c>
      <c r="D20" s="27">
        <v>2017</v>
      </c>
      <c r="E20" s="27">
        <v>2018</v>
      </c>
      <c r="F20" s="27">
        <v>2019</v>
      </c>
      <c r="G20" s="39">
        <v>2020</v>
      </c>
      <c r="H20" s="39" t="s">
        <v>676</v>
      </c>
      <c r="I20" s="103" t="s">
        <v>744</v>
      </c>
    </row>
    <row r="21" spans="1:9" x14ac:dyDescent="0.25">
      <c r="A21" t="s">
        <v>549</v>
      </c>
      <c r="B21" s="28">
        <f>'AEO Renewable'!F18/'AEO Renewable'!E18-1</f>
        <v>0.15789473684210531</v>
      </c>
      <c r="C21" s="28">
        <f>'AEO Renewable'!G18/'AEO Renewable'!F18-1</f>
        <v>0.40909090909090917</v>
      </c>
      <c r="D21" s="28">
        <f>'AEO Renewable'!H18/'AEO Renewable'!G18-1</f>
        <v>-0.14230000000000009</v>
      </c>
      <c r="E21" s="28">
        <f>'AEO Renewable'!I18/'AEO Renewable'!H18-1</f>
        <v>0.11078766543682095</v>
      </c>
      <c r="F21" s="28">
        <f>'AEO Renewable'!J18/'AEO Renewable'!I18-1</f>
        <v>-3.0574516496018167E-2</v>
      </c>
      <c r="G21" s="28">
        <f>'AEO Renewable'!K18/'AEO Renewable'!J18-1</f>
        <v>-0.20686030022981761</v>
      </c>
      <c r="H21" s="28">
        <f>'AEO Renewable'!L18/'AEO Renewable'!K18-1</f>
        <v>0.18083377736286077</v>
      </c>
      <c r="I21" s="28">
        <f>'AEO Renewable'!M18/'AEO Renewable'!L18-1</f>
        <v>-3.4920492854798701E-2</v>
      </c>
    </row>
    <row r="22" spans="1:9" x14ac:dyDescent="0.25">
      <c r="A22" t="s">
        <v>561</v>
      </c>
      <c r="B22" s="42"/>
      <c r="C22" s="42"/>
      <c r="D22" s="42"/>
      <c r="E22" s="42">
        <f>E17</f>
        <v>2.3188081308633812E-3</v>
      </c>
      <c r="F22" s="42">
        <f>F17</f>
        <v>-8.3545452485587202E-3</v>
      </c>
      <c r="G22" s="42">
        <f>G17</f>
        <v>6.6416092904754809E-2</v>
      </c>
      <c r="H22" s="42">
        <f>H17</f>
        <v>4.1733485307821061E-2</v>
      </c>
      <c r="I22" s="42">
        <f>I17</f>
        <v>-1.9503980515335972E-2</v>
      </c>
    </row>
    <row r="23" spans="1:9" x14ac:dyDescent="0.25">
      <c r="A23" t="s">
        <v>547</v>
      </c>
      <c r="B23" s="40"/>
      <c r="C23" s="40"/>
      <c r="D23" s="43">
        <f>SUM(Forecast_Main!H84:K84)/SUM(Forecast_Main!D84:G84)-1</f>
        <v>7.6814143809132984E-2</v>
      </c>
      <c r="E23" s="43">
        <f>SUM(Forecast_Main!L84:O84)/SUM(Forecast_Main!H84:K84)-1</f>
        <v>8.8818388659155367E-3</v>
      </c>
      <c r="F23" s="43">
        <f>SUM(Forecast_Main!P84:S84)/SUM(Forecast_Main!L84:O84)-1</f>
        <v>0.16346201915479952</v>
      </c>
      <c r="G23" s="161">
        <f>SUM(Forecast_Main!T84:W84)/SUM(Forecast_Main!P84:S84)-1</f>
        <v>0.14125022999550363</v>
      </c>
      <c r="H23" s="118">
        <f>SUM(Forecast_Main!X84:AA84)/SUM(Forecast_Main!T84:W84)-1</f>
        <v>0.17583361019029176</v>
      </c>
      <c r="I23" s="118">
        <f>SUM(Forecast_Main!AB84:AE84)/SUM(Forecast_Main!X84:AA84)-1</f>
        <v>5.003776990121267E-2</v>
      </c>
    </row>
    <row r="24" spans="1:9" ht="7.5" customHeight="1" x14ac:dyDescent="0.25">
      <c r="B24" s="21"/>
      <c r="C24" s="21"/>
      <c r="D24" s="104"/>
      <c r="E24" s="104"/>
      <c r="F24" s="104"/>
      <c r="G24" s="119"/>
      <c r="H24" s="119"/>
      <c r="I24" s="21"/>
    </row>
    <row r="25" spans="1:9" x14ac:dyDescent="0.25">
      <c r="A25" s="120" t="s">
        <v>611</v>
      </c>
      <c r="B25" s="121"/>
      <c r="C25" s="122">
        <f>'Table 1 - Volumes'!B12</f>
        <v>6.2841497339772193E-2</v>
      </c>
      <c r="D25" s="122">
        <f>'Table 1 - Volumes'!C12</f>
        <v>6.9710576546628447E-2</v>
      </c>
      <c r="E25" s="122">
        <f>'Table 1 - Volumes'!D12</f>
        <v>6.7119109796882459E-2</v>
      </c>
      <c r="F25" s="122">
        <f>'Table 1 - Volumes'!E12</f>
        <v>7.5466227821327461E-2</v>
      </c>
      <c r="G25" s="122">
        <f>'Table 1 - Volumes'!F12</f>
        <v>9.0297699113629212E-2</v>
      </c>
      <c r="H25" s="122">
        <f>'Table 1 - Volumes'!G12</f>
        <v>9.799999999999999E-2</v>
      </c>
      <c r="I25" s="122">
        <f>'Table 1 - Volumes'!H12</f>
        <v>0.105</v>
      </c>
    </row>
    <row r="26" spans="1:9" x14ac:dyDescent="0.25">
      <c r="B26" s="21"/>
      <c r="C26" s="21"/>
      <c r="D26" s="104"/>
      <c r="E26" s="104"/>
      <c r="F26" s="104"/>
      <c r="G26" s="104"/>
      <c r="H26" s="104"/>
      <c r="I26" s="21"/>
    </row>
    <row r="27" spans="1:9" ht="15.75" thickBot="1" x14ac:dyDescent="0.3">
      <c r="A27" s="38" t="s">
        <v>766</v>
      </c>
      <c r="B27" s="27">
        <v>2015</v>
      </c>
      <c r="C27" s="27">
        <v>2016</v>
      </c>
      <c r="D27" s="27">
        <v>2017</v>
      </c>
      <c r="E27" s="27">
        <v>2018</v>
      </c>
      <c r="F27" s="27">
        <v>2019</v>
      </c>
      <c r="G27" s="39">
        <v>2020</v>
      </c>
      <c r="H27" s="39" t="s">
        <v>676</v>
      </c>
      <c r="I27" s="103" t="s">
        <v>744</v>
      </c>
    </row>
    <row r="28" spans="1:9" x14ac:dyDescent="0.25">
      <c r="A28" t="s">
        <v>549</v>
      </c>
      <c r="B28" s="28"/>
      <c r="C28" s="28">
        <f>'AEO Renewable'!G21/'AEO Renewable'!F21-1</f>
        <v>3</v>
      </c>
      <c r="D28" s="28">
        <f>'AEO Renewable'!H21/'AEO Renewable'!G21-1</f>
        <v>0.34932499999999989</v>
      </c>
      <c r="E28" s="28">
        <f>'AEO Renewable'!I21/'AEO Renewable'!H21-1</f>
        <v>0.25883312026383565</v>
      </c>
      <c r="F28" s="28">
        <f>'AEO Renewable'!J21/'AEO Renewable'!I21-1</f>
        <v>-9.7611232945262971E-2</v>
      </c>
      <c r="G28" s="28">
        <f>'AEO Renewable'!K21/'AEO Renewable'!J21-1</f>
        <v>0.13113470665949012</v>
      </c>
      <c r="H28" s="28">
        <f>'AEO Renewable'!L21/'AEO Renewable'!K21-1</f>
        <v>0.54480829404046083</v>
      </c>
      <c r="I28" s="28">
        <f>'AEO Renewable'!M21/'AEO Renewable'!L21-1</f>
        <v>0.46053540426008555</v>
      </c>
    </row>
    <row r="29" spans="1:9" x14ac:dyDescent="0.25">
      <c r="A29" t="s">
        <v>561</v>
      </c>
      <c r="B29" s="43"/>
      <c r="C29" s="43"/>
      <c r="D29" s="43"/>
      <c r="E29" s="43">
        <f>E17</f>
        <v>2.3188081308633812E-3</v>
      </c>
      <c r="F29" s="43">
        <f>F17</f>
        <v>-8.3545452485587202E-3</v>
      </c>
      <c r="G29" s="43">
        <f>G17</f>
        <v>6.6416092904754809E-2</v>
      </c>
      <c r="H29" s="43">
        <f>H17</f>
        <v>4.1733485307821061E-2</v>
      </c>
      <c r="I29" s="43">
        <f>I17</f>
        <v>-1.9503980515335972E-2</v>
      </c>
    </row>
    <row r="30" spans="1:9" x14ac:dyDescent="0.25">
      <c r="A30" t="s">
        <v>547</v>
      </c>
      <c r="B30" s="40"/>
      <c r="C30" s="40"/>
      <c r="D30" s="40"/>
      <c r="E30" s="43">
        <f>Forecast_Main!O86/Forecast_Main!K86-1</f>
        <v>0.41535689085367755</v>
      </c>
      <c r="F30" s="43">
        <f>SUM(Forecast_Main!P86:S86)/SUM(Forecast_Main!L86:O86)-1</f>
        <v>12.885596977705323</v>
      </c>
      <c r="G30" s="43">
        <f>SUM(Forecast_Main!T86:W86)/SUM(Forecast_Main!P86:S86)-1</f>
        <v>9.0233044629747239E-2</v>
      </c>
      <c r="H30" s="118">
        <f>SUM(Forecast_Main!X86:AA86)/SUM(Forecast_Main!T86:W86)-1</f>
        <v>0.35028355542799305</v>
      </c>
      <c r="I30" s="118">
        <f>SUM(Forecast_Main!AB86:AE86)/SUM(Forecast_Main!X86:AA86)-1</f>
        <v>0.96007050381559678</v>
      </c>
    </row>
    <row r="31" spans="1:9" ht="7.5" customHeight="1" x14ac:dyDescent="0.25">
      <c r="B31" s="21"/>
      <c r="C31" s="21"/>
      <c r="D31" s="21"/>
      <c r="E31" s="104"/>
      <c r="F31" s="104"/>
      <c r="G31" s="119"/>
      <c r="H31" s="119"/>
      <c r="I31" s="21"/>
    </row>
    <row r="32" spans="1:9" x14ac:dyDescent="0.25">
      <c r="A32" s="120" t="s">
        <v>611</v>
      </c>
      <c r="B32" s="121"/>
      <c r="C32" s="121"/>
      <c r="D32" s="122"/>
      <c r="E32" s="122">
        <f>'Table 1 - Volumes'!D14</f>
        <v>1.5693197830680492E-3</v>
      </c>
      <c r="F32" s="122">
        <f>'Table 1 - Volumes'!E14</f>
        <v>2.1058636568702136E-2</v>
      </c>
      <c r="G32" s="122">
        <f>'Table 1 - Volumes'!F14</f>
        <v>2.4070923605421301E-2</v>
      </c>
      <c r="H32" s="122">
        <f>'Table 1 - Volumes'!G14</f>
        <v>2.9999999999999995E-2</v>
      </c>
      <c r="I32" s="122">
        <f>'Table 1 - Volumes'!H14</f>
        <v>5.9999999999999991E-2</v>
      </c>
    </row>
    <row r="33" spans="1:9" x14ac:dyDescent="0.25">
      <c r="A33" s="44" t="s">
        <v>661</v>
      </c>
      <c r="E33" s="8"/>
    </row>
    <row r="34" spans="1:9" ht="21" customHeight="1" x14ac:dyDescent="0.25">
      <c r="A34" s="44"/>
      <c r="E34" s="8"/>
    </row>
    <row r="35" spans="1:9" ht="15.75" thickBot="1" x14ac:dyDescent="0.3">
      <c r="A35" s="38" t="s">
        <v>767</v>
      </c>
      <c r="B35" s="27">
        <v>2015</v>
      </c>
      <c r="C35" s="27">
        <v>2016</v>
      </c>
      <c r="D35" s="27">
        <v>2017</v>
      </c>
      <c r="E35" s="27">
        <v>2018</v>
      </c>
      <c r="F35" s="27">
        <v>2019</v>
      </c>
      <c r="G35" s="39">
        <v>2020</v>
      </c>
      <c r="H35" s="39" t="s">
        <v>676</v>
      </c>
      <c r="I35" s="103" t="s">
        <v>744</v>
      </c>
    </row>
    <row r="36" spans="1:9" x14ac:dyDescent="0.25">
      <c r="A36" t="s">
        <v>686</v>
      </c>
      <c r="B36" s="28">
        <f>'AEO Pacific'!F66/'AEO Pacific'!E66-1</f>
        <v>0.33333333333333326</v>
      </c>
      <c r="C36" s="28">
        <f>'AEO Pacific'!G66/'AEO Pacific'!F66-1</f>
        <v>0.25</v>
      </c>
      <c r="D36" s="28">
        <f>'AEO Pacific'!H66/'AEO Pacific'!G66-1</f>
        <v>0.72780000000000022</v>
      </c>
      <c r="E36" s="28">
        <f>'AEO Pacific'!I66/'AEO Pacific'!H66-1</f>
        <v>0.1472392638036808</v>
      </c>
      <c r="F36" s="28">
        <f>'AEO Pacific'!J66/'AEO Pacific'!I66-1</f>
        <v>7.2041166380789168E-2</v>
      </c>
      <c r="G36" s="28">
        <f>'AEO Pacific'!K66/'AEO Pacific'!J66-1</f>
        <v>-6.5317647058823591E-2</v>
      </c>
      <c r="H36" s="28">
        <f>'AEO Pacific'!L66/'AEO Pacific'!K66-1</f>
        <v>0.13996576377001291</v>
      </c>
      <c r="I36" s="28">
        <f>'AEO Pacific'!M66/'AEO Pacific'!L66-1</f>
        <v>8.19715572829256E-2</v>
      </c>
    </row>
    <row r="37" spans="1:9" x14ac:dyDescent="0.25">
      <c r="A37" t="s">
        <v>772</v>
      </c>
      <c r="B37" s="41">
        <f>'Electric Vehicles'!H69</f>
        <v>0.51744883674421693</v>
      </c>
      <c r="C37" s="41">
        <f>'Electric Vehicles'!H70</f>
        <v>0.42402776404950981</v>
      </c>
      <c r="D37" s="41">
        <f>'Electric Vehicles'!H71</f>
        <v>0.38717588807823389</v>
      </c>
      <c r="E37" s="41">
        <f>'Electric Vehicles'!H72</f>
        <v>0.29584575012231462</v>
      </c>
      <c r="F37" s="45">
        <f>'Electric Vehicles'!H73</f>
        <v>0.36429009022940995</v>
      </c>
      <c r="G37" s="45">
        <f>'Electric Vehicles'!H74</f>
        <v>0.24357775195336484</v>
      </c>
      <c r="H37" s="41">
        <f>'Electric Vehicles'!H75</f>
        <v>0.25663759395449626</v>
      </c>
      <c r="I37" s="41">
        <f>'Electric Vehicles'!H76</f>
        <v>0.2906122597040377</v>
      </c>
    </row>
    <row r="38" spans="1:9" x14ac:dyDescent="0.25">
      <c r="A38" t="s">
        <v>547</v>
      </c>
      <c r="B38" s="41"/>
      <c r="C38" s="41"/>
      <c r="D38" s="41">
        <f>SUM(Forecast_Main!H94:K94)/SUM(Forecast_Main!D94:G94)-1</f>
        <v>0.23872423490103389</v>
      </c>
      <c r="E38" s="41">
        <f>SUM(Forecast_Main!L94:O94)/SUM(Forecast_Main!H94:K94)-1</f>
        <v>0.36055424562942928</v>
      </c>
      <c r="F38" s="41">
        <f>SUM(Forecast_Main!P94:S94)/SUM(Forecast_Main!L94:O94)-1</f>
        <v>0.28732729835002591</v>
      </c>
      <c r="G38" s="45">
        <f>SUM(Forecast_Main!T94:W94)/SUM(Forecast_Main!P94:S94)-1</f>
        <v>0.27617673356502315</v>
      </c>
      <c r="H38" s="117">
        <f>SUM(Forecast_Main!X94:AA94)/SUM(Forecast_Main!T94:W94)-1</f>
        <v>0.44821335649762184</v>
      </c>
      <c r="I38" s="117">
        <f>SUM(Forecast_Main!AB94:AE94)/SUM(Forecast_Main!X94:AA94)-1</f>
        <v>0.32001842362649469</v>
      </c>
    </row>
    <row r="39" spans="1:9" x14ac:dyDescent="0.25">
      <c r="B39" s="8"/>
      <c r="C39" s="8"/>
      <c r="D39" s="8"/>
      <c r="E39" s="8"/>
      <c r="F39" s="8"/>
      <c r="G39" s="8"/>
      <c r="H39" s="8"/>
      <c r="I39" s="8"/>
    </row>
    <row r="40" spans="1:9" ht="15.75" thickBot="1" x14ac:dyDescent="0.3">
      <c r="A40" s="38" t="s">
        <v>768</v>
      </c>
      <c r="B40" s="27">
        <v>2015</v>
      </c>
      <c r="C40" s="27">
        <v>2016</v>
      </c>
      <c r="D40" s="27">
        <v>2017</v>
      </c>
      <c r="E40" s="27">
        <v>2018</v>
      </c>
      <c r="F40" s="27">
        <v>2019</v>
      </c>
      <c r="G40" s="39">
        <v>2020</v>
      </c>
      <c r="H40" s="39" t="s">
        <v>676</v>
      </c>
      <c r="I40" s="103" t="s">
        <v>744</v>
      </c>
    </row>
    <row r="41" spans="1:9" x14ac:dyDescent="0.25">
      <c r="A41" t="s">
        <v>686</v>
      </c>
      <c r="B41" s="28">
        <f>'AEO Pacific'!F64/'AEO Pacific'!E64-1</f>
        <v>0.11111111111111116</v>
      </c>
      <c r="C41" s="28">
        <f>'AEO Pacific'!G64/'AEO Pacific'!F64-1</f>
        <v>0.79999999999999982</v>
      </c>
      <c r="D41" s="28">
        <f>'AEO Pacific'!H64/'AEO Pacific'!G64-1</f>
        <v>1.1944444444444535E-2</v>
      </c>
      <c r="E41" s="28">
        <f>'AEO Pacific'!I64/'AEO Pacific'!H64-1</f>
        <v>0.17101290145484493</v>
      </c>
      <c r="F41" s="28">
        <f>'AEO Pacific'!J64/'AEO Pacific'!I64-1</f>
        <v>0.18996718237224575</v>
      </c>
      <c r="G41" s="28">
        <f>'AEO Pacific'!K64/'AEO Pacific'!J64-1</f>
        <v>-0.20207233472539587</v>
      </c>
      <c r="H41" s="28">
        <f>'AEO Pacific'!L64/'AEO Pacific'!K64-1</f>
        <v>0.48560707055744823</v>
      </c>
      <c r="I41" s="28">
        <f>'AEO Pacific'!M64/'AEO Pacific'!L64-1</f>
        <v>-0.21370646104759383</v>
      </c>
    </row>
    <row r="42" spans="1:9" x14ac:dyDescent="0.25">
      <c r="A42" t="s">
        <v>547</v>
      </c>
      <c r="B42" s="40"/>
      <c r="C42" s="40"/>
      <c r="D42" s="41">
        <f>SUM(Forecast_Main!H105:K105)/SUM(Forecast_Main!D105:G105)-1</f>
        <v>0.83492424147241273</v>
      </c>
      <c r="E42" s="41">
        <f>SUM(Forecast_Main!L105:O105)/SUM(Forecast_Main!H105:K105)-1</f>
        <v>0.11404965468329031</v>
      </c>
      <c r="F42" s="41">
        <f>SUM(Forecast_Main!P105:S105)/SUM(Forecast_Main!L105:O105)-1</f>
        <v>0.10136175102238076</v>
      </c>
      <c r="G42" s="45">
        <f>SUM(Forecast_Main!T105:W105)/SUM(Forecast_Main!P105:S105)-1</f>
        <v>7.3351044378945796E-2</v>
      </c>
      <c r="H42" s="117">
        <f>SUM(Forecast_Main!X105:AA105)/SUM(Forecast_Main!T105:W105)-1</f>
        <v>0.25</v>
      </c>
      <c r="I42" s="117">
        <f>SUM(Forecast_Main!AB105:AE105)/SUM(Forecast_Main!X105:AA105)-1</f>
        <v>0.35000000000000009</v>
      </c>
    </row>
    <row r="43" spans="1:9" ht="7.5" customHeight="1" x14ac:dyDescent="0.25">
      <c r="B43" s="21"/>
      <c r="C43" s="21"/>
      <c r="D43" s="123"/>
      <c r="E43" s="123"/>
      <c r="F43" s="123"/>
      <c r="G43" s="47"/>
      <c r="H43" s="47"/>
      <c r="I43" s="21"/>
    </row>
    <row r="44" spans="1:9" x14ac:dyDescent="0.25">
      <c r="A44" s="120" t="s">
        <v>559</v>
      </c>
      <c r="B44" s="121"/>
      <c r="C44" s="121"/>
      <c r="D44" s="124"/>
      <c r="E44" s="124">
        <f>'Table 1 - Volumes'!D22</f>
        <v>0.55618258125832576</v>
      </c>
      <c r="F44" s="124">
        <f>'Table 1 - Volumes'!E22</f>
        <v>0.65277333533059889</v>
      </c>
      <c r="G44" s="124">
        <f>'Table 1 - Volumes'!F22</f>
        <v>0.78865966686642641</v>
      </c>
      <c r="H44" s="124">
        <f>'Table 1 - Volumes'!G22</f>
        <v>0.875</v>
      </c>
      <c r="I44" s="124">
        <f>'Table 1 - Volumes'!H22</f>
        <v>0.90000000000000013</v>
      </c>
    </row>
    <row r="46" spans="1:9" ht="15.75" thickBot="1" x14ac:dyDescent="0.3">
      <c r="A46" s="38" t="s">
        <v>769</v>
      </c>
      <c r="D46" s="27">
        <v>2017</v>
      </c>
      <c r="E46" s="27">
        <v>2018</v>
      </c>
      <c r="F46" s="27">
        <v>2019</v>
      </c>
      <c r="G46" s="39">
        <v>2020</v>
      </c>
      <c r="H46" s="39" t="s">
        <v>676</v>
      </c>
      <c r="I46" s="103" t="s">
        <v>744</v>
      </c>
    </row>
    <row r="47" spans="1:9" x14ac:dyDescent="0.25">
      <c r="A47" t="s">
        <v>686</v>
      </c>
      <c r="B47" s="28"/>
      <c r="C47" s="28"/>
      <c r="D47" s="28"/>
      <c r="E47" s="28">
        <f>'AEO Pacific'!I55/'AEO Pacific'!H55-1</f>
        <v>7.7922077922077948E-2</v>
      </c>
      <c r="F47" s="28">
        <f>'AEO Pacific'!J55/'AEO Pacific'!I55-1</f>
        <v>-2.0429544264012667E-2</v>
      </c>
      <c r="G47" s="28">
        <f>'AEO Pacific'!K55/'AEO Pacific'!J55-1</f>
        <v>-0.4732620320855615</v>
      </c>
      <c r="H47" s="28">
        <f>'AEO Pacific'!L55/'AEO Pacific'!K55-1</f>
        <v>6.8020304568527923E-2</v>
      </c>
      <c r="I47" s="28">
        <f>'AEO Pacific'!M55/'AEO Pacific'!L55-1</f>
        <v>1.0456273764258395E-2</v>
      </c>
    </row>
    <row r="48" spans="1:9" x14ac:dyDescent="0.25">
      <c r="A48" t="s">
        <v>547</v>
      </c>
      <c r="D48" s="41">
        <f>SUM(Forecast_Main!H108:K108)/SUM(Forecast_Main!D108:G108)-1</f>
        <v>0.97219062259800149</v>
      </c>
      <c r="E48" s="41">
        <f>SUM(Forecast_Main!L108:O108)/SUM(Forecast_Main!H108:K108)-1</f>
        <v>4.7713947198166666</v>
      </c>
      <c r="F48" s="41">
        <f>SUM(Forecast_Main!P108:S108)/SUM(Forecast_Main!L108:O108)-1</f>
        <v>1.7762385571393455</v>
      </c>
      <c r="G48" s="45">
        <f>SUM(Forecast_Main!T108:W108)/SUM(Forecast_Main!P108:S108)-1</f>
        <v>-0.28235818945240188</v>
      </c>
      <c r="H48" s="117">
        <f>SUM(Forecast_Main!X108:AA108)/SUM(Forecast_Main!T108:W108)-1</f>
        <v>0.5</v>
      </c>
      <c r="I48" s="117">
        <f>SUM(Forecast_Main!AB108:AE108)/SUM(Forecast_Main!X108:AA108)-1</f>
        <v>0.7</v>
      </c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zoomScale="75" zoomScaleNormal="75" workbookViewId="0">
      <selection activeCell="Y56" sqref="Y5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2"/>
  <sheetViews>
    <sheetView workbookViewId="0">
      <selection activeCell="A4" sqref="A4:J27"/>
    </sheetView>
  </sheetViews>
  <sheetFormatPr defaultRowHeight="15" x14ac:dyDescent="0.25"/>
  <cols>
    <col min="1" max="1" width="24.42578125" customWidth="1"/>
    <col min="2" max="4" width="10.28515625" hidden="1" customWidth="1"/>
    <col min="5" max="5" width="10.28515625" customWidth="1"/>
    <col min="6" max="7" width="11.28515625" customWidth="1"/>
    <col min="8" max="8" width="11.28515625" style="129" customWidth="1"/>
    <col min="9" max="9" width="3" style="21" customWidth="1"/>
    <col min="10" max="10" width="12.5703125" customWidth="1"/>
    <col min="16" max="16" width="25.5703125" customWidth="1"/>
  </cols>
  <sheetData>
    <row r="2" spans="1:16" ht="18.75" x14ac:dyDescent="0.3">
      <c r="A2" s="172" t="s">
        <v>664</v>
      </c>
      <c r="B2" s="172"/>
      <c r="C2" s="172"/>
      <c r="D2" s="172"/>
      <c r="E2" s="172"/>
      <c r="F2" s="172"/>
      <c r="G2" s="172"/>
      <c r="H2" s="172"/>
      <c r="I2" s="172"/>
      <c r="J2" s="172"/>
    </row>
    <row r="4" spans="1:16" ht="33.75" customHeight="1" thickBot="1" x14ac:dyDescent="0.3">
      <c r="A4" t="s">
        <v>550</v>
      </c>
      <c r="B4" s="35">
        <v>2016</v>
      </c>
      <c r="C4" s="35">
        <v>2017</v>
      </c>
      <c r="D4" s="35">
        <v>2018</v>
      </c>
      <c r="E4" s="35">
        <v>2019</v>
      </c>
      <c r="F4" s="35">
        <v>2020</v>
      </c>
      <c r="G4" s="168" t="s">
        <v>676</v>
      </c>
      <c r="H4" s="168" t="s">
        <v>744</v>
      </c>
      <c r="I4" s="132"/>
      <c r="J4" s="169" t="s">
        <v>741</v>
      </c>
    </row>
    <row r="5" spans="1:16" x14ac:dyDescent="0.25">
      <c r="A5" t="s">
        <v>551</v>
      </c>
      <c r="B5" s="32">
        <f>SUM(Forecast_Main!D77:G77)/1000000</f>
        <v>1424.9795580999998</v>
      </c>
      <c r="C5" s="32">
        <f>SUM(Forecast_Main!H77:K77)/1000000</f>
        <v>1444.3539645000001</v>
      </c>
      <c r="D5" s="32">
        <f>SUM(Forecast_Main!L77:O77)/1000000</f>
        <v>1539.4155068000002</v>
      </c>
      <c r="E5" s="32">
        <f>SUM(Forecast_Main!P77:S77)/1000000</f>
        <v>1565.3501301000001</v>
      </c>
      <c r="F5" s="32">
        <f>SUM(Forecast_Main!T77:W77)/1000000</f>
        <v>1281.9982447</v>
      </c>
      <c r="G5" s="32">
        <f>SUM(Forecast_Main!X77:AA77)/1000000</f>
        <v>1403.7492234683591</v>
      </c>
      <c r="H5" s="32">
        <f>SUM(Forecast_Main!AB77:AE77)/1000000</f>
        <v>1407.2290891353141</v>
      </c>
      <c r="I5" s="37"/>
      <c r="J5" s="8">
        <f>(H5/F5)^(1/2)-1</f>
        <v>4.7704204327804423E-2</v>
      </c>
    </row>
    <row r="6" spans="1:16" x14ac:dyDescent="0.25">
      <c r="A6" t="s">
        <v>5</v>
      </c>
      <c r="B6" s="32">
        <f>SUM(Forecast_Main!D78:G78)/1000000</f>
        <v>177.6073509</v>
      </c>
      <c r="C6" s="32">
        <f>SUM(Forecast_Main!H78:K78)/1000000</f>
        <v>174.2783335</v>
      </c>
      <c r="D6" s="32">
        <f>SUM(Forecast_Main!L78:O78)/1000000</f>
        <v>172.64196719999998</v>
      </c>
      <c r="E6" s="32">
        <f>SUM(Forecast_Main!P78:S78)/1000000</f>
        <v>174.03229690000003</v>
      </c>
      <c r="F6" s="32">
        <f>SUM(Forecast_Main!T78:W78)/1000000</f>
        <v>141.73479830000002</v>
      </c>
      <c r="G6" s="32">
        <f>SUM(Forecast_Main!X78:AA78)/1000000</f>
        <v>157.70708739744637</v>
      </c>
      <c r="H6" s="32">
        <f>SUM(Forecast_Main!AB78:AE78)/1000000</f>
        <v>158.09804004746019</v>
      </c>
      <c r="I6" s="37"/>
      <c r="J6" s="8">
        <f>(H6/F6)^(1/2)-1</f>
        <v>5.6148527778720148E-2</v>
      </c>
    </row>
    <row r="7" spans="1:16" x14ac:dyDescent="0.25">
      <c r="A7" s="152" t="s">
        <v>552</v>
      </c>
      <c r="B7" s="153">
        <f t="shared" ref="B7:H7" si="0">B6/SUM(B5:B6)</f>
        <v>0.11082540978125513</v>
      </c>
      <c r="C7" s="153">
        <f t="shared" si="0"/>
        <v>0.10767011983842176</v>
      </c>
      <c r="D7" s="153">
        <f t="shared" si="0"/>
        <v>0.10083888527214242</v>
      </c>
      <c r="E7" s="153">
        <f t="shared" si="0"/>
        <v>0.10005407333001647</v>
      </c>
      <c r="F7" s="153">
        <f t="shared" si="0"/>
        <v>9.9551526879888552E-2</v>
      </c>
      <c r="G7" s="153">
        <f t="shared" si="0"/>
        <v>0.10100000000000001</v>
      </c>
      <c r="H7" s="153">
        <f t="shared" si="0"/>
        <v>0.10099999999999999</v>
      </c>
      <c r="I7" s="133"/>
    </row>
    <row r="8" spans="1:16" ht="15.75" thickBot="1" x14ac:dyDescent="0.3">
      <c r="A8" s="30" t="s">
        <v>30</v>
      </c>
      <c r="B8" s="33">
        <f t="shared" ref="B8:H8" si="1">SUM(B5:B6)</f>
        <v>1602.5869089999999</v>
      </c>
      <c r="C8" s="33">
        <f t="shared" si="1"/>
        <v>1618.632298</v>
      </c>
      <c r="D8" s="33">
        <f t="shared" si="1"/>
        <v>1712.0574740000002</v>
      </c>
      <c r="E8" s="33">
        <f t="shared" si="1"/>
        <v>1739.3824270000002</v>
      </c>
      <c r="F8" s="33">
        <f t="shared" si="1"/>
        <v>1423.733043</v>
      </c>
      <c r="G8" s="33">
        <f t="shared" si="1"/>
        <v>1561.4563108658056</v>
      </c>
      <c r="H8" s="33">
        <f t="shared" si="1"/>
        <v>1565.3271291827743</v>
      </c>
      <c r="I8" s="37"/>
      <c r="J8" s="34">
        <f>(H8/F8)^(1/2)-1</f>
        <v>4.8547897648258065E-2</v>
      </c>
      <c r="M8" s="8">
        <f>E8/B8-1</f>
        <v>8.5359188466951563E-2</v>
      </c>
      <c r="N8" s="8">
        <f>F8/B8-1</f>
        <v>-0.11160322413441104</v>
      </c>
      <c r="P8">
        <f>SUM('[1]Quarterly Work'!$C$19:$C$22)</f>
        <v>1419.4277631666664</v>
      </c>
    </row>
    <row r="9" spans="1:16" ht="9.75" customHeight="1" x14ac:dyDescent="0.25"/>
    <row r="10" spans="1:16" x14ac:dyDescent="0.25">
      <c r="A10" t="s">
        <v>553</v>
      </c>
      <c r="B10" s="32">
        <f>SUM(Forecast_Main!D83:G83)/1000000</f>
        <v>708.89300119999996</v>
      </c>
      <c r="C10" s="32">
        <f>SUM(Forecast_Main!H83:K83)/1000000</f>
        <v>682.74407774999997</v>
      </c>
      <c r="D10" s="32">
        <f>SUM(Forecast_Main!L83:O83)/1000000</f>
        <v>716.54592369999989</v>
      </c>
      <c r="E10" s="32">
        <f>SUM(Forecast_Main!P83:S83)/1000000</f>
        <v>719.3015431</v>
      </c>
      <c r="F10" s="32">
        <f>SUM(Forecast_Main!T83:W83)/1000000</f>
        <v>672.51909239999998</v>
      </c>
      <c r="G10" s="32">
        <f>SUM(Forecast_Main!X83:AA83)/1000000</f>
        <v>717.40530968357848</v>
      </c>
      <c r="H10" s="32">
        <f>SUM(Forecast_Main!AB83:AE83)/1000000</f>
        <v>673.24986466220321</v>
      </c>
      <c r="I10" s="37"/>
      <c r="J10" s="8">
        <f>(H10/F10)^(1/2)-1</f>
        <v>5.4316216477845458E-4</v>
      </c>
    </row>
    <row r="11" spans="1:16" x14ac:dyDescent="0.25">
      <c r="A11" t="s">
        <v>7</v>
      </c>
      <c r="B11" s="32">
        <f>SUM(Forecast_Main!D84:G84)/1000000</f>
        <v>47.535072800000002</v>
      </c>
      <c r="C11" s="32">
        <f>SUM(Forecast_Main!H84:K84)/1000000</f>
        <v>51.186438718036811</v>
      </c>
      <c r="D11" s="32">
        <f>SUM(Forecast_Main!L84:O84)/1000000</f>
        <v>51.641068418850473</v>
      </c>
      <c r="E11" s="32">
        <f>SUM(Forecast_Main!P84:S84)/1000000</f>
        <v>60.082421733906926</v>
      </c>
      <c r="F11" s="32">
        <f>SUM(Forecast_Main!T84:W84)/1000000</f>
        <v>68.569077622508118</v>
      </c>
      <c r="G11" s="32">
        <f>SUM(Forecast_Main!X84:AA84)/1000000</f>
        <v>80.625826088292072</v>
      </c>
      <c r="H11" s="32">
        <f>SUM(Forecast_Main!AB84:AE84)/1000000</f>
        <v>84.660162622193212</v>
      </c>
      <c r="I11" s="37"/>
      <c r="J11" s="8">
        <f>(H11/F11)^(1/2)-1</f>
        <v>0.11115692042983105</v>
      </c>
    </row>
    <row r="12" spans="1:16" x14ac:dyDescent="0.25">
      <c r="A12" s="152" t="s">
        <v>554</v>
      </c>
      <c r="B12" s="154">
        <f t="shared" ref="B12:G12" si="2">B11/SUM(B10:B11,B13)</f>
        <v>6.2841497339772193E-2</v>
      </c>
      <c r="C12" s="154">
        <f t="shared" si="2"/>
        <v>6.9710576546628447E-2</v>
      </c>
      <c r="D12" s="154">
        <f t="shared" si="2"/>
        <v>6.7119109796882459E-2</v>
      </c>
      <c r="E12" s="154">
        <f t="shared" si="2"/>
        <v>7.5466227821327461E-2</v>
      </c>
      <c r="F12" s="154">
        <f t="shared" si="2"/>
        <v>9.0297699113629212E-2</v>
      </c>
      <c r="G12" s="154">
        <f t="shared" si="2"/>
        <v>9.799999999999999E-2</v>
      </c>
      <c r="H12" s="154">
        <f>H11/SUM(H10:H11,H13)</f>
        <v>0.105</v>
      </c>
      <c r="I12" s="134"/>
    </row>
    <row r="13" spans="1:16" x14ac:dyDescent="0.25">
      <c r="A13" t="s">
        <v>6</v>
      </c>
      <c r="B13" s="32">
        <f>SUM(Forecast_Main!D86:G86)/1000000</f>
        <v>0</v>
      </c>
      <c r="C13" s="32">
        <f>SUM(Forecast_Main!H86:K86)/1000000</f>
        <v>0.34025353196319624</v>
      </c>
      <c r="D13" s="32">
        <f>SUM(Forecast_Main!L86:O86)/1000000</f>
        <v>1.207425881149528</v>
      </c>
      <c r="E13" s="32">
        <f>SUM(Forecast_Main!P86:S86)/1000000</f>
        <v>16.765829166093074</v>
      </c>
      <c r="F13" s="32">
        <f>SUM(Forecast_Main!T86:W86)/1000000</f>
        <v>18.278660977491867</v>
      </c>
      <c r="G13" s="32">
        <f>SUM(Forecast_Main!X86:AA86)/1000000</f>
        <v>24.681375333150633</v>
      </c>
      <c r="H13" s="32">
        <f>SUM(Forecast_Main!AB86:AE86)/1000000</f>
        <v>48.377235784110404</v>
      </c>
      <c r="I13" s="37"/>
      <c r="J13" s="8">
        <f>(H13/F13)^(1/2)-1</f>
        <v>0.62685308764548919</v>
      </c>
    </row>
    <row r="14" spans="1:16" x14ac:dyDescent="0.25">
      <c r="A14" s="152" t="s">
        <v>555</v>
      </c>
      <c r="B14" s="154">
        <f t="shared" ref="B14:G14" si="3">B13/SUM(B10:B11,B13)</f>
        <v>0</v>
      </c>
      <c r="C14" s="154">
        <f t="shared" si="3"/>
        <v>4.6338972742057574E-4</v>
      </c>
      <c r="D14" s="154">
        <f t="shared" si="3"/>
        <v>1.5693197830680492E-3</v>
      </c>
      <c r="E14" s="154">
        <f t="shared" si="3"/>
        <v>2.1058636568702136E-2</v>
      </c>
      <c r="F14" s="154">
        <f t="shared" si="3"/>
        <v>2.4070923605421301E-2</v>
      </c>
      <c r="G14" s="154">
        <f t="shared" si="3"/>
        <v>2.9999999999999995E-2</v>
      </c>
      <c r="H14" s="154">
        <f>H13/SUM(H10:H11,H13)</f>
        <v>5.9999999999999991E-2</v>
      </c>
      <c r="I14" s="134"/>
    </row>
    <row r="15" spans="1:16" ht="15.75" thickBot="1" x14ac:dyDescent="0.3">
      <c r="A15" s="30" t="s">
        <v>548</v>
      </c>
      <c r="B15" s="33">
        <f t="shared" ref="B15:G15" si="4">SUM(B10,B11,B13)</f>
        <v>756.42807399999992</v>
      </c>
      <c r="C15" s="33">
        <f t="shared" si="4"/>
        <v>734.27076999999997</v>
      </c>
      <c r="D15" s="33">
        <f t="shared" si="4"/>
        <v>769.39441799999997</v>
      </c>
      <c r="E15" s="33">
        <f t="shared" si="4"/>
        <v>796.14979400000004</v>
      </c>
      <c r="F15" s="33">
        <f t="shared" si="4"/>
        <v>759.36683099999993</v>
      </c>
      <c r="G15" s="33">
        <f t="shared" si="4"/>
        <v>822.71251110502124</v>
      </c>
      <c r="H15" s="33">
        <f>SUM(H10,H11,H13)</f>
        <v>806.28726306850683</v>
      </c>
      <c r="I15" s="37"/>
      <c r="J15" s="34">
        <f>(H15/F15)^(1/2)-1</f>
        <v>3.0431408680830607E-2</v>
      </c>
      <c r="M15" s="8">
        <f>E15/B15-1</f>
        <v>5.2512223389530321E-2</v>
      </c>
      <c r="N15" s="8">
        <f>F15/B15-1</f>
        <v>3.8850448588718667E-3</v>
      </c>
      <c r="P15">
        <f>SUM('[1]Quarterly Work'!$P$19:$P$22)</f>
        <v>580.64844306120972</v>
      </c>
    </row>
    <row r="16" spans="1:16" ht="9.75" customHeight="1" x14ac:dyDescent="0.25"/>
    <row r="17" spans="1:10" x14ac:dyDescent="0.25">
      <c r="A17" t="s">
        <v>556</v>
      </c>
      <c r="B17" s="32">
        <f>SUM(Forecast_Main!D94:G94)/1000000</f>
        <v>1.3264875488844861</v>
      </c>
      <c r="C17" s="32">
        <f>SUM(Forecast_Main!H94:K94)/1000000</f>
        <v>1.6431522740976827</v>
      </c>
      <c r="D17" s="32">
        <f>SUM(Forecast_Main!L94:O94)/1000000</f>
        <v>2.2355978027392536</v>
      </c>
      <c r="E17" s="32">
        <f>SUM(Forecast_Main!P94:S94)/1000000</f>
        <v>2.8779460795975775</v>
      </c>
      <c r="F17" s="181">
        <f>SUM(Forecast_Main!T94:W94)/1000000</f>
        <v>3.6727678272371005</v>
      </c>
      <c r="G17" s="181">
        <f>SUM(Forecast_Main!X94:AA94)/1000000</f>
        <v>5.3189514227195183</v>
      </c>
      <c r="H17" s="181">
        <f>SUM(Forecast_Main!AB94:AE94)/1000000</f>
        <v>7.0211138723641193</v>
      </c>
      <c r="I17" s="182"/>
      <c r="J17" s="70">
        <f>(H17/F17)^(1/2)-1</f>
        <v>0.38263093843542539</v>
      </c>
    </row>
    <row r="18" spans="1:10" x14ac:dyDescent="0.25">
      <c r="A18" t="s">
        <v>557</v>
      </c>
      <c r="B18" s="32">
        <f>SUM(Forecast_Main!D99:G99)/1000000</f>
        <v>0</v>
      </c>
      <c r="C18" s="32">
        <f>SUM(Forecast_Main!H99:K99)/1000000</f>
        <v>0</v>
      </c>
      <c r="D18" s="32">
        <f>SUM(Forecast_Main!L99:O99)/1000000</f>
        <v>1.727786</v>
      </c>
      <c r="E18" s="32">
        <f>SUM(Forecast_Main!P99:S99)/1000000</f>
        <v>2.2205810000000001</v>
      </c>
      <c r="F18" s="32">
        <f>SUM(Forecast_Main!T99:W99)/1000000</f>
        <v>3.236002</v>
      </c>
      <c r="G18" s="32">
        <f>SUM(Forecast_Main!X99:AA99)/1000000</f>
        <v>4.8540029999999996</v>
      </c>
      <c r="H18" s="32">
        <f>SUM(Forecast_Main!AB99:AE99)/1000000</f>
        <v>8.0091049499999993</v>
      </c>
      <c r="I18" s="37"/>
      <c r="J18" s="8">
        <f>(H18/F18)^(1/2)-1</f>
        <v>0.57321327225522722</v>
      </c>
    </row>
    <row r="19" spans="1:10" ht="9.75" customHeight="1" x14ac:dyDescent="0.25"/>
    <row r="20" spans="1:10" x14ac:dyDescent="0.25">
      <c r="A20" t="s">
        <v>558</v>
      </c>
      <c r="B20" s="32">
        <f>SUM(Forecast_Main!D102:G102)/1000000</f>
        <v>0.597634</v>
      </c>
      <c r="C20" s="32">
        <f>SUM(Forecast_Main!H102:K102)/1000000</f>
        <v>0.913574</v>
      </c>
      <c r="D20" s="32">
        <f>SUM(Forecast_Main!L102:O102)/1000000</f>
        <v>1.3719790000000001</v>
      </c>
      <c r="E20" s="32">
        <f>SUM(Forecast_Main!P102:S102)/1000000</f>
        <v>1.1821870000000001</v>
      </c>
      <c r="F20" s="32">
        <f>SUM(Forecast_Main!T102:W102)/1000000</f>
        <v>0.77232000000000001</v>
      </c>
      <c r="G20" s="32">
        <f>SUM(Forecast_Main!X102:AA102)/1000000</f>
        <v>0.57099843750000001</v>
      </c>
      <c r="H20" s="32">
        <f>SUM(Forecast_Main!AB102:AE102)/1000000</f>
        <v>0.61667831249999971</v>
      </c>
      <c r="I20" s="37"/>
      <c r="J20" s="8">
        <f>(H20/F20)^(1/2)-1</f>
        <v>-0.10642564376129948</v>
      </c>
    </row>
    <row r="21" spans="1:10" x14ac:dyDescent="0.25">
      <c r="A21" t="s">
        <v>31</v>
      </c>
      <c r="B21" s="32">
        <f>SUM(Forecast_Main!D103:G103)/1000000</f>
        <v>0.914605</v>
      </c>
      <c r="C21" s="32">
        <f>SUM(Forecast_Main!H103:K103)/1000000</f>
        <v>1.86127</v>
      </c>
      <c r="D21" s="32">
        <f>SUM(Forecast_Main!L103:O103)/1000000</f>
        <v>1.7193350000000001</v>
      </c>
      <c r="E21" s="32">
        <f>SUM(Forecast_Main!P103:S103)/1000000</f>
        <v>2.2224680000000001</v>
      </c>
      <c r="F21" s="32">
        <f>SUM(Forecast_Main!T103:W103)/1000000</f>
        <v>2.8820700000000001</v>
      </c>
      <c r="G21" s="32">
        <f>SUM(Forecast_Main!X103:AA103)/1000000</f>
        <v>3.9969890625</v>
      </c>
      <c r="H21" s="32">
        <f>SUM(Forecast_Main!AB103:AE103)/1000000</f>
        <v>5.5501048125000008</v>
      </c>
      <c r="I21" s="37"/>
      <c r="J21" s="8">
        <f>(H21/F21)^(1/2)-1</f>
        <v>0.38770876054633874</v>
      </c>
    </row>
    <row r="22" spans="1:10" x14ac:dyDescent="0.25">
      <c r="A22" s="152" t="s">
        <v>559</v>
      </c>
      <c r="B22" s="154">
        <f t="shared" ref="B22:G22" si="5">B21/SUM(B20:B21)</f>
        <v>0.604801886474294</v>
      </c>
      <c r="C22" s="154">
        <f t="shared" si="5"/>
        <v>0.67076563583394244</v>
      </c>
      <c r="D22" s="154">
        <f t="shared" si="5"/>
        <v>0.55618258125832576</v>
      </c>
      <c r="E22" s="154">
        <f t="shared" si="5"/>
        <v>0.65277333533059889</v>
      </c>
      <c r="F22" s="154">
        <f t="shared" si="5"/>
        <v>0.78865966686642641</v>
      </c>
      <c r="G22" s="154">
        <f t="shared" si="5"/>
        <v>0.875</v>
      </c>
      <c r="H22" s="154">
        <f>H21/SUM(H20:H21)</f>
        <v>0.90000000000000013</v>
      </c>
      <c r="I22" s="134"/>
    </row>
    <row r="23" spans="1:10" ht="15.75" thickBot="1" x14ac:dyDescent="0.3">
      <c r="A23" s="30" t="s">
        <v>560</v>
      </c>
      <c r="B23" s="33">
        <f t="shared" ref="B23:G23" si="6">SUM(B20:B21)</f>
        <v>1.5122390000000001</v>
      </c>
      <c r="C23" s="33">
        <f t="shared" si="6"/>
        <v>2.7748439999999999</v>
      </c>
      <c r="D23" s="33">
        <f t="shared" si="6"/>
        <v>3.0913140000000001</v>
      </c>
      <c r="E23" s="33">
        <f t="shared" si="6"/>
        <v>3.404655</v>
      </c>
      <c r="F23" s="33">
        <f t="shared" si="6"/>
        <v>3.6543900000000002</v>
      </c>
      <c r="G23" s="33">
        <f t="shared" si="6"/>
        <v>4.5679875000000001</v>
      </c>
      <c r="H23" s="33">
        <f>SUM(H20:H21)</f>
        <v>6.1667831250000003</v>
      </c>
      <c r="I23" s="37"/>
      <c r="J23" s="34">
        <f>(H23/F23)^(1/2)-1</f>
        <v>0.29903810567665801</v>
      </c>
    </row>
    <row r="24" spans="1:10" x14ac:dyDescent="0.25">
      <c r="A24" s="29"/>
      <c r="B24" s="29"/>
      <c r="C24" s="29"/>
      <c r="D24" s="29"/>
    </row>
    <row r="25" spans="1:10" ht="15.75" thickBot="1" x14ac:dyDescent="0.3">
      <c r="A25" s="31" t="s">
        <v>782</v>
      </c>
      <c r="B25" s="33">
        <f>SUM(Forecast_Main!D108:G108)/1000000</f>
        <v>6.5049999999999997E-2</v>
      </c>
      <c r="C25" s="33">
        <f>SUM(Forecast_Main!H108:K108)/1000000</f>
        <v>0.12829099999999999</v>
      </c>
      <c r="D25" s="33">
        <f>SUM(Forecast_Main!L108:O108)/1000000</f>
        <v>0.74041800000000002</v>
      </c>
      <c r="E25" s="33">
        <f>SUM(Forecast_Main!P108:S108)/1000000</f>
        <v>2.055577</v>
      </c>
      <c r="F25" s="33">
        <f>SUM(Forecast_Main!T108:W108)/1000000</f>
        <v>1.475168</v>
      </c>
      <c r="G25" s="33">
        <f>SUM(Forecast_Main!X108:AA108)/1000000</f>
        <v>2.2127520000000001</v>
      </c>
      <c r="H25" s="33">
        <f>SUM(Forecast_Main!AB108:AE108)/1000000</f>
        <v>3.7616784000000001</v>
      </c>
      <c r="I25" s="37"/>
      <c r="J25" s="34">
        <f>(H25/F25)^(1/2)-1</f>
        <v>0.59687194226713114</v>
      </c>
    </row>
    <row r="26" spans="1:10" ht="6" customHeight="1" x14ac:dyDescent="0.25">
      <c r="A26" s="36"/>
      <c r="B26" s="36"/>
      <c r="C26" s="36"/>
      <c r="D26" s="36"/>
      <c r="E26" s="37"/>
      <c r="F26" s="37"/>
      <c r="G26" s="37"/>
      <c r="H26" s="37"/>
      <c r="I26" s="37"/>
    </row>
    <row r="27" spans="1:10" x14ac:dyDescent="0.25">
      <c r="A27" s="44" t="s">
        <v>606</v>
      </c>
      <c r="B27" s="44"/>
      <c r="C27" s="44"/>
      <c r="D27" s="44"/>
    </row>
    <row r="28" spans="1:10" x14ac:dyDescent="0.25">
      <c r="D28" s="44"/>
    </row>
    <row r="29" spans="1:10" x14ac:dyDescent="0.25">
      <c r="H29"/>
    </row>
    <row r="30" spans="1:10" x14ac:dyDescent="0.25">
      <c r="H30"/>
    </row>
    <row r="31" spans="1:10" x14ac:dyDescent="0.25">
      <c r="H31"/>
    </row>
    <row r="32" spans="1:10" x14ac:dyDescent="0.25">
      <c r="H32"/>
    </row>
    <row r="33" spans="8:8" x14ac:dyDescent="0.25">
      <c r="H33"/>
    </row>
    <row r="34" spans="8:8" x14ac:dyDescent="0.25">
      <c r="H34"/>
    </row>
    <row r="35" spans="8:8" x14ac:dyDescent="0.25">
      <c r="H35"/>
    </row>
    <row r="36" spans="8:8" x14ac:dyDescent="0.25">
      <c r="H36"/>
    </row>
    <row r="37" spans="8:8" x14ac:dyDescent="0.25">
      <c r="H37"/>
    </row>
    <row r="38" spans="8:8" x14ac:dyDescent="0.25">
      <c r="H38"/>
    </row>
    <row r="39" spans="8:8" x14ac:dyDescent="0.25">
      <c r="H39"/>
    </row>
    <row r="40" spans="8:8" x14ac:dyDescent="0.25">
      <c r="H40"/>
    </row>
    <row r="41" spans="8:8" x14ac:dyDescent="0.25">
      <c r="H41"/>
    </row>
    <row r="42" spans="8:8" x14ac:dyDescent="0.25">
      <c r="H42"/>
    </row>
    <row r="43" spans="8:8" x14ac:dyDescent="0.25">
      <c r="H43"/>
    </row>
    <row r="44" spans="8:8" x14ac:dyDescent="0.25">
      <c r="H44"/>
    </row>
    <row r="45" spans="8:8" x14ac:dyDescent="0.25">
      <c r="H45"/>
    </row>
    <row r="46" spans="8:8" x14ac:dyDescent="0.25">
      <c r="H46"/>
    </row>
    <row r="47" spans="8:8" x14ac:dyDescent="0.25">
      <c r="H47"/>
    </row>
    <row r="48" spans="8:8" x14ac:dyDescent="0.25">
      <c r="H48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</sheetData>
  <mergeCells count="1">
    <mergeCell ref="A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C18" sqref="A3:C18"/>
    </sheetView>
  </sheetViews>
  <sheetFormatPr defaultRowHeight="15" x14ac:dyDescent="0.25"/>
  <cols>
    <col min="1" max="1" width="27.5703125" customWidth="1"/>
    <col min="2" max="2" width="22.7109375" bestFit="1" customWidth="1"/>
    <col min="3" max="3" width="19.42578125" customWidth="1"/>
    <col min="4" max="4" width="8.28515625" style="129" customWidth="1"/>
    <col min="6" max="6" width="23.42578125" customWidth="1"/>
    <col min="7" max="8" width="12.85546875" hidden="1" customWidth="1"/>
    <col min="9" max="12" width="12.85546875" customWidth="1"/>
    <col min="13" max="13" width="12.5703125" customWidth="1"/>
  </cols>
  <sheetData>
    <row r="1" spans="1:13" ht="21" x14ac:dyDescent="0.35">
      <c r="A1" t="s">
        <v>710</v>
      </c>
      <c r="D1"/>
      <c r="F1" s="176" t="s">
        <v>677</v>
      </c>
      <c r="G1" s="176"/>
      <c r="H1" s="176"/>
      <c r="I1" s="176"/>
      <c r="J1" s="176"/>
      <c r="K1" s="176"/>
      <c r="L1" s="176"/>
      <c r="M1" s="176"/>
    </row>
    <row r="2" spans="1:13" ht="21.75" thickBot="1" x14ac:dyDescent="0.4">
      <c r="A2" s="173" t="s">
        <v>22</v>
      </c>
      <c r="B2" s="174"/>
      <c r="C2" s="175"/>
      <c r="D2"/>
      <c r="G2" s="27">
        <v>2016</v>
      </c>
      <c r="H2" s="27">
        <v>2017</v>
      </c>
      <c r="I2" s="27">
        <v>2018</v>
      </c>
      <c r="J2" s="27">
        <v>2019</v>
      </c>
      <c r="K2" s="158">
        <v>2020</v>
      </c>
      <c r="L2" s="108" t="s">
        <v>676</v>
      </c>
      <c r="M2" s="108" t="s">
        <v>744</v>
      </c>
    </row>
    <row r="3" spans="1:13" x14ac:dyDescent="0.25">
      <c r="A3" s="87" t="s">
        <v>23</v>
      </c>
      <c r="B3" s="2" t="s">
        <v>4</v>
      </c>
      <c r="C3" s="12">
        <f>SUM(Forecast_Main!AB113:AE113)</f>
        <v>-1142729.6868912536</v>
      </c>
      <c r="D3"/>
      <c r="F3" s="2" t="s">
        <v>4</v>
      </c>
      <c r="G3" s="10">
        <f>SUM(Forecast_Main!D113:G113)</f>
        <v>-390550.7</v>
      </c>
      <c r="H3" s="10">
        <f>SUM(Forecast_Main!H113:K113)</f>
        <v>-423554.5</v>
      </c>
      <c r="I3" s="10">
        <f>SUM(Forecast_Main!L113:O113)</f>
        <v>-569013.6</v>
      </c>
      <c r="J3" s="10">
        <f>SUM(Forecast_Main!P113:S113)</f>
        <v>-665177.5</v>
      </c>
      <c r="K3" s="68">
        <f>SUM(Forecast_Main!T113:W113)</f>
        <v>-751948.2</v>
      </c>
      <c r="L3" s="109">
        <f>SUM(Forecast_Main!X113:AA113)</f>
        <v>-947340.93894613022</v>
      </c>
      <c r="M3" s="109">
        <f>SUM(Forecast_Main!AB113:AE113)</f>
        <v>-1142729.6868912536</v>
      </c>
    </row>
    <row r="4" spans="1:13" ht="15.75" thickBot="1" x14ac:dyDescent="0.3">
      <c r="A4" s="57"/>
      <c r="B4" s="58" t="s">
        <v>3</v>
      </c>
      <c r="C4" s="12">
        <f>SUM(Forecast_Main!AB114:AE114)</f>
        <v>-627432.78767242678</v>
      </c>
      <c r="D4"/>
      <c r="F4" s="58" t="s">
        <v>3</v>
      </c>
      <c r="G4" s="10">
        <f>SUM(Forecast_Main!D114:G114)</f>
        <v>-204280.8</v>
      </c>
      <c r="H4" s="10">
        <f>SUM(Forecast_Main!H114:K114)</f>
        <v>-220817.80000000002</v>
      </c>
      <c r="I4" s="10">
        <f>SUM(Forecast_Main!L114:O114)</f>
        <v>-295869.55000000005</v>
      </c>
      <c r="J4" s="10">
        <f>SUM(Forecast_Main!P114:S114)</f>
        <v>-336630.75</v>
      </c>
      <c r="K4" s="68">
        <f>SUM(Forecast_Main!T114:W114)</f>
        <v>-417269.75</v>
      </c>
      <c r="L4" s="109">
        <f>SUM(Forecast_Main!X114:AA114)</f>
        <v>-525797.82995204837</v>
      </c>
      <c r="M4" s="109">
        <f>SUM(Forecast_Main!AB114:AE114)</f>
        <v>-627432.78767242678</v>
      </c>
    </row>
    <row r="5" spans="1:13" ht="15.75" thickBot="1" x14ac:dyDescent="0.3">
      <c r="A5" s="61" t="s">
        <v>607</v>
      </c>
      <c r="B5" s="62"/>
      <c r="C5" s="63">
        <f>SUM(C3:C4)</f>
        <v>-1770162.4745636804</v>
      </c>
      <c r="D5"/>
      <c r="F5" s="62" t="s">
        <v>672</v>
      </c>
      <c r="G5" s="63">
        <f t="shared" ref="G5:L5" si="0">SUM(G3:G4)</f>
        <v>-594831.5</v>
      </c>
      <c r="H5" s="63">
        <f t="shared" si="0"/>
        <v>-644372.30000000005</v>
      </c>
      <c r="I5" s="63">
        <f t="shared" si="0"/>
        <v>-864883.15</v>
      </c>
      <c r="J5" s="63">
        <f t="shared" si="0"/>
        <v>-1001808.25</v>
      </c>
      <c r="K5" s="159">
        <f t="shared" si="0"/>
        <v>-1169217.95</v>
      </c>
      <c r="L5" s="110">
        <f t="shared" si="0"/>
        <v>-1473138.7688981786</v>
      </c>
      <c r="M5" s="110">
        <f>SUM(M3:M4)</f>
        <v>-1770162.4745636804</v>
      </c>
    </row>
    <row r="6" spans="1:13" x14ac:dyDescent="0.25">
      <c r="A6" s="59"/>
      <c r="B6" s="59"/>
      <c r="C6" s="60"/>
      <c r="D6"/>
      <c r="F6" s="59"/>
      <c r="G6" s="10"/>
      <c r="H6" s="10"/>
      <c r="I6" s="10"/>
      <c r="J6" s="10"/>
      <c r="K6" s="68"/>
      <c r="L6" s="109"/>
      <c r="M6" s="109"/>
    </row>
    <row r="7" spans="1:13" x14ac:dyDescent="0.25">
      <c r="A7" s="87" t="s">
        <v>24</v>
      </c>
      <c r="B7" s="2" t="s">
        <v>5</v>
      </c>
      <c r="C7" s="51">
        <f>SUM(Forecast_Main!AB117:AE117)</f>
        <v>605797.71419306134</v>
      </c>
      <c r="D7"/>
      <c r="F7" s="2" t="s">
        <v>5</v>
      </c>
      <c r="G7" s="10">
        <f>SUM(Forecast_Main!D117:G117)</f>
        <v>499938.7</v>
      </c>
      <c r="H7" s="10">
        <f>SUM(Forecast_Main!H117:K117)</f>
        <v>479677.5</v>
      </c>
      <c r="I7" s="10">
        <f>SUM(Forecast_Main!L117:O117)</f>
        <v>495127.6</v>
      </c>
      <c r="J7" s="10">
        <f>SUM(Forecast_Main!P117:S117)</f>
        <v>520845.49999999994</v>
      </c>
      <c r="K7" s="68">
        <f>SUM(Forecast_Main!T117:W117)</f>
        <v>488163.2</v>
      </c>
      <c r="L7" s="109">
        <f>SUM(Forecast_Main!X117:AA117)</f>
        <v>586560.17517653597</v>
      </c>
      <c r="M7" s="109">
        <f>SUM(Forecast_Main!AB117:AE117)</f>
        <v>605797.71419306134</v>
      </c>
    </row>
    <row r="8" spans="1:13" x14ac:dyDescent="0.25">
      <c r="A8" s="87"/>
      <c r="B8" s="2" t="s">
        <v>7</v>
      </c>
      <c r="C8" s="51">
        <f>SUM(Forecast_Main!AB118:AE118)</f>
        <v>665357.7890718847</v>
      </c>
      <c r="D8"/>
      <c r="F8" s="2" t="s">
        <v>7</v>
      </c>
      <c r="G8" s="10">
        <f>SUM(Forecast_Main!D118:G118)</f>
        <v>266455.8</v>
      </c>
      <c r="H8" s="10">
        <f>SUM(Forecast_Main!H118:K118)</f>
        <v>316596.46430223004</v>
      </c>
      <c r="I8" s="10">
        <f>SUM(Forecast_Main!L118:O118)</f>
        <v>351431.58135927643</v>
      </c>
      <c r="J8" s="10">
        <f>SUM(Forecast_Main!P118:S118)</f>
        <v>441049.13847782469</v>
      </c>
      <c r="K8" s="68">
        <f>SUM(Forecast_Main!T118:W118)</f>
        <v>472952.63791005086</v>
      </c>
      <c r="L8" s="109">
        <f>SUM(Forecast_Main!X118:AA118)</f>
        <v>602939.89850537037</v>
      </c>
      <c r="M8" s="109">
        <f>SUM(Forecast_Main!AB118:AE118)</f>
        <v>665357.7890718847</v>
      </c>
    </row>
    <row r="9" spans="1:13" x14ac:dyDescent="0.25">
      <c r="A9" s="87"/>
      <c r="B9" s="2" t="s">
        <v>6</v>
      </c>
      <c r="C9" s="51">
        <f>SUM(Forecast_Main!AB119:AE119)</f>
        <v>379838.89799146442</v>
      </c>
      <c r="D9"/>
      <c r="F9" s="2" t="s">
        <v>6</v>
      </c>
      <c r="G9" s="10">
        <f>SUM(Forecast_Main!D119:G119)</f>
        <v>0</v>
      </c>
      <c r="H9" s="10">
        <f>SUM(Forecast_Main!H119:K119)</f>
        <v>2863.335697769985</v>
      </c>
      <c r="I9" s="10">
        <f>SUM(Forecast_Main!L119:O119)</f>
        <v>9424.9686407236004</v>
      </c>
      <c r="J9" s="10">
        <f>SUM(Forecast_Main!P119:S119)</f>
        <v>145346.61152217531</v>
      </c>
      <c r="K9" s="68">
        <f>SUM(Forecast_Main!T119:W119)</f>
        <v>154577.11208994914</v>
      </c>
      <c r="L9" s="109">
        <f>SUM(Forecast_Main!X119:AA119)</f>
        <v>189724.46109509928</v>
      </c>
      <c r="M9" s="109">
        <f>SUM(Forecast_Main!AB119:AE119)</f>
        <v>379838.89799146442</v>
      </c>
    </row>
    <row r="10" spans="1:13" x14ac:dyDescent="0.25">
      <c r="A10" s="87"/>
      <c r="B10" s="2" t="s">
        <v>25</v>
      </c>
      <c r="C10" s="51">
        <f>SUM(Forecast_Main!AB120:AE120)</f>
        <v>218738.79825526645</v>
      </c>
      <c r="D10"/>
      <c r="F10" s="2" t="s">
        <v>25</v>
      </c>
      <c r="G10" s="10">
        <f>SUM(Forecast_Main!D120:G120)</f>
        <v>36439</v>
      </c>
      <c r="H10" s="10">
        <f>SUM(Forecast_Main!H120:K120)</f>
        <v>44716</v>
      </c>
      <c r="I10" s="10">
        <f>SUM(Forecast_Main!L120:O120)</f>
        <v>60372</v>
      </c>
      <c r="J10" s="10">
        <f>SUM(Forecast_Main!P120:S120)</f>
        <v>79862</v>
      </c>
      <c r="K10" s="68">
        <f>SUM(Forecast_Main!T120:W120)</f>
        <v>105819</v>
      </c>
      <c r="L10" s="109">
        <f>SUM(Forecast_Main!X120:AA120)</f>
        <v>139232.08634277008</v>
      </c>
      <c r="M10" s="109">
        <f>SUM(Forecast_Main!AB120:AE120)</f>
        <v>218738.79825526645</v>
      </c>
    </row>
    <row r="11" spans="1:13" x14ac:dyDescent="0.25">
      <c r="A11" s="87"/>
      <c r="B11" s="5" t="s">
        <v>26</v>
      </c>
      <c r="C11" s="51">
        <f>SUM(Forecast_Main!AB121:AE121)</f>
        <v>41027.354861955711</v>
      </c>
      <c r="D11"/>
      <c r="F11" s="5" t="s">
        <v>26</v>
      </c>
      <c r="G11" s="10">
        <f>SUM(Forecast_Main!D121:G121)</f>
        <v>0</v>
      </c>
      <c r="H11" s="10">
        <f>SUM(Forecast_Main!H121:K121)</f>
        <v>0</v>
      </c>
      <c r="I11" s="10">
        <f>SUM(Forecast_Main!L121:O121)</f>
        <v>17189</v>
      </c>
      <c r="J11" s="10">
        <f>SUM(Forecast_Main!P121:S121)</f>
        <v>21303</v>
      </c>
      <c r="K11" s="68">
        <f>SUM(Forecast_Main!T121:W121)</f>
        <v>29240</v>
      </c>
      <c r="L11" s="109">
        <f>SUM(Forecast_Main!X121:AA121)</f>
        <v>34881.557136245305</v>
      </c>
      <c r="M11" s="109">
        <f>SUM(Forecast_Main!AB121:AE121)</f>
        <v>41027.354861955711</v>
      </c>
    </row>
    <row r="12" spans="1:13" x14ac:dyDescent="0.25">
      <c r="A12" s="87"/>
      <c r="B12" s="2" t="s">
        <v>10</v>
      </c>
      <c r="C12" s="51">
        <f>SUM(Forecast_Main!AB122:AE122)</f>
        <v>26812.389106029146</v>
      </c>
      <c r="D12"/>
      <c r="F12" s="2" t="s">
        <v>10</v>
      </c>
      <c r="G12" s="10">
        <f>SUM(Forecast_Main!D122:G122)</f>
        <v>6477</v>
      </c>
      <c r="H12" s="10">
        <f>SUM(Forecast_Main!H122:K122)</f>
        <v>11220</v>
      </c>
      <c r="I12" s="10">
        <f>SUM(Forecast_Main!L122:O122)</f>
        <v>8911</v>
      </c>
      <c r="J12" s="10">
        <f>SUM(Forecast_Main!P122:S122)</f>
        <v>10383</v>
      </c>
      <c r="K12" s="68">
        <f>SUM(Forecast_Main!T122:W122)</f>
        <v>13232</v>
      </c>
      <c r="L12" s="109">
        <f>SUM(Forecast_Main!X122:AA122)</f>
        <v>20203.502867071504</v>
      </c>
      <c r="M12" s="109">
        <f>SUM(Forecast_Main!AB122:AE122)</f>
        <v>26812.389106029146</v>
      </c>
    </row>
    <row r="13" spans="1:13" ht="15.75" thickBot="1" x14ac:dyDescent="0.3">
      <c r="A13" s="57"/>
      <c r="B13" s="58" t="s">
        <v>782</v>
      </c>
      <c r="C13" s="51">
        <f>SUM(Forecast_Main!AB123:AE123)</f>
        <v>4258.321137948963</v>
      </c>
      <c r="D13"/>
      <c r="F13" s="58" t="s">
        <v>11</v>
      </c>
      <c r="G13" s="10">
        <f>SUM(Forecast_Main!D123:G123)</f>
        <v>100</v>
      </c>
      <c r="H13" s="10">
        <f>SUM(Forecast_Main!H123:K123)</f>
        <v>199</v>
      </c>
      <c r="I13" s="10">
        <f>SUM(Forecast_Main!L123:O123)</f>
        <v>1190</v>
      </c>
      <c r="J13" s="10">
        <f>SUM(Forecast_Main!P123:S123)</f>
        <v>6182</v>
      </c>
      <c r="K13" s="68">
        <f>SUM(Forecast_Main!T123:W123)</f>
        <v>4268</v>
      </c>
      <c r="L13" s="109">
        <f>SUM(Forecast_Main!X123:AA123)</f>
        <v>2727.0232241999997</v>
      </c>
      <c r="M13" s="109">
        <f>SUM(Forecast_Main!AB123:AE123)</f>
        <v>4258.321137948963</v>
      </c>
    </row>
    <row r="14" spans="1:13" ht="15.75" thickBot="1" x14ac:dyDescent="0.3">
      <c r="A14" s="61" t="s">
        <v>608</v>
      </c>
      <c r="B14" s="62"/>
      <c r="C14" s="63">
        <f>SUM(C7:C13)</f>
        <v>1941831.2646176105</v>
      </c>
      <c r="D14"/>
      <c r="F14" s="105" t="s">
        <v>673</v>
      </c>
      <c r="G14" s="63">
        <f t="shared" ref="G14:L14" si="1">SUM(G7:G13)</f>
        <v>809410.5</v>
      </c>
      <c r="H14" s="63">
        <f t="shared" si="1"/>
        <v>855272.3</v>
      </c>
      <c r="I14" s="63">
        <f t="shared" si="1"/>
        <v>943646.15</v>
      </c>
      <c r="J14" s="63">
        <f t="shared" si="1"/>
        <v>1224971.25</v>
      </c>
      <c r="K14" s="159">
        <f t="shared" si="1"/>
        <v>1268251.95</v>
      </c>
      <c r="L14" s="110">
        <f t="shared" si="1"/>
        <v>1576268.7043472924</v>
      </c>
      <c r="M14" s="110">
        <f>SUM(M7:M13)</f>
        <v>1941831.2646176105</v>
      </c>
    </row>
    <row r="15" spans="1:13" x14ac:dyDescent="0.25">
      <c r="A15" s="1"/>
      <c r="B15" s="1"/>
      <c r="C15" s="52"/>
      <c r="D15"/>
      <c r="K15" s="67"/>
      <c r="L15" s="98"/>
      <c r="M15" s="98"/>
    </row>
    <row r="16" spans="1:13" x14ac:dyDescent="0.25">
      <c r="A16" s="88" t="s">
        <v>742</v>
      </c>
      <c r="B16" s="89"/>
      <c r="C16" s="53">
        <f>SUM(C7:C13)+C3+C4</f>
        <v>171668.79005393013</v>
      </c>
      <c r="D16"/>
      <c r="F16" s="106" t="s">
        <v>674</v>
      </c>
      <c r="G16" s="53">
        <f t="shared" ref="G16:L16" si="2">SUM(G7:G13)+G3+G4</f>
        <v>214579</v>
      </c>
      <c r="H16" s="53">
        <f t="shared" si="2"/>
        <v>210900.00000000003</v>
      </c>
      <c r="I16" s="53">
        <f t="shared" si="2"/>
        <v>78763</v>
      </c>
      <c r="J16" s="53">
        <f t="shared" si="2"/>
        <v>223163</v>
      </c>
      <c r="K16" s="160">
        <f>SUM(K7:K13)+K3+K4</f>
        <v>99034</v>
      </c>
      <c r="L16" s="111">
        <f t="shared" si="2"/>
        <v>103129.93544911384</v>
      </c>
      <c r="M16" s="111">
        <f>SUM(M7:M13)+M3+M4</f>
        <v>171668.79005393013</v>
      </c>
    </row>
    <row r="17" spans="1:13" ht="15.75" thickBot="1" x14ac:dyDescent="0.3">
      <c r="A17" s="82" t="s">
        <v>743</v>
      </c>
      <c r="B17" s="83"/>
      <c r="C17" s="54">
        <f>M31</f>
        <v>929568.93544911384</v>
      </c>
      <c r="D17"/>
      <c r="K17" s="67"/>
      <c r="L17" s="98"/>
      <c r="M17" s="98"/>
    </row>
    <row r="18" spans="1:13" ht="15.75" thickBot="1" x14ac:dyDescent="0.3">
      <c r="A18" s="84" t="s">
        <v>248</v>
      </c>
      <c r="B18" s="85"/>
      <c r="C18" s="55">
        <f>SUM(C16:C17)</f>
        <v>1101237.725503044</v>
      </c>
      <c r="D18"/>
      <c r="F18" s="107" t="s">
        <v>675</v>
      </c>
      <c r="G18" s="91">
        <f>SUM($G16:G16)</f>
        <v>214579</v>
      </c>
      <c r="H18" s="91">
        <f>SUM($G16:H16)</f>
        <v>425479</v>
      </c>
      <c r="I18" s="91">
        <f>SUM($G16:I16)</f>
        <v>504242</v>
      </c>
      <c r="J18" s="91">
        <f>SUM($G16:J16)</f>
        <v>727405</v>
      </c>
      <c r="K18" s="72">
        <f>SUM($G16:K16)</f>
        <v>826439</v>
      </c>
      <c r="L18" s="112">
        <f>SUM($G16:L16)</f>
        <v>929568.93544911384</v>
      </c>
      <c r="M18" s="112">
        <f>SUM($G16:O16)</f>
        <v>1101237.725503044</v>
      </c>
    </row>
    <row r="19" spans="1:13" x14ac:dyDescent="0.25">
      <c r="A19" s="1"/>
      <c r="B19" s="1"/>
      <c r="C19" s="49"/>
      <c r="D19"/>
    </row>
    <row r="20" spans="1:13" x14ac:dyDescent="0.25">
      <c r="A20" s="88" t="s">
        <v>605</v>
      </c>
      <c r="B20" s="86"/>
      <c r="C20" s="56">
        <f>-C17/SUM(C3,C4)</f>
        <v>0.52513198579595877</v>
      </c>
      <c r="D20"/>
    </row>
    <row r="21" spans="1:13" x14ac:dyDescent="0.25">
      <c r="D21"/>
      <c r="J21" t="s">
        <v>670</v>
      </c>
    </row>
    <row r="22" spans="1:13" x14ac:dyDescent="0.25">
      <c r="D22"/>
    </row>
    <row r="23" spans="1:13" ht="30.75" thickBot="1" x14ac:dyDescent="0.3">
      <c r="A23" s="129" t="s">
        <v>22</v>
      </c>
      <c r="B23" s="129"/>
      <c r="C23" s="129"/>
      <c r="J23" s="27" t="s">
        <v>20</v>
      </c>
      <c r="K23" s="103" t="s">
        <v>23</v>
      </c>
      <c r="L23" s="103" t="s">
        <v>24</v>
      </c>
      <c r="M23" s="39" t="s">
        <v>669</v>
      </c>
    </row>
    <row r="24" spans="1:13" x14ac:dyDescent="0.25">
      <c r="A24" s="129" t="s">
        <v>23</v>
      </c>
      <c r="B24" s="129" t="s">
        <v>4</v>
      </c>
      <c r="C24" s="130">
        <v>-1142729.6868912536</v>
      </c>
    </row>
    <row r="25" spans="1:13" x14ac:dyDescent="0.25">
      <c r="A25" s="129"/>
      <c r="B25" s="129" t="s">
        <v>3</v>
      </c>
      <c r="C25" s="130">
        <v>-627432.78767242678</v>
      </c>
      <c r="J25" s="102">
        <v>2016</v>
      </c>
      <c r="K25" s="10">
        <f>SUM(Forecast_Main!D115:G115)</f>
        <v>-594831.5</v>
      </c>
      <c r="L25" s="10">
        <f>SUM(Forecast_Main!D124:G124)</f>
        <v>809410.5</v>
      </c>
      <c r="M25" s="10">
        <f t="shared" ref="M25:M30" si="3">SUM(K25:L25)</f>
        <v>214579</v>
      </c>
    </row>
    <row r="26" spans="1:13" x14ac:dyDescent="0.25">
      <c r="A26" s="129" t="s">
        <v>607</v>
      </c>
      <c r="B26" s="129"/>
      <c r="C26" s="130">
        <v>-1770162.4745636804</v>
      </c>
      <c r="J26" s="102">
        <v>2017</v>
      </c>
      <c r="K26" s="10">
        <f>SUM(Forecast_Main!H115:K115)</f>
        <v>-644372.30000000005</v>
      </c>
      <c r="L26" s="10">
        <f>SUM(Forecast_Main!H124:K124)</f>
        <v>855272.3</v>
      </c>
      <c r="M26" s="10">
        <f t="shared" si="3"/>
        <v>210900</v>
      </c>
    </row>
    <row r="27" spans="1:13" x14ac:dyDescent="0.25">
      <c r="A27" s="129"/>
      <c r="B27" s="129"/>
      <c r="C27" s="129"/>
      <c r="J27" s="102">
        <v>2018</v>
      </c>
      <c r="K27" s="10">
        <f>SUM(Forecast_Main!L115:O115)</f>
        <v>-864883.15</v>
      </c>
      <c r="L27" s="10">
        <f>SUM(Forecast_Main!L124:O124)</f>
        <v>943646.15</v>
      </c>
      <c r="M27" s="10">
        <f t="shared" si="3"/>
        <v>78763</v>
      </c>
    </row>
    <row r="28" spans="1:13" x14ac:dyDescent="0.25">
      <c r="A28" s="129" t="s">
        <v>24</v>
      </c>
      <c r="B28" s="129" t="s">
        <v>5</v>
      </c>
      <c r="C28" s="130">
        <v>605797.71419306134</v>
      </c>
      <c r="J28" s="102">
        <v>2019</v>
      </c>
      <c r="K28" s="10">
        <f>SUM(Forecast_Main!P115:S115)</f>
        <v>-1001808.25</v>
      </c>
      <c r="L28" s="10">
        <f>SUM(Forecast_Main!P124:S124)</f>
        <v>1224971.25</v>
      </c>
      <c r="M28" s="10">
        <f t="shared" si="3"/>
        <v>223163</v>
      </c>
    </row>
    <row r="29" spans="1:13" x14ac:dyDescent="0.25">
      <c r="A29" s="129"/>
      <c r="B29" s="129" t="s">
        <v>7</v>
      </c>
      <c r="C29" s="130">
        <v>676035.9753834221</v>
      </c>
      <c r="J29" s="102">
        <v>2020</v>
      </c>
      <c r="K29" s="10">
        <f>SUM(Forecast_Main!T115:W115)</f>
        <v>-1169217.95</v>
      </c>
      <c r="L29" s="10">
        <f>SUM(Forecast_Main!T124:W124)</f>
        <v>1268251.95</v>
      </c>
      <c r="M29" s="10">
        <f t="shared" si="3"/>
        <v>99034</v>
      </c>
    </row>
    <row r="30" spans="1:13" x14ac:dyDescent="0.25">
      <c r="A30" s="129"/>
      <c r="B30" s="129" t="s">
        <v>6</v>
      </c>
      <c r="C30" s="130">
        <v>384542.97945602186</v>
      </c>
      <c r="J30" s="102" t="s">
        <v>745</v>
      </c>
      <c r="K30" s="130">
        <f>L5</f>
        <v>-1473138.7688981786</v>
      </c>
      <c r="L30" s="130">
        <f>L14</f>
        <v>1576268.7043472924</v>
      </c>
      <c r="M30" s="130">
        <f t="shared" si="3"/>
        <v>103129.93544911384</v>
      </c>
    </row>
    <row r="31" spans="1:13" ht="15.75" thickBot="1" x14ac:dyDescent="0.3">
      <c r="A31" s="129"/>
      <c r="B31" s="129" t="s">
        <v>25</v>
      </c>
      <c r="C31" s="130">
        <v>180529.30857324228</v>
      </c>
      <c r="J31" s="30" t="s">
        <v>29</v>
      </c>
      <c r="K31" s="91">
        <f>SUM(K25:K30)</f>
        <v>-5748251.9188981792</v>
      </c>
      <c r="L31" s="91">
        <f>SUM(L25:L30)</f>
        <v>6677820.8543472923</v>
      </c>
      <c r="M31" s="91">
        <f>SUM(M25:M30)</f>
        <v>929568.93544911384</v>
      </c>
    </row>
    <row r="32" spans="1:13" x14ac:dyDescent="0.25">
      <c r="A32" s="129"/>
      <c r="B32" s="129" t="s">
        <v>26</v>
      </c>
      <c r="C32" s="130">
        <v>41027.354861955711</v>
      </c>
    </row>
    <row r="33" spans="1:3" x14ac:dyDescent="0.25">
      <c r="A33" s="129"/>
      <c r="B33" s="129" t="s">
        <v>10</v>
      </c>
      <c r="C33" s="130">
        <v>26812.389106029146</v>
      </c>
    </row>
    <row r="34" spans="1:3" x14ac:dyDescent="0.25">
      <c r="A34" s="129"/>
      <c r="B34" s="129" t="s">
        <v>782</v>
      </c>
      <c r="C34" s="130">
        <v>4258.321137948963</v>
      </c>
    </row>
    <row r="35" spans="1:3" x14ac:dyDescent="0.25">
      <c r="A35" s="129" t="s">
        <v>608</v>
      </c>
      <c r="B35" s="129"/>
      <c r="C35" s="130">
        <v>1919004.0427116812</v>
      </c>
    </row>
    <row r="36" spans="1:3" x14ac:dyDescent="0.25">
      <c r="A36" s="129"/>
      <c r="B36" s="129"/>
      <c r="C36" s="129"/>
    </row>
    <row r="37" spans="1:3" x14ac:dyDescent="0.25">
      <c r="A37" s="129" t="s">
        <v>742</v>
      </c>
      <c r="B37" s="129"/>
      <c r="C37" s="130">
        <v>148841.56814800086</v>
      </c>
    </row>
    <row r="38" spans="1:3" x14ac:dyDescent="0.25">
      <c r="A38" s="129" t="s">
        <v>743</v>
      </c>
      <c r="B38" s="129"/>
      <c r="C38" s="130">
        <v>935968.81607299973</v>
      </c>
    </row>
    <row r="39" spans="1:3" x14ac:dyDescent="0.25">
      <c r="A39" s="129" t="s">
        <v>248</v>
      </c>
      <c r="B39" s="129"/>
      <c r="C39" s="130">
        <v>1084810.3842210006</v>
      </c>
    </row>
  </sheetData>
  <mergeCells count="2">
    <mergeCell ref="A2:C2"/>
    <mergeCell ref="F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tabSelected="1" zoomScale="75" zoomScaleNormal="75" workbookViewId="0">
      <pane xSplit="3" ySplit="5" topLeftCell="L18" activePane="bottomRight" state="frozen"/>
      <selection pane="topRight" activeCell="D1" sqref="D1"/>
      <selection pane="bottomLeft" activeCell="A3" sqref="A3"/>
      <selection pane="bottomRight" activeCell="L30" sqref="L30"/>
    </sheetView>
  </sheetViews>
  <sheetFormatPr defaultRowHeight="15" x14ac:dyDescent="0.25"/>
  <cols>
    <col min="1" max="1" width="23.5703125" customWidth="1"/>
    <col min="2" max="2" width="15.7109375" bestFit="1" customWidth="1"/>
    <col min="3" max="3" width="23.42578125" customWidth="1"/>
    <col min="4" max="6" width="15" customWidth="1"/>
    <col min="7" max="13" width="19.85546875" customWidth="1"/>
    <col min="14" max="32" width="13" customWidth="1"/>
    <col min="33" max="33" width="18.85546875" customWidth="1"/>
  </cols>
  <sheetData>
    <row r="1" spans="1:37" ht="21" x14ac:dyDescent="0.35">
      <c r="A1" s="94" t="s">
        <v>653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37" ht="79.5" customHeight="1" x14ac:dyDescent="0.25">
      <c r="A2" s="177" t="s">
        <v>654</v>
      </c>
      <c r="B2" s="177"/>
      <c r="C2" s="177"/>
      <c r="D2" s="177"/>
      <c r="E2" s="177"/>
      <c r="F2" s="177"/>
      <c r="G2" s="177"/>
    </row>
    <row r="4" spans="1:37" x14ac:dyDescent="0.25">
      <c r="A4" s="19" t="s">
        <v>274</v>
      </c>
      <c r="D4" s="19" t="s">
        <v>249</v>
      </c>
    </row>
    <row r="5" spans="1:37" x14ac:dyDescent="0.25">
      <c r="A5" s="19" t="s">
        <v>250</v>
      </c>
      <c r="B5" s="19" t="s">
        <v>269</v>
      </c>
      <c r="C5" s="19" t="s">
        <v>254</v>
      </c>
      <c r="D5" s="20">
        <v>42370</v>
      </c>
      <c r="E5" s="20">
        <v>42461</v>
      </c>
      <c r="F5" s="20">
        <v>42552</v>
      </c>
      <c r="G5" s="20">
        <v>42644</v>
      </c>
      <c r="H5" s="20">
        <v>42736</v>
      </c>
      <c r="I5" s="20">
        <v>42826</v>
      </c>
      <c r="J5" s="20">
        <v>42917</v>
      </c>
      <c r="K5" s="20">
        <v>43009</v>
      </c>
      <c r="L5" s="20">
        <v>43101</v>
      </c>
      <c r="M5" s="20">
        <v>43191</v>
      </c>
      <c r="N5" s="20">
        <v>43282</v>
      </c>
      <c r="O5" s="20">
        <v>43374</v>
      </c>
      <c r="P5" s="20">
        <v>43466</v>
      </c>
      <c r="Q5" s="20">
        <v>43556</v>
      </c>
      <c r="R5" s="20">
        <v>43647</v>
      </c>
      <c r="S5" s="20">
        <v>43739</v>
      </c>
      <c r="T5" s="20">
        <v>43831</v>
      </c>
      <c r="U5" s="20">
        <v>43922</v>
      </c>
      <c r="V5" s="20">
        <v>44013</v>
      </c>
      <c r="W5" s="20">
        <v>44105</v>
      </c>
      <c r="X5" s="66">
        <f t="shared" ref="X5:AE5" si="0">DATE(YEAR(W5),MONTH(W5)+3,1)</f>
        <v>44197</v>
      </c>
      <c r="Y5" s="66">
        <f t="shared" si="0"/>
        <v>44287</v>
      </c>
      <c r="Z5" s="66">
        <f t="shared" si="0"/>
        <v>44378</v>
      </c>
      <c r="AA5" s="66">
        <f t="shared" si="0"/>
        <v>44470</v>
      </c>
      <c r="AB5" s="66">
        <f t="shared" si="0"/>
        <v>44562</v>
      </c>
      <c r="AC5" s="66">
        <f t="shared" si="0"/>
        <v>44652</v>
      </c>
      <c r="AD5" s="66">
        <f t="shared" si="0"/>
        <v>44743</v>
      </c>
      <c r="AE5" s="66">
        <f t="shared" si="0"/>
        <v>44835</v>
      </c>
    </row>
    <row r="6" spans="1:37" x14ac:dyDescent="0.25">
      <c r="A6" s="96" t="s">
        <v>655</v>
      </c>
      <c r="B6" s="96" t="s">
        <v>5</v>
      </c>
      <c r="C6" s="96" t="s">
        <v>5</v>
      </c>
      <c r="D6" s="97">
        <v>64.5</v>
      </c>
      <c r="E6" s="97">
        <v>62.85</v>
      </c>
      <c r="F6" s="97">
        <v>63</v>
      </c>
      <c r="G6" s="97">
        <v>62.48</v>
      </c>
      <c r="H6" s="97">
        <v>62.68</v>
      </c>
      <c r="I6" s="97">
        <v>63.04</v>
      </c>
      <c r="J6" s="97">
        <v>63.49</v>
      </c>
      <c r="K6" s="97">
        <v>61.33</v>
      </c>
      <c r="L6" s="97">
        <v>61.85</v>
      </c>
      <c r="M6" s="97">
        <v>61.12</v>
      </c>
      <c r="N6" s="97">
        <v>60.81</v>
      </c>
      <c r="O6" s="97">
        <v>59.73</v>
      </c>
      <c r="P6" s="97">
        <v>60.13</v>
      </c>
      <c r="Q6" s="97">
        <v>59.68</v>
      </c>
      <c r="R6" s="97">
        <v>57.02</v>
      </c>
      <c r="S6" s="97">
        <v>55.81</v>
      </c>
      <c r="T6" s="97">
        <v>55.33</v>
      </c>
      <c r="U6" s="97">
        <v>55.78</v>
      </c>
      <c r="V6" s="97">
        <v>55.03</v>
      </c>
      <c r="W6" s="97">
        <v>52.89</v>
      </c>
    </row>
    <row r="7" spans="1:37" x14ac:dyDescent="0.25">
      <c r="A7" s="96"/>
      <c r="B7" s="96" t="s">
        <v>7</v>
      </c>
      <c r="C7" s="96" t="s">
        <v>7</v>
      </c>
      <c r="D7" s="97">
        <v>56.38</v>
      </c>
      <c r="E7" s="97">
        <v>51.31</v>
      </c>
      <c r="F7" s="97">
        <v>51.13</v>
      </c>
      <c r="G7" s="97">
        <v>48.72</v>
      </c>
      <c r="H7" s="97">
        <v>46.35</v>
      </c>
      <c r="I7" s="97">
        <v>47.58</v>
      </c>
      <c r="J7" s="97">
        <v>47.06</v>
      </c>
      <c r="K7" s="97">
        <v>47.45</v>
      </c>
      <c r="L7" s="97">
        <v>45.21</v>
      </c>
      <c r="M7" s="97">
        <v>46.03</v>
      </c>
      <c r="N7" s="97">
        <v>45.34</v>
      </c>
      <c r="O7" s="97">
        <v>44.35</v>
      </c>
      <c r="P7" s="97">
        <v>39.51</v>
      </c>
      <c r="Q7" s="97">
        <v>38.92</v>
      </c>
      <c r="R7" s="97">
        <v>38.97</v>
      </c>
      <c r="S7" s="97">
        <v>37.380000000000003</v>
      </c>
      <c r="T7" s="97">
        <v>36.65</v>
      </c>
      <c r="U7" s="97">
        <v>43.71</v>
      </c>
      <c r="V7" s="97">
        <v>42.81</v>
      </c>
      <c r="W7" s="97">
        <v>44.65</v>
      </c>
    </row>
    <row r="8" spans="1:37" x14ac:dyDescent="0.25">
      <c r="A8" s="96"/>
      <c r="B8" s="96" t="s">
        <v>255</v>
      </c>
      <c r="C8" s="96" t="s">
        <v>255</v>
      </c>
      <c r="D8" s="97"/>
      <c r="E8" s="97"/>
      <c r="F8" s="97"/>
      <c r="G8" s="97"/>
      <c r="H8" s="97"/>
      <c r="I8" s="97"/>
      <c r="J8" s="97"/>
      <c r="K8" s="97">
        <v>33.64</v>
      </c>
      <c r="L8" s="97">
        <v>48.76</v>
      </c>
      <c r="M8" s="97">
        <v>36.380000000000003</v>
      </c>
      <c r="N8" s="97">
        <v>37.42</v>
      </c>
      <c r="O8" s="97">
        <v>34.96</v>
      </c>
      <c r="P8" s="97">
        <v>53.91</v>
      </c>
      <c r="Q8" s="97">
        <v>44.74</v>
      </c>
      <c r="R8" s="97">
        <v>29.88</v>
      </c>
      <c r="S8" s="97">
        <v>28.12</v>
      </c>
      <c r="T8" s="97">
        <v>27.29</v>
      </c>
      <c r="U8" s="97">
        <v>30.18</v>
      </c>
      <c r="V8" s="97">
        <v>64.48</v>
      </c>
      <c r="W8" s="97">
        <v>39.46</v>
      </c>
    </row>
    <row r="10" spans="1:37" x14ac:dyDescent="0.25"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f>T12/P12-1</f>
        <v>-7.9827041410277744E-2</v>
      </c>
      <c r="U10" s="8">
        <f>U12/Q12-1</f>
        <v>-6.5348525469168917E-2</v>
      </c>
      <c r="V10" s="8">
        <f>V12/R12-1</f>
        <v>-3.4900035075412172E-2</v>
      </c>
      <c r="W10" s="8">
        <f>W12/S12-1</f>
        <v>-5.2320372693065775E-2</v>
      </c>
      <c r="AE10">
        <f>W12*((1+T10)^2)</f>
        <v>44.782929497038253</v>
      </c>
      <c r="AK10" t="s">
        <v>748</v>
      </c>
    </row>
    <row r="11" spans="1:37" x14ac:dyDescent="0.25">
      <c r="B11" t="s">
        <v>656</v>
      </c>
      <c r="D11" s="20">
        <f>D5</f>
        <v>42370</v>
      </c>
      <c r="E11" s="20">
        <f t="shared" ref="E11:AB12" si="1">E5</f>
        <v>42461</v>
      </c>
      <c r="F11" s="20">
        <f t="shared" si="1"/>
        <v>42552</v>
      </c>
      <c r="G11" s="20">
        <f t="shared" si="1"/>
        <v>42644</v>
      </c>
      <c r="H11" s="20">
        <f t="shared" si="1"/>
        <v>42736</v>
      </c>
      <c r="I11" s="20">
        <f t="shared" si="1"/>
        <v>42826</v>
      </c>
      <c r="J11" s="20">
        <f t="shared" si="1"/>
        <v>42917</v>
      </c>
      <c r="K11" s="20">
        <f t="shared" si="1"/>
        <v>43009</v>
      </c>
      <c r="L11" s="20">
        <f t="shared" si="1"/>
        <v>43101</v>
      </c>
      <c r="M11" s="20">
        <f t="shared" si="1"/>
        <v>43191</v>
      </c>
      <c r="N11" s="20">
        <f t="shared" si="1"/>
        <v>43282</v>
      </c>
      <c r="O11" s="20">
        <f t="shared" si="1"/>
        <v>43374</v>
      </c>
      <c r="P11" s="20">
        <f t="shared" si="1"/>
        <v>43466</v>
      </c>
      <c r="Q11" s="20">
        <f t="shared" si="1"/>
        <v>43556</v>
      </c>
      <c r="R11" s="20">
        <f t="shared" si="1"/>
        <v>43647</v>
      </c>
      <c r="S11" s="20">
        <f t="shared" si="1"/>
        <v>43739</v>
      </c>
      <c r="T11" s="20">
        <f t="shared" si="1"/>
        <v>43831</v>
      </c>
      <c r="U11" s="20">
        <f t="shared" si="1"/>
        <v>43922</v>
      </c>
      <c r="V11" s="20">
        <f t="shared" si="1"/>
        <v>44013</v>
      </c>
      <c r="W11" s="20">
        <f t="shared" si="1"/>
        <v>44105</v>
      </c>
      <c r="X11" s="20">
        <f t="shared" si="1"/>
        <v>44197</v>
      </c>
      <c r="Y11" s="20">
        <f t="shared" si="1"/>
        <v>44287</v>
      </c>
      <c r="Z11" s="20">
        <f t="shared" si="1"/>
        <v>44378</v>
      </c>
      <c r="AA11" s="20">
        <f t="shared" si="1"/>
        <v>44470</v>
      </c>
      <c r="AB11" s="20">
        <f t="shared" si="1"/>
        <v>44562</v>
      </c>
      <c r="AC11" s="20">
        <f>AC5</f>
        <v>44652</v>
      </c>
      <c r="AD11" s="20">
        <f>AD5</f>
        <v>44743</v>
      </c>
      <c r="AE11" s="20">
        <f>AE5</f>
        <v>44835</v>
      </c>
      <c r="AG11" s="99" t="s">
        <v>740</v>
      </c>
      <c r="AH11" t="s">
        <v>739</v>
      </c>
      <c r="AK11">
        <f>T12*(Forecast_Main!T78/SUM(Forecast_Main!$T78:$W78))+U12*(Forecast_Main!U78/SUM(Forecast_Main!$T78:$W78))+V12*(Forecast_Main!V78/SUM(Forecast_Main!$T78:$W78))+W12*(Forecast_Main!W78/SUM(Forecast_Main!$T78:$W78))</f>
        <v>54.763029960921031</v>
      </c>
    </row>
    <row r="12" spans="1:37" x14ac:dyDescent="0.25">
      <c r="B12" t="s">
        <v>5</v>
      </c>
      <c r="C12" t="s">
        <v>749</v>
      </c>
      <c r="D12" s="48">
        <f>D6</f>
        <v>64.5</v>
      </c>
      <c r="E12" s="48">
        <f t="shared" si="1"/>
        <v>62.85</v>
      </c>
      <c r="F12" s="48">
        <f t="shared" si="1"/>
        <v>63</v>
      </c>
      <c r="G12" s="48">
        <f t="shared" si="1"/>
        <v>62.48</v>
      </c>
      <c r="H12" s="48">
        <f t="shared" si="1"/>
        <v>62.68</v>
      </c>
      <c r="I12" s="48">
        <f t="shared" si="1"/>
        <v>63.04</v>
      </c>
      <c r="J12" s="48">
        <f t="shared" si="1"/>
        <v>63.49</v>
      </c>
      <c r="K12" s="48">
        <f t="shared" si="1"/>
        <v>61.33</v>
      </c>
      <c r="L12" s="48">
        <f t="shared" si="1"/>
        <v>61.85</v>
      </c>
      <c r="M12" s="48">
        <f t="shared" si="1"/>
        <v>61.12</v>
      </c>
      <c r="N12" s="48">
        <f t="shared" si="1"/>
        <v>60.81</v>
      </c>
      <c r="O12" s="155">
        <f t="shared" si="1"/>
        <v>59.73</v>
      </c>
      <c r="P12" s="155">
        <f t="shared" si="1"/>
        <v>60.13</v>
      </c>
      <c r="Q12" s="155">
        <f t="shared" si="1"/>
        <v>59.68</v>
      </c>
      <c r="R12" s="155">
        <f t="shared" si="1"/>
        <v>57.02</v>
      </c>
      <c r="S12" s="155">
        <f t="shared" si="1"/>
        <v>55.81</v>
      </c>
      <c r="T12" s="155">
        <f t="shared" si="1"/>
        <v>55.33</v>
      </c>
      <c r="U12" s="155">
        <f t="shared" si="1"/>
        <v>55.78</v>
      </c>
      <c r="V12" s="155">
        <f t="shared" si="1"/>
        <v>55.03</v>
      </c>
      <c r="W12" s="155">
        <f t="shared" si="1"/>
        <v>52.89</v>
      </c>
      <c r="X12" s="48"/>
      <c r="Y12" s="48"/>
      <c r="Z12" s="48"/>
      <c r="AA12" s="48"/>
      <c r="AB12" s="48"/>
      <c r="AC12" s="48"/>
      <c r="AD12" s="48"/>
      <c r="AE12" s="48"/>
      <c r="AG12" s="100" t="e">
        <f>AVERAGE(AB12:AE12)</f>
        <v>#DIV/0!</v>
      </c>
      <c r="AH12">
        <f>'CI Facility'!N32</f>
        <v>46.5</v>
      </c>
    </row>
    <row r="13" spans="1:37" s="129" customFormat="1" x14ac:dyDescent="0.25">
      <c r="C13" s="129" t="s">
        <v>761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>
        <f>'CI Facility'!$L32</f>
        <v>43.70824589865822</v>
      </c>
      <c r="AC13" s="48">
        <f>'CI Facility'!$L32</f>
        <v>43.70824589865822</v>
      </c>
      <c r="AD13" s="48">
        <f>'CI Facility'!$L32</f>
        <v>43.70824589865822</v>
      </c>
      <c r="AE13" s="48">
        <f>'CI Facility'!$L32</f>
        <v>43.70824589865822</v>
      </c>
      <c r="AG13" s="100"/>
    </row>
    <row r="14" spans="1:37" s="129" customFormat="1" x14ac:dyDescent="0.25">
      <c r="C14" s="129" t="s">
        <v>738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129">
        <f>'Constants Pivot'!$D23</f>
        <v>49</v>
      </c>
      <c r="Y14" s="129">
        <f>'Constants Pivot'!$D23</f>
        <v>49</v>
      </c>
      <c r="Z14" s="129">
        <f>'Constants Pivot'!$D23</f>
        <v>49</v>
      </c>
      <c r="AA14" s="129">
        <f>'Constants Pivot'!$D23</f>
        <v>49</v>
      </c>
      <c r="AB14" s="129">
        <f>'Constants Pivot'!$C23</f>
        <v>46.5</v>
      </c>
      <c r="AC14" s="129">
        <f>'Constants Pivot'!$C23</f>
        <v>46.5</v>
      </c>
      <c r="AD14" s="129">
        <f>'Constants Pivot'!$C23</f>
        <v>46.5</v>
      </c>
      <c r="AE14" s="129">
        <f>'Constants Pivot'!$C23</f>
        <v>46.5</v>
      </c>
      <c r="AG14" s="100"/>
    </row>
    <row r="15" spans="1:37" x14ac:dyDescent="0.25">
      <c r="C15" t="s">
        <v>735</v>
      </c>
      <c r="D15" s="48">
        <v>72.87</v>
      </c>
      <c r="E15" s="48">
        <v>70.83</v>
      </c>
      <c r="F15" s="48">
        <v>69.98</v>
      </c>
      <c r="G15" s="48">
        <v>70.34</v>
      </c>
      <c r="H15" s="48">
        <v>71.489999999999995</v>
      </c>
      <c r="I15" s="48">
        <v>70.290000000000006</v>
      </c>
      <c r="J15" s="48">
        <v>69.510000000000005</v>
      </c>
      <c r="K15" s="48">
        <v>68.98</v>
      </c>
      <c r="L15" s="48">
        <v>70.099999999999994</v>
      </c>
      <c r="M15" s="48">
        <v>70.02</v>
      </c>
      <c r="N15" s="48">
        <v>68.41</v>
      </c>
      <c r="O15" s="48">
        <v>65.88</v>
      </c>
      <c r="P15" s="48">
        <v>66</v>
      </c>
      <c r="Q15" s="48">
        <v>63.69</v>
      </c>
      <c r="R15" s="48">
        <v>59.33</v>
      </c>
      <c r="S15" s="48">
        <v>59.46</v>
      </c>
      <c r="T15" s="48">
        <v>60.34</v>
      </c>
      <c r="U15" s="146">
        <v>62.13</v>
      </c>
      <c r="V15" s="146">
        <v>57.77</v>
      </c>
      <c r="W15" s="146">
        <v>57.69</v>
      </c>
      <c r="X15" s="146"/>
      <c r="Y15" s="146"/>
      <c r="Z15" s="146"/>
      <c r="AA15" s="146"/>
      <c r="AG15" s="99"/>
    </row>
    <row r="16" spans="1:37" s="129" customFormat="1" x14ac:dyDescent="0.25"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146"/>
      <c r="V16" s="146"/>
      <c r="W16" s="146"/>
      <c r="X16" s="146"/>
      <c r="Y16" s="146"/>
      <c r="Z16" s="146"/>
      <c r="AA16" s="146"/>
      <c r="AG16" s="99"/>
    </row>
    <row r="17" spans="2:37" x14ac:dyDescent="0.25"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U17" s="48"/>
      <c r="V17" s="48"/>
      <c r="W17" s="48"/>
      <c r="AG17" s="99"/>
      <c r="AK17" s="129">
        <f>T18*(Forecast_Main!T84/SUM(Forecast_Main!$T84:$W84))+U18*(Forecast_Main!U84/SUM(Forecast_Main!$T84:$W84))+V18*(Forecast_Main!V84/SUM(Forecast_Main!$T84:$W84))+W18*(Forecast_Main!W84/SUM(Forecast_Main!$T84:$W84))</f>
        <v>42.13908349240279</v>
      </c>
    </row>
    <row r="18" spans="2:37" x14ac:dyDescent="0.25">
      <c r="B18" t="s">
        <v>7</v>
      </c>
      <c r="C18" s="129" t="s">
        <v>749</v>
      </c>
      <c r="D18" s="48">
        <f t="shared" ref="D18:W18" si="2">D7</f>
        <v>56.38</v>
      </c>
      <c r="E18" s="48">
        <f t="shared" si="2"/>
        <v>51.31</v>
      </c>
      <c r="F18" s="48">
        <f t="shared" si="2"/>
        <v>51.13</v>
      </c>
      <c r="G18" s="48">
        <f t="shared" si="2"/>
        <v>48.72</v>
      </c>
      <c r="H18" s="48">
        <f t="shared" si="2"/>
        <v>46.35</v>
      </c>
      <c r="I18" s="48">
        <f t="shared" si="2"/>
        <v>47.58</v>
      </c>
      <c r="J18" s="48">
        <f t="shared" si="2"/>
        <v>47.06</v>
      </c>
      <c r="K18" s="48">
        <f t="shared" si="2"/>
        <v>47.45</v>
      </c>
      <c r="L18" s="48">
        <f t="shared" si="2"/>
        <v>45.21</v>
      </c>
      <c r="M18" s="48">
        <f t="shared" si="2"/>
        <v>46.03</v>
      </c>
      <c r="N18" s="48">
        <f t="shared" si="2"/>
        <v>45.34</v>
      </c>
      <c r="O18" s="155">
        <f t="shared" si="2"/>
        <v>44.35</v>
      </c>
      <c r="P18" s="155">
        <f t="shared" si="2"/>
        <v>39.51</v>
      </c>
      <c r="Q18" s="155">
        <f t="shared" si="2"/>
        <v>38.92</v>
      </c>
      <c r="R18" s="155">
        <f t="shared" si="2"/>
        <v>38.97</v>
      </c>
      <c r="S18" s="155">
        <f t="shared" si="2"/>
        <v>37.380000000000003</v>
      </c>
      <c r="T18" s="155">
        <f t="shared" si="2"/>
        <v>36.65</v>
      </c>
      <c r="U18" s="155">
        <f t="shared" si="2"/>
        <v>43.71</v>
      </c>
      <c r="V18" s="155">
        <f t="shared" si="2"/>
        <v>42.81</v>
      </c>
      <c r="W18" s="155">
        <f t="shared" si="2"/>
        <v>44.65</v>
      </c>
      <c r="X18" s="48"/>
      <c r="Y18" s="48"/>
      <c r="Z18" s="48"/>
      <c r="AA18" s="48"/>
      <c r="AB18" s="48"/>
      <c r="AC18" s="48"/>
      <c r="AD18" s="48"/>
      <c r="AE18" s="48"/>
      <c r="AG18" s="100" t="e">
        <f>AVERAGE(AB18:AE18)</f>
        <v>#DIV/0!</v>
      </c>
      <c r="AH18">
        <v>35</v>
      </c>
    </row>
    <row r="19" spans="2:37" s="129" customFormat="1" x14ac:dyDescent="0.25">
      <c r="C19" s="129" t="s">
        <v>761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>
        <f>'CI Facility'!$L51</f>
        <v>30.005974580322214</v>
      </c>
      <c r="AC19" s="48">
        <f>'CI Facility'!$L51</f>
        <v>30.005974580322214</v>
      </c>
      <c r="AD19" s="48">
        <f>'CI Facility'!$L51</f>
        <v>30.005974580322214</v>
      </c>
      <c r="AE19" s="48">
        <f>'CI Facility'!$L51</f>
        <v>30.005974580322214</v>
      </c>
      <c r="AG19" s="100"/>
    </row>
    <row r="20" spans="2:37" s="129" customFormat="1" x14ac:dyDescent="0.25">
      <c r="C20" s="129" t="s">
        <v>738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>
        <f>'Constants Pivot'!$D25</f>
        <v>36</v>
      </c>
      <c r="Y20" s="48">
        <f>'Constants Pivot'!$D25</f>
        <v>36</v>
      </c>
      <c r="Z20" s="48">
        <f>'Constants Pivot'!$D25</f>
        <v>36</v>
      </c>
      <c r="AA20" s="48">
        <f>'Constants Pivot'!$D25</f>
        <v>36</v>
      </c>
      <c r="AB20" s="48">
        <f>'Constants Pivot'!$C25</f>
        <v>31.5</v>
      </c>
      <c r="AC20" s="48">
        <f>'Constants Pivot'!$C25</f>
        <v>31.5</v>
      </c>
      <c r="AD20" s="48">
        <f>'Constants Pivot'!$C25</f>
        <v>31.5</v>
      </c>
      <c r="AE20" s="48">
        <f>'Constants Pivot'!$C25</f>
        <v>31.5</v>
      </c>
      <c r="AG20" s="100"/>
    </row>
    <row r="21" spans="2:37" x14ac:dyDescent="0.25">
      <c r="C21" s="129" t="s">
        <v>735</v>
      </c>
      <c r="D21">
        <v>17.25</v>
      </c>
      <c r="E21" s="129">
        <v>13.83</v>
      </c>
      <c r="F21" s="129">
        <v>17.53</v>
      </c>
      <c r="G21" s="129">
        <v>18.309999999999999</v>
      </c>
      <c r="H21" s="129">
        <v>34.76</v>
      </c>
      <c r="I21" s="129">
        <v>30.84</v>
      </c>
      <c r="J21" s="129">
        <v>36.82</v>
      </c>
      <c r="K21" s="129">
        <v>34.15</v>
      </c>
      <c r="L21" s="129">
        <v>33.97</v>
      </c>
      <c r="M21" s="129">
        <v>29.93</v>
      </c>
      <c r="N21" s="129">
        <v>29.61</v>
      </c>
      <c r="O21" s="129">
        <v>30.67</v>
      </c>
      <c r="P21" s="129">
        <v>28.46</v>
      </c>
      <c r="Q21" s="129">
        <v>26.98</v>
      </c>
      <c r="R21" s="129">
        <v>26.15</v>
      </c>
      <c r="S21" s="129">
        <v>26.34</v>
      </c>
      <c r="T21" s="129">
        <v>25.84</v>
      </c>
      <c r="U21" s="157">
        <v>27.23</v>
      </c>
      <c r="V21" s="157">
        <v>27.01</v>
      </c>
      <c r="W21" s="157">
        <v>29.93</v>
      </c>
      <c r="X21" s="157"/>
      <c r="Y21" s="157"/>
      <c r="Z21" s="157"/>
      <c r="AA21" s="157"/>
      <c r="AG21" s="99"/>
    </row>
    <row r="22" spans="2:37" s="129" customFormat="1" x14ac:dyDescent="0.25">
      <c r="U22" s="157"/>
      <c r="V22" s="157"/>
      <c r="W22" s="157"/>
      <c r="X22" s="157"/>
      <c r="Y22" s="157"/>
      <c r="Z22" s="157"/>
      <c r="AA22" s="157"/>
      <c r="AG22" s="99"/>
    </row>
    <row r="23" spans="2:37" x14ac:dyDescent="0.25"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U23" s="48"/>
      <c r="V23" s="48"/>
      <c r="W23" s="48"/>
      <c r="AG23" s="99"/>
    </row>
    <row r="24" spans="2:37" x14ac:dyDescent="0.25">
      <c r="B24" t="s">
        <v>6</v>
      </c>
      <c r="C24" s="129" t="s">
        <v>749</v>
      </c>
      <c r="K24" s="48">
        <f t="shared" ref="K24:W24" si="3">K8</f>
        <v>33.64</v>
      </c>
      <c r="L24" s="48">
        <f t="shared" si="3"/>
        <v>48.76</v>
      </c>
      <c r="M24" s="155">
        <f t="shared" si="3"/>
        <v>36.380000000000003</v>
      </c>
      <c r="N24" s="155">
        <f t="shared" si="3"/>
        <v>37.42</v>
      </c>
      <c r="O24" s="155">
        <f t="shared" si="3"/>
        <v>34.96</v>
      </c>
      <c r="P24" s="155">
        <f t="shared" si="3"/>
        <v>53.91</v>
      </c>
      <c r="Q24" s="155">
        <f t="shared" si="3"/>
        <v>44.74</v>
      </c>
      <c r="R24" s="155">
        <f t="shared" si="3"/>
        <v>29.88</v>
      </c>
      <c r="S24" s="155">
        <f t="shared" si="3"/>
        <v>28.12</v>
      </c>
      <c r="T24" s="155">
        <f t="shared" si="3"/>
        <v>27.29</v>
      </c>
      <c r="U24" s="155">
        <f t="shared" si="3"/>
        <v>30.18</v>
      </c>
      <c r="V24" s="155">
        <f t="shared" si="3"/>
        <v>64.48</v>
      </c>
      <c r="W24" s="155">
        <f t="shared" si="3"/>
        <v>39.46</v>
      </c>
      <c r="X24" s="48"/>
      <c r="Y24" s="48"/>
      <c r="Z24" s="48"/>
      <c r="AA24" s="48"/>
      <c r="AB24" s="48"/>
      <c r="AC24" s="48"/>
      <c r="AD24" s="48"/>
      <c r="AE24" s="48"/>
      <c r="AG24" s="100" t="e">
        <f>AVERAGE(AB24:AE24)</f>
        <v>#DIV/0!</v>
      </c>
      <c r="AH24">
        <f>'CI Facility'!N75</f>
        <v>33.25</v>
      </c>
      <c r="AK24" s="129">
        <f>T24*(Forecast_Main!T86/SUM(Forecast_Main!$T86:$W86))+U24*(Forecast_Main!U86/SUM(Forecast_Main!$T86:$W86))+V24*(Forecast_Main!V86/SUM(Forecast_Main!$T86:$W86))+W24*(Forecast_Main!W86/SUM(Forecast_Main!$T86:$W86))</f>
        <v>31.641707110234726</v>
      </c>
    </row>
    <row r="25" spans="2:37" s="129" customFormat="1" x14ac:dyDescent="0.25">
      <c r="C25" s="129" t="s">
        <v>761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AB25" s="171">
        <f>'CI Facility'!$L75</f>
        <v>31.964285714285715</v>
      </c>
      <c r="AC25" s="171">
        <f>'CI Facility'!$L75</f>
        <v>31.964285714285715</v>
      </c>
      <c r="AD25" s="171">
        <f>'CI Facility'!$L75</f>
        <v>31.964285714285715</v>
      </c>
      <c r="AE25" s="171">
        <f>'CI Facility'!$L75</f>
        <v>31.964285714285715</v>
      </c>
      <c r="AG25" s="100"/>
    </row>
    <row r="26" spans="2:37" s="129" customFormat="1" x14ac:dyDescent="0.25">
      <c r="C26" s="129" t="s">
        <v>750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>
        <f>'Constants Pivot'!$D27</f>
        <v>36</v>
      </c>
      <c r="Y26" s="48">
        <f>'Constants Pivot'!$D27</f>
        <v>36</v>
      </c>
      <c r="Z26" s="48">
        <f>'Constants Pivot'!$D27</f>
        <v>36</v>
      </c>
      <c r="AA26" s="48">
        <f>'Constants Pivot'!$D27</f>
        <v>36</v>
      </c>
      <c r="AB26" s="48">
        <f>'Constants Pivot'!$C27</f>
        <v>33.25</v>
      </c>
      <c r="AC26" s="48">
        <f>'Constants Pivot'!$C27</f>
        <v>33.25</v>
      </c>
      <c r="AD26" s="48">
        <f>'Constants Pivot'!$C27</f>
        <v>33.25</v>
      </c>
      <c r="AE26" s="48">
        <f>'Constants Pivot'!$C27</f>
        <v>33.25</v>
      </c>
      <c r="AG26" s="100"/>
    </row>
    <row r="27" spans="2:37" x14ac:dyDescent="0.25">
      <c r="C27" s="129" t="s">
        <v>735</v>
      </c>
      <c r="D27">
        <v>52.89</v>
      </c>
      <c r="E27" s="129">
        <v>31.78</v>
      </c>
      <c r="F27" s="129">
        <v>30.2</v>
      </c>
      <c r="G27" s="129">
        <v>30.71</v>
      </c>
      <c r="H27" s="129">
        <v>30.11</v>
      </c>
      <c r="I27" s="129">
        <v>30.23</v>
      </c>
      <c r="J27" s="129">
        <v>30.39</v>
      </c>
      <c r="K27" s="129">
        <v>30.9</v>
      </c>
      <c r="L27" s="129">
        <v>30.9</v>
      </c>
      <c r="M27" s="129">
        <v>31.53</v>
      </c>
      <c r="N27" s="129">
        <v>32.200000000000003</v>
      </c>
      <c r="O27" s="129">
        <v>34.049999999999997</v>
      </c>
      <c r="P27" s="129">
        <v>36.39</v>
      </c>
      <c r="Q27" s="129">
        <v>34.25</v>
      </c>
      <c r="R27" s="129">
        <v>33.58</v>
      </c>
      <c r="S27" s="129">
        <v>34.119999999999997</v>
      </c>
      <c r="T27" s="129">
        <v>32.1</v>
      </c>
      <c r="U27" s="146">
        <v>35.049999999999997</v>
      </c>
      <c r="V27" s="146">
        <v>32.08</v>
      </c>
      <c r="W27" s="146">
        <v>32.86</v>
      </c>
      <c r="X27" s="146"/>
      <c r="Y27" s="146"/>
      <c r="Z27" s="146"/>
      <c r="AA27" s="146"/>
      <c r="AG27" s="99"/>
    </row>
    <row r="28" spans="2:37" x14ac:dyDescent="0.25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</sheetData>
  <mergeCells count="1">
    <mergeCell ref="A2:G2"/>
  </mergeCell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zoomScale="75" zoomScaleNormal="75" workbookViewId="0">
      <pane xSplit="3" ySplit="5" topLeftCell="D54" activePane="bottomRight" state="frozen"/>
      <selection pane="topRight" activeCell="D1" sqref="D1"/>
      <selection pane="bottomLeft" activeCell="A5" sqref="A5"/>
      <selection pane="bottomRight" activeCell="N76" sqref="N76"/>
    </sheetView>
  </sheetViews>
  <sheetFormatPr defaultRowHeight="15" x14ac:dyDescent="0.25"/>
  <cols>
    <col min="1" max="1" width="19.28515625" customWidth="1"/>
    <col min="2" max="2" width="14.85546875" customWidth="1"/>
    <col min="3" max="3" width="36.85546875" customWidth="1"/>
    <col min="4" max="4" width="15.85546875" customWidth="1"/>
    <col min="5" max="5" width="22.42578125" customWidth="1"/>
    <col min="6" max="6" width="22.140625" customWidth="1"/>
    <col min="7" max="7" width="20.7109375" customWidth="1"/>
    <col min="8" max="8" width="5.140625" customWidth="1"/>
    <col min="9" max="9" width="18.42578125" customWidth="1"/>
    <col min="10" max="10" width="25.28515625" customWidth="1"/>
    <col min="12" max="12" width="24.140625" bestFit="1" customWidth="1"/>
    <col min="13" max="13" width="36.5703125" customWidth="1"/>
    <col min="14" max="14" width="21.28515625" customWidth="1"/>
  </cols>
  <sheetData>
    <row r="1" spans="1:14" s="129" customFormat="1" x14ac:dyDescent="0.25">
      <c r="A1" s="19" t="s">
        <v>254</v>
      </c>
      <c r="B1" s="129" t="s">
        <v>751</v>
      </c>
      <c r="L1" s="178" t="s">
        <v>737</v>
      </c>
      <c r="M1" s="178"/>
      <c r="N1" s="178"/>
    </row>
    <row r="2" spans="1:14" x14ac:dyDescent="0.25">
      <c r="A2" s="19" t="s">
        <v>698</v>
      </c>
      <c r="B2" s="127">
        <v>44197</v>
      </c>
      <c r="L2" s="178"/>
      <c r="M2" s="178"/>
      <c r="N2" s="178"/>
    </row>
    <row r="4" spans="1:14" x14ac:dyDescent="0.25">
      <c r="A4" s="19" t="s">
        <v>576</v>
      </c>
      <c r="L4" s="98" t="s">
        <v>704</v>
      </c>
      <c r="N4" s="120" t="s">
        <v>734</v>
      </c>
    </row>
    <row r="5" spans="1:14" x14ac:dyDescent="0.25">
      <c r="A5" s="19" t="s">
        <v>655</v>
      </c>
      <c r="B5" s="19" t="s">
        <v>12</v>
      </c>
      <c r="C5" s="19" t="s">
        <v>577</v>
      </c>
      <c r="D5" s="19" t="s">
        <v>578</v>
      </c>
      <c r="E5" t="s">
        <v>29</v>
      </c>
      <c r="I5" t="s">
        <v>599</v>
      </c>
      <c r="J5" t="s">
        <v>598</v>
      </c>
    </row>
    <row r="6" spans="1:14" x14ac:dyDescent="0.25">
      <c r="A6" s="129">
        <v>43.3</v>
      </c>
      <c r="B6" s="129" t="s">
        <v>15</v>
      </c>
      <c r="C6" s="129">
        <v>5095</v>
      </c>
      <c r="D6" s="129" t="s">
        <v>588</v>
      </c>
      <c r="E6" s="130">
        <v>46000000</v>
      </c>
      <c r="I6" s="68">
        <f>MAX(E6)</f>
        <v>46000000</v>
      </c>
      <c r="J6" s="68">
        <f>MAX(E6)*A6</f>
        <v>1991799999.9999998</v>
      </c>
      <c r="L6" s="109">
        <f>IF(SUM(I6:I$6)&lt;I$32,I6,I$32-SUM(I5:I$5))</f>
        <v>46000000</v>
      </c>
      <c r="M6" s="109">
        <f>L6*A6</f>
        <v>1991799999.9999998</v>
      </c>
    </row>
    <row r="7" spans="1:14" x14ac:dyDescent="0.25">
      <c r="A7" s="129">
        <v>43.775000000000006</v>
      </c>
      <c r="B7" s="129" t="s">
        <v>13</v>
      </c>
      <c r="C7" s="129">
        <v>4060</v>
      </c>
      <c r="D7" s="129" t="s">
        <v>699</v>
      </c>
      <c r="E7" s="130">
        <v>70000000</v>
      </c>
      <c r="I7" s="68">
        <f t="shared" ref="I7:I27" si="0">MAX(E7)</f>
        <v>70000000</v>
      </c>
      <c r="J7" s="68">
        <f t="shared" ref="J7:J27" si="1">MAX(E7)*A7</f>
        <v>3064250000.0000005</v>
      </c>
      <c r="L7" s="109">
        <f>IF(SUM(I$6:I7)&lt;I$32,I7,I$32-SUM(I$5:I6))</f>
        <v>70000000</v>
      </c>
      <c r="M7" s="109">
        <f>L7*A7</f>
        <v>3064250000.0000005</v>
      </c>
    </row>
    <row r="8" spans="1:14" x14ac:dyDescent="0.25">
      <c r="A8" s="129">
        <v>44.043333333333329</v>
      </c>
      <c r="B8" s="129" t="s">
        <v>15</v>
      </c>
      <c r="C8" s="129">
        <v>5078</v>
      </c>
      <c r="D8" s="129" t="s">
        <v>587</v>
      </c>
      <c r="E8" s="130">
        <v>109000000</v>
      </c>
      <c r="I8" s="68">
        <f t="shared" si="0"/>
        <v>109000000</v>
      </c>
      <c r="J8" s="68">
        <f t="shared" si="1"/>
        <v>4800723333.333333</v>
      </c>
      <c r="L8" s="109">
        <f>IF(SUM(I$6:I8)&lt;I$32,I8,I$32-SUM(I$5:I7))</f>
        <v>42098040.047460198</v>
      </c>
      <c r="M8" s="109">
        <f>L8*A8</f>
        <v>1854138010.4903052</v>
      </c>
    </row>
    <row r="9" spans="1:14" x14ac:dyDescent="0.25">
      <c r="A9" s="129">
        <v>44.656666666666666</v>
      </c>
      <c r="B9" s="129" t="s">
        <v>16</v>
      </c>
      <c r="C9" s="129">
        <v>6169</v>
      </c>
      <c r="D9" s="129" t="s">
        <v>583</v>
      </c>
      <c r="E9" s="130">
        <v>145000000</v>
      </c>
      <c r="I9" s="68">
        <f t="shared" si="0"/>
        <v>145000000</v>
      </c>
      <c r="J9" s="68">
        <f t="shared" si="1"/>
        <v>6475216666.666667</v>
      </c>
      <c r="L9" s="68"/>
      <c r="M9" s="68"/>
    </row>
    <row r="10" spans="1:14" x14ac:dyDescent="0.25">
      <c r="A10" s="129">
        <v>49.38</v>
      </c>
      <c r="B10" s="129" t="s">
        <v>18</v>
      </c>
      <c r="C10" s="129">
        <v>4727</v>
      </c>
      <c r="D10" s="129" t="s">
        <v>593</v>
      </c>
      <c r="E10" s="130">
        <v>128722000</v>
      </c>
      <c r="I10" s="68">
        <f t="shared" si="0"/>
        <v>128722000</v>
      </c>
      <c r="J10" s="68">
        <f t="shared" si="1"/>
        <v>6356292360</v>
      </c>
      <c r="L10" s="68"/>
      <c r="M10" s="68"/>
    </row>
    <row r="11" spans="1:14" x14ac:dyDescent="0.25">
      <c r="A11" s="129">
        <v>49.457499999999996</v>
      </c>
      <c r="B11" s="129" t="s">
        <v>18</v>
      </c>
      <c r="C11" s="129">
        <v>4810</v>
      </c>
      <c r="D11" s="129" t="s">
        <v>597</v>
      </c>
      <c r="E11" s="130">
        <v>60000000</v>
      </c>
      <c r="I11" s="68">
        <f t="shared" si="0"/>
        <v>60000000</v>
      </c>
      <c r="J11" s="68">
        <f t="shared" si="1"/>
        <v>2967449999.9999995</v>
      </c>
      <c r="L11" s="68"/>
      <c r="M11" s="68"/>
    </row>
    <row r="12" spans="1:14" x14ac:dyDescent="0.25">
      <c r="A12" s="129">
        <v>50.2</v>
      </c>
      <c r="B12" s="129" t="s">
        <v>15</v>
      </c>
      <c r="C12" s="129">
        <v>5934</v>
      </c>
      <c r="D12" s="129" t="s">
        <v>589</v>
      </c>
      <c r="E12" s="130">
        <v>49000000</v>
      </c>
      <c r="I12" s="68">
        <f t="shared" si="0"/>
        <v>49000000</v>
      </c>
      <c r="J12" s="68">
        <f t="shared" si="1"/>
        <v>2459800000</v>
      </c>
      <c r="L12" s="68"/>
      <c r="M12" s="68"/>
    </row>
    <row r="13" spans="1:14" x14ac:dyDescent="0.25">
      <c r="A13" s="129">
        <v>52.18</v>
      </c>
      <c r="B13" s="129" t="s">
        <v>15</v>
      </c>
      <c r="C13" s="129">
        <v>4754</v>
      </c>
      <c r="D13" s="129" t="s">
        <v>584</v>
      </c>
      <c r="E13" s="130">
        <v>55000000</v>
      </c>
      <c r="I13" s="68">
        <f t="shared" si="0"/>
        <v>55000000</v>
      </c>
      <c r="J13" s="68">
        <f t="shared" si="1"/>
        <v>2869900000</v>
      </c>
      <c r="L13" s="68"/>
      <c r="M13" s="68"/>
    </row>
    <row r="14" spans="1:14" x14ac:dyDescent="0.25">
      <c r="A14" s="129">
        <v>52.24</v>
      </c>
      <c r="B14" s="129" t="s">
        <v>771</v>
      </c>
      <c r="C14" s="129">
        <v>4766</v>
      </c>
      <c r="D14" s="129" t="s">
        <v>580</v>
      </c>
      <c r="E14" s="130">
        <v>60000000</v>
      </c>
      <c r="I14" s="68">
        <f t="shared" si="0"/>
        <v>60000000</v>
      </c>
      <c r="J14" s="68">
        <f t="shared" si="1"/>
        <v>3134400000</v>
      </c>
    </row>
    <row r="15" spans="1:14" x14ac:dyDescent="0.25">
      <c r="A15" s="129">
        <v>52.64</v>
      </c>
      <c r="B15" s="129" t="s">
        <v>771</v>
      </c>
      <c r="C15" s="129">
        <v>4735</v>
      </c>
      <c r="D15" s="129" t="s">
        <v>579</v>
      </c>
      <c r="E15" s="130">
        <v>60000000</v>
      </c>
      <c r="I15" s="68">
        <f t="shared" si="0"/>
        <v>60000000</v>
      </c>
      <c r="J15" s="68">
        <f t="shared" si="1"/>
        <v>3158400000</v>
      </c>
    </row>
    <row r="16" spans="1:14" x14ac:dyDescent="0.25">
      <c r="A16" s="129">
        <v>54.13</v>
      </c>
      <c r="B16" s="129" t="s">
        <v>15</v>
      </c>
      <c r="C16" s="129">
        <v>5026</v>
      </c>
      <c r="D16" s="129" t="s">
        <v>586</v>
      </c>
      <c r="E16" s="130">
        <v>82125000</v>
      </c>
      <c r="I16" s="68">
        <f t="shared" si="0"/>
        <v>82125000</v>
      </c>
      <c r="J16" s="68">
        <f t="shared" si="1"/>
        <v>4445426250</v>
      </c>
    </row>
    <row r="17" spans="1:14" x14ac:dyDescent="0.25">
      <c r="A17" s="129">
        <v>54.25</v>
      </c>
      <c r="B17" s="129" t="s">
        <v>17</v>
      </c>
      <c r="C17" s="129">
        <v>3697</v>
      </c>
      <c r="D17" s="129" t="s">
        <v>590</v>
      </c>
      <c r="E17" s="130">
        <v>43045800</v>
      </c>
      <c r="I17" s="68">
        <f t="shared" si="0"/>
        <v>43045800</v>
      </c>
      <c r="J17" s="68">
        <f t="shared" si="1"/>
        <v>2335234650</v>
      </c>
    </row>
    <row r="18" spans="1:14" x14ac:dyDescent="0.25">
      <c r="A18" s="129">
        <v>54.53</v>
      </c>
      <c r="B18" s="129" t="s">
        <v>15</v>
      </c>
      <c r="C18" s="129">
        <v>4831</v>
      </c>
      <c r="D18" s="129" t="s">
        <v>585</v>
      </c>
      <c r="E18" s="130">
        <v>84000000</v>
      </c>
      <c r="I18" s="68">
        <f t="shared" si="0"/>
        <v>84000000</v>
      </c>
      <c r="J18" s="68">
        <f t="shared" si="1"/>
        <v>4580520000</v>
      </c>
    </row>
    <row r="19" spans="1:14" x14ac:dyDescent="0.25">
      <c r="A19" s="129">
        <v>54.88</v>
      </c>
      <c r="B19" s="129" t="s">
        <v>14</v>
      </c>
      <c r="C19" s="129">
        <v>4063</v>
      </c>
      <c r="D19" s="129" t="s">
        <v>581</v>
      </c>
      <c r="E19" s="130">
        <v>65000000</v>
      </c>
      <c r="I19" s="68">
        <f t="shared" si="0"/>
        <v>65000000</v>
      </c>
      <c r="J19" s="68">
        <f t="shared" si="1"/>
        <v>3567200000</v>
      </c>
    </row>
    <row r="20" spans="1:14" x14ac:dyDescent="0.25">
      <c r="A20" s="129">
        <v>56.594999999999999</v>
      </c>
      <c r="B20" s="129" t="s">
        <v>15</v>
      </c>
      <c r="C20" s="129">
        <v>4805</v>
      </c>
      <c r="D20" s="129" t="s">
        <v>700</v>
      </c>
      <c r="E20" s="130">
        <v>130000000</v>
      </c>
      <c r="I20" s="68">
        <f t="shared" si="0"/>
        <v>130000000</v>
      </c>
      <c r="J20" s="68">
        <f t="shared" si="1"/>
        <v>7357350000</v>
      </c>
    </row>
    <row r="21" spans="1:14" x14ac:dyDescent="0.25">
      <c r="A21" s="129">
        <v>56.6</v>
      </c>
      <c r="B21" s="129" t="s">
        <v>18</v>
      </c>
      <c r="C21" s="129">
        <v>4061</v>
      </c>
      <c r="D21" s="129" t="s">
        <v>591</v>
      </c>
      <c r="E21" s="130">
        <v>70000000</v>
      </c>
      <c r="I21" s="68">
        <f t="shared" si="0"/>
        <v>70000000</v>
      </c>
      <c r="J21" s="68">
        <f t="shared" si="1"/>
        <v>3962000000</v>
      </c>
    </row>
    <row r="22" spans="1:14" x14ac:dyDescent="0.25">
      <c r="A22" s="129">
        <v>58.41</v>
      </c>
      <c r="B22" s="129" t="s">
        <v>18</v>
      </c>
      <c r="C22" s="129">
        <v>4764</v>
      </c>
      <c r="D22" s="129" t="s">
        <v>594</v>
      </c>
      <c r="E22" s="130">
        <v>162000000</v>
      </c>
      <c r="I22" s="68">
        <f t="shared" si="0"/>
        <v>162000000</v>
      </c>
      <c r="J22" s="68">
        <f t="shared" si="1"/>
        <v>9462420000</v>
      </c>
    </row>
    <row r="23" spans="1:14" x14ac:dyDescent="0.25">
      <c r="A23" s="129">
        <v>58.424999999999997</v>
      </c>
      <c r="B23" s="129" t="s">
        <v>18</v>
      </c>
      <c r="C23" s="129">
        <v>4764</v>
      </c>
      <c r="D23" s="129" t="s">
        <v>592</v>
      </c>
      <c r="E23" s="130">
        <v>40000000</v>
      </c>
      <c r="I23" s="68">
        <f t="shared" si="0"/>
        <v>40000000</v>
      </c>
      <c r="J23" s="68">
        <f t="shared" si="1"/>
        <v>2337000000</v>
      </c>
    </row>
    <row r="24" spans="1:14" x14ac:dyDescent="0.25">
      <c r="A24" s="129">
        <v>58.994999999999997</v>
      </c>
      <c r="B24" s="129" t="s">
        <v>16</v>
      </c>
      <c r="C24" s="129">
        <v>4803</v>
      </c>
      <c r="D24" s="129" t="s">
        <v>596</v>
      </c>
      <c r="E24" s="130">
        <v>69949425</v>
      </c>
      <c r="I24" s="68">
        <f t="shared" si="0"/>
        <v>69949425</v>
      </c>
      <c r="J24" s="68">
        <f t="shared" si="1"/>
        <v>4126666327.875</v>
      </c>
    </row>
    <row r="25" spans="1:14" x14ac:dyDescent="0.25">
      <c r="A25" s="129">
        <v>59.75</v>
      </c>
      <c r="B25" s="129" t="s">
        <v>18</v>
      </c>
      <c r="C25" s="129">
        <v>4764</v>
      </c>
      <c r="D25" s="129" t="s">
        <v>773</v>
      </c>
      <c r="E25" s="130">
        <v>61000000</v>
      </c>
      <c r="I25" s="68">
        <f t="shared" si="0"/>
        <v>61000000</v>
      </c>
      <c r="J25" s="68">
        <f t="shared" si="1"/>
        <v>3644750000</v>
      </c>
    </row>
    <row r="26" spans="1:14" x14ac:dyDescent="0.25">
      <c r="A26" s="129">
        <v>60.709999999999994</v>
      </c>
      <c r="B26" s="129" t="s">
        <v>14</v>
      </c>
      <c r="C26" s="129">
        <v>4804</v>
      </c>
      <c r="D26" s="129" t="s">
        <v>582</v>
      </c>
      <c r="E26" s="130">
        <v>53269178</v>
      </c>
      <c r="I26" s="68">
        <f t="shared" si="0"/>
        <v>53269178</v>
      </c>
      <c r="J26" s="68">
        <f t="shared" si="1"/>
        <v>3233971796.3799996</v>
      </c>
    </row>
    <row r="27" spans="1:14" x14ac:dyDescent="0.25">
      <c r="A27" s="129">
        <v>61.174999999999997</v>
      </c>
      <c r="B27" s="129" t="s">
        <v>18</v>
      </c>
      <c r="C27" s="129">
        <v>4791</v>
      </c>
      <c r="D27" s="129" t="s">
        <v>595</v>
      </c>
      <c r="E27" s="130">
        <v>70000000</v>
      </c>
      <c r="I27" s="68">
        <f t="shared" si="0"/>
        <v>70000000</v>
      </c>
      <c r="J27" s="68">
        <f t="shared" si="1"/>
        <v>4282250000</v>
      </c>
    </row>
    <row r="28" spans="1:14" x14ac:dyDescent="0.25">
      <c r="A28" s="129">
        <v>61.605000000000004</v>
      </c>
      <c r="B28" s="129" t="s">
        <v>18</v>
      </c>
      <c r="C28" s="129">
        <v>6274</v>
      </c>
      <c r="D28" s="129" t="s">
        <v>701</v>
      </c>
      <c r="E28" s="130">
        <v>105000000</v>
      </c>
      <c r="I28" s="10"/>
      <c r="J28" s="10"/>
    </row>
    <row r="29" spans="1:14" s="129" customFormat="1" x14ac:dyDescent="0.25">
      <c r="A29" s="129" t="s">
        <v>575</v>
      </c>
      <c r="B29"/>
      <c r="C29"/>
      <c r="D29"/>
      <c r="E29" s="130">
        <v>1818111403</v>
      </c>
      <c r="I29" s="130"/>
      <c r="J29" s="130"/>
    </row>
    <row r="30" spans="1:14" s="129" customFormat="1" x14ac:dyDescent="0.25">
      <c r="E30" s="130"/>
      <c r="I30" s="130"/>
      <c r="J30" s="130"/>
    </row>
    <row r="31" spans="1:14" s="129" customFormat="1" ht="15.75" thickBot="1" x14ac:dyDescent="0.3"/>
    <row r="32" spans="1:14" s="129" customFormat="1" ht="15.75" thickBot="1" x14ac:dyDescent="0.3">
      <c r="I32" s="109">
        <f>'Table 1 - Volumes'!H6*1000000</f>
        <v>158098040.0474602</v>
      </c>
      <c r="J32" s="48"/>
      <c r="L32" s="135">
        <f>SUM(M6:M8)/SUM(L6:L8)</f>
        <v>43.70824589865822</v>
      </c>
      <c r="M32"/>
      <c r="N32" s="145">
        <f>'Constants Pivot'!P7</f>
        <v>46.5</v>
      </c>
    </row>
    <row r="33" spans="1:13" s="129" customFormat="1" x14ac:dyDescent="0.25"/>
    <row r="34" spans="1:13" s="129" customFormat="1" x14ac:dyDescent="0.25">
      <c r="A34" s="19" t="s">
        <v>698</v>
      </c>
      <c r="B34" s="127">
        <v>44197</v>
      </c>
      <c r="F34" s="130"/>
      <c r="G34" s="130"/>
    </row>
    <row r="35" spans="1:13" x14ac:dyDescent="0.25">
      <c r="A35" s="19" t="s">
        <v>254</v>
      </c>
      <c r="B35" s="129" t="s">
        <v>752</v>
      </c>
      <c r="C35" s="129"/>
      <c r="D35" s="129"/>
      <c r="E35" s="129"/>
      <c r="F35" s="129"/>
      <c r="G35" s="129"/>
    </row>
    <row r="36" spans="1:13" x14ac:dyDescent="0.25">
      <c r="A36" s="129"/>
      <c r="B36" s="129"/>
      <c r="C36" s="129"/>
      <c r="D36" s="129"/>
      <c r="E36" s="129"/>
      <c r="F36" s="129"/>
      <c r="G36" s="129"/>
    </row>
    <row r="37" spans="1:13" x14ac:dyDescent="0.25">
      <c r="A37" s="19" t="s">
        <v>576</v>
      </c>
    </row>
    <row r="38" spans="1:13" x14ac:dyDescent="0.25">
      <c r="A38" s="19" t="s">
        <v>655</v>
      </c>
      <c r="B38" s="19" t="s">
        <v>12</v>
      </c>
      <c r="C38" s="19" t="s">
        <v>577</v>
      </c>
      <c r="D38" s="19" t="s">
        <v>578</v>
      </c>
      <c r="E38" t="s">
        <v>29</v>
      </c>
      <c r="I38" s="129" t="s">
        <v>599</v>
      </c>
      <c r="J38" s="129" t="s">
        <v>598</v>
      </c>
    </row>
    <row r="39" spans="1:13" x14ac:dyDescent="0.25">
      <c r="A39" s="129">
        <v>20.99</v>
      </c>
      <c r="E39" s="130">
        <v>489175</v>
      </c>
      <c r="I39" s="68">
        <f>E39</f>
        <v>489175</v>
      </c>
      <c r="J39" s="68">
        <f>MAX(E39)*A39</f>
        <v>10267783.25</v>
      </c>
      <c r="L39" s="109">
        <f>IF(SUM(I39:I$39)&lt;I$51,I39,I$75-SUM(I38:I$38))</f>
        <v>489175</v>
      </c>
      <c r="M39" s="109">
        <f>L39*A39</f>
        <v>10267783.25</v>
      </c>
    </row>
    <row r="40" spans="1:13" x14ac:dyDescent="0.25">
      <c r="A40" s="129">
        <v>29.704999999999998</v>
      </c>
      <c r="B40" s="129" t="s">
        <v>691</v>
      </c>
      <c r="C40" s="129">
        <v>4664</v>
      </c>
      <c r="D40" s="129" t="s">
        <v>692</v>
      </c>
      <c r="E40" s="130">
        <v>59000000</v>
      </c>
      <c r="I40" s="68">
        <f t="shared" ref="I40:I47" si="2">E40</f>
        <v>59000000</v>
      </c>
      <c r="J40" s="68">
        <f t="shared" ref="J40:J47" si="3">MAX(E40)*A40</f>
        <v>1752595000</v>
      </c>
      <c r="L40" s="109">
        <f>IF(SUM(I$39:I40)&lt;I$51,I40,I$51-SUM(L$39:L39))</f>
        <v>59000000</v>
      </c>
      <c r="M40" s="109">
        <f>L40*A40</f>
        <v>1752595000</v>
      </c>
    </row>
    <row r="41" spans="1:13" x14ac:dyDescent="0.25">
      <c r="A41" s="129">
        <v>30.88666666666667</v>
      </c>
      <c r="B41" s="129" t="s">
        <v>14</v>
      </c>
      <c r="C41" s="129">
        <v>4305</v>
      </c>
      <c r="D41" s="129" t="s">
        <v>689</v>
      </c>
      <c r="E41" s="130">
        <v>30000000</v>
      </c>
      <c r="I41" s="68">
        <f t="shared" si="2"/>
        <v>30000000</v>
      </c>
      <c r="J41" s="68">
        <f t="shared" si="3"/>
        <v>926600000.00000012</v>
      </c>
      <c r="L41" s="109">
        <f>IF(SUM(I$39:I41)&lt;I$51,I41,I$51-SUM(L$39:L40))</f>
        <v>25170987.622193217</v>
      </c>
      <c r="M41" s="109">
        <f>L41*A41</f>
        <v>777447904.35747457</v>
      </c>
    </row>
    <row r="42" spans="1:13" x14ac:dyDescent="0.25">
      <c r="A42" s="129">
        <v>34.43333333333333</v>
      </c>
      <c r="B42" s="129" t="s">
        <v>13</v>
      </c>
      <c r="C42" s="129">
        <v>6130</v>
      </c>
      <c r="D42" s="129" t="s">
        <v>693</v>
      </c>
      <c r="E42" s="130">
        <v>30000000</v>
      </c>
      <c r="I42" s="68">
        <f t="shared" si="2"/>
        <v>30000000</v>
      </c>
      <c r="J42" s="68">
        <f t="shared" si="3"/>
        <v>1032999999.9999999</v>
      </c>
      <c r="L42" s="109"/>
      <c r="M42" s="109"/>
    </row>
    <row r="43" spans="1:13" x14ac:dyDescent="0.25">
      <c r="A43" s="129">
        <v>34.952500000000001</v>
      </c>
      <c r="B43" s="129" t="s">
        <v>17</v>
      </c>
      <c r="C43" s="129">
        <v>6129</v>
      </c>
      <c r="D43" s="129" t="s">
        <v>687</v>
      </c>
      <c r="E43" s="130">
        <v>17000000</v>
      </c>
      <c r="I43" s="68">
        <f t="shared" si="2"/>
        <v>17000000</v>
      </c>
      <c r="J43" s="68">
        <f t="shared" si="3"/>
        <v>594192500</v>
      </c>
      <c r="L43" s="68"/>
      <c r="M43" s="68"/>
    </row>
    <row r="44" spans="1:13" x14ac:dyDescent="0.25">
      <c r="A44" s="129">
        <v>35.166666666666664</v>
      </c>
      <c r="B44" s="129" t="s">
        <v>13</v>
      </c>
      <c r="C44" s="129">
        <v>3514</v>
      </c>
      <c r="D44" s="129" t="s">
        <v>703</v>
      </c>
      <c r="E44" s="130">
        <v>30000000</v>
      </c>
      <c r="I44" s="68">
        <f t="shared" si="2"/>
        <v>30000000</v>
      </c>
      <c r="J44" s="68">
        <f t="shared" si="3"/>
        <v>1054999999.9999999</v>
      </c>
      <c r="L44" s="68"/>
      <c r="M44" s="68"/>
    </row>
    <row r="45" spans="1:13" x14ac:dyDescent="0.25">
      <c r="A45" s="129">
        <v>37.366666666666667</v>
      </c>
      <c r="B45" s="129" t="s">
        <v>690</v>
      </c>
      <c r="C45" s="129">
        <v>6326</v>
      </c>
      <c r="D45" s="129" t="s">
        <v>694</v>
      </c>
      <c r="E45" s="130">
        <v>100000000</v>
      </c>
      <c r="I45" s="68">
        <f t="shared" si="2"/>
        <v>100000000</v>
      </c>
      <c r="J45" s="68">
        <f t="shared" si="3"/>
        <v>3736666666.6666665</v>
      </c>
      <c r="L45" s="68"/>
      <c r="M45" s="68"/>
    </row>
    <row r="46" spans="1:13" x14ac:dyDescent="0.25">
      <c r="A46" s="129">
        <v>45</v>
      </c>
      <c r="B46" s="129" t="s">
        <v>774</v>
      </c>
      <c r="C46" s="129">
        <v>3652</v>
      </c>
      <c r="D46" s="129" t="s">
        <v>775</v>
      </c>
      <c r="E46" s="130">
        <v>60000000</v>
      </c>
      <c r="I46" s="68">
        <f t="shared" si="2"/>
        <v>60000000</v>
      </c>
      <c r="J46" s="68">
        <f t="shared" si="3"/>
        <v>2700000000</v>
      </c>
      <c r="L46" s="68"/>
      <c r="M46" s="68"/>
    </row>
    <row r="47" spans="1:13" x14ac:dyDescent="0.25">
      <c r="A47" s="129">
        <v>52.995000000000005</v>
      </c>
      <c r="B47" s="129" t="s">
        <v>13</v>
      </c>
      <c r="C47" s="129">
        <v>3683</v>
      </c>
      <c r="D47" s="129" t="s">
        <v>753</v>
      </c>
      <c r="E47" s="130">
        <v>69350000</v>
      </c>
      <c r="I47" s="68">
        <f t="shared" si="2"/>
        <v>69350000</v>
      </c>
      <c r="J47" s="68">
        <f t="shared" si="3"/>
        <v>3675203250.0000005</v>
      </c>
    </row>
    <row r="48" spans="1:13" x14ac:dyDescent="0.25">
      <c r="A48" s="129">
        <v>58.164999999999999</v>
      </c>
      <c r="B48" s="129" t="s">
        <v>702</v>
      </c>
      <c r="C48" s="129">
        <v>6137</v>
      </c>
      <c r="D48" s="129" t="s">
        <v>695</v>
      </c>
      <c r="E48" s="130">
        <v>69960000</v>
      </c>
      <c r="I48" s="130"/>
      <c r="J48" s="130"/>
    </row>
    <row r="49" spans="1:14" x14ac:dyDescent="0.25">
      <c r="A49" s="129" t="s">
        <v>575</v>
      </c>
      <c r="E49" s="130">
        <v>465799175</v>
      </c>
      <c r="I49" s="130"/>
      <c r="J49" s="130"/>
    </row>
    <row r="50" spans="1:14" s="129" customFormat="1" ht="15.75" thickBot="1" x14ac:dyDescent="0.3"/>
    <row r="51" spans="1:14" s="129" customFormat="1" ht="15.75" thickBot="1" x14ac:dyDescent="0.3">
      <c r="I51" s="109">
        <f>'Table 1 - Volumes'!H11*1000000</f>
        <v>84660162.622193217</v>
      </c>
      <c r="J51" s="32"/>
      <c r="L51" s="135">
        <f>SUM(M39:M42)/SUM(L39:L42)</f>
        <v>30.005974580322214</v>
      </c>
      <c r="M51"/>
      <c r="N51" s="145">
        <f>'Constants Pivot'!P9</f>
        <v>31.5</v>
      </c>
    </row>
    <row r="52" spans="1:14" s="129" customFormat="1" x14ac:dyDescent="0.25"/>
    <row r="53" spans="1:14" s="129" customFormat="1" x14ac:dyDescent="0.25">
      <c r="F53" s="130"/>
      <c r="G53" s="130"/>
    </row>
    <row r="54" spans="1:14" s="129" customFormat="1" x14ac:dyDescent="0.25">
      <c r="A54" s="19" t="s">
        <v>698</v>
      </c>
      <c r="B54" s="127">
        <v>44197</v>
      </c>
      <c r="F54" s="130"/>
      <c r="G54" s="130"/>
    </row>
    <row r="55" spans="1:14" x14ac:dyDescent="0.25">
      <c r="A55" s="19" t="s">
        <v>254</v>
      </c>
      <c r="B55" s="129" t="s">
        <v>770</v>
      </c>
      <c r="C55" s="129"/>
      <c r="D55" s="129"/>
      <c r="E55" s="129"/>
      <c r="F55" s="129"/>
      <c r="G55" s="129"/>
    </row>
    <row r="56" spans="1:14" x14ac:dyDescent="0.25">
      <c r="A56" s="129"/>
      <c r="B56" s="129"/>
      <c r="C56" s="129"/>
      <c r="D56" s="129"/>
      <c r="E56" s="129"/>
      <c r="F56" s="129"/>
      <c r="G56" s="129"/>
    </row>
    <row r="57" spans="1:14" x14ac:dyDescent="0.25">
      <c r="A57" s="19" t="s">
        <v>576</v>
      </c>
    </row>
    <row r="58" spans="1:14" x14ac:dyDescent="0.25">
      <c r="A58" s="19" t="s">
        <v>655</v>
      </c>
      <c r="B58" s="19" t="s">
        <v>12</v>
      </c>
      <c r="C58" s="19" t="s">
        <v>577</v>
      </c>
      <c r="D58" s="19" t="s">
        <v>578</v>
      </c>
      <c r="E58" t="s">
        <v>29</v>
      </c>
      <c r="I58" s="129" t="s">
        <v>599</v>
      </c>
      <c r="J58" s="129" t="s">
        <v>598</v>
      </c>
    </row>
    <row r="59" spans="1:14" x14ac:dyDescent="0.25">
      <c r="A59" s="129">
        <v>31.964285714285715</v>
      </c>
      <c r="B59" s="129" t="s">
        <v>696</v>
      </c>
      <c r="C59" s="129">
        <v>6268</v>
      </c>
      <c r="D59" s="129" t="s">
        <v>697</v>
      </c>
      <c r="E59" s="130">
        <v>75000000</v>
      </c>
      <c r="I59" s="68">
        <f>E59</f>
        <v>75000000</v>
      </c>
      <c r="J59" s="68">
        <f>MAX(E59)*A59</f>
        <v>2397321428.5714288</v>
      </c>
      <c r="L59" s="109">
        <f>IF(SUM(I$59:I59)&lt;I$75,I59,I$75-SUM(I$58:I58))</f>
        <v>48377235.784110405</v>
      </c>
      <c r="M59" s="109">
        <f>L59*A59</f>
        <v>1546343786.6706719</v>
      </c>
    </row>
    <row r="60" spans="1:14" x14ac:dyDescent="0.25">
      <c r="A60" s="129">
        <v>36.04</v>
      </c>
      <c r="B60" s="129" t="s">
        <v>776</v>
      </c>
      <c r="C60" s="129">
        <v>4137</v>
      </c>
      <c r="D60" s="129" t="s">
        <v>777</v>
      </c>
      <c r="E60" s="130">
        <v>290756447</v>
      </c>
      <c r="I60" s="68">
        <f>E60</f>
        <v>290756447</v>
      </c>
      <c r="J60" s="68">
        <f>MAX(E60)*A60</f>
        <v>10478862349.879999</v>
      </c>
      <c r="L60" s="109"/>
      <c r="M60" s="109"/>
    </row>
    <row r="61" spans="1:14" x14ac:dyDescent="0.25">
      <c r="A61" s="129">
        <v>65</v>
      </c>
      <c r="B61" s="129" t="s">
        <v>778</v>
      </c>
      <c r="C61" s="129">
        <v>4528</v>
      </c>
      <c r="D61" s="129" t="s">
        <v>779</v>
      </c>
      <c r="E61" s="130">
        <v>180000000</v>
      </c>
      <c r="I61" s="68">
        <f>E61</f>
        <v>180000000</v>
      </c>
      <c r="J61" s="68">
        <f>MAX(E61)*A61</f>
        <v>11700000000</v>
      </c>
    </row>
    <row r="62" spans="1:14" s="129" customFormat="1" x14ac:dyDescent="0.25">
      <c r="A62"/>
      <c r="B62" s="129" t="s">
        <v>690</v>
      </c>
      <c r="C62" s="129">
        <v>4320</v>
      </c>
      <c r="D62" s="129" t="s">
        <v>780</v>
      </c>
      <c r="E62" s="130">
        <v>42438039</v>
      </c>
      <c r="I62" s="68"/>
      <c r="J62" s="68"/>
    </row>
    <row r="63" spans="1:14" s="129" customFormat="1" x14ac:dyDescent="0.25">
      <c r="A63" s="129">
        <v>70.55</v>
      </c>
      <c r="B63" s="129" t="s">
        <v>16</v>
      </c>
      <c r="C63" s="129">
        <v>1166</v>
      </c>
      <c r="D63" s="129" t="s">
        <v>781</v>
      </c>
      <c r="E63" s="130">
        <v>184000000</v>
      </c>
      <c r="I63" s="68"/>
      <c r="J63" s="68"/>
    </row>
    <row r="64" spans="1:14" s="129" customFormat="1" x14ac:dyDescent="0.25">
      <c r="A64" s="129" t="s">
        <v>575</v>
      </c>
      <c r="B64"/>
      <c r="C64"/>
      <c r="D64"/>
      <c r="E64" s="130">
        <v>772194486</v>
      </c>
      <c r="I64" s="68"/>
      <c r="J64" s="68"/>
    </row>
    <row r="65" spans="1:14" s="129" customFormat="1" x14ac:dyDescent="0.25">
      <c r="I65" s="68"/>
      <c r="J65" s="68"/>
    </row>
    <row r="66" spans="1:14" s="129" customFormat="1" x14ac:dyDescent="0.25">
      <c r="I66" s="68"/>
      <c r="J66" s="68"/>
    </row>
    <row r="67" spans="1:14" s="129" customFormat="1" x14ac:dyDescent="0.25">
      <c r="I67" s="68"/>
      <c r="J67" s="68"/>
    </row>
    <row r="68" spans="1:14" s="129" customFormat="1" x14ac:dyDescent="0.25">
      <c r="I68" s="68"/>
      <c r="J68" s="68"/>
    </row>
    <row r="69" spans="1:14" s="129" customFormat="1" x14ac:dyDescent="0.25">
      <c r="I69" s="68"/>
      <c r="J69" s="68"/>
    </row>
    <row r="70" spans="1:14" s="129" customFormat="1" x14ac:dyDescent="0.25">
      <c r="I70" s="68"/>
      <c r="J70" s="68"/>
    </row>
    <row r="71" spans="1:14" s="129" customFormat="1" x14ac:dyDescent="0.25">
      <c r="I71" s="68"/>
      <c r="J71" s="68"/>
    </row>
    <row r="72" spans="1:14" s="129" customFormat="1" x14ac:dyDescent="0.25">
      <c r="I72" s="68"/>
      <c r="J72" s="68"/>
    </row>
    <row r="73" spans="1:14" x14ac:dyDescent="0.25">
      <c r="I73" s="68">
        <f>E73</f>
        <v>0</v>
      </c>
      <c r="J73" s="68">
        <f>MAX(E73)*A73</f>
        <v>0</v>
      </c>
    </row>
    <row r="74" spans="1:14" ht="15.75" thickBot="1" x14ac:dyDescent="0.3"/>
    <row r="75" spans="1:14" ht="15.75" thickBot="1" x14ac:dyDescent="0.3">
      <c r="I75" s="109">
        <f>'Table 1 - Volumes'!H13*1000000</f>
        <v>48377235.784110405</v>
      </c>
      <c r="J75" s="32" t="e">
        <f>J73/I73</f>
        <v>#DIV/0!</v>
      </c>
      <c r="L75" s="135">
        <f>SUM(M59:M60)/SUM(L59:L60)</f>
        <v>31.964285714285715</v>
      </c>
      <c r="N75" s="183">
        <f>'Constants Pivot'!P10</f>
        <v>33.25</v>
      </c>
    </row>
    <row r="78" spans="1:14" x14ac:dyDescent="0.25">
      <c r="A78" s="19" t="s">
        <v>698</v>
      </c>
      <c r="B78" s="127">
        <v>43831</v>
      </c>
      <c r="C78" s="129"/>
      <c r="D78" s="129"/>
      <c r="E78" s="129"/>
      <c r="F78" s="130"/>
      <c r="G78" s="130"/>
    </row>
    <row r="79" spans="1:14" x14ac:dyDescent="0.25">
      <c r="A79" s="19" t="s">
        <v>254</v>
      </c>
      <c r="B79" s="129" t="s">
        <v>760</v>
      </c>
      <c r="C79" s="129"/>
      <c r="D79" s="129"/>
      <c r="E79" s="129"/>
      <c r="F79" s="129"/>
      <c r="G79" s="129"/>
    </row>
    <row r="80" spans="1:14" x14ac:dyDescent="0.25">
      <c r="A80" s="129"/>
      <c r="B80" s="129"/>
      <c r="C80" s="129"/>
      <c r="D80" s="129"/>
      <c r="E80" s="129"/>
      <c r="F80" s="129"/>
      <c r="G80" s="129"/>
    </row>
    <row r="81" spans="1:14" x14ac:dyDescent="0.25">
      <c r="A81" s="19" t="s">
        <v>576</v>
      </c>
    </row>
    <row r="82" spans="1:14" x14ac:dyDescent="0.25">
      <c r="A82" s="19" t="s">
        <v>655</v>
      </c>
      <c r="B82" s="19" t="s">
        <v>12</v>
      </c>
      <c r="C82" s="19" t="s">
        <v>577</v>
      </c>
      <c r="D82" s="19" t="s">
        <v>578</v>
      </c>
      <c r="E82" t="s">
        <v>29</v>
      </c>
    </row>
    <row r="83" spans="1:14" x14ac:dyDescent="0.25">
      <c r="A83" s="129">
        <v>36.549999999999997</v>
      </c>
      <c r="B83" s="129" t="s">
        <v>754</v>
      </c>
      <c r="C83" s="129">
        <v>6459</v>
      </c>
      <c r="D83" s="129" t="s">
        <v>755</v>
      </c>
      <c r="E83" s="130">
        <v>1730000000</v>
      </c>
    </row>
    <row r="84" spans="1:14" ht="15.75" thickBot="1" x14ac:dyDescent="0.3">
      <c r="A84" s="129">
        <v>45.3</v>
      </c>
      <c r="B84" s="129" t="s">
        <v>696</v>
      </c>
      <c r="C84" s="129" t="s">
        <v>756</v>
      </c>
      <c r="D84" s="129" t="s">
        <v>757</v>
      </c>
      <c r="E84" s="130">
        <v>525600000</v>
      </c>
    </row>
    <row r="85" spans="1:14" ht="15.75" thickBot="1" x14ac:dyDescent="0.3">
      <c r="B85" s="129" t="s">
        <v>688</v>
      </c>
      <c r="C85" s="129">
        <v>5504</v>
      </c>
      <c r="D85" s="129" t="s">
        <v>758</v>
      </c>
      <c r="E85" s="130">
        <v>1229728258</v>
      </c>
      <c r="N85" s="145">
        <v>49</v>
      </c>
    </row>
    <row r="86" spans="1:14" x14ac:dyDescent="0.25">
      <c r="A86" s="129">
        <v>47.88</v>
      </c>
      <c r="B86" s="129" t="s">
        <v>715</v>
      </c>
      <c r="C86" s="129">
        <v>6497</v>
      </c>
      <c r="D86" s="129" t="s">
        <v>716</v>
      </c>
      <c r="E86" s="130">
        <v>40000000</v>
      </c>
    </row>
    <row r="87" spans="1:14" x14ac:dyDescent="0.25">
      <c r="A87" s="129">
        <v>52.73</v>
      </c>
      <c r="B87" s="129" t="s">
        <v>15</v>
      </c>
      <c r="C87" s="129">
        <v>5504</v>
      </c>
      <c r="D87" s="129" t="s">
        <v>759</v>
      </c>
      <c r="E87" s="130">
        <v>31210800</v>
      </c>
    </row>
    <row r="88" spans="1:14" x14ac:dyDescent="0.25">
      <c r="A88" s="129" t="s">
        <v>575</v>
      </c>
      <c r="E88" s="130">
        <v>3556539058</v>
      </c>
    </row>
  </sheetData>
  <mergeCells count="1">
    <mergeCell ref="L1:N2"/>
  </mergeCells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7"/>
  <sheetViews>
    <sheetView zoomScale="75" zoomScaleNormal="75" workbookViewId="0">
      <pane xSplit="5" ySplit="3" topLeftCell="F55" activePane="bottomRight" state="frozen"/>
      <selection pane="topRight" activeCell="E1" sqref="E1"/>
      <selection pane="bottomLeft" activeCell="A4" sqref="A4"/>
      <selection pane="bottomRight" activeCell="F86" sqref="F86"/>
    </sheetView>
  </sheetViews>
  <sheetFormatPr defaultColWidth="8.85546875" defaultRowHeight="15" x14ac:dyDescent="0.25"/>
  <cols>
    <col min="1" max="1" width="25" style="4" customWidth="1"/>
    <col min="2" max="16" width="14.7109375" style="4" customWidth="1"/>
    <col min="17" max="18" width="9.5703125" style="4" customWidth="1"/>
    <col min="19" max="19" width="9.7109375" style="4" customWidth="1"/>
    <col min="20" max="20" width="8.85546875" style="4"/>
    <col min="21" max="21" width="11" style="4" customWidth="1"/>
    <col min="22" max="22" width="16.42578125" style="4" customWidth="1"/>
    <col min="23" max="23" width="24.42578125" style="4" customWidth="1"/>
    <col min="24" max="16384" width="8.85546875" style="4"/>
  </cols>
  <sheetData>
    <row r="1" spans="1:25" x14ac:dyDescent="0.25">
      <c r="A1" s="75" t="s">
        <v>247</v>
      </c>
      <c r="B1" s="76">
        <v>0.04</v>
      </c>
      <c r="C1" s="76"/>
      <c r="D1" s="76"/>
      <c r="E1" s="76">
        <v>0.06</v>
      </c>
      <c r="F1" s="76"/>
      <c r="G1" s="76"/>
      <c r="H1" s="76">
        <v>0.05</v>
      </c>
      <c r="K1"/>
      <c r="L1"/>
      <c r="M1"/>
      <c r="N1"/>
      <c r="O1"/>
      <c r="P1"/>
      <c r="Q1"/>
    </row>
    <row r="2" spans="1:25" x14ac:dyDescent="0.25">
      <c r="E2" s="4">
        <v>10</v>
      </c>
      <c r="K2"/>
      <c r="L2" s="179" t="s">
        <v>639</v>
      </c>
      <c r="M2" s="179"/>
      <c r="N2" s="179"/>
      <c r="O2"/>
      <c r="P2"/>
      <c r="Q2"/>
    </row>
    <row r="3" spans="1:25" ht="30" x14ac:dyDescent="0.25">
      <c r="A3" s="13" t="s">
        <v>217</v>
      </c>
      <c r="B3" s="14" t="s">
        <v>284</v>
      </c>
      <c r="C3" s="14" t="s">
        <v>285</v>
      </c>
      <c r="D3" s="14" t="s">
        <v>286</v>
      </c>
      <c r="E3" s="14" t="s">
        <v>287</v>
      </c>
      <c r="F3" s="14" t="s">
        <v>288</v>
      </c>
      <c r="G3" s="14" t="s">
        <v>289</v>
      </c>
      <c r="H3" s="14" t="s">
        <v>290</v>
      </c>
      <c r="I3" s="14" t="s">
        <v>291</v>
      </c>
      <c r="J3" s="14" t="s">
        <v>292</v>
      </c>
      <c r="K3"/>
      <c r="L3" s="79" t="s">
        <v>28</v>
      </c>
      <c r="M3" s="79" t="s">
        <v>27</v>
      </c>
      <c r="N3" s="79" t="s">
        <v>29</v>
      </c>
      <c r="O3"/>
      <c r="P3"/>
      <c r="Q3"/>
      <c r="R3"/>
      <c r="S3"/>
      <c r="T3"/>
      <c r="U3"/>
      <c r="V3"/>
      <c r="W3"/>
      <c r="X3"/>
      <c r="Y3" s="15"/>
    </row>
    <row r="4" spans="1:25" x14ac:dyDescent="0.25">
      <c r="A4" s="16" t="s">
        <v>218</v>
      </c>
      <c r="B4" s="17">
        <v>818.66666666666663</v>
      </c>
      <c r="C4" s="17"/>
      <c r="D4" s="17"/>
      <c r="E4" s="17">
        <v>1169.3333333333333</v>
      </c>
      <c r="F4" s="17"/>
      <c r="G4" s="17"/>
      <c r="H4" s="17">
        <f>SUM(B4,E4)</f>
        <v>1988</v>
      </c>
      <c r="I4" s="17"/>
      <c r="J4" s="17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x14ac:dyDescent="0.25">
      <c r="A5" s="16" t="s">
        <v>219</v>
      </c>
      <c r="B5" s="17">
        <v>942.66666666666663</v>
      </c>
      <c r="C5" s="17"/>
      <c r="D5" s="17"/>
      <c r="E5" s="17">
        <v>1458.6666666666667</v>
      </c>
      <c r="F5" s="17"/>
      <c r="G5" s="17"/>
      <c r="H5" s="17">
        <f t="shared" ref="H5:H39" si="0">SUM(B5,E5)</f>
        <v>2401.3333333333335</v>
      </c>
      <c r="I5" s="17"/>
      <c r="J5" s="17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x14ac:dyDescent="0.25">
      <c r="A6" s="16" t="s">
        <v>220</v>
      </c>
      <c r="B6" s="17">
        <v>1122.3333333333333</v>
      </c>
      <c r="C6" s="17"/>
      <c r="D6" s="17"/>
      <c r="E6" s="17">
        <v>1859</v>
      </c>
      <c r="F6" s="17"/>
      <c r="G6" s="17"/>
      <c r="H6" s="17">
        <f t="shared" si="0"/>
        <v>2981.333333333333</v>
      </c>
      <c r="I6" s="17"/>
      <c r="J6" s="17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x14ac:dyDescent="0.25">
      <c r="A7" s="16" t="s">
        <v>221</v>
      </c>
      <c r="B7" s="17">
        <v>1472.6666666666667</v>
      </c>
      <c r="C7" s="17"/>
      <c r="D7" s="17"/>
      <c r="E7" s="17">
        <v>2210.3333333333335</v>
      </c>
      <c r="F7" s="17"/>
      <c r="G7" s="17"/>
      <c r="H7" s="17">
        <f t="shared" si="0"/>
        <v>3683</v>
      </c>
      <c r="I7" s="17"/>
      <c r="J7" s="1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x14ac:dyDescent="0.25">
      <c r="A8" s="16" t="s">
        <v>222</v>
      </c>
      <c r="B8" s="17">
        <v>1699.3333333333333</v>
      </c>
      <c r="C8" s="17"/>
      <c r="D8" s="17"/>
      <c r="E8" s="17">
        <v>2474.6666666666665</v>
      </c>
      <c r="F8" s="17"/>
      <c r="G8" s="17"/>
      <c r="H8" s="17">
        <f t="shared" si="0"/>
        <v>4174</v>
      </c>
      <c r="I8" s="17"/>
      <c r="J8" s="17"/>
      <c r="K8"/>
      <c r="L8" s="80">
        <f>B8/B4-1</f>
        <v>1.0757328990228014</v>
      </c>
      <c r="M8" s="80">
        <f>E8/E4-1</f>
        <v>1.1163055872291903</v>
      </c>
      <c r="N8" s="80">
        <f>H8/H4-1</f>
        <v>1.0995975855130786</v>
      </c>
      <c r="O8"/>
      <c r="P8"/>
      <c r="Q8"/>
      <c r="R8"/>
      <c r="S8"/>
      <c r="T8"/>
      <c r="U8"/>
      <c r="V8"/>
      <c r="W8"/>
      <c r="X8"/>
      <c r="Y8"/>
    </row>
    <row r="9" spans="1:25" x14ac:dyDescent="0.25">
      <c r="A9" s="16" t="s">
        <v>223</v>
      </c>
      <c r="B9" s="17">
        <v>1847</v>
      </c>
      <c r="C9" s="17"/>
      <c r="D9" s="17"/>
      <c r="E9" s="17">
        <v>2765.3333333333335</v>
      </c>
      <c r="F9" s="17"/>
      <c r="G9" s="17"/>
      <c r="H9" s="17">
        <f t="shared" si="0"/>
        <v>4612.3333333333339</v>
      </c>
      <c r="I9" s="17"/>
      <c r="J9" s="17"/>
      <c r="K9"/>
      <c r="L9" s="80">
        <f t="shared" ref="L9:L30" si="1">B9/B5-1</f>
        <v>0.95933521923620946</v>
      </c>
      <c r="M9" s="80">
        <f t="shared" ref="M9:M30" si="2">E9/E5-1</f>
        <v>0.8957952468007313</v>
      </c>
      <c r="N9" s="80">
        <f t="shared" ref="N9:N30" si="3">H9/H5-1</f>
        <v>0.9207384786229873</v>
      </c>
      <c r="O9"/>
      <c r="P9"/>
      <c r="Q9"/>
      <c r="R9"/>
      <c r="S9"/>
      <c r="T9"/>
      <c r="U9"/>
      <c r="V9"/>
      <c r="W9"/>
      <c r="X9"/>
      <c r="Y9"/>
    </row>
    <row r="10" spans="1:25" x14ac:dyDescent="0.25">
      <c r="A10" s="16" t="s">
        <v>224</v>
      </c>
      <c r="B10" s="17">
        <v>2134.6666666666665</v>
      </c>
      <c r="C10" s="17"/>
      <c r="D10" s="17"/>
      <c r="E10" s="17">
        <v>3119.3333333333335</v>
      </c>
      <c r="F10" s="17"/>
      <c r="G10" s="17"/>
      <c r="H10" s="17">
        <f t="shared" si="0"/>
        <v>5254</v>
      </c>
      <c r="I10" s="17"/>
      <c r="J10" s="17"/>
      <c r="K10"/>
      <c r="L10" s="80">
        <f t="shared" si="1"/>
        <v>0.90198990198990203</v>
      </c>
      <c r="M10" s="80">
        <f t="shared" si="2"/>
        <v>0.67796306257844718</v>
      </c>
      <c r="N10" s="80">
        <f t="shared" si="3"/>
        <v>0.7622987477638643</v>
      </c>
      <c r="O10"/>
      <c r="P10"/>
      <c r="Q10"/>
      <c r="R10"/>
      <c r="S10"/>
      <c r="T10"/>
      <c r="U10"/>
      <c r="V10"/>
      <c r="W10"/>
      <c r="X10"/>
      <c r="Y10"/>
    </row>
    <row r="11" spans="1:25" x14ac:dyDescent="0.25">
      <c r="A11" s="16" t="s">
        <v>225</v>
      </c>
      <c r="B11" s="17">
        <v>2373</v>
      </c>
      <c r="C11" s="17"/>
      <c r="D11" s="17"/>
      <c r="E11" s="17">
        <v>3588</v>
      </c>
      <c r="F11" s="17"/>
      <c r="G11" s="17"/>
      <c r="H11" s="17">
        <f t="shared" si="0"/>
        <v>5961</v>
      </c>
      <c r="I11" s="17"/>
      <c r="J11" s="17"/>
      <c r="K11"/>
      <c r="L11" s="80">
        <f t="shared" si="1"/>
        <v>0.6113626075147125</v>
      </c>
      <c r="M11" s="80">
        <f t="shared" si="2"/>
        <v>0.62328457246267521</v>
      </c>
      <c r="N11" s="80">
        <f t="shared" si="3"/>
        <v>0.61851751289709478</v>
      </c>
      <c r="O11"/>
      <c r="P11"/>
      <c r="Q11"/>
      <c r="R11"/>
      <c r="S11"/>
      <c r="T11"/>
      <c r="U11"/>
      <c r="V11"/>
      <c r="W11"/>
      <c r="X11"/>
      <c r="Y11"/>
    </row>
    <row r="12" spans="1:25" x14ac:dyDescent="0.25">
      <c r="A12" s="16" t="s">
        <v>226</v>
      </c>
      <c r="B12" s="164">
        <v>2586</v>
      </c>
      <c r="C12" s="17"/>
      <c r="D12" s="17"/>
      <c r="E12" s="165">
        <v>3974</v>
      </c>
      <c r="F12" s="17"/>
      <c r="G12" s="17"/>
      <c r="H12" s="17">
        <f t="shared" si="0"/>
        <v>6560</v>
      </c>
      <c r="I12" s="17"/>
      <c r="J12" s="17"/>
      <c r="K12"/>
      <c r="L12" s="80">
        <f t="shared" si="1"/>
        <v>0.5217732444095724</v>
      </c>
      <c r="M12" s="80">
        <f t="shared" si="2"/>
        <v>0.6058728448275863</v>
      </c>
      <c r="N12" s="80">
        <f t="shared" si="3"/>
        <v>0.571633924293244</v>
      </c>
      <c r="O12"/>
      <c r="P12"/>
      <c r="Q12"/>
      <c r="R12"/>
      <c r="S12"/>
      <c r="T12"/>
      <c r="U12"/>
      <c r="V12"/>
      <c r="W12"/>
      <c r="X12"/>
      <c r="Y12"/>
    </row>
    <row r="13" spans="1:25" x14ac:dyDescent="0.25">
      <c r="A13" s="16" t="s">
        <v>227</v>
      </c>
      <c r="B13" s="164">
        <v>2815.6666666666665</v>
      </c>
      <c r="C13" s="17"/>
      <c r="D13" s="17"/>
      <c r="E13" s="165">
        <v>4410</v>
      </c>
      <c r="F13" s="17"/>
      <c r="G13" s="17"/>
      <c r="H13" s="17">
        <f t="shared" si="0"/>
        <v>7225.6666666666661</v>
      </c>
      <c r="I13" s="17"/>
      <c r="J13" s="17"/>
      <c r="K13"/>
      <c r="L13" s="80">
        <f t="shared" si="1"/>
        <v>0.52445406966251573</v>
      </c>
      <c r="M13" s="80">
        <f t="shared" si="2"/>
        <v>0.59474445515911278</v>
      </c>
      <c r="N13" s="80">
        <f t="shared" si="3"/>
        <v>0.56659680566596782</v>
      </c>
      <c r="O13"/>
      <c r="P13"/>
      <c r="Q13"/>
      <c r="R13"/>
      <c r="S13"/>
      <c r="T13"/>
      <c r="U13"/>
      <c r="V13"/>
      <c r="W13"/>
      <c r="X13"/>
      <c r="Y13"/>
    </row>
    <row r="14" spans="1:25" x14ac:dyDescent="0.25">
      <c r="A14" s="16" t="s">
        <v>228</v>
      </c>
      <c r="B14" s="164">
        <v>3017.6666666666665</v>
      </c>
      <c r="C14" s="17"/>
      <c r="D14" s="17"/>
      <c r="E14" s="165">
        <v>4910.666666666667</v>
      </c>
      <c r="F14" s="17"/>
      <c r="G14" s="17"/>
      <c r="H14" s="17">
        <f t="shared" si="0"/>
        <v>7928.3333333333339</v>
      </c>
      <c r="I14" s="17"/>
      <c r="J14" s="17"/>
      <c r="K14"/>
      <c r="L14" s="80">
        <f t="shared" si="1"/>
        <v>0.41364772017489071</v>
      </c>
      <c r="M14" s="80">
        <f t="shared" si="2"/>
        <v>0.5742680059841847</v>
      </c>
      <c r="N14" s="80">
        <f t="shared" si="3"/>
        <v>0.50900900900900914</v>
      </c>
      <c r="O14"/>
      <c r="P14"/>
      <c r="Q14"/>
      <c r="R14"/>
      <c r="S14"/>
      <c r="T14"/>
      <c r="U14"/>
      <c r="V14"/>
      <c r="W14"/>
      <c r="X14"/>
      <c r="Y14"/>
    </row>
    <row r="15" spans="1:25" x14ac:dyDescent="0.25">
      <c r="A15" s="16" t="s">
        <v>229</v>
      </c>
      <c r="B15" s="164">
        <v>3249.3333333333335</v>
      </c>
      <c r="C15" s="17"/>
      <c r="D15" s="17"/>
      <c r="E15" s="165">
        <v>5387.666666666667</v>
      </c>
      <c r="F15" s="17"/>
      <c r="G15" s="17"/>
      <c r="H15" s="17">
        <f t="shared" si="0"/>
        <v>8637</v>
      </c>
      <c r="I15" s="17"/>
      <c r="J15" s="17"/>
      <c r="K15"/>
      <c r="L15" s="80">
        <f t="shared" si="1"/>
        <v>0.36929344008990039</v>
      </c>
      <c r="M15" s="80">
        <f t="shared" si="2"/>
        <v>0.50157933853586045</v>
      </c>
      <c r="N15" s="80">
        <f t="shared" si="3"/>
        <v>0.44891796678409657</v>
      </c>
      <c r="O15"/>
      <c r="P15"/>
      <c r="Q15"/>
      <c r="R15"/>
      <c r="S15"/>
      <c r="T15"/>
      <c r="U15"/>
      <c r="V15"/>
      <c r="W15"/>
      <c r="X15"/>
      <c r="Y15"/>
    </row>
    <row r="16" spans="1:25" x14ac:dyDescent="0.25">
      <c r="A16" s="16" t="s">
        <v>230</v>
      </c>
      <c r="B16" s="164">
        <v>3593.6666666666665</v>
      </c>
      <c r="C16" s="17"/>
      <c r="D16" s="17"/>
      <c r="E16" s="165">
        <v>5824.666666666667</v>
      </c>
      <c r="F16" s="17"/>
      <c r="G16" s="17"/>
      <c r="H16" s="17">
        <f t="shared" si="0"/>
        <v>9418.3333333333339</v>
      </c>
      <c r="I16" s="17"/>
      <c r="J16" s="17"/>
      <c r="K16"/>
      <c r="L16" s="80">
        <f t="shared" si="1"/>
        <v>0.38966228409383863</v>
      </c>
      <c r="M16" s="80">
        <f t="shared" si="2"/>
        <v>0.46569367555779229</v>
      </c>
      <c r="N16" s="80">
        <f t="shared" si="3"/>
        <v>0.43572154471544722</v>
      </c>
      <c r="O16"/>
      <c r="P16"/>
      <c r="Q16"/>
      <c r="R16"/>
      <c r="S16"/>
      <c r="T16"/>
      <c r="U16"/>
      <c r="V16"/>
      <c r="W16"/>
      <c r="X16"/>
      <c r="Y16"/>
    </row>
    <row r="17" spans="1:25" x14ac:dyDescent="0.25">
      <c r="A17" s="16" t="s">
        <v>231</v>
      </c>
      <c r="B17" s="164">
        <v>3969.3333333333335</v>
      </c>
      <c r="C17" s="17"/>
      <c r="D17" s="17"/>
      <c r="E17" s="165">
        <v>6345.333333333333</v>
      </c>
      <c r="F17" s="17"/>
      <c r="G17" s="17"/>
      <c r="H17" s="17">
        <f t="shared" si="0"/>
        <v>10314.666666666666</v>
      </c>
      <c r="I17" s="17"/>
      <c r="J17" s="17"/>
      <c r="K17"/>
      <c r="L17" s="80">
        <f t="shared" si="1"/>
        <v>0.40973126553806094</v>
      </c>
      <c r="M17" s="80">
        <f t="shared" si="2"/>
        <v>0.43885109599395311</v>
      </c>
      <c r="N17" s="80">
        <f t="shared" si="3"/>
        <v>0.42750380587719716</v>
      </c>
      <c r="O17"/>
      <c r="P17"/>
      <c r="Q17"/>
      <c r="R17"/>
      <c r="S17"/>
      <c r="T17"/>
      <c r="U17"/>
      <c r="V17"/>
      <c r="W17"/>
      <c r="X17"/>
      <c r="Y17"/>
    </row>
    <row r="18" spans="1:25" x14ac:dyDescent="0.25">
      <c r="A18" s="16" t="s">
        <v>232</v>
      </c>
      <c r="B18" s="164">
        <v>4362.666666666667</v>
      </c>
      <c r="C18" s="17"/>
      <c r="D18" s="17"/>
      <c r="E18" s="165">
        <v>6855.666666666667</v>
      </c>
      <c r="F18" s="17"/>
      <c r="G18" s="17"/>
      <c r="H18" s="17">
        <f t="shared" si="0"/>
        <v>11218.333333333334</v>
      </c>
      <c r="I18" s="17"/>
      <c r="J18" s="17"/>
      <c r="K18"/>
      <c r="L18" s="80">
        <f t="shared" si="1"/>
        <v>0.44570860488235953</v>
      </c>
      <c r="M18" s="80">
        <f t="shared" si="2"/>
        <v>0.39607656801520497</v>
      </c>
      <c r="N18" s="80">
        <f t="shared" si="3"/>
        <v>0.41496741643893209</v>
      </c>
      <c r="O18"/>
      <c r="P18"/>
      <c r="Q18"/>
      <c r="R18"/>
      <c r="S18"/>
      <c r="T18"/>
      <c r="U18"/>
      <c r="V18"/>
      <c r="W18"/>
      <c r="X18"/>
      <c r="Y18"/>
    </row>
    <row r="19" spans="1:25" x14ac:dyDescent="0.25">
      <c r="A19" s="16" t="s">
        <v>233</v>
      </c>
      <c r="B19" s="164">
        <v>4767</v>
      </c>
      <c r="C19" s="17"/>
      <c r="D19" s="17"/>
      <c r="E19" s="165">
        <v>7502.333333333333</v>
      </c>
      <c r="F19" s="17"/>
      <c r="G19" s="17"/>
      <c r="H19" s="17">
        <f t="shared" si="0"/>
        <v>12269.333333333332</v>
      </c>
      <c r="I19" s="17"/>
      <c r="J19" s="17"/>
      <c r="K19"/>
      <c r="L19" s="80">
        <f t="shared" si="1"/>
        <v>0.46707016823963876</v>
      </c>
      <c r="M19" s="80">
        <f t="shared" si="2"/>
        <v>0.39250139206830403</v>
      </c>
      <c r="N19" s="80">
        <f t="shared" si="3"/>
        <v>0.42055497665084318</v>
      </c>
      <c r="O19"/>
      <c r="P19"/>
      <c r="Q19"/>
      <c r="R19"/>
      <c r="S19"/>
      <c r="T19"/>
      <c r="U19"/>
      <c r="V19"/>
      <c r="W19"/>
      <c r="X19"/>
      <c r="Y19"/>
    </row>
    <row r="20" spans="1:25" x14ac:dyDescent="0.25">
      <c r="A20" s="16" t="s">
        <v>234</v>
      </c>
      <c r="B20" s="164">
        <v>5293</v>
      </c>
      <c r="C20" s="17"/>
      <c r="D20" s="17"/>
      <c r="E20" s="165">
        <v>8157.666666666667</v>
      </c>
      <c r="F20" s="17"/>
      <c r="G20" s="17"/>
      <c r="H20" s="17">
        <f t="shared" si="0"/>
        <v>13450.666666666668</v>
      </c>
      <c r="I20" s="17"/>
      <c r="J20" s="17"/>
      <c r="K20"/>
      <c r="L20" s="80">
        <f t="shared" si="1"/>
        <v>0.47286893609127167</v>
      </c>
      <c r="M20" s="80">
        <f t="shared" si="2"/>
        <v>0.40053794208538407</v>
      </c>
      <c r="N20" s="80">
        <f t="shared" si="3"/>
        <v>0.42813661298885153</v>
      </c>
      <c r="O20"/>
      <c r="P20"/>
      <c r="Q20"/>
      <c r="R20"/>
      <c r="S20"/>
      <c r="T20"/>
      <c r="U20"/>
      <c r="V20"/>
      <c r="W20"/>
      <c r="X20"/>
      <c r="Y20"/>
    </row>
    <row r="21" spans="1:25" x14ac:dyDescent="0.25">
      <c r="A21" s="16" t="s">
        <v>235</v>
      </c>
      <c r="B21" s="164">
        <v>5721</v>
      </c>
      <c r="C21" s="17"/>
      <c r="D21" s="17"/>
      <c r="E21" s="165">
        <v>8797.6666666666661</v>
      </c>
      <c r="F21" s="17"/>
      <c r="G21" s="17"/>
      <c r="H21" s="17">
        <f t="shared" si="0"/>
        <v>14518.666666666666</v>
      </c>
      <c r="I21" s="17"/>
      <c r="J21" s="17"/>
      <c r="K21"/>
      <c r="L21" s="80">
        <f t="shared" si="1"/>
        <v>0.4412999664091366</v>
      </c>
      <c r="M21" s="80">
        <f t="shared" si="2"/>
        <v>0.38647825173355743</v>
      </c>
      <c r="N21" s="80">
        <f t="shared" si="3"/>
        <v>0.40757497414684596</v>
      </c>
      <c r="O21"/>
      <c r="P21"/>
      <c r="Q21"/>
      <c r="R21"/>
      <c r="S21"/>
      <c r="T21"/>
      <c r="U21"/>
      <c r="V21"/>
      <c r="W21"/>
      <c r="X21"/>
      <c r="Y21"/>
    </row>
    <row r="22" spans="1:25" x14ac:dyDescent="0.25">
      <c r="A22" s="16" t="s">
        <v>236</v>
      </c>
      <c r="B22" s="164">
        <v>6207.333333333333</v>
      </c>
      <c r="C22" s="17"/>
      <c r="D22" s="17"/>
      <c r="E22" s="165">
        <v>9314.3333333333339</v>
      </c>
      <c r="F22" s="17"/>
      <c r="G22" s="17"/>
      <c r="H22" s="17">
        <f t="shared" si="0"/>
        <v>15521.666666666668</v>
      </c>
      <c r="I22" s="17"/>
      <c r="J22" s="17"/>
      <c r="K22"/>
      <c r="L22" s="80">
        <f t="shared" si="1"/>
        <v>0.42283007334963307</v>
      </c>
      <c r="M22" s="80">
        <f t="shared" si="2"/>
        <v>0.35863276121942911</v>
      </c>
      <c r="N22" s="80">
        <f t="shared" si="3"/>
        <v>0.38359827663051549</v>
      </c>
      <c r="O22"/>
      <c r="P22"/>
      <c r="Q22"/>
      <c r="R22"/>
      <c r="S22"/>
      <c r="T22"/>
      <c r="U22"/>
      <c r="V22"/>
      <c r="W22"/>
      <c r="X22"/>
      <c r="Y22"/>
    </row>
    <row r="23" spans="1:25" x14ac:dyDescent="0.25">
      <c r="A23" s="16" t="s">
        <v>237</v>
      </c>
      <c r="B23" s="164">
        <v>6611</v>
      </c>
      <c r="C23" s="17"/>
      <c r="D23" s="17"/>
      <c r="E23" s="165">
        <v>9852.6666666666661</v>
      </c>
      <c r="F23" s="17"/>
      <c r="G23" s="17"/>
      <c r="H23" s="17">
        <f t="shared" si="0"/>
        <v>16463.666666666664</v>
      </c>
      <c r="I23" s="17"/>
      <c r="J23" s="17"/>
      <c r="K23"/>
      <c r="L23" s="80">
        <f t="shared" si="1"/>
        <v>0.38682609607719742</v>
      </c>
      <c r="M23" s="80">
        <f t="shared" si="2"/>
        <v>0.31328031279157598</v>
      </c>
      <c r="N23" s="80">
        <f t="shared" si="3"/>
        <v>0.34185503151488805</v>
      </c>
      <c r="O23"/>
      <c r="P23"/>
      <c r="Q23"/>
      <c r="R23"/>
      <c r="S23"/>
      <c r="T23"/>
      <c r="U23"/>
      <c r="V23"/>
      <c r="W23"/>
      <c r="X23"/>
      <c r="Y23"/>
    </row>
    <row r="24" spans="1:25" x14ac:dyDescent="0.25">
      <c r="A24" s="16" t="s">
        <v>238</v>
      </c>
      <c r="B24" s="164">
        <v>7145.333333333333</v>
      </c>
      <c r="C24" s="17"/>
      <c r="D24" s="17"/>
      <c r="E24" s="165">
        <v>10380</v>
      </c>
      <c r="F24" s="17"/>
      <c r="G24" s="17"/>
      <c r="H24" s="17">
        <f t="shared" si="0"/>
        <v>17525.333333333332</v>
      </c>
      <c r="I24" s="17"/>
      <c r="J24" s="17"/>
      <c r="K24"/>
      <c r="L24" s="80">
        <f t="shared" si="1"/>
        <v>0.34995906543233191</v>
      </c>
      <c r="M24" s="80">
        <f t="shared" si="2"/>
        <v>0.27242266988109343</v>
      </c>
      <c r="N24" s="80">
        <f t="shared" si="3"/>
        <v>0.30293417922283883</v>
      </c>
      <c r="O24"/>
      <c r="P24"/>
      <c r="Q24"/>
      <c r="R24"/>
      <c r="S24"/>
      <c r="T24"/>
      <c r="U24"/>
      <c r="V24"/>
      <c r="W24"/>
      <c r="X24"/>
      <c r="Y24"/>
    </row>
    <row r="25" spans="1:25" x14ac:dyDescent="0.25">
      <c r="A25" s="16" t="s">
        <v>239</v>
      </c>
      <c r="B25" s="164">
        <v>7715.666666666667</v>
      </c>
      <c r="C25" s="17"/>
      <c r="D25" s="17"/>
      <c r="E25" s="165">
        <v>10946.666666666666</v>
      </c>
      <c r="F25" s="17"/>
      <c r="G25" s="17"/>
      <c r="H25" s="17">
        <f t="shared" si="0"/>
        <v>18662.333333333332</v>
      </c>
      <c r="I25" s="17"/>
      <c r="J25" s="17"/>
      <c r="K25"/>
      <c r="L25" s="80">
        <f t="shared" si="1"/>
        <v>0.34865699469789679</v>
      </c>
      <c r="M25" s="80">
        <f t="shared" si="2"/>
        <v>0.24426931383321326</v>
      </c>
      <c r="N25" s="80">
        <f t="shared" si="3"/>
        <v>0.28540269997244927</v>
      </c>
      <c r="O25"/>
      <c r="P25"/>
      <c r="Q25"/>
      <c r="R25"/>
      <c r="S25"/>
      <c r="T25"/>
      <c r="U25"/>
      <c r="V25"/>
      <c r="W25"/>
      <c r="X25"/>
      <c r="Y25"/>
    </row>
    <row r="26" spans="1:25" x14ac:dyDescent="0.25">
      <c r="A26" s="16" t="s">
        <v>240</v>
      </c>
      <c r="B26" s="164">
        <v>8334</v>
      </c>
      <c r="C26" s="17"/>
      <c r="D26" s="17"/>
      <c r="E26" s="165">
        <v>11520.666666666666</v>
      </c>
      <c r="F26" s="17"/>
      <c r="G26" s="17"/>
      <c r="H26" s="17">
        <f t="shared" si="0"/>
        <v>19854.666666666664</v>
      </c>
      <c r="I26" s="17"/>
      <c r="J26" s="17"/>
      <c r="K26"/>
      <c r="L26" s="80">
        <f t="shared" si="1"/>
        <v>0.34260552035227154</v>
      </c>
      <c r="M26" s="80">
        <f t="shared" si="2"/>
        <v>0.23687506710088391</v>
      </c>
      <c r="N26" s="80">
        <f t="shared" si="3"/>
        <v>0.27915816600450949</v>
      </c>
      <c r="O26"/>
      <c r="P26"/>
      <c r="Q26"/>
    </row>
    <row r="27" spans="1:25" x14ac:dyDescent="0.25">
      <c r="A27" s="16" t="s">
        <v>241</v>
      </c>
      <c r="B27" s="164">
        <v>9007.6666666666661</v>
      </c>
      <c r="C27" s="17"/>
      <c r="D27" s="17"/>
      <c r="E27" s="165">
        <v>12642</v>
      </c>
      <c r="F27" s="17"/>
      <c r="G27" s="17"/>
      <c r="H27" s="17">
        <f t="shared" si="0"/>
        <v>21649.666666666664</v>
      </c>
      <c r="I27" s="17"/>
      <c r="J27" s="17"/>
      <c r="K27"/>
      <c r="L27" s="80">
        <f t="shared" si="1"/>
        <v>0.36252710129582</v>
      </c>
      <c r="M27" s="80">
        <f t="shared" si="2"/>
        <v>0.28310440489884314</v>
      </c>
      <c r="N27" s="80">
        <f t="shared" si="3"/>
        <v>0.31499665931040077</v>
      </c>
      <c r="O27"/>
      <c r="P27"/>
      <c r="Q27"/>
    </row>
    <row r="28" spans="1:25" x14ac:dyDescent="0.25">
      <c r="A28" s="16" t="s">
        <v>242</v>
      </c>
      <c r="B28" s="164">
        <v>9517.6666666666661</v>
      </c>
      <c r="C28" s="17"/>
      <c r="D28" s="17"/>
      <c r="E28" s="165">
        <v>14263.666666666666</v>
      </c>
      <c r="F28" s="17"/>
      <c r="G28" s="17"/>
      <c r="H28" s="17">
        <f t="shared" si="0"/>
        <v>23781.333333333332</v>
      </c>
      <c r="I28" s="17"/>
      <c r="J28" s="17"/>
      <c r="K28"/>
      <c r="L28" s="80">
        <f t="shared" si="1"/>
        <v>0.33201156932263487</v>
      </c>
      <c r="M28" s="80">
        <f t="shared" si="2"/>
        <v>0.37414900449582533</v>
      </c>
      <c r="N28" s="80">
        <f t="shared" si="3"/>
        <v>0.3569689592209373</v>
      </c>
      <c r="O28"/>
      <c r="P28"/>
      <c r="Q28"/>
    </row>
    <row r="29" spans="1:25" x14ac:dyDescent="0.25">
      <c r="A29" s="16" t="s">
        <v>243</v>
      </c>
      <c r="B29" s="164">
        <v>10109.666666666666</v>
      </c>
      <c r="C29" s="11"/>
      <c r="D29" s="11"/>
      <c r="E29" s="165">
        <v>15180.666666666666</v>
      </c>
      <c r="F29" s="11"/>
      <c r="G29" s="11"/>
      <c r="H29" s="11">
        <f t="shared" si="0"/>
        <v>25290.333333333332</v>
      </c>
      <c r="I29" s="11"/>
      <c r="J29" s="11"/>
      <c r="K29"/>
      <c r="L29" s="80">
        <f t="shared" si="1"/>
        <v>0.31027778977837284</v>
      </c>
      <c r="M29" s="80">
        <f t="shared" si="2"/>
        <v>0.38678440925700364</v>
      </c>
      <c r="N29" s="80">
        <f t="shared" si="3"/>
        <v>0.35515387500669804</v>
      </c>
      <c r="O29"/>
      <c r="P29"/>
      <c r="Q29"/>
    </row>
    <row r="30" spans="1:25" x14ac:dyDescent="0.25">
      <c r="A30" s="16" t="s">
        <v>244</v>
      </c>
      <c r="B30" s="164">
        <v>10762.666666666666</v>
      </c>
      <c r="C30" s="11"/>
      <c r="D30" s="11"/>
      <c r="E30" s="165">
        <v>16623.666666666668</v>
      </c>
      <c r="F30" s="11"/>
      <c r="G30" s="11"/>
      <c r="H30" s="81">
        <f>SUM(B30,E30)</f>
        <v>27386.333333333336</v>
      </c>
      <c r="I30" s="17"/>
      <c r="J30" s="17"/>
      <c r="L30" s="80">
        <f t="shared" si="1"/>
        <v>0.2914166866650667</v>
      </c>
      <c r="M30" s="80">
        <f t="shared" si="2"/>
        <v>0.44294311671778264</v>
      </c>
      <c r="N30" s="80">
        <f t="shared" si="3"/>
        <v>0.37933986971996547</v>
      </c>
    </row>
    <row r="31" spans="1:25" x14ac:dyDescent="0.25">
      <c r="A31" s="16" t="s">
        <v>245</v>
      </c>
      <c r="B31" s="164">
        <v>11348</v>
      </c>
      <c r="C31" s="116"/>
      <c r="D31" s="116"/>
      <c r="E31" s="165">
        <v>18037</v>
      </c>
      <c r="F31" s="116"/>
      <c r="G31" s="116"/>
      <c r="H31" s="131">
        <f t="shared" si="0"/>
        <v>29385</v>
      </c>
      <c r="I31" s="116"/>
      <c r="J31" s="116"/>
      <c r="L31" s="80">
        <f>B31/B27-1</f>
        <v>0.25981571254116864</v>
      </c>
      <c r="M31" s="80">
        <f>E31/E27-1</f>
        <v>0.42675209618731214</v>
      </c>
      <c r="N31" s="80">
        <f>H31/H27-1</f>
        <v>0.35729572433755741</v>
      </c>
    </row>
    <row r="32" spans="1:25" x14ac:dyDescent="0.25">
      <c r="A32" s="16" t="s">
        <v>276</v>
      </c>
      <c r="B32" s="164">
        <v>11878.666666666666</v>
      </c>
      <c r="C32" s="166"/>
      <c r="D32" s="166"/>
      <c r="E32" s="166">
        <v>19494.666666666668</v>
      </c>
      <c r="F32" s="166"/>
      <c r="G32" s="166"/>
      <c r="H32" s="17">
        <f t="shared" si="0"/>
        <v>31373.333333333336</v>
      </c>
      <c r="I32" s="17"/>
      <c r="J32" s="17"/>
      <c r="L32" s="80">
        <f>B32/B28-1</f>
        <v>0.24806500192624248</v>
      </c>
      <c r="M32" s="80">
        <f>E32/E28-1</f>
        <v>0.3667359958869858</v>
      </c>
      <c r="N32" s="80">
        <f>H32/H28-1</f>
        <v>0.31924198250728875</v>
      </c>
    </row>
    <row r="33" spans="1:14" x14ac:dyDescent="0.25">
      <c r="A33" s="16" t="s">
        <v>277</v>
      </c>
      <c r="B33" s="164">
        <v>12072.666666666666</v>
      </c>
      <c r="C33" s="166"/>
      <c r="D33" s="166"/>
      <c r="E33" s="166">
        <v>20220.333333333332</v>
      </c>
      <c r="F33" s="166"/>
      <c r="G33" s="166"/>
      <c r="H33" s="17">
        <f t="shared" si="0"/>
        <v>32293</v>
      </c>
      <c r="I33" s="17"/>
      <c r="J33" s="17"/>
      <c r="L33" s="80">
        <f>B33/B29-1</f>
        <v>0.19417059579939999</v>
      </c>
      <c r="M33" s="80">
        <f>E33/E29-1</f>
        <v>0.33197927188090115</v>
      </c>
      <c r="N33" s="80">
        <f>H33/H29-1</f>
        <v>0.27689103873680332</v>
      </c>
    </row>
    <row r="34" spans="1:14" x14ac:dyDescent="0.25">
      <c r="A34" s="16" t="s">
        <v>278</v>
      </c>
      <c r="B34" s="164">
        <v>12226.666666666666</v>
      </c>
      <c r="C34" s="17"/>
      <c r="D34" s="17"/>
      <c r="E34" s="165">
        <v>20797.333333333332</v>
      </c>
      <c r="F34" s="17"/>
      <c r="G34" s="17"/>
      <c r="H34" s="17">
        <f t="shared" si="0"/>
        <v>33024</v>
      </c>
      <c r="I34" s="17"/>
      <c r="J34" s="17"/>
    </row>
    <row r="35" spans="1:14" x14ac:dyDescent="0.25">
      <c r="A35" s="16" t="s">
        <v>279</v>
      </c>
      <c r="B35" s="164">
        <v>12691.333333333334</v>
      </c>
      <c r="C35" s="17"/>
      <c r="D35" s="17"/>
      <c r="E35" s="165">
        <v>22242.333333333332</v>
      </c>
      <c r="F35" s="17"/>
      <c r="G35" s="17"/>
      <c r="H35" s="17">
        <f t="shared" si="0"/>
        <v>34933.666666666664</v>
      </c>
      <c r="I35" s="17"/>
      <c r="J35" s="17"/>
    </row>
    <row r="36" spans="1:14" x14ac:dyDescent="0.25">
      <c r="A36" s="16" t="s">
        <v>280</v>
      </c>
      <c r="B36" s="11">
        <v>13292</v>
      </c>
      <c r="C36" s="165">
        <f>B36</f>
        <v>13292</v>
      </c>
      <c r="D36" s="165">
        <f>B36</f>
        <v>13292</v>
      </c>
      <c r="E36" s="166">
        <v>24126</v>
      </c>
      <c r="F36" s="165">
        <f>E36</f>
        <v>24126</v>
      </c>
      <c r="G36" s="165">
        <f>E36</f>
        <v>24126</v>
      </c>
      <c r="H36" s="166">
        <f t="shared" si="0"/>
        <v>37418</v>
      </c>
      <c r="I36" s="166">
        <f t="shared" ref="I36:J39" si="4">SUM(C36,F36)</f>
        <v>37418</v>
      </c>
      <c r="J36" s="166">
        <f t="shared" si="4"/>
        <v>37418</v>
      </c>
    </row>
    <row r="37" spans="1:14" x14ac:dyDescent="0.25">
      <c r="A37" s="16" t="s">
        <v>281</v>
      </c>
      <c r="B37" s="11">
        <v>14111.666666666666</v>
      </c>
      <c r="C37" s="166">
        <f>C36*((B37/B36)+(B$1/4))</f>
        <v>14244.586666666666</v>
      </c>
      <c r="D37" s="166">
        <f t="shared" ref="D37:D51" si="5">D36*((B37/B36)-(B$1/4))</f>
        <v>13978.746666666666</v>
      </c>
      <c r="E37" s="166">
        <v>25715</v>
      </c>
      <c r="F37" s="166">
        <f t="shared" ref="F37:F51" si="6">F36*((E37/E36)+(E$1/4))</f>
        <v>26076.89</v>
      </c>
      <c r="G37" s="166">
        <f t="shared" ref="G37:G51" si="7">G36*((E37/E36)-(E$1/4))</f>
        <v>25353.110000000004</v>
      </c>
      <c r="H37" s="166">
        <f t="shared" si="0"/>
        <v>39826.666666666664</v>
      </c>
      <c r="I37" s="166">
        <f t="shared" si="4"/>
        <v>40321.476666666669</v>
      </c>
      <c r="J37" s="166">
        <f t="shared" si="4"/>
        <v>39331.856666666674</v>
      </c>
    </row>
    <row r="38" spans="1:14" x14ac:dyDescent="0.25">
      <c r="A38" s="16" t="s">
        <v>282</v>
      </c>
      <c r="B38" s="11">
        <v>15382.333333333334</v>
      </c>
      <c r="C38" s="166">
        <f t="shared" ref="C37:C51" si="8">C37*((B38/B37)+(B$1/4))</f>
        <v>15669.667808479982</v>
      </c>
      <c r="D38" s="166">
        <f t="shared" si="5"/>
        <v>15097.657258186686</v>
      </c>
      <c r="E38" s="166">
        <v>27201.333333333332</v>
      </c>
      <c r="F38" s="166">
        <f t="shared" si="6"/>
        <v>27975.294014463019</v>
      </c>
      <c r="G38" s="166">
        <f t="shared" si="7"/>
        <v>26438.229352203649</v>
      </c>
      <c r="H38" s="166">
        <f t="shared" si="0"/>
        <v>42583.666666666664</v>
      </c>
      <c r="I38" s="166">
        <f t="shared" si="4"/>
        <v>43644.961822943005</v>
      </c>
      <c r="J38" s="166">
        <f t="shared" si="4"/>
        <v>41535.886610390335</v>
      </c>
    </row>
    <row r="39" spans="1:14" x14ac:dyDescent="0.25">
      <c r="A39" s="16" t="s">
        <v>283</v>
      </c>
      <c r="B39" s="11">
        <v>16711</v>
      </c>
      <c r="C39" s="166">
        <f t="shared" si="8"/>
        <v>17179.849997748632</v>
      </c>
      <c r="D39" s="166">
        <f t="shared" si="5"/>
        <v>16250.758130100279</v>
      </c>
      <c r="E39" s="166">
        <v>28864.333333333332</v>
      </c>
      <c r="F39" s="166">
        <f t="shared" si="6"/>
        <v>30105.24083360791</v>
      </c>
      <c r="G39" s="166">
        <f t="shared" si="7"/>
        <v>27658.002245901091</v>
      </c>
      <c r="H39" s="166">
        <f t="shared" si="0"/>
        <v>45575.333333333328</v>
      </c>
      <c r="I39" s="166">
        <f t="shared" si="4"/>
        <v>47285.090831356545</v>
      </c>
      <c r="J39" s="166">
        <f t="shared" si="4"/>
        <v>43908.760376001374</v>
      </c>
    </row>
    <row r="40" spans="1:14" x14ac:dyDescent="0.25">
      <c r="A40" s="163" t="s">
        <v>623</v>
      </c>
      <c r="B40" s="162">
        <v>18033.666666666668</v>
      </c>
      <c r="C40" s="162">
        <f t="shared" si="8"/>
        <v>18711.424389674867</v>
      </c>
      <c r="D40" s="162">
        <f t="shared" si="5"/>
        <v>17374.489318875632</v>
      </c>
      <c r="E40" s="162">
        <v>30739</v>
      </c>
      <c r="F40" s="162">
        <f t="shared" si="6"/>
        <v>32512.079968881895</v>
      </c>
      <c r="G40" s="162">
        <f t="shared" si="7"/>
        <v>29039.450674801334</v>
      </c>
      <c r="H40" s="162">
        <f t="shared" ref="H40:J43" si="9">SUM(B40,E40)</f>
        <v>48772.666666666672</v>
      </c>
      <c r="I40" s="162">
        <f t="shared" si="9"/>
        <v>51223.504358556762</v>
      </c>
      <c r="J40" s="162">
        <f t="shared" si="9"/>
        <v>46413.939993676962</v>
      </c>
    </row>
    <row r="41" spans="1:14" x14ac:dyDescent="0.25">
      <c r="A41" s="163" t="s">
        <v>624</v>
      </c>
      <c r="B41" s="162">
        <v>19365.666666666668</v>
      </c>
      <c r="C41" s="162">
        <f t="shared" si="8"/>
        <v>20280.599073510635</v>
      </c>
      <c r="D41" s="162">
        <f t="shared" si="5"/>
        <v>18484.056366653349</v>
      </c>
      <c r="E41" s="162">
        <v>32599</v>
      </c>
      <c r="F41" s="162">
        <f t="shared" si="6"/>
        <v>34967.04926308705</v>
      </c>
      <c r="G41" s="162">
        <f t="shared" si="7"/>
        <v>30361.020118854161</v>
      </c>
      <c r="H41" s="162">
        <f t="shared" si="9"/>
        <v>51964.666666666672</v>
      </c>
      <c r="I41" s="162">
        <f t="shared" si="9"/>
        <v>55247.648336597689</v>
      </c>
      <c r="J41" s="162">
        <f t="shared" si="9"/>
        <v>48845.07648550751</v>
      </c>
    </row>
    <row r="42" spans="1:14" x14ac:dyDescent="0.25">
      <c r="A42" s="163" t="s">
        <v>625</v>
      </c>
      <c r="B42" s="162">
        <v>20692</v>
      </c>
      <c r="C42" s="162">
        <f t="shared" si="8"/>
        <v>21872.401117630576</v>
      </c>
      <c r="D42" s="162">
        <f t="shared" si="5"/>
        <v>19565.168610927216</v>
      </c>
      <c r="E42" s="162">
        <v>34159.333333333336</v>
      </c>
      <c r="F42" s="162">
        <f t="shared" si="6"/>
        <v>37165.233720199663</v>
      </c>
      <c r="G42" s="162">
        <f t="shared" si="7"/>
        <v>31358.818465510023</v>
      </c>
      <c r="H42" s="162">
        <f t="shared" si="9"/>
        <v>54851.333333333336</v>
      </c>
      <c r="I42" s="162">
        <f t="shared" si="9"/>
        <v>59037.634837830235</v>
      </c>
      <c r="J42" s="162">
        <f t="shared" si="9"/>
        <v>50923.987076437239</v>
      </c>
    </row>
    <row r="43" spans="1:14" x14ac:dyDescent="0.25">
      <c r="A43" s="163" t="s">
        <v>626</v>
      </c>
      <c r="B43" s="162">
        <v>22023</v>
      </c>
      <c r="C43" s="162">
        <f t="shared" si="8"/>
        <v>23498.053694801773</v>
      </c>
      <c r="D43" s="162">
        <f t="shared" si="5"/>
        <v>20628.034198215591</v>
      </c>
      <c r="E43" s="162">
        <v>35860.333333333336</v>
      </c>
      <c r="F43" s="162">
        <f t="shared" si="6"/>
        <v>39573.394203345873</v>
      </c>
      <c r="G43" s="162">
        <f t="shared" si="7"/>
        <v>32449.981599537517</v>
      </c>
      <c r="H43" s="162">
        <f t="shared" si="9"/>
        <v>57883.333333333336</v>
      </c>
      <c r="I43" s="162">
        <f t="shared" si="9"/>
        <v>63071.447898147642</v>
      </c>
      <c r="J43" s="162">
        <f t="shared" si="9"/>
        <v>53078.015797753105</v>
      </c>
    </row>
    <row r="44" spans="1:14" x14ac:dyDescent="0.25">
      <c r="A44" s="16" t="s">
        <v>627</v>
      </c>
      <c r="B44" s="11">
        <v>23399.666666666668</v>
      </c>
      <c r="C44" s="17">
        <f t="shared" si="8"/>
        <v>25201.907103437443</v>
      </c>
      <c r="D44" s="17">
        <f t="shared" si="5"/>
        <v>21711.220644570334</v>
      </c>
      <c r="E44" s="11">
        <v>37574.666666666664</v>
      </c>
      <c r="F44" s="17">
        <f t="shared" si="6"/>
        <v>42058.834441070561</v>
      </c>
      <c r="G44" s="17">
        <f t="shared" si="7"/>
        <v>33514.530481863614</v>
      </c>
      <c r="H44" s="17">
        <f t="shared" ref="H44:H51" si="10">SUM(B44,E44)</f>
        <v>60974.333333333328</v>
      </c>
      <c r="I44" s="17">
        <f t="shared" ref="I44:I51" si="11">SUM(C44,F44)</f>
        <v>67260.741544507997</v>
      </c>
      <c r="J44" s="17">
        <f t="shared" ref="J44:J51" si="12">SUM(D44,G44)</f>
        <v>55225.751126433948</v>
      </c>
    </row>
    <row r="45" spans="1:14" x14ac:dyDescent="0.25">
      <c r="A45" s="16" t="s">
        <v>628</v>
      </c>
      <c r="B45" s="11">
        <v>24777.666666666668</v>
      </c>
      <c r="C45" s="17">
        <f t="shared" si="8"/>
        <v>26938.059623176367</v>
      </c>
      <c r="D45" s="17">
        <f t="shared" si="5"/>
        <v>22772.676311522457</v>
      </c>
      <c r="E45" s="11">
        <v>39316.333333333336</v>
      </c>
      <c r="F45" s="17">
        <f t="shared" si="6"/>
        <v>44639.234451340097</v>
      </c>
      <c r="G45" s="17">
        <f t="shared" si="7"/>
        <v>34565.283141077045</v>
      </c>
      <c r="H45" s="17">
        <f t="shared" si="10"/>
        <v>64094</v>
      </c>
      <c r="I45" s="17">
        <f t="shared" si="11"/>
        <v>71577.294074516467</v>
      </c>
      <c r="J45" s="17">
        <f t="shared" si="12"/>
        <v>57337.959452599505</v>
      </c>
    </row>
    <row r="46" spans="1:14" x14ac:dyDescent="0.25">
      <c r="A46" s="16" t="s">
        <v>629</v>
      </c>
      <c r="B46" s="11">
        <v>26139</v>
      </c>
      <c r="C46" s="17">
        <f t="shared" si="8"/>
        <v>28687.469755429174</v>
      </c>
      <c r="D46" s="17">
        <f t="shared" si="5"/>
        <v>23796.124801071022</v>
      </c>
      <c r="E46" s="11">
        <v>40709.333333333336</v>
      </c>
      <c r="F46" s="17">
        <f t="shared" si="6"/>
        <v>46890.416375194189</v>
      </c>
      <c r="G46" s="17">
        <f t="shared" si="7"/>
        <v>35271.471489672265</v>
      </c>
      <c r="H46" s="17">
        <f t="shared" si="10"/>
        <v>66848.333333333343</v>
      </c>
      <c r="I46" s="17">
        <f t="shared" si="11"/>
        <v>75577.886130623359</v>
      </c>
      <c r="J46" s="17">
        <f t="shared" si="12"/>
        <v>59067.596290743284</v>
      </c>
    </row>
    <row r="47" spans="1:14" x14ac:dyDescent="0.25">
      <c r="A47" s="16" t="s">
        <v>630</v>
      </c>
      <c r="B47" s="11">
        <v>27513</v>
      </c>
      <c r="C47" s="17">
        <f t="shared" si="8"/>
        <v>30482.305103504128</v>
      </c>
      <c r="D47" s="17">
        <f t="shared" si="5"/>
        <v>24809.010007655801</v>
      </c>
      <c r="E47" s="11">
        <v>42431.333333333336</v>
      </c>
      <c r="F47" s="17">
        <f t="shared" si="6"/>
        <v>49577.231704687008</v>
      </c>
      <c r="G47" s="17">
        <f t="shared" si="7"/>
        <v>36234.378502513602</v>
      </c>
      <c r="H47" s="17">
        <f t="shared" si="10"/>
        <v>69944.333333333343</v>
      </c>
      <c r="I47" s="17">
        <f t="shared" si="11"/>
        <v>80059.536808191129</v>
      </c>
      <c r="J47" s="17">
        <f t="shared" si="12"/>
        <v>61043.388510169403</v>
      </c>
    </row>
    <row r="48" spans="1:14" x14ac:dyDescent="0.25">
      <c r="A48" s="16" t="s">
        <v>631</v>
      </c>
      <c r="B48" s="11">
        <v>28905.666666666668</v>
      </c>
      <c r="C48" s="17">
        <f t="shared" si="8"/>
        <v>32330.096578223005</v>
      </c>
      <c r="D48" s="17">
        <f t="shared" si="5"/>
        <v>25816.714668988829</v>
      </c>
      <c r="E48" s="11">
        <v>44319.333333333336</v>
      </c>
      <c r="F48" s="17">
        <f t="shared" si="6"/>
        <v>52526.849929934018</v>
      </c>
      <c r="G48" s="17">
        <f t="shared" si="7"/>
        <v>37303.126716740138</v>
      </c>
      <c r="H48" s="17">
        <f t="shared" si="10"/>
        <v>73225</v>
      </c>
      <c r="I48" s="17">
        <f t="shared" si="11"/>
        <v>84856.946508157023</v>
      </c>
      <c r="J48" s="17">
        <f t="shared" si="12"/>
        <v>63119.841385728971</v>
      </c>
    </row>
    <row r="49" spans="1:10" x14ac:dyDescent="0.25">
      <c r="A49" s="16" t="s">
        <v>632</v>
      </c>
      <c r="B49" s="11">
        <v>30371.333333333332</v>
      </c>
      <c r="C49" s="17">
        <f t="shared" si="8"/>
        <v>34292.700502530628</v>
      </c>
      <c r="D49" s="17">
        <f t="shared" si="5"/>
        <v>26867.588360883572</v>
      </c>
      <c r="E49" s="11">
        <v>46275.666666666664</v>
      </c>
      <c r="F49" s="17">
        <f t="shared" si="6"/>
        <v>55633.380232236581</v>
      </c>
      <c r="G49" s="17">
        <f t="shared" si="7"/>
        <v>38390.205447395558</v>
      </c>
      <c r="H49" s="17">
        <f t="shared" si="10"/>
        <v>76647</v>
      </c>
      <c r="I49" s="17">
        <f t="shared" si="11"/>
        <v>89926.080734767209</v>
      </c>
      <c r="J49" s="17">
        <f t="shared" si="12"/>
        <v>65257.79380827913</v>
      </c>
    </row>
    <row r="50" spans="1:10" x14ac:dyDescent="0.25">
      <c r="A50" s="16" t="s">
        <v>633</v>
      </c>
      <c r="B50" s="11">
        <v>31815.333333333332</v>
      </c>
      <c r="C50" s="17">
        <f t="shared" si="8"/>
        <v>36266.06825845001</v>
      </c>
      <c r="D50" s="17">
        <f t="shared" si="5"/>
        <v>27876.327504376473</v>
      </c>
      <c r="E50" s="11">
        <v>47901</v>
      </c>
      <c r="F50" s="17">
        <f t="shared" si="6"/>
        <v>58421.883845906079</v>
      </c>
      <c r="G50" s="17">
        <f t="shared" si="7"/>
        <v>39162.725821579377</v>
      </c>
      <c r="H50" s="17">
        <f t="shared" si="10"/>
        <v>79716.333333333328</v>
      </c>
      <c r="I50" s="17">
        <f t="shared" si="11"/>
        <v>94687.952104356082</v>
      </c>
      <c r="J50" s="17">
        <f t="shared" si="12"/>
        <v>67039.053325955843</v>
      </c>
    </row>
    <row r="51" spans="1:10" x14ac:dyDescent="0.25">
      <c r="A51" s="16" t="s">
        <v>634</v>
      </c>
      <c r="B51" s="11">
        <v>33209</v>
      </c>
      <c r="C51" s="17">
        <f t="shared" si="8"/>
        <v>38217.359490125935</v>
      </c>
      <c r="D51" s="17">
        <f t="shared" si="5"/>
        <v>28818.683242133648</v>
      </c>
      <c r="E51" s="11">
        <v>49728.666666666664</v>
      </c>
      <c r="F51" s="17">
        <f t="shared" si="6"/>
        <v>61527.303974516653</v>
      </c>
      <c r="G51" s="17">
        <f t="shared" si="7"/>
        <v>40069.542017821928</v>
      </c>
      <c r="H51" s="17">
        <f t="shared" si="10"/>
        <v>82937.666666666657</v>
      </c>
      <c r="I51" s="17">
        <f t="shared" si="11"/>
        <v>99744.663464642595</v>
      </c>
      <c r="J51" s="17">
        <f t="shared" si="12"/>
        <v>68888.22525995558</v>
      </c>
    </row>
    <row r="52" spans="1:10" x14ac:dyDescent="0.25">
      <c r="A52" s="16" t="s">
        <v>635</v>
      </c>
      <c r="B52" s="11">
        <v>34592.333333333336</v>
      </c>
      <c r="C52" s="17">
        <f>C51*((B52/B51)+(B$1/4))</f>
        <v>40191.491508788058</v>
      </c>
      <c r="D52" s="17">
        <f>D51*((B52/B51)-(B$1/4))</f>
        <v>29730.94945411649</v>
      </c>
      <c r="E52" s="11">
        <v>51633.333333333336</v>
      </c>
      <c r="F52" s="17">
        <f>F51*((E52/E51)+(E$1/4))</f>
        <v>64806.781944778755</v>
      </c>
      <c r="G52" s="17">
        <f>G51*((E52/E51)-(E$1/4))</f>
        <v>41003.209672010482</v>
      </c>
      <c r="H52" s="17">
        <f t="shared" ref="H52:J55" si="13">SUM(B52,E52)</f>
        <v>86225.666666666672</v>
      </c>
      <c r="I52" s="17">
        <f t="shared" si="13"/>
        <v>104998.27345356681</v>
      </c>
      <c r="J52" s="17">
        <f t="shared" si="13"/>
        <v>70734.159126126964</v>
      </c>
    </row>
    <row r="53" spans="1:10" x14ac:dyDescent="0.25">
      <c r="A53" s="16" t="s">
        <v>636</v>
      </c>
      <c r="B53" s="11">
        <v>35910</v>
      </c>
      <c r="C53" s="17">
        <f>C52*((B53/B52)+(B$1/4))</f>
        <v>42124.352259024759</v>
      </c>
      <c r="D53" s="17">
        <f>D52*((B53/B52)-(B$1/4))</f>
        <v>30566.130233837663</v>
      </c>
      <c r="E53" s="11">
        <v>53551.666666666664</v>
      </c>
      <c r="F53" s="17">
        <f>F52*((E53/E52)+(E$1/4))</f>
        <v>68186.650169058237</v>
      </c>
      <c r="G53" s="17">
        <f>G52*((E53/E52)-(E$1/4))</f>
        <v>41911.553855286809</v>
      </c>
      <c r="H53" s="17">
        <f t="shared" si="13"/>
        <v>89461.666666666657</v>
      </c>
      <c r="I53" s="17">
        <f t="shared" si="13"/>
        <v>110311.002428083</v>
      </c>
      <c r="J53" s="17">
        <f t="shared" si="13"/>
        <v>72477.684089124465</v>
      </c>
    </row>
    <row r="54" spans="1:10" x14ac:dyDescent="0.25">
      <c r="A54" s="16" t="s">
        <v>637</v>
      </c>
      <c r="B54" s="11">
        <v>37160.666666666664</v>
      </c>
      <c r="C54" s="17">
        <f>C53*((B54/B53)+(B$1/4))</f>
        <v>44012.69472968761</v>
      </c>
      <c r="D54" s="17">
        <f>D53*((B54/B53)-(B$1/4))</f>
        <v>31325.020315861664</v>
      </c>
      <c r="E54" s="11">
        <v>55104</v>
      </c>
      <c r="F54" s="17">
        <f>F53*((E54/E53)+(E$1/4))</f>
        <v>71186.016040527873</v>
      </c>
      <c r="G54" s="17">
        <f>G53*((E54/E53)-(E$1/4))</f>
        <v>42497.795155182575</v>
      </c>
      <c r="H54" s="17">
        <f t="shared" si="13"/>
        <v>92264.666666666657</v>
      </c>
      <c r="I54" s="17">
        <f t="shared" si="13"/>
        <v>115198.71077021549</v>
      </c>
      <c r="J54" s="17">
        <f t="shared" si="13"/>
        <v>73822.815471044247</v>
      </c>
    </row>
    <row r="55" spans="1:10" x14ac:dyDescent="0.25">
      <c r="A55" s="16" t="s">
        <v>638</v>
      </c>
      <c r="B55" s="11">
        <v>38417.333333333336</v>
      </c>
      <c r="C55" s="17">
        <f>C54*((B55/B54)+(B$1/4))</f>
        <v>45941.204188339885</v>
      </c>
      <c r="D55" s="17">
        <f>D54*((B55/B54)-(B$1/4))</f>
        <v>32071.092035442136</v>
      </c>
      <c r="E55" s="11">
        <v>57008.333333333336</v>
      </c>
      <c r="F55" s="17">
        <f>F54*((E55/E54)+(E$1/4))</f>
        <v>74713.916313314563</v>
      </c>
      <c r="G55" s="17">
        <f>G54*((E55/E54)-(E$1/4))</f>
        <v>43329.0050554388</v>
      </c>
      <c r="H55" s="17">
        <f t="shared" si="13"/>
        <v>95425.666666666672</v>
      </c>
      <c r="I55" s="17">
        <f t="shared" si="13"/>
        <v>120655.12050165446</v>
      </c>
      <c r="J55" s="17">
        <f t="shared" si="13"/>
        <v>75400.09709088094</v>
      </c>
    </row>
    <row r="56" spans="1:10" x14ac:dyDescent="0.25">
      <c r="A56" s="115" t="s">
        <v>678</v>
      </c>
      <c r="B56" s="116">
        <v>39689</v>
      </c>
      <c r="C56" s="114">
        <f t="shared" ref="C56:C63" si="14">C55*((B56/B55)+(B$1/4))</f>
        <v>47921.333388958192</v>
      </c>
      <c r="D56" s="114">
        <f t="shared" ref="D56:D63" si="15">D55*((B56/B55)-(B$1/4))</f>
        <v>32811.978450623857</v>
      </c>
      <c r="E56" s="116">
        <v>59028.333333333336</v>
      </c>
      <c r="F56" s="114">
        <f t="shared" ref="F56:F63" si="16">F55*((E56/E55)+(E$1/4))</f>
        <v>78481.994348227323</v>
      </c>
      <c r="G56" s="114">
        <f t="shared" ref="G56:G63" si="17">G55*((E56/E55)-(E$1/4))</f>
        <v>44214.364647848466</v>
      </c>
      <c r="H56" s="114">
        <f t="shared" ref="H56:H63" si="18">SUM(B56,E56)</f>
        <v>98717.333333333343</v>
      </c>
      <c r="I56" s="114">
        <f t="shared" ref="I56:I63" si="19">SUM(C56,F56)</f>
        <v>126403.32773718552</v>
      </c>
      <c r="J56" s="114">
        <f t="shared" ref="J56:J63" si="20">SUM(D56,G56)</f>
        <v>77026.343098472324</v>
      </c>
    </row>
    <row r="57" spans="1:10" x14ac:dyDescent="0.25">
      <c r="A57" s="115" t="s">
        <v>679</v>
      </c>
      <c r="B57" s="116">
        <v>40990</v>
      </c>
      <c r="C57" s="114">
        <f t="shared" si="14"/>
        <v>49971.401487115829</v>
      </c>
      <c r="D57" s="114">
        <f t="shared" si="15"/>
        <v>33559.430838867294</v>
      </c>
      <c r="E57" s="116">
        <v>61056.333333333336</v>
      </c>
      <c r="F57" s="114">
        <f t="shared" si="16"/>
        <v>82355.581682851669</v>
      </c>
      <c r="G57" s="114">
        <f t="shared" si="17"/>
        <v>45070.194803211984</v>
      </c>
      <c r="H57" s="114">
        <f t="shared" si="18"/>
        <v>102046.33333333334</v>
      </c>
      <c r="I57" s="114">
        <f t="shared" si="19"/>
        <v>132326.98316996748</v>
      </c>
      <c r="J57" s="114">
        <f t="shared" si="20"/>
        <v>78629.625642079278</v>
      </c>
    </row>
    <row r="58" spans="1:10" x14ac:dyDescent="0.25">
      <c r="A58" s="115" t="s">
        <v>680</v>
      </c>
      <c r="B58" s="116">
        <v>42291</v>
      </c>
      <c r="C58" s="114">
        <f t="shared" si="14"/>
        <v>52057.180233256506</v>
      </c>
      <c r="D58" s="114">
        <f t="shared" si="15"/>
        <v>34288.994362178215</v>
      </c>
      <c r="E58" s="116">
        <v>62730.333333333336</v>
      </c>
      <c r="F58" s="114">
        <f t="shared" si="16"/>
        <v>85848.883356880979</v>
      </c>
      <c r="G58" s="114">
        <f t="shared" si="17"/>
        <v>45629.845074945129</v>
      </c>
      <c r="H58" s="114">
        <f t="shared" si="18"/>
        <v>105021.33333333334</v>
      </c>
      <c r="I58" s="114">
        <f t="shared" si="19"/>
        <v>137906.06359013749</v>
      </c>
      <c r="J58" s="114">
        <f t="shared" si="20"/>
        <v>79918.839437123344</v>
      </c>
    </row>
    <row r="59" spans="1:10" x14ac:dyDescent="0.25">
      <c r="A59" s="115" t="s">
        <v>681</v>
      </c>
      <c r="B59" s="116">
        <v>43583.333333333336</v>
      </c>
      <c r="C59" s="114">
        <f t="shared" si="14"/>
        <v>54168.521448815962</v>
      </c>
      <c r="D59" s="114">
        <f t="shared" si="15"/>
        <v>34993.911525995878</v>
      </c>
      <c r="E59" s="116">
        <v>64671.333333333336</v>
      </c>
      <c r="F59" s="114">
        <f t="shared" si="16"/>
        <v>89792.950054567584</v>
      </c>
      <c r="G59" s="114">
        <f t="shared" si="17"/>
        <v>46357.27462924859</v>
      </c>
      <c r="H59" s="114">
        <f t="shared" si="18"/>
        <v>108254.66666666667</v>
      </c>
      <c r="I59" s="114">
        <f t="shared" si="19"/>
        <v>143961.47150338354</v>
      </c>
      <c r="J59" s="114">
        <f t="shared" si="20"/>
        <v>81351.186155244475</v>
      </c>
    </row>
    <row r="60" spans="1:10" x14ac:dyDescent="0.25">
      <c r="A60" s="115" t="s">
        <v>682</v>
      </c>
      <c r="B60" s="116">
        <v>44873.666666666664</v>
      </c>
      <c r="C60" s="114">
        <f t="shared" si="14"/>
        <v>56313.926330825088</v>
      </c>
      <c r="D60" s="114">
        <f t="shared" si="15"/>
        <v>35680.006303792361</v>
      </c>
      <c r="E60" s="116">
        <v>66710.333333333328</v>
      </c>
      <c r="F60" s="114">
        <f t="shared" si="16"/>
        <v>93970.895031023349</v>
      </c>
      <c r="G60" s="114">
        <f t="shared" si="17"/>
        <v>47123.497915755375</v>
      </c>
      <c r="H60" s="114">
        <f t="shared" si="18"/>
        <v>111584</v>
      </c>
      <c r="I60" s="114">
        <f t="shared" si="19"/>
        <v>150284.82136184844</v>
      </c>
      <c r="J60" s="114">
        <f t="shared" si="20"/>
        <v>82803.504219547729</v>
      </c>
    </row>
    <row r="61" spans="1:10" x14ac:dyDescent="0.25">
      <c r="A61" s="115" t="s">
        <v>683</v>
      </c>
      <c r="B61" s="116">
        <v>46151.333333333336</v>
      </c>
      <c r="C61" s="114">
        <f t="shared" si="14"/>
        <v>58480.465358108151</v>
      </c>
      <c r="D61" s="114">
        <f t="shared" si="15"/>
        <v>36339.106168421269</v>
      </c>
      <c r="E61" s="116">
        <v>68762.333333333328</v>
      </c>
      <c r="F61" s="114">
        <f t="shared" si="16"/>
        <v>98270.98930783596</v>
      </c>
      <c r="G61" s="114">
        <f t="shared" si="17"/>
        <v>47866.157282613683</v>
      </c>
      <c r="H61" s="114">
        <f t="shared" si="18"/>
        <v>114913.66666666666</v>
      </c>
      <c r="I61" s="114">
        <f t="shared" si="19"/>
        <v>156751.4546659441</v>
      </c>
      <c r="J61" s="114">
        <f t="shared" si="20"/>
        <v>84205.26345103496</v>
      </c>
    </row>
    <row r="62" spans="1:10" x14ac:dyDescent="0.25">
      <c r="A62" s="115" t="s">
        <v>684</v>
      </c>
      <c r="B62" s="116">
        <v>47414.333333333336</v>
      </c>
      <c r="C62" s="114">
        <f t="shared" si="14"/>
        <v>60665.675079378656</v>
      </c>
      <c r="D62" s="114">
        <f t="shared" si="15"/>
        <v>36970.188890608581</v>
      </c>
      <c r="E62" s="116">
        <v>70420</v>
      </c>
      <c r="F62" s="114">
        <f t="shared" si="16"/>
        <v>102114.09160414184</v>
      </c>
      <c r="G62" s="114">
        <f t="shared" si="17"/>
        <v>48302.083493940918</v>
      </c>
      <c r="H62" s="114">
        <f t="shared" si="18"/>
        <v>117834.33333333334</v>
      </c>
      <c r="I62" s="114">
        <f t="shared" si="19"/>
        <v>162779.76668352049</v>
      </c>
      <c r="J62" s="114">
        <f t="shared" si="20"/>
        <v>85272.272384549491</v>
      </c>
    </row>
    <row r="63" spans="1:10" x14ac:dyDescent="0.25">
      <c r="A63" s="115" t="s">
        <v>685</v>
      </c>
      <c r="B63" s="116">
        <v>48682.333333333336</v>
      </c>
      <c r="C63" s="114">
        <f t="shared" si="14"/>
        <v>62894.712038702608</v>
      </c>
      <c r="D63" s="114">
        <f t="shared" si="15"/>
        <v>37589.1795808795</v>
      </c>
      <c r="E63" s="116">
        <v>72459</v>
      </c>
      <c r="F63" s="114">
        <f t="shared" si="16"/>
        <v>106602.50040479933</v>
      </c>
      <c r="G63" s="114">
        <f t="shared" si="17"/>
        <v>48976.131455450377</v>
      </c>
      <c r="H63" s="114">
        <f t="shared" si="18"/>
        <v>121141.33333333334</v>
      </c>
      <c r="I63" s="114">
        <f t="shared" si="19"/>
        <v>169497.21244350192</v>
      </c>
      <c r="J63" s="114">
        <f t="shared" si="20"/>
        <v>86565.311036329877</v>
      </c>
    </row>
    <row r="64" spans="1:10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22"/>
    </row>
    <row r="65" spans="1:10" x14ac:dyDescent="0.25">
      <c r="H65" s="6">
        <f>H36/H32-1</f>
        <v>0.19266893327666801</v>
      </c>
    </row>
    <row r="66" spans="1:10" x14ac:dyDescent="0.25">
      <c r="A66" s="4" t="s">
        <v>246</v>
      </c>
      <c r="H66" s="4">
        <v>72000</v>
      </c>
    </row>
    <row r="67" spans="1:10" x14ac:dyDescent="0.25">
      <c r="A67" s="4">
        <v>2013</v>
      </c>
      <c r="H67" s="4">
        <f>(H66/AVERAGE(H32:H35))^(1/2)-1</f>
        <v>0.47920614229463498</v>
      </c>
    </row>
    <row r="68" spans="1:10" x14ac:dyDescent="0.25">
      <c r="A68" s="4">
        <v>2014</v>
      </c>
      <c r="B68" s="6">
        <f>AVERAGE(B8:B11)/AVERAGE(B4:B7)-1</f>
        <v>0.84880250975591109</v>
      </c>
      <c r="C68" s="6"/>
      <c r="D68" s="6"/>
      <c r="E68" s="6">
        <f>AVERAGE(E8:E11)/AVERAGE(E4:E7)-1</f>
        <v>0.78389408719888509</v>
      </c>
      <c r="F68" s="6"/>
      <c r="G68" s="6"/>
      <c r="H68" s="6">
        <f>AVERAGE(H8:H11)/AVERAGE(H4:H7)-1</f>
        <v>0.80947498567594467</v>
      </c>
      <c r="I68" s="6"/>
      <c r="J68" s="6"/>
    </row>
    <row r="69" spans="1:10" x14ac:dyDescent="0.25">
      <c r="A69" s="77">
        <v>2015</v>
      </c>
      <c r="B69" s="78">
        <f>AVERAGE(B12:B15)/AVERAGE(B8:B11)-1</f>
        <v>0.44880390696134409</v>
      </c>
      <c r="C69" s="78"/>
      <c r="D69" s="78"/>
      <c r="E69" s="78">
        <f>AVERAGE(E12:E15)/AVERAGE(E8:E11)-1</f>
        <v>0.56372412253780491</v>
      </c>
      <c r="F69" s="78"/>
      <c r="G69" s="78"/>
      <c r="H69" s="78">
        <f>AVERAGE(H12:H15)/AVERAGE(H8:H11)-1</f>
        <v>0.51744883674421693</v>
      </c>
      <c r="I69" s="6"/>
      <c r="J69" s="6"/>
    </row>
    <row r="70" spans="1:10" x14ac:dyDescent="0.25">
      <c r="A70" s="77">
        <v>2016</v>
      </c>
      <c r="B70" s="78">
        <f>AVERAGE(B16:B19)/AVERAGE(B12:B15)-1</f>
        <v>0.43055476204079324</v>
      </c>
      <c r="C70" s="78"/>
      <c r="D70" s="78"/>
      <c r="E70" s="78">
        <f>AVERAGE(E16:E19)/AVERAGE(E12:E15)-1</f>
        <v>0.41995111245918593</v>
      </c>
      <c r="F70" s="78"/>
      <c r="G70" s="78"/>
      <c r="H70" s="78">
        <f>AVERAGE(H16:H19)/AVERAGE(H12:H15)-1</f>
        <v>0.42402776404950981</v>
      </c>
      <c r="I70" s="6"/>
      <c r="J70" s="6"/>
    </row>
    <row r="71" spans="1:10" x14ac:dyDescent="0.25">
      <c r="A71" s="77">
        <v>2017</v>
      </c>
      <c r="B71" s="78">
        <f>AVERAGE(B20:B23)/AVERAGE(B16:B19)-1</f>
        <v>0.42771276808179226</v>
      </c>
      <c r="C71" s="78"/>
      <c r="D71" s="78"/>
      <c r="E71" s="78">
        <f>AVERAGE(E20:E23)/AVERAGE(E16:E19)-1</f>
        <v>0.3616681745074386</v>
      </c>
      <c r="F71" s="78"/>
      <c r="G71" s="78"/>
      <c r="H71" s="78">
        <f>AVERAGE(H20:H23)/AVERAGE(H16:H19)-1</f>
        <v>0.38717588807823389</v>
      </c>
      <c r="I71" s="6"/>
      <c r="J71" s="6"/>
    </row>
    <row r="72" spans="1:10" x14ac:dyDescent="0.25">
      <c r="A72" s="77">
        <v>2018</v>
      </c>
      <c r="B72" s="78">
        <f>AVERAGE(B24:B27)/AVERAGE(B20:B23)-1</f>
        <v>0.3512175336028085</v>
      </c>
      <c r="C72" s="78"/>
      <c r="D72" s="78"/>
      <c r="E72" s="78">
        <f>AVERAGE(E24:E27)/AVERAGE(E20:E23)-1</f>
        <v>0.25931325957164075</v>
      </c>
      <c r="F72" s="78"/>
      <c r="G72" s="78"/>
      <c r="H72" s="78">
        <f>AVERAGE(H24:H27)/AVERAGE(H20:H23)-1</f>
        <v>0.29584575012231462</v>
      </c>
      <c r="I72" s="6"/>
      <c r="J72" s="6"/>
    </row>
    <row r="73" spans="1:10" x14ac:dyDescent="0.25">
      <c r="A73" s="113">
        <v>2019</v>
      </c>
      <c r="B73" s="78">
        <f>AVERAGE(B28:B31)/AVERAGE(B24:B27)-1</f>
        <v>0.29610384233189802</v>
      </c>
      <c r="C73" s="78"/>
      <c r="D73" s="78"/>
      <c r="E73" s="78">
        <f>AVERAGE(E28:E31)/AVERAGE(E24:E27)-1</f>
        <v>0.40923146818301737</v>
      </c>
      <c r="F73" s="78"/>
      <c r="G73" s="78"/>
      <c r="H73" s="78">
        <f>AVERAGE(H28:H30)/AVERAGE(H24:H26)-1</f>
        <v>0.36429009022940995</v>
      </c>
      <c r="I73" s="6"/>
      <c r="J73" s="6"/>
    </row>
    <row r="74" spans="1:10" x14ac:dyDescent="0.25">
      <c r="A74" s="77">
        <v>2020</v>
      </c>
      <c r="B74" s="78">
        <f>AVERAGE(B32:B35)/AVERAGE(B28:B31)-1</f>
        <v>0.17085948855559296</v>
      </c>
      <c r="C74" s="120"/>
      <c r="D74" s="78"/>
      <c r="E74" s="78">
        <f>AVERAGE(E32:E35)/AVERAGE(E28:E31)-1</f>
        <v>0.29092374489769379</v>
      </c>
      <c r="F74" s="120"/>
      <c r="G74" s="78"/>
      <c r="H74" s="78">
        <f>AVERAGE(H32:H35)/AVERAGE(H28:H31)-1</f>
        <v>0.24357775195336484</v>
      </c>
      <c r="I74" s="70"/>
    </row>
    <row r="75" spans="1:10" x14ac:dyDescent="0.25">
      <c r="A75" s="4">
        <v>2021</v>
      </c>
      <c r="B75" s="6">
        <f>TREND(B$69:B$74,A$69:A$74,A75)+C75</f>
        <v>0.21725170836559754</v>
      </c>
      <c r="C75" s="156">
        <v>0.05</v>
      </c>
      <c r="D75" s="6"/>
      <c r="E75" s="6">
        <f>TREND(E$69:E$74,A$69:A$74,A75)+F75</f>
        <v>0.26428374009630207</v>
      </c>
      <c r="F75" s="156">
        <v>0.03</v>
      </c>
      <c r="G75" s="6"/>
      <c r="H75" s="6">
        <f>AVERAGE(H36:H39)/AVERAGE(H32:H35)-1</f>
        <v>0.25663759395449626</v>
      </c>
      <c r="I75" s="6"/>
      <c r="J75" s="6"/>
    </row>
    <row r="76" spans="1:10" x14ac:dyDescent="0.25">
      <c r="A76" s="4">
        <v>2022</v>
      </c>
      <c r="B76" s="6">
        <f>TREND(B$69:B$74,A$69:A$74,A76)+C76</f>
        <v>0.19383542020462302</v>
      </c>
      <c r="C76" s="156">
        <v>0.08</v>
      </c>
      <c r="D76" s="6"/>
      <c r="E76" s="6">
        <f>TREND(E$69:E$73,A$69:A$73,A76)+F76</f>
        <v>0.2179660466532482</v>
      </c>
      <c r="F76" s="156">
        <v>0.05</v>
      </c>
      <c r="G76" s="6"/>
      <c r="H76" s="6">
        <f>AVERAGE(H40:H43)/AVERAGE(H36:H39)-1</f>
        <v>0.2906122597040377</v>
      </c>
    </row>
    <row r="77" spans="1:10" x14ac:dyDescent="0.25">
      <c r="A77" s="4">
        <v>2023</v>
      </c>
      <c r="B77" s="6">
        <f>TREND(B$69:B$74,A$69:A$74,A77)+C77</f>
        <v>0.17041913204363424</v>
      </c>
      <c r="C77" s="156">
        <v>0.11</v>
      </c>
      <c r="E77" s="6">
        <f>TREND(E$69:E$73,A$69:A$73,A77)+F77</f>
        <v>0.17100373049354117</v>
      </c>
      <c r="F77" s="156">
        <v>0.05</v>
      </c>
      <c r="H77" s="6">
        <f>AVERAGE(H44:H47)/AVERAGE(H40:H43)-1</f>
        <v>0.22667609803627631</v>
      </c>
    </row>
    <row r="78" spans="1:10" x14ac:dyDescent="0.25">
      <c r="A78" s="4">
        <v>2024</v>
      </c>
      <c r="B78" s="6">
        <f>TREND(B$69:B$74,A$69:A$74,A78)+C78</f>
        <v>0.1370028438826455</v>
      </c>
      <c r="C78" s="156">
        <v>0.13</v>
      </c>
      <c r="E78" s="6">
        <f>TREND(E$69:E$73,A$69:A$73,A78)+F78</f>
        <v>0.12404141433381995</v>
      </c>
      <c r="F78" s="156">
        <v>0.05</v>
      </c>
      <c r="H78" s="6">
        <f>AVERAGE(H48:H51)/AVERAGE(H44:H47)-1</f>
        <v>0.19348051065259808</v>
      </c>
    </row>
    <row r="79" spans="1:10" x14ac:dyDescent="0.25">
      <c r="A79" s="4">
        <v>2025</v>
      </c>
      <c r="B79" s="6">
        <f>B78</f>
        <v>0.1370028438826455</v>
      </c>
      <c r="C79" s="156"/>
      <c r="E79" s="6">
        <f>TREND(E$69:E$73,A$69:A$73,A79)+F79</f>
        <v>7.7079098174112917E-2</v>
      </c>
      <c r="F79" s="156">
        <v>0.05</v>
      </c>
      <c r="H79" s="6">
        <f>AVERAGE(H52:H55)/AVERAGE(H48:H51)-1</f>
        <v>0.16271179571193017</v>
      </c>
    </row>
    <row r="80" spans="1:10" x14ac:dyDescent="0.25">
      <c r="A80" s="4">
        <v>2026</v>
      </c>
      <c r="B80" s="6">
        <f>B79</f>
        <v>0.1370028438826455</v>
      </c>
      <c r="C80" s="156"/>
      <c r="E80" s="6">
        <f>E79</f>
        <v>7.7079098174112917E-2</v>
      </c>
      <c r="F80" s="156"/>
      <c r="H80" s="6">
        <f>AVERAGE(H56:H59)/AVERAGE(H52:H55)-1</f>
        <v>0.1394196854879175</v>
      </c>
      <c r="I80" s="6"/>
      <c r="J80" s="6"/>
    </row>
    <row r="81" spans="1:10" x14ac:dyDescent="0.25">
      <c r="A81" s="4">
        <v>2027</v>
      </c>
      <c r="B81" s="6">
        <f>B80</f>
        <v>0.1370028438826455</v>
      </c>
      <c r="C81" s="156"/>
      <c r="E81" s="6">
        <f>E80</f>
        <v>7.7079098174112917E-2</v>
      </c>
      <c r="F81" s="156"/>
      <c r="H81" s="6">
        <f>AVERAGE(H60:H63)/AVERAGE(H56:H59)-1</f>
        <v>0.12422400752262863</v>
      </c>
    </row>
    <row r="85" spans="1:10" x14ac:dyDescent="0.25">
      <c r="A85"/>
      <c r="B85">
        <v>2016</v>
      </c>
      <c r="C85">
        <v>2017</v>
      </c>
      <c r="D85">
        <v>2018</v>
      </c>
      <c r="E85" s="4">
        <v>2019</v>
      </c>
      <c r="F85" s="129">
        <v>2020</v>
      </c>
      <c r="G85" s="4">
        <v>2021</v>
      </c>
      <c r="H85" s="129">
        <v>2022</v>
      </c>
      <c r="I85" s="4">
        <v>2023</v>
      </c>
      <c r="J85" s="129">
        <v>2024</v>
      </c>
    </row>
    <row r="86" spans="1:10" x14ac:dyDescent="0.25">
      <c r="A86" t="s">
        <v>640</v>
      </c>
      <c r="B86" s="10">
        <v>41254921</v>
      </c>
      <c r="C86" s="10">
        <v>50421830</v>
      </c>
      <c r="D86" s="10">
        <v>68100000</v>
      </c>
      <c r="E86" s="10">
        <v>86851000</v>
      </c>
      <c r="F86" s="130">
        <v>117091452.5</v>
      </c>
    </row>
    <row r="87" spans="1:10" x14ac:dyDescent="0.25">
      <c r="A87" t="s">
        <v>644</v>
      </c>
      <c r="B87" s="25">
        <f>B86*3.6/116.09/1000000</f>
        <v>1.279332548884486</v>
      </c>
      <c r="C87" s="25">
        <f>C86*3.6/116.09/1000000</f>
        <v>1.5636022740976827</v>
      </c>
      <c r="D87" s="25">
        <f>D86*3.6/116.09/1000000</f>
        <v>2.1118098027392538</v>
      </c>
      <c r="E87" s="25">
        <f>E86*ED_eon_T2/ED_gas_T2/1000000</f>
        <v>2.5527726975832787</v>
      </c>
      <c r="F87" s="25">
        <f>F86*ED_eon_T2/ED_gas_T2/1000000</f>
        <v>3.4416168272370999</v>
      </c>
    </row>
    <row r="88" spans="1:10" x14ac:dyDescent="0.25">
      <c r="A88" t="s">
        <v>645</v>
      </c>
      <c r="B88" s="25">
        <f>B87+SUM(Forecast_Main!D91:G91)/1000000</f>
        <v>1.3264875488844861</v>
      </c>
      <c r="C88" s="25">
        <f>C87+SUM(Forecast_Main!H91:K91)/1000000</f>
        <v>1.6431522740976827</v>
      </c>
      <c r="D88" s="25">
        <f>D87+SUM(Forecast_Main!L91:O91)/1000000</f>
        <v>2.2355978027392536</v>
      </c>
      <c r="E88" s="25">
        <f>E87+SUM(Forecast_Main!P91:S91)/1000000</f>
        <v>2.7895996975832786</v>
      </c>
      <c r="F88" s="25">
        <f>F87+SUM(Forecast_Main!T91:W91)/1000000</f>
        <v>3.6727678272371</v>
      </c>
    </row>
    <row r="89" spans="1:10" x14ac:dyDescent="0.25">
      <c r="A89"/>
      <c r="B89"/>
      <c r="C89"/>
      <c r="D89"/>
    </row>
    <row r="90" spans="1:10" x14ac:dyDescent="0.25">
      <c r="A90"/>
      <c r="B90" t="s">
        <v>641</v>
      </c>
      <c r="C90" t="s">
        <v>642</v>
      </c>
      <c r="D90" t="s">
        <v>643</v>
      </c>
    </row>
    <row r="91" spans="1:10" x14ac:dyDescent="0.25">
      <c r="A91">
        <v>2016</v>
      </c>
      <c r="B91" s="10">
        <f>B86*(B88/B87)</f>
        <v>42775538.763888896</v>
      </c>
      <c r="C91" s="10">
        <f>AVERAGE(H16:H19)</f>
        <v>10805.166666666668</v>
      </c>
      <c r="D91" s="10">
        <f>B91/C91</f>
        <v>3958.8041613322848</v>
      </c>
    </row>
    <row r="92" spans="1:10" x14ac:dyDescent="0.25">
      <c r="A92">
        <v>2017</v>
      </c>
      <c r="B92" s="10">
        <f>C86*(C88/C87)</f>
        <v>52987096.527777784</v>
      </c>
      <c r="C92" s="10">
        <f>AVERAGE(H20:H23)</f>
        <v>14988.666666666666</v>
      </c>
      <c r="D92" s="10">
        <f>B92/C92</f>
        <v>3535.1440996160068</v>
      </c>
    </row>
    <row r="93" spans="1:10" x14ac:dyDescent="0.25">
      <c r="A93">
        <v>2018</v>
      </c>
      <c r="B93" s="10">
        <f>D86*(D88/D87)</f>
        <v>72091819.144444436</v>
      </c>
      <c r="C93" s="10">
        <f>AVERAGE(H24:H27)</f>
        <v>19423</v>
      </c>
      <c r="D93" s="10">
        <f>B93/C93</f>
        <v>3711.6727150514562</v>
      </c>
    </row>
    <row r="94" spans="1:10" x14ac:dyDescent="0.25">
      <c r="A94">
        <v>2019</v>
      </c>
      <c r="B94" s="10">
        <f>E86*E88/E87</f>
        <v>94908380.822222218</v>
      </c>
      <c r="C94" s="10">
        <f>AVERAGE(H28:H31)</f>
        <v>26460.75</v>
      </c>
      <c r="D94" s="10">
        <f>B94/C94</f>
        <v>3586.7607993810539</v>
      </c>
    </row>
    <row r="95" spans="1:10" x14ac:dyDescent="0.25">
      <c r="A95">
        <v>2020</v>
      </c>
      <c r="B95" s="130">
        <f>F86*F88/F87</f>
        <v>124955723.18888889</v>
      </c>
      <c r="C95" s="10">
        <f>AVERAGE(H32:H35)</f>
        <v>32906</v>
      </c>
      <c r="D95" s="130">
        <f>B95/C95</f>
        <v>3797.3537710110281</v>
      </c>
    </row>
    <row r="96" spans="1:10" x14ac:dyDescent="0.25">
      <c r="A96">
        <v>2021</v>
      </c>
      <c r="B96"/>
      <c r="C96" s="10">
        <f>AVERAGE(H36:H39)</f>
        <v>41350.916666666657</v>
      </c>
      <c r="D96"/>
    </row>
    <row r="97" spans="1:4" x14ac:dyDescent="0.25">
      <c r="A97">
        <v>2022</v>
      </c>
      <c r="B97"/>
      <c r="C97" s="10">
        <f>AVERAGE(H40:H43)</f>
        <v>53368.000000000007</v>
      </c>
      <c r="D97"/>
    </row>
  </sheetData>
  <mergeCells count="1">
    <mergeCell ref="L2:N2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8"/>
  <sheetViews>
    <sheetView zoomScale="85" zoomScaleNormal="85" workbookViewId="0">
      <pane xSplit="4" ySplit="6" topLeftCell="E43" activePane="bottomRight" state="frozen"/>
      <selection pane="topRight" activeCell="E1" sqref="E1"/>
      <selection pane="bottomLeft" activeCell="A7" sqref="A7"/>
      <selection pane="bottomRight" sqref="A1:A1048576"/>
    </sheetView>
  </sheetViews>
  <sheetFormatPr defaultRowHeight="15" x14ac:dyDescent="0.25"/>
  <cols>
    <col min="1" max="1" width="47.28515625" customWidth="1"/>
    <col min="2" max="2" width="90.5703125" bestFit="1" customWidth="1"/>
    <col min="3" max="3" width="26.5703125" customWidth="1"/>
    <col min="4" max="4" width="15.85546875" customWidth="1"/>
    <col min="5" max="16" width="8.5703125" customWidth="1"/>
  </cols>
  <sheetData>
    <row r="1" spans="1:42" x14ac:dyDescent="0.25">
      <c r="A1" t="s">
        <v>659</v>
      </c>
    </row>
    <row r="2" spans="1:42" x14ac:dyDescent="0.25">
      <c r="A2" s="93" t="s">
        <v>660</v>
      </c>
    </row>
    <row r="3" spans="1:42" x14ac:dyDescent="0.25">
      <c r="A3" s="129" t="s">
        <v>747</v>
      </c>
    </row>
    <row r="4" spans="1:42" x14ac:dyDescent="0.25">
      <c r="A4" t="s">
        <v>216</v>
      </c>
    </row>
    <row r="5" spans="1:42" x14ac:dyDescent="0.25">
      <c r="B5" t="s">
        <v>215</v>
      </c>
      <c r="C5" t="s">
        <v>214</v>
      </c>
      <c r="D5" t="s">
        <v>9</v>
      </c>
      <c r="E5">
        <v>2014</v>
      </c>
      <c r="F5">
        <v>2015</v>
      </c>
      <c r="G5">
        <v>2016</v>
      </c>
      <c r="H5">
        <v>2017</v>
      </c>
      <c r="I5">
        <v>2018</v>
      </c>
      <c r="J5">
        <v>2019</v>
      </c>
      <c r="K5">
        <v>2020</v>
      </c>
      <c r="L5">
        <v>2021</v>
      </c>
      <c r="M5">
        <v>2022</v>
      </c>
      <c r="N5">
        <v>2023</v>
      </c>
      <c r="O5">
        <v>2024</v>
      </c>
      <c r="P5">
        <v>2025</v>
      </c>
      <c r="Q5">
        <v>2026</v>
      </c>
      <c r="R5">
        <v>2027</v>
      </c>
      <c r="S5">
        <v>2028</v>
      </c>
      <c r="T5">
        <v>2029</v>
      </c>
      <c r="U5">
        <v>2030</v>
      </c>
      <c r="V5">
        <v>2031</v>
      </c>
      <c r="W5">
        <v>2032</v>
      </c>
      <c r="X5">
        <v>2033</v>
      </c>
      <c r="Y5">
        <v>2034</v>
      </c>
      <c r="Z5">
        <v>2035</v>
      </c>
      <c r="AA5">
        <v>2036</v>
      </c>
      <c r="AB5">
        <v>2037</v>
      </c>
      <c r="AC5">
        <v>2038</v>
      </c>
      <c r="AD5">
        <v>2039</v>
      </c>
      <c r="AE5">
        <v>2040</v>
      </c>
      <c r="AF5">
        <v>2041</v>
      </c>
      <c r="AG5">
        <v>2042</v>
      </c>
      <c r="AH5">
        <v>2043</v>
      </c>
      <c r="AI5">
        <v>2044</v>
      </c>
      <c r="AJ5">
        <v>2045</v>
      </c>
      <c r="AK5">
        <v>2046</v>
      </c>
      <c r="AL5">
        <v>2047</v>
      </c>
      <c r="AM5">
        <v>2048</v>
      </c>
      <c r="AN5">
        <v>2049</v>
      </c>
      <c r="AO5">
        <v>2050</v>
      </c>
      <c r="AP5" t="s">
        <v>436</v>
      </c>
    </row>
    <row r="6" spans="1:42" x14ac:dyDescent="0.25">
      <c r="A6" t="s">
        <v>213</v>
      </c>
      <c r="C6" t="s">
        <v>435</v>
      </c>
    </row>
    <row r="7" spans="1:42" x14ac:dyDescent="0.25">
      <c r="A7" t="s">
        <v>11</v>
      </c>
      <c r="B7" t="s">
        <v>212</v>
      </c>
      <c r="C7" t="s">
        <v>434</v>
      </c>
      <c r="D7" t="s">
        <v>42</v>
      </c>
      <c r="H7">
        <v>2.7188E-2</v>
      </c>
      <c r="I7">
        <v>3.0984000000000001E-2</v>
      </c>
      <c r="J7">
        <v>3.7754999999999997E-2</v>
      </c>
      <c r="K7">
        <v>3.6566000000000001E-2</v>
      </c>
      <c r="L7">
        <v>3.6913000000000001E-2</v>
      </c>
      <c r="M7">
        <v>3.5750999999999998E-2</v>
      </c>
      <c r="N7">
        <v>3.5464000000000002E-2</v>
      </c>
      <c r="O7">
        <v>3.5150000000000001E-2</v>
      </c>
      <c r="P7">
        <v>3.4846000000000002E-2</v>
      </c>
      <c r="Q7">
        <v>3.4549000000000003E-2</v>
      </c>
      <c r="R7">
        <v>3.4282E-2</v>
      </c>
      <c r="S7">
        <v>3.4043999999999998E-2</v>
      </c>
      <c r="T7">
        <v>3.3835999999999998E-2</v>
      </c>
      <c r="U7">
        <v>3.3387E-2</v>
      </c>
      <c r="V7">
        <v>3.304E-2</v>
      </c>
      <c r="W7">
        <v>3.2759000000000003E-2</v>
      </c>
      <c r="X7">
        <v>3.2576000000000001E-2</v>
      </c>
      <c r="Y7">
        <v>3.2421999999999999E-2</v>
      </c>
      <c r="Z7">
        <v>3.2305E-2</v>
      </c>
      <c r="AA7">
        <v>3.2191999999999998E-2</v>
      </c>
      <c r="AB7">
        <v>3.2086999999999997E-2</v>
      </c>
      <c r="AC7">
        <v>3.1986000000000001E-2</v>
      </c>
      <c r="AD7">
        <v>3.1892999999999998E-2</v>
      </c>
      <c r="AE7">
        <v>3.1803999999999999E-2</v>
      </c>
      <c r="AF7">
        <v>3.1720999999999999E-2</v>
      </c>
      <c r="AG7">
        <v>3.1648999999999997E-2</v>
      </c>
      <c r="AH7">
        <v>3.1586999999999997E-2</v>
      </c>
      <c r="AI7">
        <v>3.1543000000000002E-2</v>
      </c>
      <c r="AJ7">
        <v>3.1518999999999998E-2</v>
      </c>
      <c r="AK7">
        <v>3.1508000000000001E-2</v>
      </c>
      <c r="AL7">
        <v>3.1496999999999997E-2</v>
      </c>
      <c r="AM7">
        <v>3.1496000000000003E-2</v>
      </c>
      <c r="AN7">
        <v>3.1509000000000002E-2</v>
      </c>
      <c r="AO7">
        <v>3.1537000000000003E-2</v>
      </c>
      <c r="AP7" s="7">
        <v>-0.01</v>
      </c>
    </row>
    <row r="8" spans="1:42" x14ac:dyDescent="0.25">
      <c r="A8" t="s">
        <v>91</v>
      </c>
      <c r="B8" t="s">
        <v>211</v>
      </c>
      <c r="C8" t="s">
        <v>433</v>
      </c>
      <c r="D8" t="s">
        <v>42</v>
      </c>
      <c r="H8">
        <v>4.803E-3</v>
      </c>
      <c r="I8">
        <v>9.5560000000000003E-3</v>
      </c>
      <c r="J8">
        <v>1.7166000000000001E-2</v>
      </c>
      <c r="K8">
        <v>1.4893E-2</v>
      </c>
      <c r="L8">
        <v>1.4737E-2</v>
      </c>
      <c r="M8">
        <v>1.4286999999999999E-2</v>
      </c>
      <c r="N8">
        <v>1.3906999999999999E-2</v>
      </c>
      <c r="O8">
        <v>1.3538E-2</v>
      </c>
      <c r="P8">
        <v>1.3216E-2</v>
      </c>
      <c r="Q8">
        <v>1.2929E-2</v>
      </c>
      <c r="R8">
        <v>1.2677000000000001E-2</v>
      </c>
      <c r="S8">
        <v>1.2444E-2</v>
      </c>
      <c r="T8">
        <v>1.223E-2</v>
      </c>
      <c r="U8">
        <v>1.2019999999999999E-2</v>
      </c>
      <c r="V8">
        <v>1.1825E-2</v>
      </c>
      <c r="W8">
        <v>1.163E-2</v>
      </c>
      <c r="X8">
        <v>1.1445E-2</v>
      </c>
      <c r="Y8">
        <v>1.1266E-2</v>
      </c>
      <c r="Z8">
        <v>1.1098E-2</v>
      </c>
      <c r="AA8">
        <v>1.0928999999999999E-2</v>
      </c>
      <c r="AB8">
        <v>1.0758999999999999E-2</v>
      </c>
      <c r="AC8">
        <v>1.0591E-2</v>
      </c>
      <c r="AD8">
        <v>1.0434000000000001E-2</v>
      </c>
      <c r="AE8">
        <v>1.0274999999999999E-2</v>
      </c>
      <c r="AF8">
        <v>1.0118E-2</v>
      </c>
      <c r="AG8">
        <v>9.9659999999999992E-3</v>
      </c>
      <c r="AH8">
        <v>9.8160000000000001E-3</v>
      </c>
      <c r="AI8">
        <v>9.6740000000000003E-3</v>
      </c>
      <c r="AJ8">
        <v>9.5359999999999993E-3</v>
      </c>
      <c r="AK8">
        <v>9.4009999999999996E-3</v>
      </c>
      <c r="AL8">
        <v>9.2659999999999999E-3</v>
      </c>
      <c r="AM8">
        <v>9.1369999999999993E-3</v>
      </c>
      <c r="AN8">
        <v>9.0130000000000002E-3</v>
      </c>
      <c r="AO8">
        <v>8.8909999999999996E-3</v>
      </c>
      <c r="AP8" s="7">
        <v>-2.5000000000000001E-2</v>
      </c>
    </row>
    <row r="9" spans="1:42" x14ac:dyDescent="0.25">
      <c r="A9" t="s">
        <v>83</v>
      </c>
      <c r="B9" t="s">
        <v>210</v>
      </c>
      <c r="C9" t="s">
        <v>432</v>
      </c>
      <c r="D9" t="s">
        <v>42</v>
      </c>
      <c r="H9">
        <v>3.1990999999999999E-2</v>
      </c>
      <c r="I9">
        <v>4.054E-2</v>
      </c>
      <c r="J9">
        <v>5.4920999999999998E-2</v>
      </c>
      <c r="K9">
        <v>5.1458999999999998E-2</v>
      </c>
      <c r="L9">
        <v>5.1650000000000001E-2</v>
      </c>
      <c r="M9">
        <v>5.0037999999999999E-2</v>
      </c>
      <c r="N9">
        <v>4.9370999999999998E-2</v>
      </c>
      <c r="O9">
        <v>4.8689000000000003E-2</v>
      </c>
      <c r="P9">
        <v>4.8062000000000001E-2</v>
      </c>
      <c r="Q9">
        <v>4.7476999999999998E-2</v>
      </c>
      <c r="R9">
        <v>4.6958E-2</v>
      </c>
      <c r="S9">
        <v>4.6488000000000002E-2</v>
      </c>
      <c r="T9">
        <v>4.6066000000000003E-2</v>
      </c>
      <c r="U9">
        <v>4.5407000000000003E-2</v>
      </c>
      <c r="V9">
        <v>4.4864000000000001E-2</v>
      </c>
      <c r="W9">
        <v>4.4388999999999998E-2</v>
      </c>
      <c r="X9">
        <v>4.4021999999999999E-2</v>
      </c>
      <c r="Y9">
        <v>4.3688999999999999E-2</v>
      </c>
      <c r="Z9">
        <v>4.3402999999999997E-2</v>
      </c>
      <c r="AA9">
        <v>4.3119999999999999E-2</v>
      </c>
      <c r="AB9">
        <v>4.2846000000000002E-2</v>
      </c>
      <c r="AC9">
        <v>4.2576999999999997E-2</v>
      </c>
      <c r="AD9">
        <v>4.2326999999999997E-2</v>
      </c>
      <c r="AE9">
        <v>4.2078999999999998E-2</v>
      </c>
      <c r="AF9">
        <v>4.1840000000000002E-2</v>
      </c>
      <c r="AG9">
        <v>4.1614999999999999E-2</v>
      </c>
      <c r="AH9">
        <v>4.1403000000000002E-2</v>
      </c>
      <c r="AI9">
        <v>4.1216999999999997E-2</v>
      </c>
      <c r="AJ9">
        <v>4.1055000000000001E-2</v>
      </c>
      <c r="AK9">
        <v>4.0908E-2</v>
      </c>
      <c r="AL9">
        <v>4.0762E-2</v>
      </c>
      <c r="AM9">
        <v>4.0633000000000002E-2</v>
      </c>
      <c r="AN9">
        <v>4.0522000000000002E-2</v>
      </c>
      <c r="AO9">
        <v>4.0427999999999999E-2</v>
      </c>
      <c r="AP9" s="7">
        <v>-1.2999999999999999E-2</v>
      </c>
    </row>
    <row r="10" spans="1:42" x14ac:dyDescent="0.25">
      <c r="A10" t="s">
        <v>10</v>
      </c>
      <c r="B10" t="s">
        <v>209</v>
      </c>
      <c r="C10" t="s">
        <v>431</v>
      </c>
      <c r="D10" t="s">
        <v>42</v>
      </c>
      <c r="H10">
        <v>0.61254799999999998</v>
      </c>
      <c r="I10">
        <v>0.61928000000000005</v>
      </c>
      <c r="J10">
        <v>0.68108400000000002</v>
      </c>
      <c r="K10">
        <v>0.657304</v>
      </c>
      <c r="L10">
        <v>0.62929599999999997</v>
      </c>
      <c r="M10">
        <v>0.60349799999999998</v>
      </c>
      <c r="N10">
        <v>0.60575000000000001</v>
      </c>
      <c r="O10">
        <v>0.60949500000000001</v>
      </c>
      <c r="P10">
        <v>0.61388100000000001</v>
      </c>
      <c r="Q10">
        <v>0.61824500000000004</v>
      </c>
      <c r="R10">
        <v>0.62029100000000004</v>
      </c>
      <c r="S10">
        <v>0.62100299999999997</v>
      </c>
      <c r="T10">
        <v>0.62098399999999998</v>
      </c>
      <c r="U10">
        <v>0.61383100000000002</v>
      </c>
      <c r="V10">
        <v>0.60908399999999996</v>
      </c>
      <c r="W10">
        <v>0.606043</v>
      </c>
      <c r="X10">
        <v>0.60520099999999999</v>
      </c>
      <c r="Y10">
        <v>0.60468100000000002</v>
      </c>
      <c r="Z10">
        <v>0.60459499999999999</v>
      </c>
      <c r="AA10">
        <v>0.60434600000000005</v>
      </c>
      <c r="AB10">
        <v>0.60405500000000001</v>
      </c>
      <c r="AC10">
        <v>0.60361299999999996</v>
      </c>
      <c r="AD10">
        <v>0.60314699999999999</v>
      </c>
      <c r="AE10">
        <v>0.60270100000000004</v>
      </c>
      <c r="AF10">
        <v>0.60221999999999998</v>
      </c>
      <c r="AG10">
        <v>0.60174899999999998</v>
      </c>
      <c r="AH10">
        <v>0.60131699999999999</v>
      </c>
      <c r="AI10">
        <v>0.60099000000000002</v>
      </c>
      <c r="AJ10">
        <v>0.60053800000000002</v>
      </c>
      <c r="AK10">
        <v>0.60028199999999998</v>
      </c>
      <c r="AL10">
        <v>0.59997500000000004</v>
      </c>
      <c r="AM10">
        <v>0.59964300000000004</v>
      </c>
      <c r="AN10">
        <v>0.599221</v>
      </c>
      <c r="AO10">
        <v>0.59878399999999998</v>
      </c>
      <c r="AP10" s="7">
        <v>0</v>
      </c>
    </row>
    <row r="11" spans="1:42" x14ac:dyDescent="0.25">
      <c r="A11" t="s">
        <v>56</v>
      </c>
      <c r="B11" t="s">
        <v>208</v>
      </c>
      <c r="C11" t="s">
        <v>430</v>
      </c>
      <c r="D11" t="s">
        <v>42</v>
      </c>
      <c r="H11">
        <v>6.4128000000000004E-2</v>
      </c>
      <c r="I11">
        <v>6.8844000000000002E-2</v>
      </c>
      <c r="J11">
        <v>9.0633000000000005E-2</v>
      </c>
      <c r="K11">
        <v>7.7910999999999994E-2</v>
      </c>
      <c r="L11">
        <v>7.4593999999999994E-2</v>
      </c>
      <c r="M11">
        <v>6.9611000000000006E-2</v>
      </c>
      <c r="N11">
        <v>7.0274000000000003E-2</v>
      </c>
      <c r="O11">
        <v>7.0992E-2</v>
      </c>
      <c r="P11">
        <v>7.1258000000000002E-2</v>
      </c>
      <c r="Q11">
        <v>7.1108000000000005E-2</v>
      </c>
      <c r="R11">
        <v>7.0319999999999994E-2</v>
      </c>
      <c r="S11">
        <v>6.9462999999999997E-2</v>
      </c>
      <c r="T11">
        <v>6.8345000000000003E-2</v>
      </c>
      <c r="U11">
        <v>6.7112000000000005E-2</v>
      </c>
      <c r="V11">
        <v>6.5821000000000005E-2</v>
      </c>
      <c r="W11">
        <v>6.4517000000000005E-2</v>
      </c>
      <c r="X11">
        <v>6.3118999999999995E-2</v>
      </c>
      <c r="Y11">
        <v>6.1671999999999998E-2</v>
      </c>
      <c r="Z11">
        <v>6.0176E-2</v>
      </c>
      <c r="AA11">
        <v>5.8650000000000001E-2</v>
      </c>
      <c r="AB11">
        <v>5.7284000000000002E-2</v>
      </c>
      <c r="AC11">
        <v>5.6004999999999999E-2</v>
      </c>
      <c r="AD11">
        <v>5.4642999999999997E-2</v>
      </c>
      <c r="AE11">
        <v>5.3425E-2</v>
      </c>
      <c r="AF11">
        <v>5.2274000000000001E-2</v>
      </c>
      <c r="AG11">
        <v>5.1150000000000001E-2</v>
      </c>
      <c r="AH11">
        <v>5.0105999999999998E-2</v>
      </c>
      <c r="AI11">
        <v>4.8999000000000001E-2</v>
      </c>
      <c r="AJ11">
        <v>4.7875000000000001E-2</v>
      </c>
      <c r="AK11">
        <v>4.6906999999999997E-2</v>
      </c>
      <c r="AL11">
        <v>4.5964999999999999E-2</v>
      </c>
      <c r="AM11">
        <v>4.4936999999999998E-2</v>
      </c>
      <c r="AN11">
        <v>4.3892E-2</v>
      </c>
      <c r="AO11">
        <v>4.2840000000000003E-2</v>
      </c>
      <c r="AP11" s="7">
        <v>-1.2999999999999999E-2</v>
      </c>
    </row>
    <row r="12" spans="1:42" x14ac:dyDescent="0.25">
      <c r="A12" t="s">
        <v>8</v>
      </c>
      <c r="B12" t="s">
        <v>207</v>
      </c>
      <c r="C12" t="s">
        <v>429</v>
      </c>
      <c r="D12" t="s">
        <v>42</v>
      </c>
      <c r="H12">
        <v>0.51865300000000003</v>
      </c>
      <c r="I12">
        <v>0.51068800000000003</v>
      </c>
      <c r="J12">
        <v>0.50126199999999999</v>
      </c>
      <c r="K12">
        <v>0.54883400000000004</v>
      </c>
      <c r="L12">
        <v>0.53982300000000005</v>
      </c>
      <c r="M12">
        <v>0.49548700000000001</v>
      </c>
      <c r="N12">
        <v>0.49416399999999999</v>
      </c>
      <c r="O12">
        <v>0.49374000000000001</v>
      </c>
      <c r="P12">
        <v>0.49113600000000002</v>
      </c>
      <c r="Q12">
        <v>0.48741499999999999</v>
      </c>
      <c r="R12">
        <v>0.48446</v>
      </c>
      <c r="S12">
        <v>0.482877</v>
      </c>
      <c r="T12">
        <v>0.48208499999999999</v>
      </c>
      <c r="U12">
        <v>0.48066799999999998</v>
      </c>
      <c r="V12">
        <v>0.47896</v>
      </c>
      <c r="W12">
        <v>0.47799000000000003</v>
      </c>
      <c r="X12">
        <v>0.47778100000000001</v>
      </c>
      <c r="Y12">
        <v>0.47835699999999998</v>
      </c>
      <c r="Z12">
        <v>0.47923700000000002</v>
      </c>
      <c r="AA12">
        <v>0.48048299999999999</v>
      </c>
      <c r="AB12">
        <v>0.48191099999999998</v>
      </c>
      <c r="AC12">
        <v>0.48367900000000003</v>
      </c>
      <c r="AD12">
        <v>0.48547699999999999</v>
      </c>
      <c r="AE12">
        <v>0.48678900000000003</v>
      </c>
      <c r="AF12">
        <v>0.48793599999999998</v>
      </c>
      <c r="AG12">
        <v>0.48905100000000001</v>
      </c>
      <c r="AH12">
        <v>0.490201</v>
      </c>
      <c r="AI12">
        <v>0.49152899999999999</v>
      </c>
      <c r="AJ12">
        <v>0.49265599999999998</v>
      </c>
      <c r="AK12">
        <v>0.49385099999999998</v>
      </c>
      <c r="AL12">
        <v>0.49513099999999999</v>
      </c>
      <c r="AM12">
        <v>0.49669000000000002</v>
      </c>
      <c r="AN12">
        <v>0.49823299999999998</v>
      </c>
      <c r="AO12">
        <v>0.49999500000000002</v>
      </c>
      <c r="AP12" s="7">
        <v>-8.0000000000000002E-3</v>
      </c>
    </row>
    <row r="13" spans="1:42" x14ac:dyDescent="0.25">
      <c r="A13" t="s">
        <v>117</v>
      </c>
      <c r="B13" t="s">
        <v>206</v>
      </c>
      <c r="C13" t="s">
        <v>428</v>
      </c>
      <c r="D13" t="s">
        <v>42</v>
      </c>
      <c r="H13">
        <v>1.22732</v>
      </c>
      <c r="I13">
        <v>1.2393529999999999</v>
      </c>
      <c r="J13">
        <v>1.3279000000000001</v>
      </c>
      <c r="K13">
        <v>1.3355090000000001</v>
      </c>
      <c r="L13">
        <v>1.2953619999999999</v>
      </c>
      <c r="M13">
        <v>1.2186349999999999</v>
      </c>
      <c r="N13">
        <v>1.2195579999999999</v>
      </c>
      <c r="O13">
        <v>1.2229159999999999</v>
      </c>
      <c r="P13">
        <v>1.2243360000000001</v>
      </c>
      <c r="Q13">
        <v>1.224245</v>
      </c>
      <c r="R13">
        <v>1.2220299999999999</v>
      </c>
      <c r="S13">
        <v>1.2198310000000001</v>
      </c>
      <c r="T13">
        <v>1.2174799999999999</v>
      </c>
      <c r="U13">
        <v>1.2070190000000001</v>
      </c>
      <c r="V13">
        <v>1.1987289999999999</v>
      </c>
      <c r="W13">
        <v>1.1929380000000001</v>
      </c>
      <c r="X13">
        <v>1.190123</v>
      </c>
      <c r="Y13">
        <v>1.1883980000000001</v>
      </c>
      <c r="Z13">
        <v>1.1874119999999999</v>
      </c>
      <c r="AA13">
        <v>1.1866000000000001</v>
      </c>
      <c r="AB13">
        <v>1.186096</v>
      </c>
      <c r="AC13">
        <v>1.1858740000000001</v>
      </c>
      <c r="AD13">
        <v>1.185594</v>
      </c>
      <c r="AE13">
        <v>1.1849940000000001</v>
      </c>
      <c r="AF13">
        <v>1.184269</v>
      </c>
      <c r="AG13">
        <v>1.1835659999999999</v>
      </c>
      <c r="AH13">
        <v>1.1830259999999999</v>
      </c>
      <c r="AI13">
        <v>1.182734</v>
      </c>
      <c r="AJ13">
        <v>1.182123</v>
      </c>
      <c r="AK13">
        <v>1.1819489999999999</v>
      </c>
      <c r="AL13">
        <v>1.1818340000000001</v>
      </c>
      <c r="AM13">
        <v>1.1819029999999999</v>
      </c>
      <c r="AN13">
        <v>1.181867</v>
      </c>
      <c r="AO13">
        <v>1.1820470000000001</v>
      </c>
      <c r="AP13" s="7">
        <v>-4.0000000000000001E-3</v>
      </c>
    </row>
    <row r="14" spans="1:42" x14ac:dyDescent="0.25">
      <c r="A14" t="s">
        <v>115</v>
      </c>
      <c r="B14" t="s">
        <v>205</v>
      </c>
      <c r="C14" t="s">
        <v>427</v>
      </c>
      <c r="D14" t="s">
        <v>42</v>
      </c>
      <c r="H14">
        <v>0.78537800000000002</v>
      </c>
      <c r="I14">
        <v>0.79279900000000003</v>
      </c>
      <c r="J14">
        <v>0.74478</v>
      </c>
      <c r="K14">
        <v>0.77737199999999995</v>
      </c>
      <c r="L14">
        <v>0.75010299999999996</v>
      </c>
      <c r="M14">
        <v>0.72652899999999998</v>
      </c>
      <c r="N14">
        <v>0.72028999999999999</v>
      </c>
      <c r="O14">
        <v>0.69194100000000003</v>
      </c>
      <c r="P14">
        <v>0.66961000000000004</v>
      </c>
      <c r="Q14">
        <v>0.61617</v>
      </c>
      <c r="R14">
        <v>0.61340700000000004</v>
      </c>
      <c r="S14">
        <v>0.61086499999999999</v>
      </c>
      <c r="T14">
        <v>0.615371</v>
      </c>
      <c r="U14">
        <v>0.59565299999999999</v>
      </c>
      <c r="V14">
        <v>0.56779199999999996</v>
      </c>
      <c r="W14">
        <v>0.55227999999999999</v>
      </c>
      <c r="X14">
        <v>0.54934499999999997</v>
      </c>
      <c r="Y14">
        <v>0.54893499999999995</v>
      </c>
      <c r="Z14">
        <v>0.55163099999999998</v>
      </c>
      <c r="AA14">
        <v>0.55143900000000001</v>
      </c>
      <c r="AB14">
        <v>0.54645600000000005</v>
      </c>
      <c r="AC14">
        <v>0.54328699999999996</v>
      </c>
      <c r="AD14">
        <v>0.54011200000000004</v>
      </c>
      <c r="AE14">
        <v>0.54378000000000004</v>
      </c>
      <c r="AF14">
        <v>0.54475200000000001</v>
      </c>
      <c r="AG14">
        <v>0.54231099999999999</v>
      </c>
      <c r="AH14">
        <v>0.54232400000000003</v>
      </c>
      <c r="AI14">
        <v>0.55069500000000005</v>
      </c>
      <c r="AJ14">
        <v>0.56951700000000005</v>
      </c>
      <c r="AK14">
        <v>0.57947899999999997</v>
      </c>
      <c r="AL14">
        <v>0.57202900000000001</v>
      </c>
      <c r="AM14">
        <v>0.569577</v>
      </c>
      <c r="AN14">
        <v>0.57027899999999998</v>
      </c>
      <c r="AO14">
        <v>0.56999500000000003</v>
      </c>
      <c r="AP14" s="7">
        <v>-0.01</v>
      </c>
    </row>
    <row r="15" spans="1:42" x14ac:dyDescent="0.25">
      <c r="A15" t="s">
        <v>29</v>
      </c>
      <c r="B15" t="s">
        <v>204</v>
      </c>
      <c r="C15" t="s">
        <v>426</v>
      </c>
      <c r="D15" t="s">
        <v>42</v>
      </c>
      <c r="H15">
        <v>2.0126970000000002</v>
      </c>
      <c r="I15">
        <v>2.0321509999999998</v>
      </c>
      <c r="J15">
        <v>2.0726800000000001</v>
      </c>
      <c r="K15">
        <v>2.1128809999999998</v>
      </c>
      <c r="L15">
        <v>2.0454659999999998</v>
      </c>
      <c r="M15">
        <v>1.945163</v>
      </c>
      <c r="N15">
        <v>1.9398470000000001</v>
      </c>
      <c r="O15">
        <v>1.914857</v>
      </c>
      <c r="P15">
        <v>1.8939459999999999</v>
      </c>
      <c r="Q15">
        <v>1.8404149999999999</v>
      </c>
      <c r="R15">
        <v>1.8354379999999999</v>
      </c>
      <c r="S15">
        <v>1.8306960000000001</v>
      </c>
      <c r="T15">
        <v>1.832851</v>
      </c>
      <c r="U15">
        <v>1.8026720000000001</v>
      </c>
      <c r="V15">
        <v>1.766521</v>
      </c>
      <c r="W15">
        <v>1.7452179999999999</v>
      </c>
      <c r="X15">
        <v>1.739468</v>
      </c>
      <c r="Y15">
        <v>1.737333</v>
      </c>
      <c r="Z15">
        <v>1.7390429999999999</v>
      </c>
      <c r="AA15">
        <v>1.738038</v>
      </c>
      <c r="AB15">
        <v>1.7325520000000001</v>
      </c>
      <c r="AC15">
        <v>1.7291620000000001</v>
      </c>
      <c r="AD15">
        <v>1.725706</v>
      </c>
      <c r="AE15">
        <v>1.728774</v>
      </c>
      <c r="AF15">
        <v>1.7290220000000001</v>
      </c>
      <c r="AG15">
        <v>1.725876</v>
      </c>
      <c r="AH15">
        <v>1.7253499999999999</v>
      </c>
      <c r="AI15">
        <v>1.733428</v>
      </c>
      <c r="AJ15">
        <v>1.751641</v>
      </c>
      <c r="AK15">
        <v>1.761428</v>
      </c>
      <c r="AL15">
        <v>1.7538629999999999</v>
      </c>
      <c r="AM15">
        <v>1.751479</v>
      </c>
      <c r="AN15">
        <v>1.7521469999999999</v>
      </c>
      <c r="AO15">
        <v>1.7520420000000001</v>
      </c>
      <c r="AP15" s="7">
        <v>-6.0000000000000001E-3</v>
      </c>
    </row>
    <row r="16" spans="1:42" x14ac:dyDescent="0.25">
      <c r="A16" t="s">
        <v>203</v>
      </c>
      <c r="C16" t="s">
        <v>425</v>
      </c>
    </row>
    <row r="17" spans="1:42" x14ac:dyDescent="0.25">
      <c r="A17" t="s">
        <v>11</v>
      </c>
      <c r="B17" t="s">
        <v>202</v>
      </c>
      <c r="C17" t="s">
        <v>424</v>
      </c>
      <c r="D17" t="s">
        <v>42</v>
      </c>
      <c r="H17">
        <v>1.9130000000000001E-2</v>
      </c>
      <c r="I17">
        <v>1.7760999999999999E-2</v>
      </c>
      <c r="J17">
        <v>2.3542E-2</v>
      </c>
      <c r="K17">
        <v>2.3633999999999999E-2</v>
      </c>
      <c r="L17">
        <v>2.3820999999999998E-2</v>
      </c>
      <c r="M17">
        <v>2.3363999999999999E-2</v>
      </c>
      <c r="N17">
        <v>2.2959E-2</v>
      </c>
      <c r="O17">
        <v>2.2544000000000002E-2</v>
      </c>
      <c r="P17">
        <v>2.2128999999999999E-2</v>
      </c>
      <c r="Q17">
        <v>2.2231000000000001E-2</v>
      </c>
      <c r="R17">
        <v>2.2345E-2</v>
      </c>
      <c r="S17">
        <v>2.2442E-2</v>
      </c>
      <c r="T17">
        <v>2.2554999999999999E-2</v>
      </c>
      <c r="U17">
        <v>2.2523000000000001E-2</v>
      </c>
      <c r="V17">
        <v>2.264E-2</v>
      </c>
      <c r="W17">
        <v>2.2734999999999998E-2</v>
      </c>
      <c r="X17">
        <v>2.2856000000000001E-2</v>
      </c>
      <c r="Y17">
        <v>2.2983E-2</v>
      </c>
      <c r="Z17">
        <v>2.3109999999999999E-2</v>
      </c>
      <c r="AA17">
        <v>2.3234000000000001E-2</v>
      </c>
      <c r="AB17">
        <v>2.3356999999999999E-2</v>
      </c>
      <c r="AC17">
        <v>2.3477999999999999E-2</v>
      </c>
      <c r="AD17">
        <v>2.3604E-2</v>
      </c>
      <c r="AE17">
        <v>2.3723000000000001E-2</v>
      </c>
      <c r="AF17">
        <v>2.3844000000000001E-2</v>
      </c>
      <c r="AG17">
        <v>2.3973999999999999E-2</v>
      </c>
      <c r="AH17">
        <v>2.4098999999999999E-2</v>
      </c>
      <c r="AI17">
        <v>2.4230999999999999E-2</v>
      </c>
      <c r="AJ17">
        <v>2.4375000000000001E-2</v>
      </c>
      <c r="AK17">
        <v>2.4500000000000001E-2</v>
      </c>
      <c r="AL17">
        <v>2.4627E-2</v>
      </c>
      <c r="AM17">
        <v>2.4763E-2</v>
      </c>
      <c r="AN17">
        <v>2.4899999999999999E-2</v>
      </c>
      <c r="AO17">
        <v>2.5037E-2</v>
      </c>
      <c r="AP17" s="7">
        <v>7.0000000000000001E-3</v>
      </c>
    </row>
    <row r="18" spans="1:42" x14ac:dyDescent="0.25">
      <c r="A18" t="s">
        <v>2</v>
      </c>
      <c r="B18" t="s">
        <v>201</v>
      </c>
      <c r="C18" t="s">
        <v>423</v>
      </c>
      <c r="D18" t="s">
        <v>42</v>
      </c>
      <c r="H18">
        <v>6.6919999999999993E-2</v>
      </c>
      <c r="I18">
        <v>6.6022999999999998E-2</v>
      </c>
      <c r="J18">
        <v>6.6027000000000002E-2</v>
      </c>
      <c r="K18">
        <v>5.9612999999999999E-2</v>
      </c>
      <c r="L18">
        <v>6.4895999999999995E-2</v>
      </c>
      <c r="M18">
        <v>6.5531000000000006E-2</v>
      </c>
      <c r="N18">
        <v>6.6164000000000001E-2</v>
      </c>
      <c r="O18">
        <v>6.6831000000000002E-2</v>
      </c>
      <c r="P18">
        <v>6.7489999999999994E-2</v>
      </c>
      <c r="Q18">
        <v>6.7515000000000006E-2</v>
      </c>
      <c r="R18">
        <v>6.7569000000000004E-2</v>
      </c>
      <c r="S18">
        <v>6.7590999999999998E-2</v>
      </c>
      <c r="T18">
        <v>6.7640000000000006E-2</v>
      </c>
      <c r="U18">
        <v>6.7407999999999996E-2</v>
      </c>
      <c r="V18">
        <v>6.7474000000000006E-2</v>
      </c>
      <c r="W18">
        <v>6.7484000000000002E-2</v>
      </c>
      <c r="X18">
        <v>6.7545999999999995E-2</v>
      </c>
      <c r="Y18">
        <v>6.7607E-2</v>
      </c>
      <c r="Z18">
        <v>6.7666000000000004E-2</v>
      </c>
      <c r="AA18">
        <v>6.7725999999999995E-2</v>
      </c>
      <c r="AB18">
        <v>6.7783999999999997E-2</v>
      </c>
      <c r="AC18">
        <v>6.7835000000000006E-2</v>
      </c>
      <c r="AD18">
        <v>6.7907999999999996E-2</v>
      </c>
      <c r="AE18">
        <v>6.7948999999999996E-2</v>
      </c>
      <c r="AF18">
        <v>6.8007999999999999E-2</v>
      </c>
      <c r="AG18">
        <v>6.8072999999999995E-2</v>
      </c>
      <c r="AH18">
        <v>6.8130999999999997E-2</v>
      </c>
      <c r="AI18">
        <v>6.8203E-2</v>
      </c>
      <c r="AJ18">
        <v>6.8279999999999993E-2</v>
      </c>
      <c r="AK18">
        <v>6.8330000000000002E-2</v>
      </c>
      <c r="AL18">
        <v>6.8400000000000002E-2</v>
      </c>
      <c r="AM18">
        <v>6.8469000000000002E-2</v>
      </c>
      <c r="AN18">
        <v>6.8543000000000007E-2</v>
      </c>
      <c r="AO18">
        <v>6.8616999999999997E-2</v>
      </c>
      <c r="AP18" s="7">
        <v>0</v>
      </c>
    </row>
    <row r="19" spans="1:42" x14ac:dyDescent="0.25">
      <c r="A19" t="s">
        <v>21</v>
      </c>
      <c r="B19" t="s">
        <v>200</v>
      </c>
      <c r="C19" t="s">
        <v>422</v>
      </c>
      <c r="D19" t="s">
        <v>42</v>
      </c>
      <c r="H19">
        <v>6.3E-5</v>
      </c>
      <c r="I19">
        <v>0</v>
      </c>
      <c r="J19">
        <v>9.2999999999999997E-5</v>
      </c>
      <c r="K19">
        <v>6.2000000000000003E-5</v>
      </c>
      <c r="L19">
        <v>6.8999999999999997E-5</v>
      </c>
      <c r="M19">
        <v>6.9999999999999994E-5</v>
      </c>
      <c r="N19">
        <v>1.02E-4</v>
      </c>
      <c r="O19">
        <v>1.12E-4</v>
      </c>
      <c r="P19">
        <v>1.34E-4</v>
      </c>
      <c r="Q19">
        <v>1.2400000000000001E-4</v>
      </c>
      <c r="R19">
        <v>1.1900000000000001E-4</v>
      </c>
      <c r="S19">
        <v>1.07E-4</v>
      </c>
      <c r="T19">
        <v>1.02E-4</v>
      </c>
      <c r="U19">
        <v>4.6999999999999997E-5</v>
      </c>
      <c r="V19">
        <v>4.3000000000000002E-5</v>
      </c>
      <c r="W19">
        <v>3.1999999999999999E-5</v>
      </c>
      <c r="X19">
        <v>2.9E-5</v>
      </c>
      <c r="Y19">
        <v>2.6999999999999999E-5</v>
      </c>
      <c r="Z19">
        <v>2.5000000000000001E-5</v>
      </c>
      <c r="AA19">
        <v>2.4000000000000001E-5</v>
      </c>
      <c r="AB19">
        <v>2.0000000000000002E-5</v>
      </c>
      <c r="AC19">
        <v>1.5999999999999999E-5</v>
      </c>
      <c r="AD19">
        <v>1.5999999999999999E-5</v>
      </c>
      <c r="AE19">
        <v>1.1E-5</v>
      </c>
      <c r="AF19">
        <v>7.9999999999999996E-6</v>
      </c>
      <c r="AG19">
        <v>6.0000000000000002E-6</v>
      </c>
      <c r="AH19">
        <v>9.9999999999999995E-7</v>
      </c>
      <c r="AI19">
        <v>9.9999999999999995E-7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 t="s">
        <v>0</v>
      </c>
    </row>
    <row r="20" spans="1:42" x14ac:dyDescent="0.25">
      <c r="A20" t="s">
        <v>91</v>
      </c>
      <c r="B20" t="s">
        <v>199</v>
      </c>
      <c r="C20" t="s">
        <v>421</v>
      </c>
      <c r="D20" t="s">
        <v>42</v>
      </c>
      <c r="H20">
        <v>3.8406000000000003E-2</v>
      </c>
      <c r="I20">
        <v>3.8477999999999998E-2</v>
      </c>
      <c r="J20">
        <v>3.7568999999999998E-2</v>
      </c>
      <c r="K20">
        <v>3.8855000000000001E-2</v>
      </c>
      <c r="L20">
        <v>4.0336999999999998E-2</v>
      </c>
      <c r="M20">
        <v>4.4538000000000001E-2</v>
      </c>
      <c r="N20">
        <v>4.3965999999999998E-2</v>
      </c>
      <c r="O20">
        <v>4.3462000000000001E-2</v>
      </c>
      <c r="P20">
        <v>4.3117000000000003E-2</v>
      </c>
      <c r="Q20">
        <v>4.3194000000000003E-2</v>
      </c>
      <c r="R20">
        <v>4.3199000000000001E-2</v>
      </c>
      <c r="S20">
        <v>4.3040000000000002E-2</v>
      </c>
      <c r="T20">
        <v>4.2902999999999997E-2</v>
      </c>
      <c r="U20">
        <v>4.2262000000000001E-2</v>
      </c>
      <c r="V20">
        <v>4.1817E-2</v>
      </c>
      <c r="W20">
        <v>4.1503999999999999E-2</v>
      </c>
      <c r="X20">
        <v>4.1401E-2</v>
      </c>
      <c r="Y20">
        <v>4.1341000000000003E-2</v>
      </c>
      <c r="Z20">
        <v>4.1320999999999997E-2</v>
      </c>
      <c r="AA20">
        <v>4.1306000000000002E-2</v>
      </c>
      <c r="AB20">
        <v>4.1258999999999997E-2</v>
      </c>
      <c r="AC20">
        <v>4.1194000000000001E-2</v>
      </c>
      <c r="AD20">
        <v>4.1175999999999997E-2</v>
      </c>
      <c r="AE20">
        <v>4.1109E-2</v>
      </c>
      <c r="AF20">
        <v>4.1035000000000002E-2</v>
      </c>
      <c r="AG20">
        <v>4.0974999999999998E-2</v>
      </c>
      <c r="AH20">
        <v>4.0915E-2</v>
      </c>
      <c r="AI20">
        <v>4.0902000000000001E-2</v>
      </c>
      <c r="AJ20">
        <v>4.0890999999999997E-2</v>
      </c>
      <c r="AK20">
        <v>4.0853E-2</v>
      </c>
      <c r="AL20">
        <v>4.0801999999999998E-2</v>
      </c>
      <c r="AM20">
        <v>4.0794999999999998E-2</v>
      </c>
      <c r="AN20">
        <v>4.0787999999999998E-2</v>
      </c>
      <c r="AO20">
        <v>4.0800999999999997E-2</v>
      </c>
      <c r="AP20" s="7">
        <v>1E-3</v>
      </c>
    </row>
    <row r="21" spans="1:42" x14ac:dyDescent="0.25">
      <c r="A21" t="s">
        <v>89</v>
      </c>
      <c r="B21" t="s">
        <v>198</v>
      </c>
      <c r="C21" t="s">
        <v>420</v>
      </c>
      <c r="D21" t="s">
        <v>42</v>
      </c>
      <c r="H21">
        <v>6.0000000000000002E-6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3.3000000000000003E-5</v>
      </c>
      <c r="P21">
        <v>1.36E-4</v>
      </c>
      <c r="Q21">
        <v>8.8999999999999995E-5</v>
      </c>
      <c r="R21">
        <v>8.0000000000000007E-5</v>
      </c>
      <c r="S21">
        <v>6.0000000000000002E-5</v>
      </c>
      <c r="T21">
        <v>5.3999999999999998E-5</v>
      </c>
      <c r="U21">
        <v>3.6999999999999998E-5</v>
      </c>
      <c r="V21">
        <v>3.6999999999999998E-5</v>
      </c>
      <c r="W21">
        <v>3.1999999999999999E-5</v>
      </c>
      <c r="X21">
        <v>3.4E-5</v>
      </c>
      <c r="Y21">
        <v>3.4999999999999997E-5</v>
      </c>
      <c r="Z21">
        <v>3.6000000000000001E-5</v>
      </c>
      <c r="AA21">
        <v>3.8999999999999999E-5</v>
      </c>
      <c r="AB21">
        <v>3.8999999999999999E-5</v>
      </c>
      <c r="AC21">
        <v>3.4999999999999997E-5</v>
      </c>
      <c r="AD21">
        <v>4.1999999999999998E-5</v>
      </c>
      <c r="AE21">
        <v>3.0000000000000001E-5</v>
      </c>
      <c r="AF21">
        <v>2.8E-5</v>
      </c>
      <c r="AG21">
        <v>3.0000000000000001E-5</v>
      </c>
      <c r="AH21">
        <v>2.8E-5</v>
      </c>
      <c r="AI21">
        <v>3.1999999999999999E-5</v>
      </c>
      <c r="AJ21">
        <v>3.6999999999999998E-5</v>
      </c>
      <c r="AK21">
        <v>3.6999999999999998E-5</v>
      </c>
      <c r="AL21">
        <v>4.0000000000000003E-5</v>
      </c>
      <c r="AM21">
        <v>4.3000000000000002E-5</v>
      </c>
      <c r="AN21">
        <v>4.6999999999999997E-5</v>
      </c>
      <c r="AO21">
        <v>5.0000000000000002E-5</v>
      </c>
      <c r="AP21" t="s">
        <v>0</v>
      </c>
    </row>
    <row r="22" spans="1:42" x14ac:dyDescent="0.25">
      <c r="A22" t="s">
        <v>83</v>
      </c>
      <c r="B22" t="s">
        <v>197</v>
      </c>
      <c r="C22" t="s">
        <v>419</v>
      </c>
      <c r="D22" t="s">
        <v>42</v>
      </c>
      <c r="H22">
        <v>0.124526</v>
      </c>
      <c r="I22">
        <v>0.12226099999999999</v>
      </c>
      <c r="J22">
        <v>0.12723000000000001</v>
      </c>
      <c r="K22">
        <v>0.12216399999999999</v>
      </c>
      <c r="L22">
        <v>0.12912299999999999</v>
      </c>
      <c r="M22">
        <v>0.13350400000000001</v>
      </c>
      <c r="N22">
        <v>0.133191</v>
      </c>
      <c r="O22">
        <v>0.13298199999999999</v>
      </c>
      <c r="P22">
        <v>0.13300699999999999</v>
      </c>
      <c r="Q22">
        <v>0.13315299999999999</v>
      </c>
      <c r="R22">
        <v>0.13331200000000001</v>
      </c>
      <c r="S22">
        <v>0.133241</v>
      </c>
      <c r="T22">
        <v>0.13325400000000001</v>
      </c>
      <c r="U22">
        <v>0.13227700000000001</v>
      </c>
      <c r="V22">
        <v>0.13200999999999999</v>
      </c>
      <c r="W22">
        <v>0.13178699999999999</v>
      </c>
      <c r="X22">
        <v>0.13186600000000001</v>
      </c>
      <c r="Y22">
        <v>0.131994</v>
      </c>
      <c r="Z22">
        <v>0.132159</v>
      </c>
      <c r="AA22">
        <v>0.132328</v>
      </c>
      <c r="AB22">
        <v>0.13245899999999999</v>
      </c>
      <c r="AC22">
        <v>0.13255800000000001</v>
      </c>
      <c r="AD22">
        <v>0.132746</v>
      </c>
      <c r="AE22">
        <v>0.132822</v>
      </c>
      <c r="AF22">
        <v>0.13292200000000001</v>
      </c>
      <c r="AG22">
        <v>0.13305800000000001</v>
      </c>
      <c r="AH22">
        <v>0.13317499999999999</v>
      </c>
      <c r="AI22">
        <v>0.13336999999999999</v>
      </c>
      <c r="AJ22">
        <v>0.13358300000000001</v>
      </c>
      <c r="AK22">
        <v>0.13372100000000001</v>
      </c>
      <c r="AL22">
        <v>0.13386899999999999</v>
      </c>
      <c r="AM22">
        <v>0.13406999999999999</v>
      </c>
      <c r="AN22">
        <v>0.13427800000000001</v>
      </c>
      <c r="AO22">
        <v>0.13450500000000001</v>
      </c>
      <c r="AP22" s="7">
        <v>2E-3</v>
      </c>
    </row>
    <row r="23" spans="1:42" x14ac:dyDescent="0.25">
      <c r="A23" t="s">
        <v>10</v>
      </c>
      <c r="B23" t="s">
        <v>196</v>
      </c>
      <c r="C23" t="s">
        <v>418</v>
      </c>
      <c r="D23" t="s">
        <v>42</v>
      </c>
      <c r="H23">
        <v>0.35290100000000002</v>
      </c>
      <c r="I23">
        <v>0.36779499999999998</v>
      </c>
      <c r="J23">
        <v>0.40032899999999999</v>
      </c>
      <c r="K23">
        <v>0.35959099999999999</v>
      </c>
      <c r="L23">
        <v>0.35732799999999998</v>
      </c>
      <c r="M23">
        <v>0.344001</v>
      </c>
      <c r="N23">
        <v>0.35878399999999999</v>
      </c>
      <c r="O23">
        <v>0.36777900000000002</v>
      </c>
      <c r="P23">
        <v>0.37628699999999998</v>
      </c>
      <c r="Q23">
        <v>0.37837100000000001</v>
      </c>
      <c r="R23">
        <v>0.37962499999999999</v>
      </c>
      <c r="S23">
        <v>0.380382</v>
      </c>
      <c r="T23">
        <v>0.380776</v>
      </c>
      <c r="U23">
        <v>0.37292599999999998</v>
      </c>
      <c r="V23">
        <v>0.368591</v>
      </c>
      <c r="W23">
        <v>0.36640899999999998</v>
      </c>
      <c r="X23">
        <v>0.36672399999999999</v>
      </c>
      <c r="Y23">
        <v>0.36738599999999999</v>
      </c>
      <c r="Z23">
        <v>0.36837900000000001</v>
      </c>
      <c r="AA23">
        <v>0.36935299999999999</v>
      </c>
      <c r="AB23">
        <v>0.37033500000000003</v>
      </c>
      <c r="AC23">
        <v>0.37117600000000001</v>
      </c>
      <c r="AD23">
        <v>0.372027</v>
      </c>
      <c r="AE23">
        <v>0.37288399999999999</v>
      </c>
      <c r="AF23">
        <v>0.37391000000000002</v>
      </c>
      <c r="AG23">
        <v>0.37493199999999999</v>
      </c>
      <c r="AH23">
        <v>0.375911</v>
      </c>
      <c r="AI23">
        <v>0.37689899999999998</v>
      </c>
      <c r="AJ23">
        <v>0.377722</v>
      </c>
      <c r="AK23">
        <v>0.37858999999999998</v>
      </c>
      <c r="AL23">
        <v>0.37932300000000002</v>
      </c>
      <c r="AM23">
        <v>0.37995899999999999</v>
      </c>
      <c r="AN23">
        <v>0.38041999999999998</v>
      </c>
      <c r="AO23">
        <v>0.38079099999999999</v>
      </c>
      <c r="AP23" s="7">
        <v>1.0999999999999999E-2</v>
      </c>
    </row>
    <row r="24" spans="1:42" x14ac:dyDescent="0.25">
      <c r="A24" t="s">
        <v>195</v>
      </c>
      <c r="B24" t="s">
        <v>194</v>
      </c>
      <c r="C24" t="s">
        <v>417</v>
      </c>
      <c r="D24" t="s">
        <v>42</v>
      </c>
      <c r="H24">
        <v>5.9779999999999998E-3</v>
      </c>
      <c r="I24">
        <v>5.3010000000000002E-3</v>
      </c>
      <c r="J24">
        <v>5.6959999999999997E-3</v>
      </c>
      <c r="K24">
        <v>6.3610000000000003E-3</v>
      </c>
      <c r="L24">
        <v>5.7739999999999996E-3</v>
      </c>
      <c r="M24">
        <v>5.182E-3</v>
      </c>
      <c r="N24">
        <v>5.182E-3</v>
      </c>
      <c r="O24">
        <v>5.182E-3</v>
      </c>
      <c r="P24">
        <v>5.182E-3</v>
      </c>
      <c r="Q24">
        <v>5.182E-3</v>
      </c>
      <c r="R24">
        <v>5.182E-3</v>
      </c>
      <c r="S24">
        <v>5.182E-3</v>
      </c>
      <c r="T24">
        <v>5.182E-3</v>
      </c>
      <c r="U24">
        <v>5.182E-3</v>
      </c>
      <c r="V24">
        <v>5.182E-3</v>
      </c>
      <c r="W24">
        <v>5.182E-3</v>
      </c>
      <c r="X24">
        <v>5.182E-3</v>
      </c>
      <c r="Y24">
        <v>5.182E-3</v>
      </c>
      <c r="Z24">
        <v>5.182E-3</v>
      </c>
      <c r="AA24">
        <v>5.182E-3</v>
      </c>
      <c r="AB24">
        <v>5.182E-3</v>
      </c>
      <c r="AC24">
        <v>5.182E-3</v>
      </c>
      <c r="AD24">
        <v>5.182E-3</v>
      </c>
      <c r="AE24">
        <v>5.182E-3</v>
      </c>
      <c r="AF24">
        <v>5.182E-3</v>
      </c>
      <c r="AG24">
        <v>5.182E-3</v>
      </c>
      <c r="AH24">
        <v>5.182E-3</v>
      </c>
      <c r="AI24">
        <v>5.182E-3</v>
      </c>
      <c r="AJ24">
        <v>5.182E-3</v>
      </c>
      <c r="AK24">
        <v>5.182E-3</v>
      </c>
      <c r="AL24">
        <v>5.182E-3</v>
      </c>
      <c r="AM24">
        <v>5.182E-3</v>
      </c>
      <c r="AN24">
        <v>5.182E-3</v>
      </c>
      <c r="AO24">
        <v>5.182E-3</v>
      </c>
      <c r="AP24" s="7">
        <v>0</v>
      </c>
    </row>
    <row r="25" spans="1:42" x14ac:dyDescent="0.25">
      <c r="A25" t="s">
        <v>56</v>
      </c>
      <c r="B25" t="s">
        <v>193</v>
      </c>
      <c r="C25" t="s">
        <v>416</v>
      </c>
      <c r="D25" t="s">
        <v>42</v>
      </c>
      <c r="H25">
        <v>3.0356999999999999E-2</v>
      </c>
      <c r="I25">
        <v>3.0356999999999999E-2</v>
      </c>
      <c r="J25">
        <v>3.0058999999999999E-2</v>
      </c>
      <c r="K25">
        <v>2.8903999999999999E-2</v>
      </c>
      <c r="L25">
        <v>2.8903999999999999E-2</v>
      </c>
      <c r="M25">
        <v>2.8903999999999999E-2</v>
      </c>
      <c r="N25">
        <v>2.8903999999999999E-2</v>
      </c>
      <c r="O25">
        <v>2.8903999999999999E-2</v>
      </c>
      <c r="P25">
        <v>2.8903999999999999E-2</v>
      </c>
      <c r="Q25">
        <v>2.8903999999999999E-2</v>
      </c>
      <c r="R25">
        <v>2.8903999999999999E-2</v>
      </c>
      <c r="S25">
        <v>2.8903999999999999E-2</v>
      </c>
      <c r="T25">
        <v>2.8903999999999999E-2</v>
      </c>
      <c r="U25">
        <v>2.8903999999999999E-2</v>
      </c>
      <c r="V25">
        <v>2.8903999999999999E-2</v>
      </c>
      <c r="W25">
        <v>2.8903999999999999E-2</v>
      </c>
      <c r="X25">
        <v>2.8903999999999999E-2</v>
      </c>
      <c r="Y25">
        <v>2.8903999999999999E-2</v>
      </c>
      <c r="Z25">
        <v>2.8903999999999999E-2</v>
      </c>
      <c r="AA25">
        <v>2.8903999999999999E-2</v>
      </c>
      <c r="AB25">
        <v>2.8903999999999999E-2</v>
      </c>
      <c r="AC25">
        <v>2.8903999999999999E-2</v>
      </c>
      <c r="AD25">
        <v>2.8903999999999999E-2</v>
      </c>
      <c r="AE25">
        <v>2.8903999999999999E-2</v>
      </c>
      <c r="AF25">
        <v>2.8903999999999999E-2</v>
      </c>
      <c r="AG25">
        <v>2.8903999999999999E-2</v>
      </c>
      <c r="AH25">
        <v>2.8903999999999999E-2</v>
      </c>
      <c r="AI25">
        <v>2.8903999999999999E-2</v>
      </c>
      <c r="AJ25">
        <v>2.8903999999999999E-2</v>
      </c>
      <c r="AK25">
        <v>2.8903999999999999E-2</v>
      </c>
      <c r="AL25">
        <v>2.8903999999999999E-2</v>
      </c>
      <c r="AM25">
        <v>2.8903999999999999E-2</v>
      </c>
      <c r="AN25">
        <v>2.8903999999999999E-2</v>
      </c>
      <c r="AO25">
        <v>2.8903999999999999E-2</v>
      </c>
      <c r="AP25" s="7">
        <v>0</v>
      </c>
    </row>
    <row r="26" spans="1:42" x14ac:dyDescent="0.25">
      <c r="A26" t="s">
        <v>8</v>
      </c>
      <c r="B26" t="s">
        <v>192</v>
      </c>
      <c r="C26" t="s">
        <v>415</v>
      </c>
      <c r="D26" t="s">
        <v>42</v>
      </c>
      <c r="H26">
        <v>0.57441699999999996</v>
      </c>
      <c r="I26">
        <v>0.57111699999999999</v>
      </c>
      <c r="J26">
        <v>0.55896599999999996</v>
      </c>
      <c r="K26">
        <v>0.52147100000000002</v>
      </c>
      <c r="L26">
        <v>0.51640600000000003</v>
      </c>
      <c r="M26">
        <v>0.52814700000000003</v>
      </c>
      <c r="N26">
        <v>0.53651700000000002</v>
      </c>
      <c r="O26">
        <v>0.54749999999999999</v>
      </c>
      <c r="P26">
        <v>0.55493800000000004</v>
      </c>
      <c r="Q26">
        <v>0.55179900000000004</v>
      </c>
      <c r="R26">
        <v>0.55110800000000004</v>
      </c>
      <c r="S26">
        <v>0.55184999999999995</v>
      </c>
      <c r="T26">
        <v>0.55318400000000001</v>
      </c>
      <c r="U26">
        <v>0.55102600000000002</v>
      </c>
      <c r="V26">
        <v>0.54954000000000003</v>
      </c>
      <c r="W26">
        <v>0.55052800000000002</v>
      </c>
      <c r="X26">
        <v>0.55230999999999997</v>
      </c>
      <c r="Y26">
        <v>0.55498400000000003</v>
      </c>
      <c r="Z26">
        <v>0.55764400000000003</v>
      </c>
      <c r="AA26">
        <v>0.56047800000000003</v>
      </c>
      <c r="AB26">
        <v>0.56444499999999997</v>
      </c>
      <c r="AC26">
        <v>0.56918000000000002</v>
      </c>
      <c r="AD26">
        <v>0.57419399999999998</v>
      </c>
      <c r="AE26">
        <v>0.578739</v>
      </c>
      <c r="AF26">
        <v>0.58423199999999997</v>
      </c>
      <c r="AG26">
        <v>0.58974499999999996</v>
      </c>
      <c r="AH26">
        <v>0.59656299999999995</v>
      </c>
      <c r="AI26">
        <v>0.60375100000000004</v>
      </c>
      <c r="AJ26">
        <v>0.61119999999999997</v>
      </c>
      <c r="AK26">
        <v>0.61864600000000003</v>
      </c>
      <c r="AL26">
        <v>0.62774099999999999</v>
      </c>
      <c r="AM26">
        <v>0.63734500000000005</v>
      </c>
      <c r="AN26">
        <v>0.64774100000000001</v>
      </c>
      <c r="AO26">
        <v>0.65895000000000004</v>
      </c>
      <c r="AP26" s="7">
        <v>3.0000000000000001E-3</v>
      </c>
    </row>
    <row r="27" spans="1:42" x14ac:dyDescent="0.25">
      <c r="A27" t="s">
        <v>117</v>
      </c>
      <c r="B27" t="s">
        <v>191</v>
      </c>
      <c r="C27" t="s">
        <v>414</v>
      </c>
      <c r="D27" t="s">
        <v>42</v>
      </c>
      <c r="H27">
        <v>1.088179</v>
      </c>
      <c r="I27">
        <v>1.096832</v>
      </c>
      <c r="J27">
        <v>1.1222799999999999</v>
      </c>
      <c r="K27">
        <v>1.0384910000000001</v>
      </c>
      <c r="L27">
        <v>1.0375350000000001</v>
      </c>
      <c r="M27">
        <v>1.0397380000000001</v>
      </c>
      <c r="N27">
        <v>1.0625770000000001</v>
      </c>
      <c r="O27">
        <v>1.0823469999999999</v>
      </c>
      <c r="P27">
        <v>1.098317</v>
      </c>
      <c r="Q27">
        <v>1.0974090000000001</v>
      </c>
      <c r="R27">
        <v>1.098131</v>
      </c>
      <c r="S27">
        <v>1.099558</v>
      </c>
      <c r="T27">
        <v>1.1013010000000001</v>
      </c>
      <c r="U27">
        <v>1.0903149999999999</v>
      </c>
      <c r="V27">
        <v>1.0842259999999999</v>
      </c>
      <c r="W27">
        <v>1.0828089999999999</v>
      </c>
      <c r="X27">
        <v>1.084986</v>
      </c>
      <c r="Y27">
        <v>1.0884499999999999</v>
      </c>
      <c r="Z27">
        <v>1.0922670000000001</v>
      </c>
      <c r="AA27">
        <v>1.0962449999999999</v>
      </c>
      <c r="AB27">
        <v>1.1013250000000001</v>
      </c>
      <c r="AC27">
        <v>1.107</v>
      </c>
      <c r="AD27">
        <v>1.1130530000000001</v>
      </c>
      <c r="AE27">
        <v>1.1185309999999999</v>
      </c>
      <c r="AF27">
        <v>1.1251500000000001</v>
      </c>
      <c r="AG27">
        <v>1.131821</v>
      </c>
      <c r="AH27">
        <v>1.1397349999999999</v>
      </c>
      <c r="AI27">
        <v>1.1481060000000001</v>
      </c>
      <c r="AJ27">
        <v>1.1565920000000001</v>
      </c>
      <c r="AK27">
        <v>1.1650430000000001</v>
      </c>
      <c r="AL27">
        <v>1.1750179999999999</v>
      </c>
      <c r="AM27">
        <v>1.18546</v>
      </c>
      <c r="AN27">
        <v>1.1965239999999999</v>
      </c>
      <c r="AO27">
        <v>1.208332</v>
      </c>
      <c r="AP27" s="7">
        <v>6.0000000000000001E-3</v>
      </c>
    </row>
    <row r="28" spans="1:42" x14ac:dyDescent="0.25">
      <c r="A28" t="s">
        <v>115</v>
      </c>
      <c r="B28" t="s">
        <v>190</v>
      </c>
      <c r="C28" t="s">
        <v>413</v>
      </c>
      <c r="D28" t="s">
        <v>42</v>
      </c>
      <c r="H28">
        <v>0.86982000000000004</v>
      </c>
      <c r="I28">
        <v>0.88661000000000001</v>
      </c>
      <c r="J28">
        <v>0.83051799999999998</v>
      </c>
      <c r="K28">
        <v>0.73861500000000002</v>
      </c>
      <c r="L28">
        <v>0.71756399999999998</v>
      </c>
      <c r="M28">
        <v>0.77441800000000005</v>
      </c>
      <c r="N28">
        <v>0.78202400000000005</v>
      </c>
      <c r="O28">
        <v>0.76728200000000002</v>
      </c>
      <c r="P28">
        <v>0.75659799999999999</v>
      </c>
      <c r="Q28">
        <v>0.69756099999999999</v>
      </c>
      <c r="R28">
        <v>0.69779400000000003</v>
      </c>
      <c r="S28">
        <v>0.69811900000000005</v>
      </c>
      <c r="T28">
        <v>0.70612799999999998</v>
      </c>
      <c r="U28">
        <v>0.68284199999999995</v>
      </c>
      <c r="V28">
        <v>0.65146300000000001</v>
      </c>
      <c r="W28">
        <v>0.63609199999999999</v>
      </c>
      <c r="X28">
        <v>0.63503799999999999</v>
      </c>
      <c r="Y28">
        <v>0.63686699999999996</v>
      </c>
      <c r="Z28">
        <v>0.64188199999999995</v>
      </c>
      <c r="AA28">
        <v>0.64324599999999998</v>
      </c>
      <c r="AB28">
        <v>0.64004399999999995</v>
      </c>
      <c r="AC28">
        <v>0.63932599999999995</v>
      </c>
      <c r="AD28">
        <v>0.63881399999999999</v>
      </c>
      <c r="AE28">
        <v>0.64649599999999996</v>
      </c>
      <c r="AF28">
        <v>0.65226200000000001</v>
      </c>
      <c r="AG28">
        <v>0.65397099999999997</v>
      </c>
      <c r="AH28">
        <v>0.659995</v>
      </c>
      <c r="AI28">
        <v>0.67642500000000005</v>
      </c>
      <c r="AJ28">
        <v>0.70655699999999999</v>
      </c>
      <c r="AK28">
        <v>0.72591099999999997</v>
      </c>
      <c r="AL28">
        <v>0.72523499999999996</v>
      </c>
      <c r="AM28">
        <v>0.73087199999999997</v>
      </c>
      <c r="AN28">
        <v>0.74140700000000004</v>
      </c>
      <c r="AO28">
        <v>0.75120399999999998</v>
      </c>
      <c r="AP28" s="7">
        <v>1E-3</v>
      </c>
    </row>
    <row r="29" spans="1:42" x14ac:dyDescent="0.25">
      <c r="A29" t="s">
        <v>29</v>
      </c>
      <c r="B29" t="s">
        <v>189</v>
      </c>
      <c r="C29" t="s">
        <v>412</v>
      </c>
      <c r="D29" t="s">
        <v>42</v>
      </c>
      <c r="H29">
        <v>1.958</v>
      </c>
      <c r="I29">
        <v>1.9834419999999999</v>
      </c>
      <c r="J29">
        <v>1.952798</v>
      </c>
      <c r="K29">
        <v>1.7771060000000001</v>
      </c>
      <c r="L29">
        <v>1.755099</v>
      </c>
      <c r="M29">
        <v>1.814155</v>
      </c>
      <c r="N29">
        <v>1.8446</v>
      </c>
      <c r="O29">
        <v>1.849629</v>
      </c>
      <c r="P29">
        <v>1.8549150000000001</v>
      </c>
      <c r="Q29">
        <v>1.79497</v>
      </c>
      <c r="R29">
        <v>1.795925</v>
      </c>
      <c r="S29">
        <v>1.797677</v>
      </c>
      <c r="T29">
        <v>1.807428</v>
      </c>
      <c r="U29">
        <v>1.7731570000000001</v>
      </c>
      <c r="V29">
        <v>1.735689</v>
      </c>
      <c r="W29">
        <v>1.718901</v>
      </c>
      <c r="X29">
        <v>1.720024</v>
      </c>
      <c r="Y29">
        <v>1.725317</v>
      </c>
      <c r="Z29">
        <v>1.7341489999999999</v>
      </c>
      <c r="AA29">
        <v>1.7394909999999999</v>
      </c>
      <c r="AB29">
        <v>1.7413689999999999</v>
      </c>
      <c r="AC29">
        <v>1.7463249999999999</v>
      </c>
      <c r="AD29">
        <v>1.7518670000000001</v>
      </c>
      <c r="AE29">
        <v>1.7650269999999999</v>
      </c>
      <c r="AF29">
        <v>1.777412</v>
      </c>
      <c r="AG29">
        <v>1.7857909999999999</v>
      </c>
      <c r="AH29">
        <v>1.799731</v>
      </c>
      <c r="AI29">
        <v>1.8245309999999999</v>
      </c>
      <c r="AJ29">
        <v>1.863148</v>
      </c>
      <c r="AK29">
        <v>1.890954</v>
      </c>
      <c r="AL29">
        <v>1.900253</v>
      </c>
      <c r="AM29">
        <v>1.9163319999999999</v>
      </c>
      <c r="AN29">
        <v>1.9379310000000001</v>
      </c>
      <c r="AO29">
        <v>1.9595359999999999</v>
      </c>
      <c r="AP29" s="7">
        <v>4.0000000000000001E-3</v>
      </c>
    </row>
    <row r="30" spans="1:42" x14ac:dyDescent="0.25">
      <c r="A30" t="s">
        <v>188</v>
      </c>
      <c r="C30" t="s">
        <v>411</v>
      </c>
    </row>
    <row r="31" spans="1:42" x14ac:dyDescent="0.25">
      <c r="A31" t="s">
        <v>99</v>
      </c>
      <c r="B31" t="s">
        <v>187</v>
      </c>
      <c r="C31" t="s">
        <v>410</v>
      </c>
      <c r="D31" t="s">
        <v>42</v>
      </c>
      <c r="H31">
        <v>3.6222999999999998E-2</v>
      </c>
      <c r="I31">
        <v>4.2604999999999997E-2</v>
      </c>
      <c r="J31">
        <v>4.1168999999999997E-2</v>
      </c>
      <c r="K31">
        <v>3.7649000000000002E-2</v>
      </c>
      <c r="L31">
        <v>3.3170999999999999E-2</v>
      </c>
      <c r="M31">
        <v>2.9212999999999999E-2</v>
      </c>
      <c r="N31">
        <v>2.9829000000000001E-2</v>
      </c>
      <c r="O31">
        <v>2.9728000000000001E-2</v>
      </c>
      <c r="P31">
        <v>2.9978999999999999E-2</v>
      </c>
      <c r="Q31">
        <v>3.0155000000000001E-2</v>
      </c>
      <c r="R31">
        <v>3.0388999999999999E-2</v>
      </c>
      <c r="S31">
        <v>3.0546E-2</v>
      </c>
      <c r="T31">
        <v>3.0790999999999999E-2</v>
      </c>
      <c r="U31">
        <v>3.1189000000000001E-2</v>
      </c>
      <c r="V31">
        <v>3.1468000000000003E-2</v>
      </c>
      <c r="W31">
        <v>3.1773999999999997E-2</v>
      </c>
      <c r="X31">
        <v>3.2112000000000002E-2</v>
      </c>
      <c r="Y31">
        <v>3.2481999999999997E-2</v>
      </c>
      <c r="Z31">
        <v>3.2842000000000003E-2</v>
      </c>
      <c r="AA31">
        <v>3.3133999999999997E-2</v>
      </c>
      <c r="AB31">
        <v>3.3410000000000002E-2</v>
      </c>
      <c r="AC31">
        <v>3.3710999999999998E-2</v>
      </c>
      <c r="AD31">
        <v>3.3993000000000002E-2</v>
      </c>
      <c r="AE31">
        <v>3.4182999999999998E-2</v>
      </c>
      <c r="AF31">
        <v>3.4491000000000001E-2</v>
      </c>
      <c r="AG31">
        <v>3.4882000000000003E-2</v>
      </c>
      <c r="AH31">
        <v>3.5262000000000002E-2</v>
      </c>
      <c r="AI31">
        <v>3.5645999999999997E-2</v>
      </c>
      <c r="AJ31">
        <v>3.6082999999999997E-2</v>
      </c>
      <c r="AK31">
        <v>3.6437999999999998E-2</v>
      </c>
      <c r="AL31">
        <v>3.6812999999999999E-2</v>
      </c>
      <c r="AM31">
        <v>3.7231E-2</v>
      </c>
      <c r="AN31">
        <v>3.7745000000000001E-2</v>
      </c>
      <c r="AO31">
        <v>3.8247999999999997E-2</v>
      </c>
      <c r="AP31" s="7">
        <v>-1.4999999999999999E-2</v>
      </c>
    </row>
    <row r="32" spans="1:42" x14ac:dyDescent="0.25">
      <c r="A32" t="s">
        <v>2</v>
      </c>
      <c r="B32" t="s">
        <v>186</v>
      </c>
      <c r="C32" t="s">
        <v>409</v>
      </c>
      <c r="D32" t="s">
        <v>42</v>
      </c>
      <c r="H32">
        <v>3.9670999999999998E-2</v>
      </c>
      <c r="I32">
        <v>3.9092000000000002E-2</v>
      </c>
      <c r="J32">
        <v>4.0122999999999999E-2</v>
      </c>
      <c r="K32">
        <v>3.6609999999999997E-2</v>
      </c>
      <c r="L32">
        <v>4.0425999999999997E-2</v>
      </c>
      <c r="M32">
        <v>4.1623E-2</v>
      </c>
      <c r="N32">
        <v>4.2671000000000001E-2</v>
      </c>
      <c r="O32">
        <v>4.3560000000000001E-2</v>
      </c>
      <c r="P32">
        <v>4.4444999999999998E-2</v>
      </c>
      <c r="Q32">
        <v>4.5137999999999998E-2</v>
      </c>
      <c r="R32">
        <v>4.573E-2</v>
      </c>
      <c r="S32">
        <v>4.6274999999999997E-2</v>
      </c>
      <c r="T32">
        <v>4.6796999999999998E-2</v>
      </c>
      <c r="U32">
        <v>4.7382000000000001E-2</v>
      </c>
      <c r="V32">
        <v>4.8016999999999997E-2</v>
      </c>
      <c r="W32">
        <v>4.8599999999999997E-2</v>
      </c>
      <c r="X32">
        <v>4.9232999999999999E-2</v>
      </c>
      <c r="Y32">
        <v>4.9917999999999997E-2</v>
      </c>
      <c r="Z32">
        <v>5.0582000000000002E-2</v>
      </c>
      <c r="AA32">
        <v>5.1187999999999997E-2</v>
      </c>
      <c r="AB32">
        <v>5.1762000000000002E-2</v>
      </c>
      <c r="AC32">
        <v>5.2375999999999999E-2</v>
      </c>
      <c r="AD32">
        <v>5.3009000000000001E-2</v>
      </c>
      <c r="AE32">
        <v>5.3727999999999998E-2</v>
      </c>
      <c r="AF32">
        <v>5.4489999999999997E-2</v>
      </c>
      <c r="AG32">
        <v>5.5233999999999998E-2</v>
      </c>
      <c r="AH32">
        <v>5.6030999999999997E-2</v>
      </c>
      <c r="AI32">
        <v>5.6848999999999997E-2</v>
      </c>
      <c r="AJ32">
        <v>5.7652000000000002E-2</v>
      </c>
      <c r="AK32">
        <v>5.8464000000000002E-2</v>
      </c>
      <c r="AL32">
        <v>5.9270000000000003E-2</v>
      </c>
      <c r="AM32">
        <v>6.0109000000000003E-2</v>
      </c>
      <c r="AN32">
        <v>6.0985999999999999E-2</v>
      </c>
      <c r="AO32">
        <v>6.1882E-2</v>
      </c>
      <c r="AP32" s="7">
        <v>7.0000000000000001E-3</v>
      </c>
    </row>
    <row r="33" spans="1:42" x14ac:dyDescent="0.25">
      <c r="A33" t="s">
        <v>91</v>
      </c>
      <c r="B33" t="s">
        <v>185</v>
      </c>
      <c r="C33" t="s">
        <v>408</v>
      </c>
      <c r="D33" t="s">
        <v>42</v>
      </c>
      <c r="H33">
        <v>0.13319300000000001</v>
      </c>
      <c r="I33">
        <v>0.13950399999999999</v>
      </c>
      <c r="J33">
        <v>0.131635</v>
      </c>
      <c r="K33">
        <v>0.110994</v>
      </c>
      <c r="L33">
        <v>0.11806</v>
      </c>
      <c r="M33">
        <v>0.12045500000000001</v>
      </c>
      <c r="N33">
        <v>0.122694</v>
      </c>
      <c r="O33">
        <v>0.125245</v>
      </c>
      <c r="P33">
        <v>0.128048</v>
      </c>
      <c r="Q33">
        <v>0.13034200000000001</v>
      </c>
      <c r="R33">
        <v>0.132215</v>
      </c>
      <c r="S33">
        <v>0.133969</v>
      </c>
      <c r="T33">
        <v>0.13578000000000001</v>
      </c>
      <c r="U33">
        <v>0.13798299999999999</v>
      </c>
      <c r="V33">
        <v>0.14017399999999999</v>
      </c>
      <c r="W33">
        <v>0.142124</v>
      </c>
      <c r="X33">
        <v>0.14421900000000001</v>
      </c>
      <c r="Y33">
        <v>0.14657999999999999</v>
      </c>
      <c r="Z33">
        <v>0.148954</v>
      </c>
      <c r="AA33">
        <v>0.151009</v>
      </c>
      <c r="AB33">
        <v>0.15292900000000001</v>
      </c>
      <c r="AC33">
        <v>0.15507000000000001</v>
      </c>
      <c r="AD33">
        <v>0.15714800000000001</v>
      </c>
      <c r="AE33">
        <v>0.15931899999999999</v>
      </c>
      <c r="AF33">
        <v>0.161799</v>
      </c>
      <c r="AG33">
        <v>0.164436</v>
      </c>
      <c r="AH33">
        <v>0.167188</v>
      </c>
      <c r="AI33">
        <v>0.16991100000000001</v>
      </c>
      <c r="AJ33">
        <v>0.172708</v>
      </c>
      <c r="AK33">
        <v>0.175432</v>
      </c>
      <c r="AL33">
        <v>0.17818100000000001</v>
      </c>
      <c r="AM33">
        <v>0.18107500000000001</v>
      </c>
      <c r="AN33">
        <v>0.18440400000000001</v>
      </c>
      <c r="AO33">
        <v>0.18773200000000001</v>
      </c>
      <c r="AP33" s="7">
        <v>1.0999999999999999E-2</v>
      </c>
    </row>
    <row r="34" spans="1:42" x14ac:dyDescent="0.25">
      <c r="A34" t="s">
        <v>89</v>
      </c>
      <c r="B34" t="s">
        <v>184</v>
      </c>
      <c r="C34" t="s">
        <v>407</v>
      </c>
      <c r="D34" t="s">
        <v>42</v>
      </c>
      <c r="H34">
        <v>3.3909999999999999E-3</v>
      </c>
      <c r="I34">
        <v>3.2929999999999999E-3</v>
      </c>
      <c r="J34">
        <v>3.4970000000000001E-3</v>
      </c>
      <c r="K34">
        <v>1.271E-3</v>
      </c>
      <c r="L34">
        <v>1.2179999999999999E-3</v>
      </c>
      <c r="M34">
        <v>1.3190000000000001E-3</v>
      </c>
      <c r="N34">
        <v>1.4350000000000001E-3</v>
      </c>
      <c r="O34">
        <v>1.493E-3</v>
      </c>
      <c r="P34">
        <v>1.5529999999999999E-3</v>
      </c>
      <c r="Q34">
        <v>1.5939999999999999E-3</v>
      </c>
      <c r="R34">
        <v>1.622E-3</v>
      </c>
      <c r="S34">
        <v>1.6360000000000001E-3</v>
      </c>
      <c r="T34">
        <v>1.653E-3</v>
      </c>
      <c r="U34">
        <v>1.6739999999999999E-3</v>
      </c>
      <c r="V34">
        <v>1.6919999999999999E-3</v>
      </c>
      <c r="W34">
        <v>1.689E-3</v>
      </c>
      <c r="X34">
        <v>1.6930000000000001E-3</v>
      </c>
      <c r="Y34">
        <v>1.694E-3</v>
      </c>
      <c r="Z34">
        <v>1.6869999999999999E-3</v>
      </c>
      <c r="AA34">
        <v>1.6789999999999999E-3</v>
      </c>
      <c r="AB34">
        <v>1.676E-3</v>
      </c>
      <c r="AC34">
        <v>1.671E-3</v>
      </c>
      <c r="AD34">
        <v>1.668E-3</v>
      </c>
      <c r="AE34">
        <v>1.6620000000000001E-3</v>
      </c>
      <c r="AF34">
        <v>1.658E-3</v>
      </c>
      <c r="AG34">
        <v>1.6639999999999999E-3</v>
      </c>
      <c r="AH34">
        <v>1.6720000000000001E-3</v>
      </c>
      <c r="AI34">
        <v>1.6750000000000001E-3</v>
      </c>
      <c r="AJ34">
        <v>1.6689999999999999E-3</v>
      </c>
      <c r="AK34">
        <v>1.6689999999999999E-3</v>
      </c>
      <c r="AL34">
        <v>1.6689999999999999E-3</v>
      </c>
      <c r="AM34">
        <v>1.665E-3</v>
      </c>
      <c r="AN34">
        <v>1.663E-3</v>
      </c>
      <c r="AO34">
        <v>1.655E-3</v>
      </c>
      <c r="AP34" s="7">
        <v>-4.0000000000000001E-3</v>
      </c>
    </row>
    <row r="35" spans="1:42" x14ac:dyDescent="0.25">
      <c r="A35" t="s">
        <v>87</v>
      </c>
      <c r="B35" t="s">
        <v>183</v>
      </c>
      <c r="C35" t="s">
        <v>406</v>
      </c>
      <c r="D35" t="s">
        <v>42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 t="s">
        <v>0</v>
      </c>
    </row>
    <row r="36" spans="1:42" x14ac:dyDescent="0.25">
      <c r="A36" t="s">
        <v>85</v>
      </c>
      <c r="B36" t="s">
        <v>182</v>
      </c>
      <c r="C36" t="s">
        <v>405</v>
      </c>
      <c r="D36" t="s">
        <v>42</v>
      </c>
      <c r="H36">
        <v>0.52827999999999997</v>
      </c>
      <c r="I36">
        <v>0.51832699999999998</v>
      </c>
      <c r="J36">
        <v>0.52617199999999997</v>
      </c>
      <c r="K36">
        <v>0.46377499999999999</v>
      </c>
      <c r="L36">
        <v>0.48621199999999998</v>
      </c>
      <c r="M36">
        <v>0.384351</v>
      </c>
      <c r="N36">
        <v>0.37550499999999998</v>
      </c>
      <c r="O36">
        <v>0.36637399999999998</v>
      </c>
      <c r="P36">
        <v>0.36942199999999997</v>
      </c>
      <c r="Q36">
        <v>0.38119199999999998</v>
      </c>
      <c r="R36">
        <v>0.38066800000000001</v>
      </c>
      <c r="S36">
        <v>0.39025700000000002</v>
      </c>
      <c r="T36">
        <v>0.39512599999999998</v>
      </c>
      <c r="U36">
        <v>0.38650400000000001</v>
      </c>
      <c r="V36">
        <v>0.39230199999999998</v>
      </c>
      <c r="W36">
        <v>0.39027200000000001</v>
      </c>
      <c r="X36">
        <v>0.38999299999999998</v>
      </c>
      <c r="Y36">
        <v>0.397843</v>
      </c>
      <c r="Z36">
        <v>0.40171000000000001</v>
      </c>
      <c r="AA36">
        <v>0.41933599999999999</v>
      </c>
      <c r="AB36">
        <v>0.433282</v>
      </c>
      <c r="AC36">
        <v>0.43360599999999999</v>
      </c>
      <c r="AD36">
        <v>0.44052599999999997</v>
      </c>
      <c r="AE36">
        <v>0.43903799999999998</v>
      </c>
      <c r="AF36">
        <v>0.44025500000000001</v>
      </c>
      <c r="AG36">
        <v>0.44013600000000003</v>
      </c>
      <c r="AH36">
        <v>0.42452499999999999</v>
      </c>
      <c r="AI36">
        <v>0.42163</v>
      </c>
      <c r="AJ36">
        <v>0.42396499999999998</v>
      </c>
      <c r="AK36">
        <v>0.42899300000000001</v>
      </c>
      <c r="AL36">
        <v>0.43653900000000001</v>
      </c>
      <c r="AM36">
        <v>0.44256499999999999</v>
      </c>
      <c r="AN36">
        <v>0.444884</v>
      </c>
      <c r="AO36">
        <v>0.45450699999999999</v>
      </c>
      <c r="AP36" s="7">
        <v>-5.0000000000000001E-3</v>
      </c>
    </row>
    <row r="37" spans="1:42" x14ac:dyDescent="0.25">
      <c r="A37" t="s">
        <v>83</v>
      </c>
      <c r="B37" t="s">
        <v>181</v>
      </c>
      <c r="C37" t="s">
        <v>404</v>
      </c>
      <c r="D37" t="s">
        <v>42</v>
      </c>
      <c r="H37">
        <v>0.74075800000000003</v>
      </c>
      <c r="I37">
        <v>0.74282099999999995</v>
      </c>
      <c r="J37">
        <v>0.74259600000000003</v>
      </c>
      <c r="K37">
        <v>0.65029899999999996</v>
      </c>
      <c r="L37">
        <v>0.679087</v>
      </c>
      <c r="M37">
        <v>0.57696099999999995</v>
      </c>
      <c r="N37">
        <v>0.572133</v>
      </c>
      <c r="O37">
        <v>0.56640000000000001</v>
      </c>
      <c r="P37">
        <v>0.57344700000000004</v>
      </c>
      <c r="Q37">
        <v>0.588422</v>
      </c>
      <c r="R37">
        <v>0.59062300000000001</v>
      </c>
      <c r="S37">
        <v>0.60268299999999997</v>
      </c>
      <c r="T37">
        <v>0.61014699999999999</v>
      </c>
      <c r="U37">
        <v>0.60473200000000005</v>
      </c>
      <c r="V37">
        <v>0.61365199999999998</v>
      </c>
      <c r="W37">
        <v>0.61445899999999998</v>
      </c>
      <c r="X37">
        <v>0.61724900000000005</v>
      </c>
      <c r="Y37">
        <v>0.62851800000000002</v>
      </c>
      <c r="Z37">
        <v>0.63577600000000001</v>
      </c>
      <c r="AA37">
        <v>0.65634599999999998</v>
      </c>
      <c r="AB37">
        <v>0.67305800000000005</v>
      </c>
      <c r="AC37">
        <v>0.67643399999999998</v>
      </c>
      <c r="AD37">
        <v>0.68634499999999998</v>
      </c>
      <c r="AE37">
        <v>0.68793000000000004</v>
      </c>
      <c r="AF37">
        <v>0.692693</v>
      </c>
      <c r="AG37">
        <v>0.696353</v>
      </c>
      <c r="AH37">
        <v>0.68467800000000001</v>
      </c>
      <c r="AI37">
        <v>0.68571199999999999</v>
      </c>
      <c r="AJ37">
        <v>0.69207700000000005</v>
      </c>
      <c r="AK37">
        <v>0.70099599999999995</v>
      </c>
      <c r="AL37">
        <v>0.71247099999999997</v>
      </c>
      <c r="AM37">
        <v>0.72264499999999998</v>
      </c>
      <c r="AN37">
        <v>0.72968299999999997</v>
      </c>
      <c r="AO37">
        <v>0.74402400000000002</v>
      </c>
      <c r="AP37" s="7">
        <v>-1E-3</v>
      </c>
    </row>
    <row r="38" spans="1:42" x14ac:dyDescent="0.25">
      <c r="A38" t="s">
        <v>10</v>
      </c>
      <c r="B38" t="s">
        <v>180</v>
      </c>
      <c r="C38" t="s">
        <v>403</v>
      </c>
      <c r="D38" t="s">
        <v>42</v>
      </c>
      <c r="H38">
        <v>1.003134</v>
      </c>
      <c r="I38">
        <v>1.0704050000000001</v>
      </c>
      <c r="J38">
        <v>1.008513</v>
      </c>
      <c r="K38">
        <v>0.96288899999999999</v>
      </c>
      <c r="L38">
        <v>0.98363500000000004</v>
      </c>
      <c r="M38">
        <v>1.078749</v>
      </c>
      <c r="N38">
        <v>1.0878060000000001</v>
      </c>
      <c r="O38">
        <v>1.1008929999999999</v>
      </c>
      <c r="P38">
        <v>1.112285</v>
      </c>
      <c r="Q38">
        <v>1.121939</v>
      </c>
      <c r="R38">
        <v>1.1180129999999999</v>
      </c>
      <c r="S38">
        <v>1.1309070000000001</v>
      </c>
      <c r="T38">
        <v>1.142182</v>
      </c>
      <c r="U38">
        <v>1.067901</v>
      </c>
      <c r="V38">
        <v>1.0723849999999999</v>
      </c>
      <c r="W38">
        <v>1.075404</v>
      </c>
      <c r="X38">
        <v>1.083496</v>
      </c>
      <c r="Y38">
        <v>1.0982350000000001</v>
      </c>
      <c r="Z38">
        <v>1.106325</v>
      </c>
      <c r="AA38">
        <v>1.125116</v>
      </c>
      <c r="AB38">
        <v>1.1370690000000001</v>
      </c>
      <c r="AC38">
        <v>1.148773</v>
      </c>
      <c r="AD38">
        <v>1.1534610000000001</v>
      </c>
      <c r="AE38">
        <v>1.161875</v>
      </c>
      <c r="AF38">
        <v>1.17449</v>
      </c>
      <c r="AG38">
        <v>1.1866410000000001</v>
      </c>
      <c r="AH38">
        <v>1.1998439999999999</v>
      </c>
      <c r="AI38">
        <v>1.208021</v>
      </c>
      <c r="AJ38">
        <v>1.2151000000000001</v>
      </c>
      <c r="AK38">
        <v>1.227609</v>
      </c>
      <c r="AL38">
        <v>1.240051</v>
      </c>
      <c r="AM38">
        <v>1.250553</v>
      </c>
      <c r="AN38">
        <v>1.2598469999999999</v>
      </c>
      <c r="AO38">
        <v>1.2711460000000001</v>
      </c>
      <c r="AP38" s="7">
        <v>8.9999999999999993E-3</v>
      </c>
    </row>
    <row r="39" spans="1:42" x14ac:dyDescent="0.25">
      <c r="A39" t="s">
        <v>80</v>
      </c>
      <c r="B39" t="s">
        <v>179</v>
      </c>
      <c r="C39" t="s">
        <v>402</v>
      </c>
      <c r="D39" t="s">
        <v>42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 t="s">
        <v>0</v>
      </c>
    </row>
    <row r="40" spans="1:42" x14ac:dyDescent="0.25">
      <c r="A40" t="s">
        <v>78</v>
      </c>
      <c r="B40" t="s">
        <v>178</v>
      </c>
      <c r="C40" t="s">
        <v>401</v>
      </c>
      <c r="D40" t="s">
        <v>42</v>
      </c>
      <c r="H40">
        <v>0.283586</v>
      </c>
      <c r="I40">
        <v>0.29477799999999998</v>
      </c>
      <c r="J40">
        <v>0.29870200000000002</v>
      </c>
      <c r="K40">
        <v>0.28741899999999998</v>
      </c>
      <c r="L40">
        <v>0.28118500000000002</v>
      </c>
      <c r="M40">
        <v>0.279584</v>
      </c>
      <c r="N40">
        <v>0.28892000000000001</v>
      </c>
      <c r="O40">
        <v>0.28322599999999998</v>
      </c>
      <c r="P40">
        <v>0.283387</v>
      </c>
      <c r="Q40">
        <v>0.28504499999999999</v>
      </c>
      <c r="R40">
        <v>0.28822799999999998</v>
      </c>
      <c r="S40">
        <v>0.29441000000000001</v>
      </c>
      <c r="T40">
        <v>0.29430099999999998</v>
      </c>
      <c r="U40">
        <v>0.30094799999999999</v>
      </c>
      <c r="V40">
        <v>0.31120399999999998</v>
      </c>
      <c r="W40">
        <v>0.31890200000000002</v>
      </c>
      <c r="X40">
        <v>0.33055299999999999</v>
      </c>
      <c r="Y40">
        <v>0.33546500000000001</v>
      </c>
      <c r="Z40">
        <v>0.33269900000000002</v>
      </c>
      <c r="AA40">
        <v>0.32720300000000002</v>
      </c>
      <c r="AB40">
        <v>0.32995400000000003</v>
      </c>
      <c r="AC40">
        <v>0.32271499999999997</v>
      </c>
      <c r="AD40">
        <v>0.32466800000000001</v>
      </c>
      <c r="AE40">
        <v>0.32738400000000001</v>
      </c>
      <c r="AF40">
        <v>0.33183200000000002</v>
      </c>
      <c r="AG40">
        <v>0.33252900000000002</v>
      </c>
      <c r="AH40">
        <v>0.34967700000000002</v>
      </c>
      <c r="AI40">
        <v>0.34900799999999998</v>
      </c>
      <c r="AJ40">
        <v>0.33699800000000002</v>
      </c>
      <c r="AK40">
        <v>0.34682600000000002</v>
      </c>
      <c r="AL40">
        <v>0.343306</v>
      </c>
      <c r="AM40">
        <v>0.34277299999999999</v>
      </c>
      <c r="AN40">
        <v>0.33455099999999999</v>
      </c>
      <c r="AO40">
        <v>0.32361899999999999</v>
      </c>
      <c r="AP40" s="7">
        <v>0</v>
      </c>
    </row>
    <row r="41" spans="1:42" x14ac:dyDescent="0.25">
      <c r="A41" t="s">
        <v>76</v>
      </c>
      <c r="B41" t="s">
        <v>177</v>
      </c>
      <c r="C41" t="s">
        <v>400</v>
      </c>
      <c r="D41" t="s">
        <v>42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 t="s">
        <v>0</v>
      </c>
    </row>
    <row r="42" spans="1:42" x14ac:dyDescent="0.25">
      <c r="A42" t="s">
        <v>72</v>
      </c>
      <c r="B42" t="s">
        <v>176</v>
      </c>
      <c r="C42" t="s">
        <v>399</v>
      </c>
      <c r="D42" t="s">
        <v>42</v>
      </c>
      <c r="H42">
        <v>1.286721</v>
      </c>
      <c r="I42">
        <v>1.365183</v>
      </c>
      <c r="J42">
        <v>1.3072140000000001</v>
      </c>
      <c r="K42">
        <v>1.2503089999999999</v>
      </c>
      <c r="L42">
        <v>1.2648189999999999</v>
      </c>
      <c r="M42">
        <v>1.358333</v>
      </c>
      <c r="N42">
        <v>1.376727</v>
      </c>
      <c r="O42">
        <v>1.3841190000000001</v>
      </c>
      <c r="P42">
        <v>1.395672</v>
      </c>
      <c r="Q42">
        <v>1.406984</v>
      </c>
      <c r="R42">
        <v>1.4062399999999999</v>
      </c>
      <c r="S42">
        <v>1.425316</v>
      </c>
      <c r="T42">
        <v>1.436483</v>
      </c>
      <c r="U42">
        <v>1.368849</v>
      </c>
      <c r="V42">
        <v>1.383589</v>
      </c>
      <c r="W42">
        <v>1.394306</v>
      </c>
      <c r="X42">
        <v>1.4140489999999999</v>
      </c>
      <c r="Y42">
        <v>1.4337</v>
      </c>
      <c r="Z42">
        <v>1.4390240000000001</v>
      </c>
      <c r="AA42">
        <v>1.4523189999999999</v>
      </c>
      <c r="AB42">
        <v>1.4670240000000001</v>
      </c>
      <c r="AC42">
        <v>1.4714879999999999</v>
      </c>
      <c r="AD42">
        <v>1.478129</v>
      </c>
      <c r="AE42">
        <v>1.4892590000000001</v>
      </c>
      <c r="AF42">
        <v>1.5063219999999999</v>
      </c>
      <c r="AG42">
        <v>1.519169</v>
      </c>
      <c r="AH42">
        <v>1.5495209999999999</v>
      </c>
      <c r="AI42">
        <v>1.5570299999999999</v>
      </c>
      <c r="AJ42">
        <v>1.552098</v>
      </c>
      <c r="AK42">
        <v>1.574435</v>
      </c>
      <c r="AL42">
        <v>1.5833569999999999</v>
      </c>
      <c r="AM42">
        <v>1.5933269999999999</v>
      </c>
      <c r="AN42">
        <v>1.594398</v>
      </c>
      <c r="AO42">
        <v>1.5947640000000001</v>
      </c>
      <c r="AP42" s="7">
        <v>7.0000000000000001E-3</v>
      </c>
    </row>
    <row r="43" spans="1:42" x14ac:dyDescent="0.25">
      <c r="A43" t="s">
        <v>70</v>
      </c>
      <c r="B43" t="s">
        <v>175</v>
      </c>
      <c r="C43" t="s">
        <v>398</v>
      </c>
      <c r="D43" t="s">
        <v>42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 t="s">
        <v>0</v>
      </c>
    </row>
    <row r="44" spans="1:42" x14ac:dyDescent="0.25">
      <c r="A44" t="s">
        <v>174</v>
      </c>
      <c r="B44" t="s">
        <v>173</v>
      </c>
      <c r="C44" t="s">
        <v>397</v>
      </c>
      <c r="D44" t="s">
        <v>42</v>
      </c>
      <c r="H44">
        <v>3.2236000000000001E-2</v>
      </c>
      <c r="I44">
        <v>2.9430000000000001E-2</v>
      </c>
      <c r="J44">
        <v>3.0235000000000001E-2</v>
      </c>
      <c r="K44">
        <v>2.9201000000000001E-2</v>
      </c>
      <c r="L44">
        <v>2.8906000000000001E-2</v>
      </c>
      <c r="M44">
        <v>2.9176000000000001E-2</v>
      </c>
      <c r="N44">
        <v>2.9041999999999998E-2</v>
      </c>
      <c r="O44">
        <v>2.8677000000000001E-2</v>
      </c>
      <c r="P44">
        <v>2.8306999999999999E-2</v>
      </c>
      <c r="Q44">
        <v>2.7900999999999999E-2</v>
      </c>
      <c r="R44">
        <v>2.7434E-2</v>
      </c>
      <c r="S44">
        <v>2.6929000000000002E-2</v>
      </c>
      <c r="T44">
        <v>2.6487E-2</v>
      </c>
      <c r="U44">
        <v>2.6032E-2</v>
      </c>
      <c r="V44">
        <v>2.5656999999999999E-2</v>
      </c>
      <c r="W44">
        <v>2.5225000000000001E-2</v>
      </c>
      <c r="X44">
        <v>2.4819000000000001E-2</v>
      </c>
      <c r="Y44">
        <v>2.4435999999999999E-2</v>
      </c>
      <c r="Z44">
        <v>2.4351000000000001E-2</v>
      </c>
      <c r="AA44">
        <v>2.4250000000000001E-2</v>
      </c>
      <c r="AB44">
        <v>2.4160999999999998E-2</v>
      </c>
      <c r="AC44">
        <v>2.4240999999999999E-2</v>
      </c>
      <c r="AD44">
        <v>2.4194E-2</v>
      </c>
      <c r="AE44">
        <v>2.4163E-2</v>
      </c>
      <c r="AF44">
        <v>2.4169E-2</v>
      </c>
      <c r="AG44">
        <v>2.4206999999999999E-2</v>
      </c>
      <c r="AH44">
        <v>2.4264999999999998E-2</v>
      </c>
      <c r="AI44">
        <v>2.4317999999999999E-2</v>
      </c>
      <c r="AJ44">
        <v>2.4375000000000001E-2</v>
      </c>
      <c r="AK44">
        <v>2.4457E-2</v>
      </c>
      <c r="AL44">
        <v>2.4531000000000001E-2</v>
      </c>
      <c r="AM44">
        <v>2.46E-2</v>
      </c>
      <c r="AN44">
        <v>2.4802999999999999E-2</v>
      </c>
      <c r="AO44">
        <v>2.4896999999999999E-2</v>
      </c>
      <c r="AP44" s="7">
        <v>1E-3</v>
      </c>
    </row>
    <row r="45" spans="1:42" x14ac:dyDescent="0.25">
      <c r="A45" t="s">
        <v>66</v>
      </c>
      <c r="B45" t="s">
        <v>172</v>
      </c>
      <c r="C45" t="s">
        <v>396</v>
      </c>
      <c r="D45" t="s">
        <v>42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 t="s">
        <v>0</v>
      </c>
    </row>
    <row r="46" spans="1:42" x14ac:dyDescent="0.25">
      <c r="A46" t="s">
        <v>64</v>
      </c>
      <c r="B46" t="s">
        <v>171</v>
      </c>
      <c r="C46" t="s">
        <v>395</v>
      </c>
      <c r="D46" t="s">
        <v>42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 t="s">
        <v>0</v>
      </c>
    </row>
    <row r="47" spans="1:42" x14ac:dyDescent="0.25">
      <c r="A47" t="s">
        <v>62</v>
      </c>
      <c r="B47" t="s">
        <v>170</v>
      </c>
      <c r="C47" t="s">
        <v>394</v>
      </c>
      <c r="D47" t="s">
        <v>42</v>
      </c>
      <c r="H47">
        <v>3.2236000000000001E-2</v>
      </c>
      <c r="I47">
        <v>2.9430000000000001E-2</v>
      </c>
      <c r="J47">
        <v>3.0235000000000001E-2</v>
      </c>
      <c r="K47">
        <v>2.9201000000000001E-2</v>
      </c>
      <c r="L47">
        <v>2.8906000000000001E-2</v>
      </c>
      <c r="M47">
        <v>2.9176000000000001E-2</v>
      </c>
      <c r="N47">
        <v>2.9041999999999998E-2</v>
      </c>
      <c r="O47">
        <v>2.8677000000000001E-2</v>
      </c>
      <c r="P47">
        <v>2.8306999999999999E-2</v>
      </c>
      <c r="Q47">
        <v>2.7900999999999999E-2</v>
      </c>
      <c r="R47">
        <v>2.7434E-2</v>
      </c>
      <c r="S47">
        <v>2.6929000000000002E-2</v>
      </c>
      <c r="T47">
        <v>2.6487E-2</v>
      </c>
      <c r="U47">
        <v>2.6032E-2</v>
      </c>
      <c r="V47">
        <v>2.5656999999999999E-2</v>
      </c>
      <c r="W47">
        <v>2.5225000000000001E-2</v>
      </c>
      <c r="X47">
        <v>2.4819000000000001E-2</v>
      </c>
      <c r="Y47">
        <v>2.4435999999999999E-2</v>
      </c>
      <c r="Z47">
        <v>2.4351000000000001E-2</v>
      </c>
      <c r="AA47">
        <v>2.4250000000000001E-2</v>
      </c>
      <c r="AB47">
        <v>2.4160999999999998E-2</v>
      </c>
      <c r="AC47">
        <v>2.4240999999999999E-2</v>
      </c>
      <c r="AD47">
        <v>2.4194E-2</v>
      </c>
      <c r="AE47">
        <v>2.4163E-2</v>
      </c>
      <c r="AF47">
        <v>2.4169E-2</v>
      </c>
      <c r="AG47">
        <v>2.4206999999999999E-2</v>
      </c>
      <c r="AH47">
        <v>2.4264999999999998E-2</v>
      </c>
      <c r="AI47">
        <v>2.4317999999999999E-2</v>
      </c>
      <c r="AJ47">
        <v>2.4375000000000001E-2</v>
      </c>
      <c r="AK47">
        <v>2.4457E-2</v>
      </c>
      <c r="AL47">
        <v>2.4531000000000001E-2</v>
      </c>
      <c r="AM47">
        <v>2.46E-2</v>
      </c>
      <c r="AN47">
        <v>2.4802999999999999E-2</v>
      </c>
      <c r="AO47">
        <v>2.4896999999999999E-2</v>
      </c>
      <c r="AP47" s="7">
        <v>1E-3</v>
      </c>
    </row>
    <row r="48" spans="1:42" x14ac:dyDescent="0.25">
      <c r="A48" t="s">
        <v>58</v>
      </c>
      <c r="B48" t="s">
        <v>169</v>
      </c>
      <c r="C48" t="s">
        <v>393</v>
      </c>
      <c r="D48" t="s">
        <v>42</v>
      </c>
      <c r="H48">
        <v>0.111349</v>
      </c>
      <c r="I48">
        <v>0.11107400000000001</v>
      </c>
      <c r="J48">
        <v>0.128689</v>
      </c>
      <c r="K48">
        <v>0.12955700000000001</v>
      </c>
      <c r="L48">
        <v>0.12639700000000001</v>
      </c>
      <c r="M48">
        <v>0.12503700000000001</v>
      </c>
      <c r="N48">
        <v>0.125164</v>
      </c>
      <c r="O48">
        <v>0.12548200000000001</v>
      </c>
      <c r="P48">
        <v>0.126279</v>
      </c>
      <c r="Q48">
        <v>0.12659500000000001</v>
      </c>
      <c r="R48">
        <v>0.12698400000000001</v>
      </c>
      <c r="S48">
        <v>0.12731600000000001</v>
      </c>
      <c r="T48">
        <v>0.12764800000000001</v>
      </c>
      <c r="U48">
        <v>0.12806400000000001</v>
      </c>
      <c r="V48">
        <v>0.12934899999999999</v>
      </c>
      <c r="W48">
        <v>0.12978400000000001</v>
      </c>
      <c r="X48">
        <v>0.13034200000000001</v>
      </c>
      <c r="Y48">
        <v>0.13102800000000001</v>
      </c>
      <c r="Z48">
        <v>0.13167100000000001</v>
      </c>
      <c r="AA48">
        <v>0.13219400000000001</v>
      </c>
      <c r="AB48">
        <v>0.132746</v>
      </c>
      <c r="AC48">
        <v>0.133328</v>
      </c>
      <c r="AD48">
        <v>0.13400799999999999</v>
      </c>
      <c r="AE48">
        <v>0.134746</v>
      </c>
      <c r="AF48">
        <v>0.13547999999999999</v>
      </c>
      <c r="AG48">
        <v>0.136383</v>
      </c>
      <c r="AH48">
        <v>0.13747300000000001</v>
      </c>
      <c r="AI48">
        <v>0.13853799999999999</v>
      </c>
      <c r="AJ48">
        <v>0.14024700000000001</v>
      </c>
      <c r="AK48">
        <v>0.14067399999999999</v>
      </c>
      <c r="AL48">
        <v>0.14283299999999999</v>
      </c>
      <c r="AM48">
        <v>0.14381099999999999</v>
      </c>
      <c r="AN48">
        <v>0.14497299999999999</v>
      </c>
      <c r="AO48">
        <v>0.14615800000000001</v>
      </c>
      <c r="AP48" s="7">
        <v>-5.0000000000000001E-3</v>
      </c>
    </row>
    <row r="49" spans="1:42" x14ac:dyDescent="0.25">
      <c r="A49" t="s">
        <v>56</v>
      </c>
      <c r="B49" t="s">
        <v>168</v>
      </c>
      <c r="C49" t="s">
        <v>392</v>
      </c>
      <c r="D49" t="s">
        <v>42</v>
      </c>
      <c r="H49">
        <v>0.15648899999999999</v>
      </c>
      <c r="I49">
        <v>0.15682399999999999</v>
      </c>
      <c r="J49">
        <v>0.140981</v>
      </c>
      <c r="K49">
        <v>0.14011199999999999</v>
      </c>
      <c r="L49">
        <v>0.140122</v>
      </c>
      <c r="M49">
        <v>0.14511499999999999</v>
      </c>
      <c r="N49">
        <v>0.14643900000000001</v>
      </c>
      <c r="O49">
        <v>0.14805299999999999</v>
      </c>
      <c r="P49">
        <v>0.15001200000000001</v>
      </c>
      <c r="Q49">
        <v>0.15127399999999999</v>
      </c>
      <c r="R49">
        <v>0.15207899999999999</v>
      </c>
      <c r="S49">
        <v>0.15235699999999999</v>
      </c>
      <c r="T49">
        <v>0.15287100000000001</v>
      </c>
      <c r="U49">
        <v>0.15401500000000001</v>
      </c>
      <c r="V49">
        <v>0.155249</v>
      </c>
      <c r="W49">
        <v>0.155885</v>
      </c>
      <c r="X49">
        <v>0.15607499999999999</v>
      </c>
      <c r="Y49">
        <v>0.15626200000000001</v>
      </c>
      <c r="Z49">
        <v>0.15726799999999999</v>
      </c>
      <c r="AA49">
        <v>0.158141</v>
      </c>
      <c r="AB49">
        <v>0.15901499999999999</v>
      </c>
      <c r="AC49">
        <v>0.160631</v>
      </c>
      <c r="AD49">
        <v>0.16212099999999999</v>
      </c>
      <c r="AE49">
        <v>0.16342400000000001</v>
      </c>
      <c r="AF49">
        <v>0.165296</v>
      </c>
      <c r="AG49">
        <v>0.16736500000000001</v>
      </c>
      <c r="AH49">
        <v>0.16964399999999999</v>
      </c>
      <c r="AI49">
        <v>0.171934</v>
      </c>
      <c r="AJ49">
        <v>0.17435999999999999</v>
      </c>
      <c r="AK49">
        <v>0.176786</v>
      </c>
      <c r="AL49">
        <v>0.17935499999999999</v>
      </c>
      <c r="AM49">
        <v>0.18190500000000001</v>
      </c>
      <c r="AN49">
        <v>0.18468999999999999</v>
      </c>
      <c r="AO49">
        <v>0.18754100000000001</v>
      </c>
      <c r="AP49" s="7">
        <v>1.6E-2</v>
      </c>
    </row>
    <row r="50" spans="1:42" x14ac:dyDescent="0.25">
      <c r="A50" t="s">
        <v>8</v>
      </c>
      <c r="B50" t="s">
        <v>167</v>
      </c>
      <c r="C50" t="s">
        <v>391</v>
      </c>
      <c r="D50" t="s">
        <v>42</v>
      </c>
      <c r="H50">
        <v>0.314608</v>
      </c>
      <c r="I50">
        <v>0.31359199999999998</v>
      </c>
      <c r="J50">
        <v>0.303346</v>
      </c>
      <c r="K50">
        <v>0.29591899999999999</v>
      </c>
      <c r="L50">
        <v>0.29723899999999998</v>
      </c>
      <c r="M50">
        <v>0.30634</v>
      </c>
      <c r="N50">
        <v>0.31398100000000001</v>
      </c>
      <c r="O50">
        <v>0.319355</v>
      </c>
      <c r="P50">
        <v>0.325708</v>
      </c>
      <c r="Q50">
        <v>0.33184900000000001</v>
      </c>
      <c r="R50">
        <v>0.33515600000000001</v>
      </c>
      <c r="S50">
        <v>0.34001999999999999</v>
      </c>
      <c r="T50">
        <v>0.34414</v>
      </c>
      <c r="U50">
        <v>0.34595199999999998</v>
      </c>
      <c r="V50">
        <v>0.34979100000000002</v>
      </c>
      <c r="W50">
        <v>0.35326299999999999</v>
      </c>
      <c r="X50">
        <v>0.356904</v>
      </c>
      <c r="Y50">
        <v>0.36192299999999999</v>
      </c>
      <c r="Z50">
        <v>0.36586200000000002</v>
      </c>
      <c r="AA50">
        <v>0.37137999999999999</v>
      </c>
      <c r="AB50">
        <v>0.37502600000000003</v>
      </c>
      <c r="AC50">
        <v>0.379552</v>
      </c>
      <c r="AD50">
        <v>0.38438099999999997</v>
      </c>
      <c r="AE50">
        <v>0.38868000000000003</v>
      </c>
      <c r="AF50">
        <v>0.39433600000000002</v>
      </c>
      <c r="AG50">
        <v>0.40020899999999998</v>
      </c>
      <c r="AH50">
        <v>0.40581299999999998</v>
      </c>
      <c r="AI50">
        <v>0.411047</v>
      </c>
      <c r="AJ50">
        <v>0.416321</v>
      </c>
      <c r="AK50">
        <v>0.42221999999999998</v>
      </c>
      <c r="AL50">
        <v>0.42847400000000002</v>
      </c>
      <c r="AM50">
        <v>0.43439</v>
      </c>
      <c r="AN50">
        <v>0.44036900000000001</v>
      </c>
      <c r="AO50">
        <v>0.447216</v>
      </c>
      <c r="AP50" s="7">
        <v>1.0999999999999999E-2</v>
      </c>
    </row>
    <row r="51" spans="1:42" x14ac:dyDescent="0.25">
      <c r="A51" t="s">
        <v>117</v>
      </c>
      <c r="B51" t="s">
        <v>166</v>
      </c>
      <c r="C51" t="s">
        <v>390</v>
      </c>
      <c r="D51" t="s">
        <v>42</v>
      </c>
      <c r="H51">
        <v>2.6421610000000002</v>
      </c>
      <c r="I51">
        <v>2.7189239999999999</v>
      </c>
      <c r="J51">
        <v>2.6530619999999998</v>
      </c>
      <c r="K51">
        <v>2.4953979999999998</v>
      </c>
      <c r="L51">
        <v>2.5365709999999999</v>
      </c>
      <c r="M51">
        <v>2.5409630000000001</v>
      </c>
      <c r="N51">
        <v>2.5634860000000002</v>
      </c>
      <c r="O51">
        <v>2.5720860000000001</v>
      </c>
      <c r="P51">
        <v>2.5994250000000001</v>
      </c>
      <c r="Q51">
        <v>2.6330249999999999</v>
      </c>
      <c r="R51">
        <v>2.6385169999999998</v>
      </c>
      <c r="S51">
        <v>2.6746210000000001</v>
      </c>
      <c r="T51">
        <v>2.6977769999999999</v>
      </c>
      <c r="U51">
        <v>2.6276440000000001</v>
      </c>
      <c r="V51">
        <v>2.6572870000000002</v>
      </c>
      <c r="W51">
        <v>2.6729229999999999</v>
      </c>
      <c r="X51">
        <v>2.6994379999999998</v>
      </c>
      <c r="Y51">
        <v>2.7358660000000001</v>
      </c>
      <c r="Z51">
        <v>2.753952</v>
      </c>
      <c r="AA51">
        <v>2.7946300000000002</v>
      </c>
      <c r="AB51">
        <v>2.8310309999999999</v>
      </c>
      <c r="AC51">
        <v>2.8456739999999998</v>
      </c>
      <c r="AD51">
        <v>2.8691779999999998</v>
      </c>
      <c r="AE51">
        <v>2.8882020000000002</v>
      </c>
      <c r="AF51">
        <v>2.9182939999999999</v>
      </c>
      <c r="AG51">
        <v>2.943686</v>
      </c>
      <c r="AH51">
        <v>2.9713940000000001</v>
      </c>
      <c r="AI51">
        <v>2.9885790000000001</v>
      </c>
      <c r="AJ51">
        <v>2.9994779999999999</v>
      </c>
      <c r="AK51">
        <v>3.0395669999999999</v>
      </c>
      <c r="AL51">
        <v>3.071021</v>
      </c>
      <c r="AM51">
        <v>3.100679</v>
      </c>
      <c r="AN51">
        <v>3.1189170000000002</v>
      </c>
      <c r="AO51">
        <v>3.1446000000000001</v>
      </c>
      <c r="AP51" s="7">
        <v>6.0000000000000001E-3</v>
      </c>
    </row>
    <row r="52" spans="1:42" x14ac:dyDescent="0.25">
      <c r="A52" t="s">
        <v>115</v>
      </c>
      <c r="B52" t="s">
        <v>165</v>
      </c>
      <c r="C52" t="s">
        <v>389</v>
      </c>
      <c r="D52" t="s">
        <v>42</v>
      </c>
      <c r="H52">
        <v>0.47639999999999999</v>
      </c>
      <c r="I52">
        <v>0.48682399999999998</v>
      </c>
      <c r="J52">
        <v>0.450714</v>
      </c>
      <c r="K52">
        <v>0.41914200000000001</v>
      </c>
      <c r="L52">
        <v>0.41302499999999998</v>
      </c>
      <c r="M52">
        <v>0.44918400000000003</v>
      </c>
      <c r="N52">
        <v>0.45765699999999998</v>
      </c>
      <c r="O52">
        <v>0.44755299999999998</v>
      </c>
      <c r="P52">
        <v>0.44406699999999999</v>
      </c>
      <c r="Q52">
        <v>0.41950999999999999</v>
      </c>
      <c r="R52">
        <v>0.42436299999999999</v>
      </c>
      <c r="S52">
        <v>0.43014200000000002</v>
      </c>
      <c r="T52">
        <v>0.43928699999999998</v>
      </c>
      <c r="U52">
        <v>0.42870999999999998</v>
      </c>
      <c r="V52">
        <v>0.41466599999999998</v>
      </c>
      <c r="W52">
        <v>0.40816799999999998</v>
      </c>
      <c r="X52">
        <v>0.41036299999999998</v>
      </c>
      <c r="Y52">
        <v>0.41532200000000002</v>
      </c>
      <c r="Z52">
        <v>0.42113</v>
      </c>
      <c r="AA52">
        <v>0.42622300000000002</v>
      </c>
      <c r="AB52">
        <v>0.42525499999999999</v>
      </c>
      <c r="AC52">
        <v>0.42632799999999998</v>
      </c>
      <c r="AD52">
        <v>0.42763899999999999</v>
      </c>
      <c r="AE52">
        <v>0.43418499999999999</v>
      </c>
      <c r="AF52">
        <v>0.44025300000000001</v>
      </c>
      <c r="AG52">
        <v>0.44379299999999999</v>
      </c>
      <c r="AH52">
        <v>0.448963</v>
      </c>
      <c r="AI52">
        <v>0.46052500000000002</v>
      </c>
      <c r="AJ52">
        <v>0.48127300000000001</v>
      </c>
      <c r="AK52">
        <v>0.49542700000000001</v>
      </c>
      <c r="AL52">
        <v>0.49501899999999999</v>
      </c>
      <c r="AM52">
        <v>0.49813499999999999</v>
      </c>
      <c r="AN52">
        <v>0.50404800000000005</v>
      </c>
      <c r="AO52">
        <v>0.509826</v>
      </c>
      <c r="AP52" s="7">
        <v>8.9999999999999993E-3</v>
      </c>
    </row>
    <row r="53" spans="1:42" x14ac:dyDescent="0.25">
      <c r="A53" t="s">
        <v>29</v>
      </c>
      <c r="B53" t="s">
        <v>164</v>
      </c>
      <c r="C53" t="s">
        <v>388</v>
      </c>
      <c r="D53" t="s">
        <v>42</v>
      </c>
      <c r="H53">
        <v>3.1185610000000001</v>
      </c>
      <c r="I53">
        <v>3.2057479999999998</v>
      </c>
      <c r="J53">
        <v>3.1037759999999999</v>
      </c>
      <c r="K53">
        <v>2.9145400000000001</v>
      </c>
      <c r="L53">
        <v>2.949595</v>
      </c>
      <c r="M53">
        <v>2.9901469999999999</v>
      </c>
      <c r="N53">
        <v>3.0211429999999999</v>
      </c>
      <c r="O53">
        <v>3.0196390000000002</v>
      </c>
      <c r="P53">
        <v>3.0434920000000001</v>
      </c>
      <c r="Q53">
        <v>3.0525350000000002</v>
      </c>
      <c r="R53">
        <v>3.0628799999999998</v>
      </c>
      <c r="S53">
        <v>3.1047639999999999</v>
      </c>
      <c r="T53">
        <v>3.1370640000000001</v>
      </c>
      <c r="U53">
        <v>3.0563549999999999</v>
      </c>
      <c r="V53">
        <v>3.0719530000000002</v>
      </c>
      <c r="W53">
        <v>3.0810900000000001</v>
      </c>
      <c r="X53">
        <v>3.1098020000000002</v>
      </c>
      <c r="Y53">
        <v>3.1511879999999999</v>
      </c>
      <c r="Z53">
        <v>3.1750820000000002</v>
      </c>
      <c r="AA53">
        <v>3.220853</v>
      </c>
      <c r="AB53">
        <v>3.2562859999999998</v>
      </c>
      <c r="AC53">
        <v>3.2720020000000001</v>
      </c>
      <c r="AD53">
        <v>3.296818</v>
      </c>
      <c r="AE53">
        <v>3.322387</v>
      </c>
      <c r="AF53">
        <v>3.3585470000000002</v>
      </c>
      <c r="AG53">
        <v>3.3874789999999999</v>
      </c>
      <c r="AH53">
        <v>3.420356</v>
      </c>
      <c r="AI53">
        <v>3.4491040000000002</v>
      </c>
      <c r="AJ53">
        <v>3.4807510000000002</v>
      </c>
      <c r="AK53">
        <v>3.5349949999999999</v>
      </c>
      <c r="AL53">
        <v>3.5660409999999998</v>
      </c>
      <c r="AM53">
        <v>3.598814</v>
      </c>
      <c r="AN53">
        <v>3.6229640000000001</v>
      </c>
      <c r="AO53">
        <v>3.6544270000000001</v>
      </c>
      <c r="AP53" s="7">
        <v>6.0000000000000001E-3</v>
      </c>
    </row>
    <row r="54" spans="1:42" x14ac:dyDescent="0.25">
      <c r="A54" t="s">
        <v>163</v>
      </c>
      <c r="C54" t="s">
        <v>387</v>
      </c>
    </row>
    <row r="55" spans="1:42" x14ac:dyDescent="0.25">
      <c r="A55" t="s">
        <v>11</v>
      </c>
      <c r="B55" t="s">
        <v>162</v>
      </c>
      <c r="C55" t="s">
        <v>386</v>
      </c>
      <c r="D55" t="s">
        <v>42</v>
      </c>
      <c r="H55">
        <v>1.771E-3</v>
      </c>
      <c r="I55">
        <v>1.9090000000000001E-3</v>
      </c>
      <c r="J55">
        <v>1.8699999999999999E-3</v>
      </c>
      <c r="K55">
        <v>9.8499999999999998E-4</v>
      </c>
      <c r="L55">
        <v>1.052E-3</v>
      </c>
      <c r="M55">
        <v>1.0629999999999999E-3</v>
      </c>
      <c r="N55">
        <v>1.096E-3</v>
      </c>
      <c r="O55">
        <v>1.108E-3</v>
      </c>
      <c r="P55">
        <v>1.1230000000000001E-3</v>
      </c>
      <c r="Q55">
        <v>1.124E-3</v>
      </c>
      <c r="R55">
        <v>1.122E-3</v>
      </c>
      <c r="S55">
        <v>1.121E-3</v>
      </c>
      <c r="T55">
        <v>1.119E-3</v>
      </c>
      <c r="U55">
        <v>1.1310000000000001E-3</v>
      </c>
      <c r="V55">
        <v>1.1299999999999999E-3</v>
      </c>
      <c r="W55">
        <v>1.1349999999999999E-3</v>
      </c>
      <c r="X55">
        <v>1.1379999999999999E-3</v>
      </c>
      <c r="Y55">
        <v>1.1529999999999999E-3</v>
      </c>
      <c r="Z55">
        <v>1.17E-3</v>
      </c>
      <c r="AA55">
        <v>1.188E-3</v>
      </c>
      <c r="AB55">
        <v>1.209E-3</v>
      </c>
      <c r="AC55">
        <v>1.2340000000000001E-3</v>
      </c>
      <c r="AD55">
        <v>1.2589999999999999E-3</v>
      </c>
      <c r="AE55">
        <v>1.289E-3</v>
      </c>
      <c r="AF55">
        <v>1.3190000000000001E-3</v>
      </c>
      <c r="AG55">
        <v>1.3519999999999999E-3</v>
      </c>
      <c r="AH55">
        <v>1.389E-3</v>
      </c>
      <c r="AI55">
        <v>1.426E-3</v>
      </c>
      <c r="AJ55">
        <v>1.4660000000000001E-3</v>
      </c>
      <c r="AK55">
        <v>1.5100000000000001E-3</v>
      </c>
      <c r="AL55">
        <v>1.5529999999999999E-3</v>
      </c>
      <c r="AM55">
        <v>1.6000000000000001E-3</v>
      </c>
      <c r="AN55">
        <v>1.6479999999999999E-3</v>
      </c>
      <c r="AO55">
        <v>1.6999999999999999E-3</v>
      </c>
      <c r="AP55" s="7">
        <v>5.0000000000000001E-3</v>
      </c>
    </row>
    <row r="56" spans="1:42" s="98" customFormat="1" x14ac:dyDescent="0.25">
      <c r="A56" s="98" t="s">
        <v>2</v>
      </c>
      <c r="B56" s="98" t="s">
        <v>161</v>
      </c>
      <c r="C56" s="98" t="s">
        <v>385</v>
      </c>
      <c r="D56" s="98" t="s">
        <v>42</v>
      </c>
      <c r="E56" s="98">
        <v>2.4129999999999998</v>
      </c>
      <c r="F56" s="98">
        <v>2.4449999999999998</v>
      </c>
      <c r="G56" s="98">
        <v>2.3620000000000001</v>
      </c>
      <c r="H56" s="98">
        <v>2.372144</v>
      </c>
      <c r="I56" s="98">
        <v>2.3702369999999999</v>
      </c>
      <c r="J56" s="98">
        <v>2.3698419999999998</v>
      </c>
      <c r="K56" s="98">
        <v>2.1221860000000001</v>
      </c>
      <c r="L56" s="98">
        <v>2.2201399999999998</v>
      </c>
      <c r="M56" s="98">
        <v>2.2223329999999999</v>
      </c>
      <c r="N56" s="98">
        <v>2.2151689999999999</v>
      </c>
      <c r="O56" s="98">
        <v>2.2039610000000001</v>
      </c>
      <c r="P56" s="98">
        <v>2.190356</v>
      </c>
      <c r="Q56" s="98">
        <v>2.1743139999999999</v>
      </c>
      <c r="R56" s="98">
        <v>2.1581920000000001</v>
      </c>
      <c r="S56" s="98">
        <v>2.1429840000000002</v>
      </c>
      <c r="T56" s="98">
        <v>2.1265360000000002</v>
      </c>
      <c r="U56" s="98">
        <v>2.1111219999999999</v>
      </c>
      <c r="V56" s="98">
        <v>2.0958039999999998</v>
      </c>
      <c r="W56" s="98">
        <v>2.0809120000000001</v>
      </c>
      <c r="X56" s="98">
        <v>2.0690620000000002</v>
      </c>
      <c r="Y56" s="98">
        <v>2.0591010000000001</v>
      </c>
      <c r="Z56" s="98">
        <v>2.050014</v>
      </c>
      <c r="AA56" s="98">
        <v>2.0411640000000002</v>
      </c>
      <c r="AB56" s="98">
        <v>2.0329540000000001</v>
      </c>
      <c r="AC56" s="98">
        <v>2.025741</v>
      </c>
      <c r="AD56" s="98">
        <v>2.0201699999999998</v>
      </c>
      <c r="AE56" s="98">
        <v>2.0153219999999998</v>
      </c>
      <c r="AF56" s="98">
        <v>2.0113729999999999</v>
      </c>
      <c r="AG56" s="98">
        <v>2.0091649999999999</v>
      </c>
      <c r="AH56" s="98">
        <v>2.0083730000000002</v>
      </c>
      <c r="AI56" s="98">
        <v>2.0082429999999998</v>
      </c>
      <c r="AJ56" s="98">
        <v>2.008003</v>
      </c>
      <c r="AK56" s="98">
        <v>2.0081310000000001</v>
      </c>
      <c r="AL56" s="98">
        <v>2.0084300000000002</v>
      </c>
      <c r="AM56" s="98">
        <v>2.0094029999999998</v>
      </c>
      <c r="AN56" s="98">
        <v>2.011415</v>
      </c>
      <c r="AO56" s="98">
        <v>2.0136859999999999</v>
      </c>
      <c r="AP56" s="101">
        <v>-1.7000000000000001E-2</v>
      </c>
    </row>
    <row r="57" spans="1:42" x14ac:dyDescent="0.25">
      <c r="A57" t="s">
        <v>96</v>
      </c>
      <c r="B57" t="s">
        <v>160</v>
      </c>
      <c r="C57" t="s">
        <v>384</v>
      </c>
      <c r="D57" t="s">
        <v>42</v>
      </c>
      <c r="H57">
        <v>1.3619999999999999E-3</v>
      </c>
      <c r="I57">
        <v>8.8000000000000005E-3</v>
      </c>
      <c r="J57">
        <v>2.7130000000000001E-3</v>
      </c>
      <c r="K57">
        <v>2.3990000000000001E-3</v>
      </c>
      <c r="L57">
        <v>2.4919999999999999E-3</v>
      </c>
      <c r="M57">
        <v>2.7569999999999999E-3</v>
      </c>
      <c r="N57">
        <v>2.7699999999999999E-3</v>
      </c>
      <c r="O57">
        <v>2.7820000000000002E-3</v>
      </c>
      <c r="P57">
        <v>2.7789999999999998E-3</v>
      </c>
      <c r="Q57">
        <v>2.7720000000000002E-3</v>
      </c>
      <c r="R57">
        <v>2.7699999999999999E-3</v>
      </c>
      <c r="S57">
        <v>2.7529999999999998E-3</v>
      </c>
      <c r="T57">
        <v>2.745E-3</v>
      </c>
      <c r="U57">
        <v>2.7369999999999998E-3</v>
      </c>
      <c r="V57">
        <v>2.7360000000000002E-3</v>
      </c>
      <c r="W57">
        <v>2.7330000000000002E-3</v>
      </c>
      <c r="X57">
        <v>2.7360000000000002E-3</v>
      </c>
      <c r="Y57">
        <v>2.7430000000000002E-3</v>
      </c>
      <c r="Z57">
        <v>2.7529999999999998E-3</v>
      </c>
      <c r="AA57">
        <v>2.7680000000000001E-3</v>
      </c>
      <c r="AB57">
        <v>2.7829999999999999E-3</v>
      </c>
      <c r="AC57">
        <v>2.7920000000000002E-3</v>
      </c>
      <c r="AD57">
        <v>2.8189999999999999E-3</v>
      </c>
      <c r="AE57">
        <v>2.8419999999999999E-3</v>
      </c>
      <c r="AF57">
        <v>2.8760000000000001E-3</v>
      </c>
      <c r="AG57">
        <v>2.9169999999999999E-3</v>
      </c>
      <c r="AH57">
        <v>2.9589999999999998E-3</v>
      </c>
      <c r="AI57">
        <v>3.0100000000000001E-3</v>
      </c>
      <c r="AJ57">
        <v>3.0660000000000001E-3</v>
      </c>
      <c r="AK57">
        <v>3.1099999999999999E-3</v>
      </c>
      <c r="AL57">
        <v>3.1670000000000001E-3</v>
      </c>
      <c r="AM57">
        <v>3.2269999999999998E-3</v>
      </c>
      <c r="AN57">
        <v>3.2919999999999998E-3</v>
      </c>
      <c r="AO57">
        <v>3.3609999999999998E-3</v>
      </c>
      <c r="AP57" s="7">
        <v>3.9E-2</v>
      </c>
    </row>
    <row r="58" spans="1:42" x14ac:dyDescent="0.25">
      <c r="A58" t="s">
        <v>94</v>
      </c>
      <c r="B58" t="s">
        <v>159</v>
      </c>
      <c r="C58" t="s">
        <v>383</v>
      </c>
      <c r="D58" t="s">
        <v>42</v>
      </c>
      <c r="H58">
        <v>0.86832500000000001</v>
      </c>
      <c r="I58">
        <v>0.87951000000000001</v>
      </c>
      <c r="J58">
        <v>0.88004499999999997</v>
      </c>
      <c r="K58">
        <v>0.65227999999999997</v>
      </c>
      <c r="L58">
        <v>0.85352300000000003</v>
      </c>
      <c r="M58">
        <v>0.94130899999999995</v>
      </c>
      <c r="N58">
        <v>0.978545</v>
      </c>
      <c r="O58">
        <v>0.99780999999999997</v>
      </c>
      <c r="P58">
        <v>1.0150939999999999</v>
      </c>
      <c r="Q58">
        <v>1.0204869999999999</v>
      </c>
      <c r="R58">
        <v>1.025347</v>
      </c>
      <c r="S58">
        <v>1.033927</v>
      </c>
      <c r="T58">
        <v>1.0402229999999999</v>
      </c>
      <c r="U58">
        <v>1.049242</v>
      </c>
      <c r="V58">
        <v>1.0606249999999999</v>
      </c>
      <c r="W58">
        <v>1.074692</v>
      </c>
      <c r="X58">
        <v>1.0894239999999999</v>
      </c>
      <c r="Y58">
        <v>1.104171</v>
      </c>
      <c r="Z58">
        <v>1.11879</v>
      </c>
      <c r="AA58">
        <v>1.1302479999999999</v>
      </c>
      <c r="AB58">
        <v>1.1403589999999999</v>
      </c>
      <c r="AC58">
        <v>1.151783</v>
      </c>
      <c r="AD58">
        <v>1.163727</v>
      </c>
      <c r="AE58">
        <v>1.1780569999999999</v>
      </c>
      <c r="AF58">
        <v>1.192086</v>
      </c>
      <c r="AG58">
        <v>1.207708</v>
      </c>
      <c r="AH58">
        <v>1.2236990000000001</v>
      </c>
      <c r="AI58">
        <v>1.2405079999999999</v>
      </c>
      <c r="AJ58">
        <v>1.2563899999999999</v>
      </c>
      <c r="AK58">
        <v>1.271641</v>
      </c>
      <c r="AL58">
        <v>1.285237</v>
      </c>
      <c r="AM58">
        <v>1.29756</v>
      </c>
      <c r="AN58">
        <v>1.3088919999999999</v>
      </c>
      <c r="AO58">
        <v>1.3203370000000001</v>
      </c>
      <c r="AP58" s="7">
        <v>0.01</v>
      </c>
    </row>
    <row r="59" spans="1:42" s="98" customFormat="1" x14ac:dyDescent="0.25">
      <c r="A59" s="98" t="s">
        <v>91</v>
      </c>
      <c r="B59" s="98" t="s">
        <v>158</v>
      </c>
      <c r="C59" s="98" t="s">
        <v>382</v>
      </c>
      <c r="D59" s="98" t="s">
        <v>42</v>
      </c>
      <c r="E59" s="98">
        <v>0.755</v>
      </c>
      <c r="F59" s="98">
        <v>0.76200000000000001</v>
      </c>
      <c r="G59" s="98">
        <v>0.748</v>
      </c>
      <c r="H59" s="98">
        <v>0.76253400000000005</v>
      </c>
      <c r="I59" s="98">
        <v>0.77178500000000005</v>
      </c>
      <c r="J59" s="98">
        <v>0.80837499999999995</v>
      </c>
      <c r="K59" s="98">
        <v>0.70316699999999999</v>
      </c>
      <c r="L59" s="98">
        <v>0.74469399999999997</v>
      </c>
      <c r="M59" s="98">
        <v>0.75862200000000002</v>
      </c>
      <c r="N59" s="98">
        <v>0.76591600000000004</v>
      </c>
      <c r="O59" s="98">
        <v>0.77183500000000005</v>
      </c>
      <c r="P59" s="98">
        <v>0.78687799999999997</v>
      </c>
      <c r="Q59" s="98">
        <v>0.78606699999999996</v>
      </c>
      <c r="R59" s="98">
        <v>0.78701600000000005</v>
      </c>
      <c r="S59" s="98">
        <v>0.78322400000000003</v>
      </c>
      <c r="T59" s="98">
        <v>0.77860600000000002</v>
      </c>
      <c r="U59" s="98">
        <v>0.77089099999999999</v>
      </c>
      <c r="V59" s="98">
        <v>0.77170700000000003</v>
      </c>
      <c r="W59" s="98">
        <v>0.76829499999999995</v>
      </c>
      <c r="X59" s="98">
        <v>0.765706</v>
      </c>
      <c r="Y59" s="98">
        <v>0.76400599999999996</v>
      </c>
      <c r="Z59" s="98">
        <v>0.76319400000000004</v>
      </c>
      <c r="AA59" s="98">
        <v>0.76264900000000002</v>
      </c>
      <c r="AB59" s="98">
        <v>0.76202599999999998</v>
      </c>
      <c r="AC59" s="98">
        <v>0.76229400000000003</v>
      </c>
      <c r="AD59" s="98">
        <v>0.76352900000000001</v>
      </c>
      <c r="AE59" s="98">
        <v>0.76227500000000004</v>
      </c>
      <c r="AF59" s="98">
        <v>0.76212999999999997</v>
      </c>
      <c r="AG59" s="98">
        <v>0.76721499999999998</v>
      </c>
      <c r="AH59" s="98">
        <v>0.77077499999999999</v>
      </c>
      <c r="AI59" s="98">
        <v>0.77568700000000002</v>
      </c>
      <c r="AJ59" s="98">
        <v>0.77873800000000004</v>
      </c>
      <c r="AK59" s="98">
        <v>0.78328799999999998</v>
      </c>
      <c r="AL59" s="98">
        <v>0.78696500000000003</v>
      </c>
      <c r="AM59" s="98">
        <v>0.79063499999999998</v>
      </c>
      <c r="AN59" s="98">
        <v>0.79430100000000003</v>
      </c>
      <c r="AO59" s="98">
        <v>0.79805000000000004</v>
      </c>
      <c r="AP59" s="101">
        <v>3.0000000000000001E-3</v>
      </c>
    </row>
    <row r="60" spans="1:42" s="98" customFormat="1" x14ac:dyDescent="0.25">
      <c r="A60" s="98" t="s">
        <v>89</v>
      </c>
      <c r="B60" s="98" t="s">
        <v>157</v>
      </c>
      <c r="C60" s="98" t="s">
        <v>381</v>
      </c>
      <c r="D60" s="98" t="s">
        <v>42</v>
      </c>
      <c r="E60" s="98">
        <v>0.158</v>
      </c>
      <c r="F60" s="98">
        <v>0.13300000000000001</v>
      </c>
      <c r="G60" s="98">
        <v>0.26600000000000001</v>
      </c>
      <c r="H60" s="98">
        <v>0.29300700000000002</v>
      </c>
      <c r="I60" s="98">
        <v>0.27204600000000001</v>
      </c>
      <c r="J60" s="98">
        <v>0.21701000000000001</v>
      </c>
      <c r="K60" s="98">
        <v>0.17138700000000001</v>
      </c>
      <c r="L60" s="98">
        <v>0.196412</v>
      </c>
      <c r="M60" s="98">
        <v>0.28823900000000002</v>
      </c>
      <c r="N60" s="98">
        <v>0.28506199999999998</v>
      </c>
      <c r="O60" s="98">
        <v>0.27811599999999997</v>
      </c>
      <c r="P60" s="98">
        <v>0.242314</v>
      </c>
      <c r="Q60" s="98">
        <v>0.24196400000000001</v>
      </c>
      <c r="R60" s="98">
        <v>0.22875499999999999</v>
      </c>
      <c r="S60" s="98">
        <v>0.22600400000000001</v>
      </c>
      <c r="T60" s="98">
        <v>0.22333500000000001</v>
      </c>
      <c r="U60" s="98">
        <v>0.24086099999999999</v>
      </c>
      <c r="V60" s="98">
        <v>0.22450100000000001</v>
      </c>
      <c r="W60" s="98">
        <v>0.22318299999999999</v>
      </c>
      <c r="X60" s="98">
        <v>0.221501</v>
      </c>
      <c r="Y60" s="98">
        <v>0.219946</v>
      </c>
      <c r="Z60" s="98">
        <v>0.218251</v>
      </c>
      <c r="AA60" s="98">
        <v>0.216895</v>
      </c>
      <c r="AB60" s="98">
        <v>0.21793199999999999</v>
      </c>
      <c r="AC60" s="98">
        <v>0.21479400000000001</v>
      </c>
      <c r="AD60" s="98">
        <v>0.214472</v>
      </c>
      <c r="AE60" s="98">
        <v>0.20472499999999999</v>
      </c>
      <c r="AF60" s="98">
        <v>0.21118999999999999</v>
      </c>
      <c r="AG60" s="98">
        <v>0.199819</v>
      </c>
      <c r="AH60" s="98">
        <v>0.19917099999999999</v>
      </c>
      <c r="AI60" s="98">
        <v>0.192109</v>
      </c>
      <c r="AJ60" s="98">
        <v>0.196182</v>
      </c>
      <c r="AK60" s="98">
        <v>0.19025300000000001</v>
      </c>
      <c r="AL60" s="98">
        <v>0.18673600000000001</v>
      </c>
      <c r="AM60" s="98">
        <v>0.185559</v>
      </c>
      <c r="AN60" s="98">
        <v>0.184976</v>
      </c>
      <c r="AO60" s="98">
        <v>0.183451</v>
      </c>
      <c r="AP60" s="101">
        <v>-8.9999999999999993E-3</v>
      </c>
    </row>
    <row r="61" spans="1:42" x14ac:dyDescent="0.25">
      <c r="A61" t="s">
        <v>85</v>
      </c>
      <c r="B61" t="s">
        <v>156</v>
      </c>
      <c r="C61" t="s">
        <v>380</v>
      </c>
      <c r="D61" t="s">
        <v>42</v>
      </c>
      <c r="H61">
        <v>2.5968000000000001E-2</v>
      </c>
      <c r="I61">
        <v>2.5838E-2</v>
      </c>
      <c r="J61">
        <v>2.5433000000000001E-2</v>
      </c>
      <c r="K61">
        <v>2.3924999999999998E-2</v>
      </c>
      <c r="L61">
        <v>2.4240000000000001E-2</v>
      </c>
      <c r="M61">
        <v>2.4442999999999999E-2</v>
      </c>
      <c r="N61">
        <v>2.4584999999999999E-2</v>
      </c>
      <c r="O61">
        <v>2.4681999999999999E-2</v>
      </c>
      <c r="P61">
        <v>2.4726999999999999E-2</v>
      </c>
      <c r="Q61">
        <v>2.4749E-2</v>
      </c>
      <c r="R61">
        <v>2.4705000000000001E-2</v>
      </c>
      <c r="S61">
        <v>2.4670000000000001E-2</v>
      </c>
      <c r="T61">
        <v>2.4642000000000001E-2</v>
      </c>
      <c r="U61">
        <v>2.4622000000000002E-2</v>
      </c>
      <c r="V61">
        <v>2.4601999999999999E-2</v>
      </c>
      <c r="W61">
        <v>2.4582E-2</v>
      </c>
      <c r="X61">
        <v>2.4570000000000002E-2</v>
      </c>
      <c r="Y61">
        <v>2.4569000000000001E-2</v>
      </c>
      <c r="Z61">
        <v>2.4563999999999999E-2</v>
      </c>
      <c r="AA61">
        <v>2.4552000000000001E-2</v>
      </c>
      <c r="AB61">
        <v>2.4545000000000001E-2</v>
      </c>
      <c r="AC61">
        <v>2.4538000000000001E-2</v>
      </c>
      <c r="AD61">
        <v>2.4532000000000002E-2</v>
      </c>
      <c r="AE61">
        <v>2.4534E-2</v>
      </c>
      <c r="AF61">
        <v>2.4539999999999999E-2</v>
      </c>
      <c r="AG61">
        <v>2.4551E-2</v>
      </c>
      <c r="AH61">
        <v>2.4551E-2</v>
      </c>
      <c r="AI61">
        <v>2.4558E-2</v>
      </c>
      <c r="AJ61">
        <v>2.4580999999999999E-2</v>
      </c>
      <c r="AK61">
        <v>2.4604999999999998E-2</v>
      </c>
      <c r="AL61">
        <v>2.4618999999999999E-2</v>
      </c>
      <c r="AM61">
        <v>2.4622000000000002E-2</v>
      </c>
      <c r="AN61">
        <v>2.4617E-2</v>
      </c>
      <c r="AO61">
        <v>2.4607E-2</v>
      </c>
      <c r="AP61" s="7">
        <v>-1E-3</v>
      </c>
    </row>
    <row r="62" spans="1:42" x14ac:dyDescent="0.25">
      <c r="A62" t="s">
        <v>83</v>
      </c>
      <c r="B62" t="s">
        <v>155</v>
      </c>
      <c r="C62" t="s">
        <v>379</v>
      </c>
      <c r="D62" t="s">
        <v>42</v>
      </c>
      <c r="H62">
        <v>4.3237500000000004</v>
      </c>
      <c r="I62">
        <v>4.3213249999999999</v>
      </c>
      <c r="J62">
        <v>4.302575</v>
      </c>
      <c r="K62">
        <v>3.6739310000000001</v>
      </c>
      <c r="L62">
        <v>4.0400609999999997</v>
      </c>
      <c r="M62">
        <v>4.2360100000000003</v>
      </c>
      <c r="N62">
        <v>4.2703749999999996</v>
      </c>
      <c r="O62">
        <v>4.2775119999999998</v>
      </c>
      <c r="P62">
        <v>4.2604920000000002</v>
      </c>
      <c r="Q62">
        <v>4.2487050000000002</v>
      </c>
      <c r="R62">
        <v>4.2251380000000003</v>
      </c>
      <c r="S62">
        <v>4.2119299999999997</v>
      </c>
      <c r="T62">
        <v>4.1944610000000004</v>
      </c>
      <c r="U62">
        <v>4.1978679999999997</v>
      </c>
      <c r="V62">
        <v>4.1783700000000001</v>
      </c>
      <c r="W62">
        <v>4.1727999999999996</v>
      </c>
      <c r="X62">
        <v>4.1714019999999996</v>
      </c>
      <c r="Y62">
        <v>4.1729459999999996</v>
      </c>
      <c r="Z62">
        <v>4.1759820000000003</v>
      </c>
      <c r="AA62">
        <v>4.1766969999999999</v>
      </c>
      <c r="AB62">
        <v>4.1790250000000002</v>
      </c>
      <c r="AC62">
        <v>4.1803860000000004</v>
      </c>
      <c r="AD62">
        <v>4.1876899999999999</v>
      </c>
      <c r="AE62">
        <v>4.1862009999999996</v>
      </c>
      <c r="AF62">
        <v>4.2026370000000002</v>
      </c>
      <c r="AG62">
        <v>4.2098089999999999</v>
      </c>
      <c r="AH62">
        <v>4.2279580000000001</v>
      </c>
      <c r="AI62">
        <v>4.2425319999999997</v>
      </c>
      <c r="AJ62">
        <v>4.2653590000000001</v>
      </c>
      <c r="AK62">
        <v>4.2794280000000002</v>
      </c>
      <c r="AL62">
        <v>4.2935400000000001</v>
      </c>
      <c r="AM62">
        <v>4.30938</v>
      </c>
      <c r="AN62">
        <v>4.3258489999999998</v>
      </c>
      <c r="AO62">
        <v>4.341831</v>
      </c>
      <c r="AP62" s="7">
        <v>-5.0000000000000001E-3</v>
      </c>
    </row>
    <row r="63" spans="1:42" x14ac:dyDescent="0.25">
      <c r="A63" t="s">
        <v>74</v>
      </c>
      <c r="B63" t="s">
        <v>154</v>
      </c>
      <c r="C63" t="s">
        <v>378</v>
      </c>
      <c r="D63" t="s">
        <v>42</v>
      </c>
      <c r="H63">
        <v>4.1980999999999997E-2</v>
      </c>
      <c r="I63">
        <v>4.3070999999999998E-2</v>
      </c>
      <c r="J63">
        <v>4.4200999999999997E-2</v>
      </c>
      <c r="K63">
        <v>4.6810999999999998E-2</v>
      </c>
      <c r="L63">
        <v>4.8954999999999999E-2</v>
      </c>
      <c r="M63">
        <v>4.4031000000000001E-2</v>
      </c>
      <c r="N63">
        <v>4.3520999999999997E-2</v>
      </c>
      <c r="O63">
        <v>4.3104999999999997E-2</v>
      </c>
      <c r="P63">
        <v>4.3598999999999999E-2</v>
      </c>
      <c r="Q63">
        <v>4.3313999999999998E-2</v>
      </c>
      <c r="R63">
        <v>4.3691000000000001E-2</v>
      </c>
      <c r="S63">
        <v>4.3815E-2</v>
      </c>
      <c r="T63">
        <v>4.3756000000000003E-2</v>
      </c>
      <c r="U63">
        <v>4.1973000000000003E-2</v>
      </c>
      <c r="V63">
        <v>4.1793999999999998E-2</v>
      </c>
      <c r="W63">
        <v>4.1924000000000003E-2</v>
      </c>
      <c r="X63">
        <v>4.1902000000000002E-2</v>
      </c>
      <c r="Y63">
        <v>4.2186000000000001E-2</v>
      </c>
      <c r="Z63">
        <v>4.2581000000000001E-2</v>
      </c>
      <c r="AA63">
        <v>4.2941E-2</v>
      </c>
      <c r="AB63">
        <v>4.3237999999999999E-2</v>
      </c>
      <c r="AC63">
        <v>4.3951999999999998E-2</v>
      </c>
      <c r="AD63">
        <v>4.4245E-2</v>
      </c>
      <c r="AE63">
        <v>4.5284999999999999E-2</v>
      </c>
      <c r="AF63">
        <v>4.5711000000000002E-2</v>
      </c>
      <c r="AG63">
        <v>4.6439000000000001E-2</v>
      </c>
      <c r="AH63">
        <v>4.6989999999999997E-2</v>
      </c>
      <c r="AI63">
        <v>4.7486E-2</v>
      </c>
      <c r="AJ63">
        <v>4.7918000000000002E-2</v>
      </c>
      <c r="AK63">
        <v>4.8446999999999997E-2</v>
      </c>
      <c r="AL63">
        <v>4.9093999999999999E-2</v>
      </c>
      <c r="AM63">
        <v>4.9494000000000003E-2</v>
      </c>
      <c r="AN63">
        <v>4.9980999999999998E-2</v>
      </c>
      <c r="AO63">
        <v>5.0566E-2</v>
      </c>
      <c r="AP63" s="7">
        <v>5.0000000000000001E-3</v>
      </c>
    </row>
    <row r="64" spans="1:42" s="98" customFormat="1" x14ac:dyDescent="0.25">
      <c r="A64" s="98" t="s">
        <v>153</v>
      </c>
      <c r="B64" s="98" t="s">
        <v>152</v>
      </c>
      <c r="C64" s="98" t="s">
        <v>377</v>
      </c>
      <c r="D64" s="98" t="s">
        <v>42</v>
      </c>
      <c r="E64" s="98">
        <v>8.9999999999999993E-3</v>
      </c>
      <c r="F64" s="98">
        <v>0.01</v>
      </c>
      <c r="G64" s="98">
        <v>1.7999999999999999E-2</v>
      </c>
      <c r="H64" s="98">
        <v>1.8214999999999999E-2</v>
      </c>
      <c r="I64" s="98">
        <v>2.1329999999999998E-2</v>
      </c>
      <c r="J64" s="98">
        <v>2.5381999999999998E-2</v>
      </c>
      <c r="K64" s="98">
        <v>2.0253E-2</v>
      </c>
      <c r="L64" s="98">
        <v>3.0088E-2</v>
      </c>
      <c r="M64" s="98">
        <v>2.3657999999999998E-2</v>
      </c>
      <c r="N64" s="98">
        <v>2.7026999999999999E-2</v>
      </c>
      <c r="O64" s="98">
        <v>2.9878999999999999E-2</v>
      </c>
      <c r="P64" s="98">
        <v>3.4838000000000001E-2</v>
      </c>
      <c r="Q64" s="98">
        <v>3.6505999999999997E-2</v>
      </c>
      <c r="R64" s="98">
        <v>3.8862000000000001E-2</v>
      </c>
      <c r="S64" s="98">
        <v>4.0819000000000001E-2</v>
      </c>
      <c r="T64" s="98">
        <v>4.2105999999999998E-2</v>
      </c>
      <c r="U64" s="98">
        <v>4.0245999999999997E-2</v>
      </c>
      <c r="V64" s="98">
        <v>4.3649E-2</v>
      </c>
      <c r="W64" s="98">
        <v>4.5490000000000003E-2</v>
      </c>
      <c r="X64" s="98">
        <v>4.6891000000000002E-2</v>
      </c>
      <c r="Y64" s="98">
        <v>4.8531999999999999E-2</v>
      </c>
      <c r="Z64" s="98">
        <v>5.0325000000000002E-2</v>
      </c>
      <c r="AA64" s="98">
        <v>5.1803000000000002E-2</v>
      </c>
      <c r="AB64" s="98">
        <v>5.3241999999999998E-2</v>
      </c>
      <c r="AC64" s="98">
        <v>5.5992E-2</v>
      </c>
      <c r="AD64" s="98">
        <v>5.7363999999999998E-2</v>
      </c>
      <c r="AE64" s="98">
        <v>6.3365000000000005E-2</v>
      </c>
      <c r="AF64" s="98">
        <v>6.5060000000000007E-2</v>
      </c>
      <c r="AG64" s="98">
        <v>6.9369E-2</v>
      </c>
      <c r="AH64" s="98">
        <v>7.2121000000000005E-2</v>
      </c>
      <c r="AI64" s="98">
        <v>7.5287999999999994E-2</v>
      </c>
      <c r="AJ64" s="98">
        <v>7.6476000000000002E-2</v>
      </c>
      <c r="AK64" s="98">
        <v>8.0571000000000004E-2</v>
      </c>
      <c r="AL64" s="98">
        <v>8.3565E-2</v>
      </c>
      <c r="AM64" s="98">
        <v>8.5269999999999999E-2</v>
      </c>
      <c r="AN64" s="98">
        <v>8.7220000000000006E-2</v>
      </c>
      <c r="AO64" s="98">
        <v>8.9308999999999999E-2</v>
      </c>
      <c r="AP64" s="101">
        <v>4.8000000000000001E-2</v>
      </c>
    </row>
    <row r="65" spans="1:42" x14ac:dyDescent="0.25">
      <c r="A65" t="s">
        <v>19</v>
      </c>
      <c r="B65" t="s">
        <v>151</v>
      </c>
      <c r="C65" t="s">
        <v>376</v>
      </c>
      <c r="D65" t="s">
        <v>42</v>
      </c>
      <c r="H65">
        <v>9.2999999999999997E-5</v>
      </c>
      <c r="I65">
        <v>1.92E-4</v>
      </c>
      <c r="J65">
        <v>9.8999999999999994E-5</v>
      </c>
      <c r="K65">
        <v>2.2100000000000001E-4</v>
      </c>
      <c r="L65">
        <v>2.3800000000000001E-4</v>
      </c>
      <c r="M65">
        <v>2.4499999999999999E-4</v>
      </c>
      <c r="N65">
        <v>2.5099999999999998E-4</v>
      </c>
      <c r="O65">
        <v>2.5599999999999999E-4</v>
      </c>
      <c r="P65">
        <v>2.61E-4</v>
      </c>
      <c r="Q65">
        <v>2.6400000000000002E-4</v>
      </c>
      <c r="R65">
        <v>2.6800000000000001E-4</v>
      </c>
      <c r="S65">
        <v>2.7E-4</v>
      </c>
      <c r="T65">
        <v>2.72E-4</v>
      </c>
      <c r="U65">
        <v>2.7399999999999999E-4</v>
      </c>
      <c r="V65">
        <v>2.7500000000000002E-4</v>
      </c>
      <c r="W65">
        <v>2.7500000000000002E-4</v>
      </c>
      <c r="X65">
        <v>2.7399999999999999E-4</v>
      </c>
      <c r="Y65">
        <v>2.7399999999999999E-4</v>
      </c>
      <c r="Z65">
        <v>2.7700000000000001E-4</v>
      </c>
      <c r="AA65">
        <v>2.8200000000000002E-4</v>
      </c>
      <c r="AB65">
        <v>2.8899999999999998E-4</v>
      </c>
      <c r="AC65">
        <v>2.99E-4</v>
      </c>
      <c r="AD65">
        <v>3.0899999999999998E-4</v>
      </c>
      <c r="AE65">
        <v>3.2299999999999999E-4</v>
      </c>
      <c r="AF65">
        <v>3.3799999999999998E-4</v>
      </c>
      <c r="AG65">
        <v>3.5500000000000001E-4</v>
      </c>
      <c r="AH65">
        <v>3.7800000000000003E-4</v>
      </c>
      <c r="AI65">
        <v>3.97E-4</v>
      </c>
      <c r="AJ65">
        <v>4.17E-4</v>
      </c>
      <c r="AK65">
        <v>4.37E-4</v>
      </c>
      <c r="AL65">
        <v>4.5800000000000002E-4</v>
      </c>
      <c r="AM65">
        <v>4.8099999999999998E-4</v>
      </c>
      <c r="AN65">
        <v>5.0500000000000002E-4</v>
      </c>
      <c r="AO65">
        <v>5.2999999999999998E-4</v>
      </c>
      <c r="AP65" s="7">
        <v>0.11</v>
      </c>
    </row>
    <row r="66" spans="1:42" s="98" customFormat="1" x14ac:dyDescent="0.25">
      <c r="A66" s="98" t="s">
        <v>8</v>
      </c>
      <c r="B66" s="98" t="s">
        <v>150</v>
      </c>
      <c r="C66" s="98" t="s">
        <v>375</v>
      </c>
      <c r="D66" s="98" t="s">
        <v>42</v>
      </c>
      <c r="E66" s="98">
        <v>3.0000000000000001E-3</v>
      </c>
      <c r="F66" s="98">
        <v>4.0000000000000001E-3</v>
      </c>
      <c r="G66" s="98">
        <v>5.0000000000000001E-3</v>
      </c>
      <c r="H66" s="98">
        <v>8.6390000000000008E-3</v>
      </c>
      <c r="I66" s="98">
        <v>9.9109999999999997E-3</v>
      </c>
      <c r="J66" s="98">
        <v>1.0625000000000001E-2</v>
      </c>
      <c r="K66" s="98">
        <v>9.9310000000000006E-3</v>
      </c>
      <c r="L66" s="98">
        <v>1.1320999999999999E-2</v>
      </c>
      <c r="M66" s="98">
        <v>1.2248999999999999E-2</v>
      </c>
      <c r="N66" s="98">
        <v>1.3098E-2</v>
      </c>
      <c r="O66" s="98">
        <v>1.3898000000000001E-2</v>
      </c>
      <c r="P66" s="98">
        <v>1.4657E-2</v>
      </c>
      <c r="Q66" s="98">
        <v>1.5561999999999999E-2</v>
      </c>
      <c r="R66" s="98">
        <v>1.6490999999999999E-2</v>
      </c>
      <c r="S66" s="98">
        <v>1.7392000000000001E-2</v>
      </c>
      <c r="T66" s="98">
        <v>1.8339999999999999E-2</v>
      </c>
      <c r="U66" s="98">
        <v>1.9494999999999998E-2</v>
      </c>
      <c r="V66" s="98">
        <v>2.0820000000000002E-2</v>
      </c>
      <c r="W66" s="98">
        <v>2.2335000000000001E-2</v>
      </c>
      <c r="X66" s="98">
        <v>2.4056999999999999E-2</v>
      </c>
      <c r="Y66" s="98">
        <v>2.5994E-2</v>
      </c>
      <c r="Z66" s="98">
        <v>2.8149E-2</v>
      </c>
      <c r="AA66" s="98">
        <v>3.0516999999999999E-2</v>
      </c>
      <c r="AB66" s="98">
        <v>3.3096E-2</v>
      </c>
      <c r="AC66" s="98">
        <v>3.5911999999999999E-2</v>
      </c>
      <c r="AD66" s="98">
        <v>3.8920999999999997E-2</v>
      </c>
      <c r="AE66" s="98">
        <v>4.2169999999999999E-2</v>
      </c>
      <c r="AF66" s="98">
        <v>4.5506999999999999E-2</v>
      </c>
      <c r="AG66" s="98">
        <v>4.8989999999999999E-2</v>
      </c>
      <c r="AH66" s="98">
        <v>5.2602000000000003E-2</v>
      </c>
      <c r="AI66" s="98">
        <v>5.6454999999999998E-2</v>
      </c>
      <c r="AJ66" s="98">
        <v>6.0205000000000002E-2</v>
      </c>
      <c r="AK66" s="98">
        <v>6.4102999999999993E-2</v>
      </c>
      <c r="AL66" s="98">
        <v>6.8169999999999994E-2</v>
      </c>
      <c r="AM66" s="98">
        <v>7.2470000000000007E-2</v>
      </c>
      <c r="AN66" s="98">
        <v>7.7160999999999993E-2</v>
      </c>
      <c r="AO66" s="98">
        <v>8.1839999999999996E-2</v>
      </c>
      <c r="AP66" s="101">
        <v>7.2999999999999995E-2</v>
      </c>
    </row>
    <row r="67" spans="1:42" x14ac:dyDescent="0.25">
      <c r="A67" t="s">
        <v>117</v>
      </c>
      <c r="B67" t="s">
        <v>149</v>
      </c>
      <c r="C67" t="s">
        <v>374</v>
      </c>
      <c r="D67" t="s">
        <v>42</v>
      </c>
      <c r="H67">
        <v>4.3926769999999999</v>
      </c>
      <c r="I67">
        <v>4.395829</v>
      </c>
      <c r="J67">
        <v>4.3828820000000004</v>
      </c>
      <c r="K67">
        <v>3.751147</v>
      </c>
      <c r="L67">
        <v>4.1306620000000001</v>
      </c>
      <c r="M67">
        <v>4.3161930000000002</v>
      </c>
      <c r="N67">
        <v>4.3542719999999999</v>
      </c>
      <c r="O67">
        <v>4.3646500000000001</v>
      </c>
      <c r="P67">
        <v>4.353847</v>
      </c>
      <c r="Q67">
        <v>4.3443509999999996</v>
      </c>
      <c r="R67">
        <v>4.3244499999999997</v>
      </c>
      <c r="S67">
        <v>4.3142269999999998</v>
      </c>
      <c r="T67">
        <v>4.2989350000000002</v>
      </c>
      <c r="U67">
        <v>4.2998560000000001</v>
      </c>
      <c r="V67">
        <v>4.2849079999999997</v>
      </c>
      <c r="W67">
        <v>4.2828249999999999</v>
      </c>
      <c r="X67">
        <v>4.2845269999999998</v>
      </c>
      <c r="Y67">
        <v>4.2899320000000003</v>
      </c>
      <c r="Z67">
        <v>4.2973129999999999</v>
      </c>
      <c r="AA67">
        <v>4.3022410000000004</v>
      </c>
      <c r="AB67">
        <v>4.3088889999999997</v>
      </c>
      <c r="AC67">
        <v>4.3165399999999998</v>
      </c>
      <c r="AD67">
        <v>4.3285299999999998</v>
      </c>
      <c r="AE67">
        <v>4.3373439999999999</v>
      </c>
      <c r="AF67">
        <v>4.3592529999999998</v>
      </c>
      <c r="AG67">
        <v>4.374962</v>
      </c>
      <c r="AH67">
        <v>4.4000500000000002</v>
      </c>
      <c r="AI67">
        <v>4.4221589999999997</v>
      </c>
      <c r="AJ67">
        <v>4.4503740000000001</v>
      </c>
      <c r="AK67">
        <v>4.4729869999999998</v>
      </c>
      <c r="AL67">
        <v>4.494828</v>
      </c>
      <c r="AM67">
        <v>4.5170960000000004</v>
      </c>
      <c r="AN67">
        <v>4.5407169999999999</v>
      </c>
      <c r="AO67">
        <v>4.5640749999999999</v>
      </c>
      <c r="AP67" s="7">
        <v>-4.0000000000000001E-3</v>
      </c>
    </row>
    <row r="68" spans="1:42" x14ac:dyDescent="0.25">
      <c r="A68" t="s">
        <v>115</v>
      </c>
      <c r="B68" t="s">
        <v>148</v>
      </c>
      <c r="C68" t="s">
        <v>373</v>
      </c>
      <c r="D68" t="s">
        <v>42</v>
      </c>
      <c r="H68">
        <v>1.3082E-2</v>
      </c>
      <c r="I68">
        <v>1.5386E-2</v>
      </c>
      <c r="J68">
        <v>1.5786999999999999E-2</v>
      </c>
      <c r="K68">
        <v>1.4066E-2</v>
      </c>
      <c r="L68">
        <v>1.5730999999999998E-2</v>
      </c>
      <c r="M68">
        <v>1.796E-2</v>
      </c>
      <c r="N68">
        <v>1.9092000000000001E-2</v>
      </c>
      <c r="O68">
        <v>1.9476E-2</v>
      </c>
      <c r="P68">
        <v>1.9983000000000001E-2</v>
      </c>
      <c r="Q68">
        <v>1.9671999999999999E-2</v>
      </c>
      <c r="R68">
        <v>2.0881E-2</v>
      </c>
      <c r="S68">
        <v>2.2002000000000001E-2</v>
      </c>
      <c r="T68">
        <v>2.341E-2</v>
      </c>
      <c r="U68">
        <v>2.4159E-2</v>
      </c>
      <c r="V68">
        <v>2.4681000000000002E-2</v>
      </c>
      <c r="W68">
        <v>2.5807E-2</v>
      </c>
      <c r="X68">
        <v>2.7661000000000002E-2</v>
      </c>
      <c r="Y68">
        <v>2.9829000000000001E-2</v>
      </c>
      <c r="Z68">
        <v>3.2400999999999999E-2</v>
      </c>
      <c r="AA68">
        <v>3.5024E-2</v>
      </c>
      <c r="AB68">
        <v>3.7527999999999999E-2</v>
      </c>
      <c r="AC68">
        <v>4.0336999999999998E-2</v>
      </c>
      <c r="AD68">
        <v>4.3300999999999999E-2</v>
      </c>
      <c r="AE68">
        <v>4.7107000000000003E-2</v>
      </c>
      <c r="AF68">
        <v>5.0805999999999997E-2</v>
      </c>
      <c r="AG68">
        <v>5.4324999999999998E-2</v>
      </c>
      <c r="AH68">
        <v>5.8194999999999997E-2</v>
      </c>
      <c r="AI68">
        <v>6.3251000000000002E-2</v>
      </c>
      <c r="AJ68">
        <v>6.9597000000000006E-2</v>
      </c>
      <c r="AK68">
        <v>7.5217999999999993E-2</v>
      </c>
      <c r="AL68">
        <v>7.8756999999999994E-2</v>
      </c>
      <c r="AM68">
        <v>8.3104999999999998E-2</v>
      </c>
      <c r="AN68">
        <v>8.8318999999999995E-2</v>
      </c>
      <c r="AO68">
        <v>9.3297000000000005E-2</v>
      </c>
      <c r="AP68" s="7">
        <v>7.0999999999999994E-2</v>
      </c>
    </row>
    <row r="69" spans="1:42" x14ac:dyDescent="0.25">
      <c r="A69" t="s">
        <v>29</v>
      </c>
      <c r="B69" t="s">
        <v>147</v>
      </c>
      <c r="C69" t="s">
        <v>372</v>
      </c>
      <c r="D69" t="s">
        <v>42</v>
      </c>
      <c r="H69">
        <v>4.4057579999999996</v>
      </c>
      <c r="I69">
        <v>4.4112140000000002</v>
      </c>
      <c r="J69">
        <v>4.3986689999999999</v>
      </c>
      <c r="K69">
        <v>3.7652130000000001</v>
      </c>
      <c r="L69">
        <v>4.1463929999999998</v>
      </c>
      <c r="M69">
        <v>4.3341539999999998</v>
      </c>
      <c r="N69">
        <v>4.3733639999999996</v>
      </c>
      <c r="O69">
        <v>4.3841260000000002</v>
      </c>
      <c r="P69">
        <v>4.3738289999999997</v>
      </c>
      <c r="Q69">
        <v>4.3640230000000004</v>
      </c>
      <c r="R69">
        <v>4.3453299999999997</v>
      </c>
      <c r="S69">
        <v>4.3362290000000003</v>
      </c>
      <c r="T69">
        <v>4.3223459999999996</v>
      </c>
      <c r="U69">
        <v>4.3240150000000002</v>
      </c>
      <c r="V69">
        <v>4.3095889999999999</v>
      </c>
      <c r="W69">
        <v>4.3086310000000001</v>
      </c>
      <c r="X69">
        <v>4.3121879999999999</v>
      </c>
      <c r="Y69">
        <v>4.3197609999999997</v>
      </c>
      <c r="Z69">
        <v>4.3297129999999999</v>
      </c>
      <c r="AA69">
        <v>4.3372650000000004</v>
      </c>
      <c r="AB69">
        <v>4.3464169999999998</v>
      </c>
      <c r="AC69">
        <v>4.356878</v>
      </c>
      <c r="AD69">
        <v>4.3718300000000001</v>
      </c>
      <c r="AE69">
        <v>4.3844500000000002</v>
      </c>
      <c r="AF69">
        <v>4.4100590000000004</v>
      </c>
      <c r="AG69">
        <v>4.4292870000000004</v>
      </c>
      <c r="AH69">
        <v>4.4582439999999997</v>
      </c>
      <c r="AI69">
        <v>4.4854099999999999</v>
      </c>
      <c r="AJ69">
        <v>4.519971</v>
      </c>
      <c r="AK69">
        <v>4.5482050000000003</v>
      </c>
      <c r="AL69">
        <v>4.5735849999999996</v>
      </c>
      <c r="AM69">
        <v>4.6002010000000002</v>
      </c>
      <c r="AN69">
        <v>4.6290360000000002</v>
      </c>
      <c r="AO69">
        <v>4.6573719999999996</v>
      </c>
      <c r="AP69" s="7">
        <v>-3.0000000000000001E-3</v>
      </c>
    </row>
    <row r="70" spans="1:42" x14ac:dyDescent="0.25">
      <c r="A70" t="s">
        <v>146</v>
      </c>
      <c r="C70" t="s">
        <v>371</v>
      </c>
    </row>
    <row r="71" spans="1:42" x14ac:dyDescent="0.25">
      <c r="A71" t="s">
        <v>29</v>
      </c>
      <c r="B71" t="s">
        <v>145</v>
      </c>
      <c r="C71" t="s">
        <v>370</v>
      </c>
      <c r="D71" t="s">
        <v>42</v>
      </c>
      <c r="H71">
        <v>0.10760500000000001</v>
      </c>
      <c r="I71">
        <v>0.15043400000000001</v>
      </c>
      <c r="J71">
        <v>0.119398</v>
      </c>
      <c r="K71">
        <v>-5.2999999999999999E-2</v>
      </c>
      <c r="L71">
        <v>-5.6333000000000001E-2</v>
      </c>
      <c r="M71">
        <v>-5.7192E-2</v>
      </c>
      <c r="N71">
        <v>-5.7529999999999998E-2</v>
      </c>
      <c r="O71">
        <v>-5.7716999999999997E-2</v>
      </c>
      <c r="P71">
        <v>-5.8250000000000003E-2</v>
      </c>
      <c r="Q71">
        <v>-5.8067000000000001E-2</v>
      </c>
      <c r="R71">
        <v>-5.7952999999999998E-2</v>
      </c>
      <c r="S71">
        <v>-5.7665000000000001E-2</v>
      </c>
      <c r="T71">
        <v>-5.7321999999999998E-2</v>
      </c>
      <c r="U71">
        <v>-5.6869999999999997E-2</v>
      </c>
      <c r="V71">
        <v>-5.6779999999999997E-2</v>
      </c>
      <c r="W71">
        <v>-5.6526E-2</v>
      </c>
      <c r="X71">
        <v>-5.6341000000000002E-2</v>
      </c>
      <c r="Y71">
        <v>-5.6210999999999997E-2</v>
      </c>
      <c r="Z71">
        <v>-5.6127000000000003E-2</v>
      </c>
      <c r="AA71">
        <v>-5.6047E-2</v>
      </c>
      <c r="AB71">
        <v>-5.5966000000000002E-2</v>
      </c>
      <c r="AC71">
        <v>-5.5936E-2</v>
      </c>
      <c r="AD71">
        <v>-5.5965000000000001E-2</v>
      </c>
      <c r="AE71">
        <v>-5.5905999999999997E-2</v>
      </c>
      <c r="AF71">
        <v>-5.5899999999999998E-2</v>
      </c>
      <c r="AG71">
        <v>-5.6134000000000003E-2</v>
      </c>
      <c r="AH71">
        <v>-5.6321000000000003E-2</v>
      </c>
      <c r="AI71">
        <v>-5.6571999999999997E-2</v>
      </c>
      <c r="AJ71">
        <v>-5.6743000000000002E-2</v>
      </c>
      <c r="AK71">
        <v>-5.6978000000000001E-2</v>
      </c>
      <c r="AL71">
        <v>-5.7173000000000002E-2</v>
      </c>
      <c r="AM71">
        <v>-5.7370999999999998E-2</v>
      </c>
      <c r="AN71">
        <v>-5.7577000000000003E-2</v>
      </c>
      <c r="AO71">
        <v>-5.7789E-2</v>
      </c>
      <c r="AP71" s="7">
        <v>8.9999999999999993E-3</v>
      </c>
    </row>
    <row r="72" spans="1:42" x14ac:dyDescent="0.25">
      <c r="A72" t="s">
        <v>144</v>
      </c>
      <c r="B72" t="s">
        <v>143</v>
      </c>
      <c r="D72" t="s">
        <v>369</v>
      </c>
    </row>
    <row r="73" spans="1:42" x14ac:dyDescent="0.25">
      <c r="A73" t="s">
        <v>99</v>
      </c>
      <c r="B73" t="s">
        <v>142</v>
      </c>
      <c r="C73" t="s">
        <v>368</v>
      </c>
      <c r="D73" t="s">
        <v>42</v>
      </c>
      <c r="H73">
        <v>8.4312999999999999E-2</v>
      </c>
      <c r="I73">
        <v>9.3257999999999994E-2</v>
      </c>
      <c r="J73">
        <v>0.104336</v>
      </c>
      <c r="K73">
        <v>9.8833000000000004E-2</v>
      </c>
      <c r="L73">
        <v>9.4957E-2</v>
      </c>
      <c r="M73">
        <v>8.9389999999999997E-2</v>
      </c>
      <c r="N73">
        <v>8.9347999999999997E-2</v>
      </c>
      <c r="O73">
        <v>8.8530999999999999E-2</v>
      </c>
      <c r="P73">
        <v>8.8077000000000003E-2</v>
      </c>
      <c r="Q73">
        <v>8.8058999999999998E-2</v>
      </c>
      <c r="R73">
        <v>8.8137999999999994E-2</v>
      </c>
      <c r="S73">
        <v>8.8152999999999995E-2</v>
      </c>
      <c r="T73">
        <v>8.8301000000000004E-2</v>
      </c>
      <c r="U73">
        <v>8.8231000000000004E-2</v>
      </c>
      <c r="V73">
        <v>8.8276999999999994E-2</v>
      </c>
      <c r="W73">
        <v>8.8402999999999995E-2</v>
      </c>
      <c r="X73">
        <v>8.8681999999999997E-2</v>
      </c>
      <c r="Y73">
        <v>8.9039999999999994E-2</v>
      </c>
      <c r="Z73">
        <v>8.9427999999999994E-2</v>
      </c>
      <c r="AA73">
        <v>8.9746999999999993E-2</v>
      </c>
      <c r="AB73">
        <v>9.0064000000000005E-2</v>
      </c>
      <c r="AC73">
        <v>9.0409000000000003E-2</v>
      </c>
      <c r="AD73">
        <v>9.0748999999999996E-2</v>
      </c>
      <c r="AE73">
        <v>9.0998999999999997E-2</v>
      </c>
      <c r="AF73">
        <v>9.1375999999999999E-2</v>
      </c>
      <c r="AG73">
        <v>9.1855999999999993E-2</v>
      </c>
      <c r="AH73">
        <v>9.2337000000000002E-2</v>
      </c>
      <c r="AI73">
        <v>9.2845999999999998E-2</v>
      </c>
      <c r="AJ73">
        <v>9.3441999999999997E-2</v>
      </c>
      <c r="AK73">
        <v>9.3954999999999997E-2</v>
      </c>
      <c r="AL73">
        <v>9.4489000000000004E-2</v>
      </c>
      <c r="AM73">
        <v>9.5089000000000007E-2</v>
      </c>
      <c r="AN73">
        <v>9.5801999999999998E-2</v>
      </c>
      <c r="AO73">
        <v>9.6521999999999997E-2</v>
      </c>
      <c r="AP73" s="7">
        <v>-8.0000000000000002E-3</v>
      </c>
    </row>
    <row r="74" spans="1:42" x14ac:dyDescent="0.25">
      <c r="A74" t="s">
        <v>2</v>
      </c>
      <c r="B74" t="s">
        <v>141</v>
      </c>
      <c r="C74" t="s">
        <v>367</v>
      </c>
      <c r="D74" t="s">
        <v>42</v>
      </c>
      <c r="H74">
        <v>2.4627849999999998</v>
      </c>
      <c r="I74">
        <v>2.4661580000000001</v>
      </c>
      <c r="J74">
        <v>2.471797</v>
      </c>
      <c r="K74">
        <v>2.1964589999999999</v>
      </c>
      <c r="L74">
        <v>2.3024969999999998</v>
      </c>
      <c r="M74">
        <v>2.3065039999999999</v>
      </c>
      <c r="N74">
        <v>2.301094</v>
      </c>
      <c r="O74">
        <v>2.2915580000000002</v>
      </c>
      <c r="P74">
        <v>2.2796379999999998</v>
      </c>
      <c r="Q74">
        <v>2.2644799999999998</v>
      </c>
      <c r="R74">
        <v>2.249171</v>
      </c>
      <c r="S74">
        <v>2.2346870000000001</v>
      </c>
      <c r="T74">
        <v>2.2189809999999999</v>
      </c>
      <c r="U74">
        <v>2.204078</v>
      </c>
      <c r="V74">
        <v>2.1896209999999998</v>
      </c>
      <c r="W74">
        <v>2.1754760000000002</v>
      </c>
      <c r="X74">
        <v>2.164444</v>
      </c>
      <c r="Y74">
        <v>2.1553330000000002</v>
      </c>
      <c r="Z74">
        <v>2.147062</v>
      </c>
      <c r="AA74">
        <v>2.13897</v>
      </c>
      <c r="AB74">
        <v>2.1314769999999998</v>
      </c>
      <c r="AC74">
        <v>2.1250040000000001</v>
      </c>
      <c r="AD74">
        <v>2.1201970000000001</v>
      </c>
      <c r="AE74">
        <v>2.1161599999999998</v>
      </c>
      <c r="AF74">
        <v>2.1130719999999998</v>
      </c>
      <c r="AG74">
        <v>2.1116959999999998</v>
      </c>
      <c r="AH74">
        <v>2.1117689999999998</v>
      </c>
      <c r="AI74">
        <v>2.11253</v>
      </c>
      <c r="AJ74">
        <v>2.1131739999999999</v>
      </c>
      <c r="AK74">
        <v>2.114163</v>
      </c>
      <c r="AL74">
        <v>2.115335</v>
      </c>
      <c r="AM74">
        <v>2.1172070000000001</v>
      </c>
      <c r="AN74">
        <v>2.1201490000000001</v>
      </c>
      <c r="AO74">
        <v>2.1233689999999998</v>
      </c>
      <c r="AP74" s="7">
        <v>-1.4999999999999999E-2</v>
      </c>
    </row>
    <row r="75" spans="1:42" x14ac:dyDescent="0.25">
      <c r="A75" t="s">
        <v>96</v>
      </c>
      <c r="B75" t="s">
        <v>140</v>
      </c>
      <c r="C75" t="s">
        <v>366</v>
      </c>
      <c r="D75" t="s">
        <v>42</v>
      </c>
      <c r="H75">
        <v>1.3619999999999999E-3</v>
      </c>
      <c r="I75">
        <v>8.8000000000000005E-3</v>
      </c>
      <c r="J75">
        <v>2.7130000000000001E-3</v>
      </c>
      <c r="K75">
        <v>2.3990000000000001E-3</v>
      </c>
      <c r="L75">
        <v>2.4919999999999999E-3</v>
      </c>
      <c r="M75">
        <v>2.7569999999999999E-3</v>
      </c>
      <c r="N75">
        <v>2.7699999999999999E-3</v>
      </c>
      <c r="O75">
        <v>2.7820000000000002E-3</v>
      </c>
      <c r="P75">
        <v>2.7789999999999998E-3</v>
      </c>
      <c r="Q75">
        <v>2.7720000000000002E-3</v>
      </c>
      <c r="R75">
        <v>2.7699999999999999E-3</v>
      </c>
      <c r="S75">
        <v>2.7529999999999998E-3</v>
      </c>
      <c r="T75">
        <v>2.745E-3</v>
      </c>
      <c r="U75">
        <v>2.7369999999999998E-3</v>
      </c>
      <c r="V75">
        <v>2.7360000000000002E-3</v>
      </c>
      <c r="W75">
        <v>2.7330000000000002E-3</v>
      </c>
      <c r="X75">
        <v>2.7360000000000002E-3</v>
      </c>
      <c r="Y75">
        <v>2.7430000000000002E-3</v>
      </c>
      <c r="Z75">
        <v>2.7529999999999998E-3</v>
      </c>
      <c r="AA75">
        <v>2.7680000000000001E-3</v>
      </c>
      <c r="AB75">
        <v>2.7829999999999999E-3</v>
      </c>
      <c r="AC75">
        <v>2.7920000000000002E-3</v>
      </c>
      <c r="AD75">
        <v>2.8189999999999999E-3</v>
      </c>
      <c r="AE75">
        <v>2.8419999999999999E-3</v>
      </c>
      <c r="AF75">
        <v>2.8760000000000001E-3</v>
      </c>
      <c r="AG75">
        <v>2.9169999999999999E-3</v>
      </c>
      <c r="AH75">
        <v>2.9589999999999998E-3</v>
      </c>
      <c r="AI75">
        <v>3.0100000000000001E-3</v>
      </c>
      <c r="AJ75">
        <v>3.0660000000000001E-3</v>
      </c>
      <c r="AK75">
        <v>3.1099999999999999E-3</v>
      </c>
      <c r="AL75">
        <v>3.1670000000000001E-3</v>
      </c>
      <c r="AM75">
        <v>3.2269999999999998E-3</v>
      </c>
      <c r="AN75">
        <v>3.2919999999999998E-3</v>
      </c>
      <c r="AO75">
        <v>3.3609999999999998E-3</v>
      </c>
      <c r="AP75" s="7">
        <v>3.9E-2</v>
      </c>
    </row>
    <row r="76" spans="1:42" x14ac:dyDescent="0.25">
      <c r="A76" t="s">
        <v>94</v>
      </c>
      <c r="B76" t="s">
        <v>139</v>
      </c>
      <c r="C76" t="s">
        <v>365</v>
      </c>
      <c r="D76" t="s">
        <v>42</v>
      </c>
      <c r="H76">
        <v>1.037347</v>
      </c>
      <c r="I76">
        <v>1.0670120000000001</v>
      </c>
      <c r="J76">
        <v>1.065018</v>
      </c>
      <c r="K76">
        <v>0.65032999999999996</v>
      </c>
      <c r="L76">
        <v>0.85097199999999995</v>
      </c>
      <c r="M76">
        <v>0.938496</v>
      </c>
      <c r="N76">
        <v>0.97562099999999996</v>
      </c>
      <c r="O76">
        <v>0.99482800000000005</v>
      </c>
      <c r="P76">
        <v>1.0120610000000001</v>
      </c>
      <c r="Q76">
        <v>1.0174369999999999</v>
      </c>
      <c r="R76">
        <v>1.0222830000000001</v>
      </c>
      <c r="S76">
        <v>1.030837</v>
      </c>
      <c r="T76">
        <v>1.037115</v>
      </c>
      <c r="U76">
        <v>1.046106</v>
      </c>
      <c r="V76">
        <v>1.057455</v>
      </c>
      <c r="W76">
        <v>1.07148</v>
      </c>
      <c r="X76">
        <v>1.0861689999999999</v>
      </c>
      <c r="Y76">
        <v>1.1008720000000001</v>
      </c>
      <c r="Z76">
        <v>1.1154459999999999</v>
      </c>
      <c r="AA76">
        <v>1.12687</v>
      </c>
      <c r="AB76">
        <v>1.136951</v>
      </c>
      <c r="AC76">
        <v>1.1483410000000001</v>
      </c>
      <c r="AD76">
        <v>1.16025</v>
      </c>
      <c r="AE76">
        <v>1.174536</v>
      </c>
      <c r="AF76">
        <v>1.1885239999999999</v>
      </c>
      <c r="AG76">
        <v>1.204099</v>
      </c>
      <c r="AH76">
        <v>1.2200420000000001</v>
      </c>
      <c r="AI76">
        <v>1.236801</v>
      </c>
      <c r="AJ76">
        <v>1.2526349999999999</v>
      </c>
      <c r="AK76">
        <v>1.267841</v>
      </c>
      <c r="AL76">
        <v>1.281396</v>
      </c>
      <c r="AM76">
        <v>1.293682</v>
      </c>
      <c r="AN76">
        <v>1.30498</v>
      </c>
      <c r="AO76">
        <v>1.3163910000000001</v>
      </c>
      <c r="AP76" s="7">
        <v>8.9999999999999993E-3</v>
      </c>
    </row>
    <row r="77" spans="1:42" x14ac:dyDescent="0.25">
      <c r="A77" t="s">
        <v>21</v>
      </c>
      <c r="B77" t="s">
        <v>138</v>
      </c>
      <c r="C77" t="s">
        <v>364</v>
      </c>
      <c r="D77" t="s">
        <v>42</v>
      </c>
      <c r="H77">
        <v>6.3E-5</v>
      </c>
      <c r="I77">
        <v>0</v>
      </c>
      <c r="J77">
        <v>9.2999999999999997E-5</v>
      </c>
      <c r="K77">
        <v>6.9999999999999994E-5</v>
      </c>
      <c r="L77">
        <v>7.7000000000000001E-5</v>
      </c>
      <c r="M77">
        <v>7.7999999999999999E-5</v>
      </c>
      <c r="N77">
        <v>1.1E-4</v>
      </c>
      <c r="O77">
        <v>1.2E-4</v>
      </c>
      <c r="P77">
        <v>1.4200000000000001E-4</v>
      </c>
      <c r="Q77">
        <v>1.3200000000000001E-4</v>
      </c>
      <c r="R77">
        <v>1.27E-4</v>
      </c>
      <c r="S77">
        <v>1.15E-4</v>
      </c>
      <c r="T77">
        <v>1.1E-4</v>
      </c>
      <c r="U77">
        <v>5.5000000000000002E-5</v>
      </c>
      <c r="V77">
        <v>5.1E-5</v>
      </c>
      <c r="W77">
        <v>4.0000000000000003E-5</v>
      </c>
      <c r="X77">
        <v>3.6999999999999998E-5</v>
      </c>
      <c r="Y77">
        <v>3.4999999999999997E-5</v>
      </c>
      <c r="Z77">
        <v>3.3000000000000003E-5</v>
      </c>
      <c r="AA77">
        <v>3.1999999999999999E-5</v>
      </c>
      <c r="AB77">
        <v>2.8E-5</v>
      </c>
      <c r="AC77">
        <v>2.4000000000000001E-5</v>
      </c>
      <c r="AD77">
        <v>2.4000000000000001E-5</v>
      </c>
      <c r="AE77">
        <v>1.9000000000000001E-5</v>
      </c>
      <c r="AF77">
        <v>1.5999999999999999E-5</v>
      </c>
      <c r="AG77">
        <v>1.4E-5</v>
      </c>
      <c r="AH77">
        <v>9.0000000000000002E-6</v>
      </c>
      <c r="AI77">
        <v>9.0000000000000002E-6</v>
      </c>
      <c r="AJ77">
        <v>7.9999999999999996E-6</v>
      </c>
      <c r="AK77">
        <v>7.9999999999999996E-6</v>
      </c>
      <c r="AL77">
        <v>7.9999999999999996E-6</v>
      </c>
      <c r="AM77">
        <v>7.9999999999999996E-6</v>
      </c>
      <c r="AN77">
        <v>7.9999999999999996E-6</v>
      </c>
      <c r="AO77">
        <v>7.9999999999999996E-6</v>
      </c>
      <c r="AP77" t="s">
        <v>0</v>
      </c>
    </row>
    <row r="78" spans="1:42" x14ac:dyDescent="0.25">
      <c r="A78" t="s">
        <v>91</v>
      </c>
      <c r="B78" t="s">
        <v>137</v>
      </c>
      <c r="C78" t="s">
        <v>363</v>
      </c>
      <c r="D78" t="s">
        <v>42</v>
      </c>
      <c r="H78">
        <v>0.89347100000000002</v>
      </c>
      <c r="I78">
        <v>0.93144800000000005</v>
      </c>
      <c r="J78">
        <v>0.933365</v>
      </c>
      <c r="K78">
        <v>0.83880999999999994</v>
      </c>
      <c r="L78">
        <v>0.88701099999999999</v>
      </c>
      <c r="M78">
        <v>0.90650900000000001</v>
      </c>
      <c r="N78">
        <v>0.91478700000000002</v>
      </c>
      <c r="O78">
        <v>0.92213900000000004</v>
      </c>
      <c r="P78">
        <v>0.93869599999999997</v>
      </c>
      <c r="Q78">
        <v>0.94000099999999998</v>
      </c>
      <c r="R78">
        <v>0.94253799999999999</v>
      </c>
      <c r="S78">
        <v>0.94026500000000002</v>
      </c>
      <c r="T78">
        <v>0.93729799999999996</v>
      </c>
      <c r="U78">
        <v>0.931253</v>
      </c>
      <c r="V78">
        <v>0.93358699999999994</v>
      </c>
      <c r="W78">
        <v>0.93175799999999998</v>
      </c>
      <c r="X78">
        <v>0.93108400000000002</v>
      </c>
      <c r="Y78">
        <v>0.93157699999999999</v>
      </c>
      <c r="Z78">
        <v>0.93298400000000004</v>
      </c>
      <c r="AA78">
        <v>0.93433200000000005</v>
      </c>
      <c r="AB78">
        <v>0.93543699999999996</v>
      </c>
      <c r="AC78">
        <v>0.93760299999999996</v>
      </c>
      <c r="AD78">
        <v>0.94069000000000003</v>
      </c>
      <c r="AE78">
        <v>0.94143299999999996</v>
      </c>
      <c r="AF78">
        <v>0.94354300000000002</v>
      </c>
      <c r="AG78">
        <v>0.95084299999999999</v>
      </c>
      <c r="AH78">
        <v>0.95679700000000001</v>
      </c>
      <c r="AI78">
        <v>0.96407399999999999</v>
      </c>
      <c r="AJ78">
        <v>0.96964700000000004</v>
      </c>
      <c r="AK78">
        <v>0.97655899999999995</v>
      </c>
      <c r="AL78">
        <v>0.98264700000000005</v>
      </c>
      <c r="AM78">
        <v>0.988923</v>
      </c>
      <c r="AN78">
        <v>0.99563599999999997</v>
      </c>
      <c r="AO78">
        <v>1.002448</v>
      </c>
      <c r="AP78" s="7">
        <v>3.0000000000000001E-3</v>
      </c>
    </row>
    <row r="79" spans="1:42" x14ac:dyDescent="0.25">
      <c r="A79" t="s">
        <v>89</v>
      </c>
      <c r="B79" t="s">
        <v>136</v>
      </c>
      <c r="C79" t="s">
        <v>362</v>
      </c>
      <c r="D79" t="s">
        <v>42</v>
      </c>
      <c r="H79">
        <v>0.296404</v>
      </c>
      <c r="I79">
        <v>0.27533800000000003</v>
      </c>
      <c r="J79">
        <v>0.22050700000000001</v>
      </c>
      <c r="K79">
        <v>0.17265800000000001</v>
      </c>
      <c r="L79">
        <v>0.19763</v>
      </c>
      <c r="M79">
        <v>0.28955799999999998</v>
      </c>
      <c r="N79">
        <v>0.286497</v>
      </c>
      <c r="O79">
        <v>0.279642</v>
      </c>
      <c r="P79">
        <v>0.244003</v>
      </c>
      <c r="Q79">
        <v>0.243647</v>
      </c>
      <c r="R79">
        <v>0.230457</v>
      </c>
      <c r="S79">
        <v>0.22770000000000001</v>
      </c>
      <c r="T79">
        <v>0.22504299999999999</v>
      </c>
      <c r="U79">
        <v>0.24257300000000001</v>
      </c>
      <c r="V79">
        <v>0.22622999999999999</v>
      </c>
      <c r="W79">
        <v>0.22490499999999999</v>
      </c>
      <c r="X79">
        <v>0.22322800000000001</v>
      </c>
      <c r="Y79">
        <v>0.22167600000000001</v>
      </c>
      <c r="Z79">
        <v>0.219974</v>
      </c>
      <c r="AA79">
        <v>0.218613</v>
      </c>
      <c r="AB79">
        <v>0.21964700000000001</v>
      </c>
      <c r="AC79">
        <v>0.2165</v>
      </c>
      <c r="AD79">
        <v>0.21618200000000001</v>
      </c>
      <c r="AE79">
        <v>0.20641699999999999</v>
      </c>
      <c r="AF79">
        <v>0.21287500000000001</v>
      </c>
      <c r="AG79">
        <v>0.201513</v>
      </c>
      <c r="AH79">
        <v>0.20087099999999999</v>
      </c>
      <c r="AI79">
        <v>0.19381599999999999</v>
      </c>
      <c r="AJ79">
        <v>0.19788800000000001</v>
      </c>
      <c r="AK79">
        <v>0.19195899999999999</v>
      </c>
      <c r="AL79">
        <v>0.188445</v>
      </c>
      <c r="AM79">
        <v>0.18726699999999999</v>
      </c>
      <c r="AN79">
        <v>0.18668599999999999</v>
      </c>
      <c r="AO79">
        <v>0.18515499999999999</v>
      </c>
      <c r="AP79" s="7">
        <v>-8.9999999999999993E-3</v>
      </c>
    </row>
    <row r="80" spans="1:42" x14ac:dyDescent="0.25">
      <c r="A80" t="s">
        <v>87</v>
      </c>
      <c r="B80" t="s">
        <v>135</v>
      </c>
      <c r="C80" t="s">
        <v>361</v>
      </c>
      <c r="D80" t="s">
        <v>42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 t="s">
        <v>0</v>
      </c>
    </row>
    <row r="81" spans="1:42" x14ac:dyDescent="0.25">
      <c r="A81" t="s">
        <v>85</v>
      </c>
      <c r="B81" t="s">
        <v>134</v>
      </c>
      <c r="C81" t="s">
        <v>360</v>
      </c>
      <c r="D81" t="s">
        <v>42</v>
      </c>
      <c r="H81">
        <v>0.55424799999999996</v>
      </c>
      <c r="I81">
        <v>0.54416500000000001</v>
      </c>
      <c r="J81">
        <v>0.55160500000000001</v>
      </c>
      <c r="K81">
        <v>0.48769200000000001</v>
      </c>
      <c r="L81">
        <v>0.51044400000000001</v>
      </c>
      <c r="M81">
        <v>0.40878599999999998</v>
      </c>
      <c r="N81">
        <v>0.40008199999999999</v>
      </c>
      <c r="O81">
        <v>0.39104800000000001</v>
      </c>
      <c r="P81">
        <v>0.39413999999999999</v>
      </c>
      <c r="Q81">
        <v>0.40593400000000002</v>
      </c>
      <c r="R81">
        <v>0.40536499999999998</v>
      </c>
      <c r="S81">
        <v>0.41491899999999998</v>
      </c>
      <c r="T81">
        <v>0.41976000000000002</v>
      </c>
      <c r="U81">
        <v>0.41111799999999998</v>
      </c>
      <c r="V81">
        <v>0.41689599999999999</v>
      </c>
      <c r="W81">
        <v>0.41484599999999999</v>
      </c>
      <c r="X81">
        <v>0.41455500000000001</v>
      </c>
      <c r="Y81">
        <v>0.422404</v>
      </c>
      <c r="Z81">
        <v>0.42626599999999998</v>
      </c>
      <c r="AA81">
        <v>0.44388100000000003</v>
      </c>
      <c r="AB81">
        <v>0.457818</v>
      </c>
      <c r="AC81">
        <v>0.45813700000000002</v>
      </c>
      <c r="AD81">
        <v>0.46505099999999999</v>
      </c>
      <c r="AE81">
        <v>0.463563</v>
      </c>
      <c r="AF81">
        <v>0.46478599999999998</v>
      </c>
      <c r="AG81">
        <v>0.46467999999999998</v>
      </c>
      <c r="AH81">
        <v>0.44906800000000002</v>
      </c>
      <c r="AI81">
        <v>0.44618000000000002</v>
      </c>
      <c r="AJ81">
        <v>0.44853700000000002</v>
      </c>
      <c r="AK81">
        <v>0.45358999999999999</v>
      </c>
      <c r="AL81">
        <v>0.46114899999999998</v>
      </c>
      <c r="AM81">
        <v>0.46717900000000001</v>
      </c>
      <c r="AN81">
        <v>0.46949400000000002</v>
      </c>
      <c r="AO81">
        <v>0.47910599999999998</v>
      </c>
      <c r="AP81" s="7">
        <v>-5.0000000000000001E-3</v>
      </c>
    </row>
    <row r="82" spans="1:42" x14ac:dyDescent="0.25">
      <c r="A82" t="s">
        <v>83</v>
      </c>
      <c r="B82" t="s">
        <v>133</v>
      </c>
      <c r="C82" t="s">
        <v>359</v>
      </c>
      <c r="D82" t="s">
        <v>42</v>
      </c>
      <c r="H82">
        <v>5.3286300000000004</v>
      </c>
      <c r="I82">
        <v>5.3773809999999997</v>
      </c>
      <c r="J82">
        <v>5.3467209999999996</v>
      </c>
      <c r="K82">
        <v>4.4448530000000002</v>
      </c>
      <c r="L82">
        <v>4.8435879999999996</v>
      </c>
      <c r="M82">
        <v>4.9393219999999998</v>
      </c>
      <c r="N82">
        <v>4.9675390000000004</v>
      </c>
      <c r="O82">
        <v>4.967867</v>
      </c>
      <c r="P82">
        <v>4.9567579999999998</v>
      </c>
      <c r="Q82">
        <v>4.9596910000000003</v>
      </c>
      <c r="R82">
        <v>4.9380790000000001</v>
      </c>
      <c r="S82">
        <v>4.9366760000000003</v>
      </c>
      <c r="T82">
        <v>4.9266069999999997</v>
      </c>
      <c r="U82">
        <v>4.9234140000000002</v>
      </c>
      <c r="V82">
        <v>4.9121170000000003</v>
      </c>
      <c r="W82">
        <v>4.9069070000000004</v>
      </c>
      <c r="X82">
        <v>4.9081989999999998</v>
      </c>
      <c r="Y82">
        <v>4.9209360000000002</v>
      </c>
      <c r="Z82">
        <v>4.9311930000000004</v>
      </c>
      <c r="AA82">
        <v>4.952445</v>
      </c>
      <c r="AB82">
        <v>4.9714219999999996</v>
      </c>
      <c r="AC82">
        <v>4.9760179999999998</v>
      </c>
      <c r="AD82">
        <v>4.9931419999999997</v>
      </c>
      <c r="AE82">
        <v>4.9931270000000003</v>
      </c>
      <c r="AF82">
        <v>5.0141920000000004</v>
      </c>
      <c r="AG82">
        <v>5.0247010000000003</v>
      </c>
      <c r="AH82">
        <v>5.030894</v>
      </c>
      <c r="AI82">
        <v>5.0462569999999998</v>
      </c>
      <c r="AJ82">
        <v>5.0753320000000004</v>
      </c>
      <c r="AK82">
        <v>5.0980749999999997</v>
      </c>
      <c r="AL82">
        <v>5.1234690000000001</v>
      </c>
      <c r="AM82">
        <v>5.1493549999999999</v>
      </c>
      <c r="AN82">
        <v>5.1727550000000004</v>
      </c>
      <c r="AO82">
        <v>5.2029990000000002</v>
      </c>
      <c r="AP82" s="7">
        <v>-4.0000000000000001E-3</v>
      </c>
    </row>
    <row r="83" spans="1:42" x14ac:dyDescent="0.25">
      <c r="A83" t="s">
        <v>10</v>
      </c>
      <c r="B83" t="s">
        <v>132</v>
      </c>
      <c r="C83" t="s">
        <v>358</v>
      </c>
      <c r="D83" t="s">
        <v>42</v>
      </c>
      <c r="H83">
        <v>1.9867980000000001</v>
      </c>
      <c r="I83">
        <v>2.078811</v>
      </c>
      <c r="J83">
        <v>2.1153080000000002</v>
      </c>
      <c r="K83">
        <v>2.000038</v>
      </c>
      <c r="L83">
        <v>2.0003470000000001</v>
      </c>
      <c r="M83">
        <v>2.049906</v>
      </c>
      <c r="N83">
        <v>2.0793659999999998</v>
      </c>
      <c r="O83">
        <v>2.1080459999999999</v>
      </c>
      <c r="P83">
        <v>2.1372909999999998</v>
      </c>
      <c r="Q83">
        <v>2.1550609999999999</v>
      </c>
      <c r="R83">
        <v>2.1567910000000001</v>
      </c>
      <c r="S83">
        <v>2.173111</v>
      </c>
      <c r="T83">
        <v>2.186048</v>
      </c>
      <c r="U83">
        <v>2.0949040000000001</v>
      </c>
      <c r="V83">
        <v>2.0937079999999999</v>
      </c>
      <c r="W83">
        <v>2.0933459999999999</v>
      </c>
      <c r="X83">
        <v>2.1023130000000001</v>
      </c>
      <c r="Y83">
        <v>2.118833</v>
      </c>
      <c r="Z83">
        <v>2.1296249999999999</v>
      </c>
      <c r="AA83">
        <v>2.1506189999999998</v>
      </c>
      <c r="AB83">
        <v>2.164701</v>
      </c>
      <c r="AC83">
        <v>2.1795529999999999</v>
      </c>
      <c r="AD83">
        <v>2.1859989999999998</v>
      </c>
      <c r="AE83">
        <v>2.2008260000000002</v>
      </c>
      <c r="AF83">
        <v>2.2156799999999999</v>
      </c>
      <c r="AG83">
        <v>2.232691</v>
      </c>
      <c r="AH83">
        <v>2.249193</v>
      </c>
      <c r="AI83">
        <v>2.261199</v>
      </c>
      <c r="AJ83">
        <v>2.269835</v>
      </c>
      <c r="AK83">
        <v>2.2870520000000001</v>
      </c>
      <c r="AL83">
        <v>2.3029139999999999</v>
      </c>
      <c r="AM83">
        <v>2.3154249999999998</v>
      </c>
      <c r="AN83">
        <v>2.326708</v>
      </c>
      <c r="AO83">
        <v>2.3400300000000001</v>
      </c>
      <c r="AP83" s="7">
        <v>8.0000000000000002E-3</v>
      </c>
    </row>
    <row r="84" spans="1:42" x14ac:dyDescent="0.25">
      <c r="A84" t="s">
        <v>80</v>
      </c>
      <c r="B84" t="s">
        <v>131</v>
      </c>
      <c r="C84" t="s">
        <v>357</v>
      </c>
      <c r="D84" t="s">
        <v>42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 t="s">
        <v>0</v>
      </c>
    </row>
    <row r="85" spans="1:42" x14ac:dyDescent="0.25">
      <c r="A85" t="s">
        <v>78</v>
      </c>
      <c r="B85" t="s">
        <v>130</v>
      </c>
      <c r="C85" t="s">
        <v>356</v>
      </c>
      <c r="D85" t="s">
        <v>42</v>
      </c>
      <c r="H85">
        <v>0.283586</v>
      </c>
      <c r="I85">
        <v>0.29477799999999998</v>
      </c>
      <c r="J85">
        <v>0.29870200000000002</v>
      </c>
      <c r="K85">
        <v>0.28741899999999998</v>
      </c>
      <c r="L85">
        <v>0.28118500000000002</v>
      </c>
      <c r="M85">
        <v>0.279584</v>
      </c>
      <c r="N85">
        <v>0.28892000000000001</v>
      </c>
      <c r="O85">
        <v>0.28322599999999998</v>
      </c>
      <c r="P85">
        <v>0.283387</v>
      </c>
      <c r="Q85">
        <v>0.28504499999999999</v>
      </c>
      <c r="R85">
        <v>0.28822799999999998</v>
      </c>
      <c r="S85">
        <v>0.29441000000000001</v>
      </c>
      <c r="T85">
        <v>0.29430099999999998</v>
      </c>
      <c r="U85">
        <v>0.30094799999999999</v>
      </c>
      <c r="V85">
        <v>0.31120399999999998</v>
      </c>
      <c r="W85">
        <v>0.31890200000000002</v>
      </c>
      <c r="X85">
        <v>0.33055299999999999</v>
      </c>
      <c r="Y85">
        <v>0.33546500000000001</v>
      </c>
      <c r="Z85">
        <v>0.33269900000000002</v>
      </c>
      <c r="AA85">
        <v>0.32720300000000002</v>
      </c>
      <c r="AB85">
        <v>0.32995400000000003</v>
      </c>
      <c r="AC85">
        <v>0.32271499999999997</v>
      </c>
      <c r="AD85">
        <v>0.32466800000000001</v>
      </c>
      <c r="AE85">
        <v>0.32738400000000001</v>
      </c>
      <c r="AF85">
        <v>0.33183200000000002</v>
      </c>
      <c r="AG85">
        <v>0.33252900000000002</v>
      </c>
      <c r="AH85">
        <v>0.34967700000000002</v>
      </c>
      <c r="AI85">
        <v>0.34900799999999998</v>
      </c>
      <c r="AJ85">
        <v>0.33699800000000002</v>
      </c>
      <c r="AK85">
        <v>0.34682600000000002</v>
      </c>
      <c r="AL85">
        <v>0.343306</v>
      </c>
      <c r="AM85">
        <v>0.34277299999999999</v>
      </c>
      <c r="AN85">
        <v>0.33455099999999999</v>
      </c>
      <c r="AO85">
        <v>0.32361899999999999</v>
      </c>
      <c r="AP85" s="7">
        <v>0</v>
      </c>
    </row>
    <row r="86" spans="1:42" x14ac:dyDescent="0.25">
      <c r="A86" t="s">
        <v>76</v>
      </c>
      <c r="B86" t="s">
        <v>129</v>
      </c>
      <c r="C86" t="s">
        <v>355</v>
      </c>
      <c r="D86" t="s">
        <v>42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 t="s">
        <v>0</v>
      </c>
    </row>
    <row r="87" spans="1:42" x14ac:dyDescent="0.25">
      <c r="A87" t="s">
        <v>74</v>
      </c>
      <c r="B87" t="s">
        <v>128</v>
      </c>
      <c r="C87" t="s">
        <v>354</v>
      </c>
      <c r="D87" t="s">
        <v>42</v>
      </c>
      <c r="H87">
        <v>4.1980999999999997E-2</v>
      </c>
      <c r="I87">
        <v>4.3070999999999998E-2</v>
      </c>
      <c r="J87">
        <v>4.4200999999999997E-2</v>
      </c>
      <c r="K87">
        <v>4.6810999999999998E-2</v>
      </c>
      <c r="L87">
        <v>4.8954999999999999E-2</v>
      </c>
      <c r="M87">
        <v>4.4031000000000001E-2</v>
      </c>
      <c r="N87">
        <v>4.3520999999999997E-2</v>
      </c>
      <c r="O87">
        <v>4.3104999999999997E-2</v>
      </c>
      <c r="P87">
        <v>4.3598999999999999E-2</v>
      </c>
      <c r="Q87">
        <v>4.3313999999999998E-2</v>
      </c>
      <c r="R87">
        <v>4.3691000000000001E-2</v>
      </c>
      <c r="S87">
        <v>4.3815E-2</v>
      </c>
      <c r="T87">
        <v>4.3756000000000003E-2</v>
      </c>
      <c r="U87">
        <v>4.1973000000000003E-2</v>
      </c>
      <c r="V87">
        <v>4.1793999999999998E-2</v>
      </c>
      <c r="W87">
        <v>4.1924000000000003E-2</v>
      </c>
      <c r="X87">
        <v>4.1902000000000002E-2</v>
      </c>
      <c r="Y87">
        <v>4.2186000000000001E-2</v>
      </c>
      <c r="Z87">
        <v>4.2581000000000001E-2</v>
      </c>
      <c r="AA87">
        <v>4.2941E-2</v>
      </c>
      <c r="AB87">
        <v>4.3237999999999999E-2</v>
      </c>
      <c r="AC87">
        <v>4.3951999999999998E-2</v>
      </c>
      <c r="AD87">
        <v>4.4245E-2</v>
      </c>
      <c r="AE87">
        <v>4.5284999999999999E-2</v>
      </c>
      <c r="AF87">
        <v>4.5711000000000002E-2</v>
      </c>
      <c r="AG87">
        <v>4.6439000000000001E-2</v>
      </c>
      <c r="AH87">
        <v>4.6989999999999997E-2</v>
      </c>
      <c r="AI87">
        <v>4.7486E-2</v>
      </c>
      <c r="AJ87">
        <v>4.7918000000000002E-2</v>
      </c>
      <c r="AK87">
        <v>4.8446999999999997E-2</v>
      </c>
      <c r="AL87">
        <v>4.9093999999999999E-2</v>
      </c>
      <c r="AM87">
        <v>4.9494000000000003E-2</v>
      </c>
      <c r="AN87">
        <v>4.9980999999999998E-2</v>
      </c>
      <c r="AO87">
        <v>5.0566E-2</v>
      </c>
      <c r="AP87" s="7">
        <v>5.0000000000000001E-3</v>
      </c>
    </row>
    <row r="88" spans="1:42" x14ac:dyDescent="0.25">
      <c r="A88" t="s">
        <v>72</v>
      </c>
      <c r="B88" t="s">
        <v>127</v>
      </c>
      <c r="C88" t="s">
        <v>353</v>
      </c>
      <c r="D88" t="s">
        <v>42</v>
      </c>
      <c r="H88">
        <v>2.3123649999999998</v>
      </c>
      <c r="I88">
        <v>2.4166609999999999</v>
      </c>
      <c r="J88">
        <v>2.4582099999999998</v>
      </c>
      <c r="K88">
        <v>2.3342679999999998</v>
      </c>
      <c r="L88">
        <v>2.3304870000000002</v>
      </c>
      <c r="M88">
        <v>2.3735219999999999</v>
      </c>
      <c r="N88">
        <v>2.4118080000000002</v>
      </c>
      <c r="O88">
        <v>2.434377</v>
      </c>
      <c r="P88">
        <v>2.4642770000000001</v>
      </c>
      <c r="Q88">
        <v>2.483419</v>
      </c>
      <c r="R88">
        <v>2.4887090000000001</v>
      </c>
      <c r="S88">
        <v>2.511336</v>
      </c>
      <c r="T88">
        <v>2.5241060000000002</v>
      </c>
      <c r="U88">
        <v>2.4378250000000001</v>
      </c>
      <c r="V88">
        <v>2.446707</v>
      </c>
      <c r="W88">
        <v>2.4541729999999999</v>
      </c>
      <c r="X88">
        <v>2.4747680000000001</v>
      </c>
      <c r="Y88">
        <v>2.4964840000000001</v>
      </c>
      <c r="Z88">
        <v>2.5049039999999998</v>
      </c>
      <c r="AA88">
        <v>2.5207630000000001</v>
      </c>
      <c r="AB88">
        <v>2.5378940000000001</v>
      </c>
      <c r="AC88">
        <v>2.5462210000000001</v>
      </c>
      <c r="AD88">
        <v>2.554913</v>
      </c>
      <c r="AE88">
        <v>2.5734949999999999</v>
      </c>
      <c r="AF88">
        <v>2.5932230000000001</v>
      </c>
      <c r="AG88">
        <v>2.6116579999999998</v>
      </c>
      <c r="AH88">
        <v>2.6458599999999999</v>
      </c>
      <c r="AI88">
        <v>2.6576930000000001</v>
      </c>
      <c r="AJ88">
        <v>2.6547510000000001</v>
      </c>
      <c r="AK88">
        <v>2.6823250000000001</v>
      </c>
      <c r="AL88">
        <v>2.6953140000000002</v>
      </c>
      <c r="AM88">
        <v>2.7076929999999999</v>
      </c>
      <c r="AN88">
        <v>2.7112400000000001</v>
      </c>
      <c r="AO88">
        <v>2.7142149999999998</v>
      </c>
      <c r="AP88" s="7">
        <v>7.0000000000000001E-3</v>
      </c>
    </row>
    <row r="89" spans="1:42" x14ac:dyDescent="0.25">
      <c r="A89" t="s">
        <v>70</v>
      </c>
      <c r="B89" t="s">
        <v>126</v>
      </c>
      <c r="C89" t="s">
        <v>352</v>
      </c>
      <c r="D89" t="s">
        <v>42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 t="s">
        <v>0</v>
      </c>
    </row>
    <row r="90" spans="1:42" x14ac:dyDescent="0.25">
      <c r="A90" t="s">
        <v>68</v>
      </c>
      <c r="B90" t="s">
        <v>125</v>
      </c>
      <c r="C90" t="s">
        <v>351</v>
      </c>
      <c r="D90" t="s">
        <v>42</v>
      </c>
      <c r="H90">
        <v>3.8213999999999998E-2</v>
      </c>
      <c r="I90">
        <v>3.4730999999999998E-2</v>
      </c>
      <c r="J90">
        <v>3.5930999999999998E-2</v>
      </c>
      <c r="K90">
        <v>3.5562999999999997E-2</v>
      </c>
      <c r="L90">
        <v>3.4680000000000002E-2</v>
      </c>
      <c r="M90">
        <v>3.4358E-2</v>
      </c>
      <c r="N90">
        <v>3.4223000000000003E-2</v>
      </c>
      <c r="O90">
        <v>3.3859E-2</v>
      </c>
      <c r="P90">
        <v>3.3488999999999998E-2</v>
      </c>
      <c r="Q90">
        <v>3.3083000000000001E-2</v>
      </c>
      <c r="R90">
        <v>3.2615999999999999E-2</v>
      </c>
      <c r="S90">
        <v>3.2111000000000001E-2</v>
      </c>
      <c r="T90">
        <v>3.1669000000000003E-2</v>
      </c>
      <c r="U90">
        <v>3.1213000000000001E-2</v>
      </c>
      <c r="V90">
        <v>3.0838000000000001E-2</v>
      </c>
      <c r="W90">
        <v>3.0407E-2</v>
      </c>
      <c r="X90">
        <v>3.0001E-2</v>
      </c>
      <c r="Y90">
        <v>2.9617999999999998E-2</v>
      </c>
      <c r="Z90">
        <v>2.9533E-2</v>
      </c>
      <c r="AA90">
        <v>2.9430999999999999E-2</v>
      </c>
      <c r="AB90">
        <v>2.9343000000000001E-2</v>
      </c>
      <c r="AC90">
        <v>2.9423000000000001E-2</v>
      </c>
      <c r="AD90">
        <v>2.9375999999999999E-2</v>
      </c>
      <c r="AE90">
        <v>2.9343999999999999E-2</v>
      </c>
      <c r="AF90">
        <v>2.9350999999999999E-2</v>
      </c>
      <c r="AG90">
        <v>2.9388999999999998E-2</v>
      </c>
      <c r="AH90">
        <v>2.9447000000000001E-2</v>
      </c>
      <c r="AI90">
        <v>2.9499000000000001E-2</v>
      </c>
      <c r="AJ90">
        <v>2.9557E-2</v>
      </c>
      <c r="AK90">
        <v>2.9638999999999999E-2</v>
      </c>
      <c r="AL90">
        <v>2.9713E-2</v>
      </c>
      <c r="AM90">
        <v>2.9781999999999999E-2</v>
      </c>
      <c r="AN90">
        <v>2.9985000000000001E-2</v>
      </c>
      <c r="AO90">
        <v>3.0079000000000002E-2</v>
      </c>
      <c r="AP90" s="7">
        <v>1E-3</v>
      </c>
    </row>
    <row r="91" spans="1:42" x14ac:dyDescent="0.25">
      <c r="A91" t="s">
        <v>66</v>
      </c>
      <c r="B91" t="s">
        <v>124</v>
      </c>
      <c r="C91" t="s">
        <v>350</v>
      </c>
      <c r="D91" t="s">
        <v>42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 t="s">
        <v>0</v>
      </c>
    </row>
    <row r="92" spans="1:42" x14ac:dyDescent="0.25">
      <c r="A92" t="s">
        <v>64</v>
      </c>
      <c r="B92" t="s">
        <v>123</v>
      </c>
      <c r="C92" t="s">
        <v>349</v>
      </c>
      <c r="D92" t="s">
        <v>42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 t="s">
        <v>0</v>
      </c>
    </row>
    <row r="93" spans="1:42" x14ac:dyDescent="0.25">
      <c r="A93" t="s">
        <v>62</v>
      </c>
      <c r="B93" t="s">
        <v>122</v>
      </c>
      <c r="C93" t="s">
        <v>348</v>
      </c>
      <c r="D93" t="s">
        <v>42</v>
      </c>
      <c r="H93">
        <v>3.8213999999999998E-2</v>
      </c>
      <c r="I93">
        <v>3.4730999999999998E-2</v>
      </c>
      <c r="J93">
        <v>3.5930999999999998E-2</v>
      </c>
      <c r="K93">
        <v>3.5562999999999997E-2</v>
      </c>
      <c r="L93">
        <v>3.4680000000000002E-2</v>
      </c>
      <c r="M93">
        <v>3.4358E-2</v>
      </c>
      <c r="N93">
        <v>3.4223000000000003E-2</v>
      </c>
      <c r="O93">
        <v>3.3859E-2</v>
      </c>
      <c r="P93">
        <v>3.3488999999999998E-2</v>
      </c>
      <c r="Q93">
        <v>3.3083000000000001E-2</v>
      </c>
      <c r="R93">
        <v>3.2615999999999999E-2</v>
      </c>
      <c r="S93">
        <v>3.2111000000000001E-2</v>
      </c>
      <c r="T93">
        <v>3.1669000000000003E-2</v>
      </c>
      <c r="U93">
        <v>3.1213000000000001E-2</v>
      </c>
      <c r="V93">
        <v>3.0838000000000001E-2</v>
      </c>
      <c r="W93">
        <v>3.0407E-2</v>
      </c>
      <c r="X93">
        <v>3.0001E-2</v>
      </c>
      <c r="Y93">
        <v>2.9617999999999998E-2</v>
      </c>
      <c r="Z93">
        <v>2.9533E-2</v>
      </c>
      <c r="AA93">
        <v>2.9430999999999999E-2</v>
      </c>
      <c r="AB93">
        <v>2.9343000000000001E-2</v>
      </c>
      <c r="AC93">
        <v>2.9423000000000001E-2</v>
      </c>
      <c r="AD93">
        <v>2.9375999999999999E-2</v>
      </c>
      <c r="AE93">
        <v>2.9343999999999999E-2</v>
      </c>
      <c r="AF93">
        <v>2.9350999999999999E-2</v>
      </c>
      <c r="AG93">
        <v>2.9388999999999998E-2</v>
      </c>
      <c r="AH93">
        <v>2.9447000000000001E-2</v>
      </c>
      <c r="AI93">
        <v>2.9499000000000001E-2</v>
      </c>
      <c r="AJ93">
        <v>2.9557E-2</v>
      </c>
      <c r="AK93">
        <v>2.9638999999999999E-2</v>
      </c>
      <c r="AL93">
        <v>2.9713E-2</v>
      </c>
      <c r="AM93">
        <v>2.9781999999999999E-2</v>
      </c>
      <c r="AN93">
        <v>2.9985000000000001E-2</v>
      </c>
      <c r="AO93">
        <v>3.0079000000000002E-2</v>
      </c>
      <c r="AP93" s="7">
        <v>1E-3</v>
      </c>
    </row>
    <row r="94" spans="1:42" x14ac:dyDescent="0.25">
      <c r="A94" t="s">
        <v>58</v>
      </c>
      <c r="B94" t="s">
        <v>121</v>
      </c>
      <c r="C94" t="s">
        <v>347</v>
      </c>
      <c r="D94" t="s">
        <v>42</v>
      </c>
      <c r="H94">
        <v>0.111349</v>
      </c>
      <c r="I94">
        <v>0.11107400000000001</v>
      </c>
      <c r="J94">
        <v>0.128689</v>
      </c>
      <c r="K94">
        <v>0.12955700000000001</v>
      </c>
      <c r="L94">
        <v>0.12639700000000001</v>
      </c>
      <c r="M94">
        <v>0.12503700000000001</v>
      </c>
      <c r="N94">
        <v>0.125164</v>
      </c>
      <c r="O94">
        <v>0.12548200000000001</v>
      </c>
      <c r="P94">
        <v>0.126279</v>
      </c>
      <c r="Q94">
        <v>0.12659500000000001</v>
      </c>
      <c r="R94">
        <v>0.12698400000000001</v>
      </c>
      <c r="S94">
        <v>0.12731600000000001</v>
      </c>
      <c r="T94">
        <v>0.12764800000000001</v>
      </c>
      <c r="U94">
        <v>0.12806400000000001</v>
      </c>
      <c r="V94">
        <v>0.12934899999999999</v>
      </c>
      <c r="W94">
        <v>0.12978400000000001</v>
      </c>
      <c r="X94">
        <v>0.13034200000000001</v>
      </c>
      <c r="Y94">
        <v>0.13102800000000001</v>
      </c>
      <c r="Z94">
        <v>0.13167100000000001</v>
      </c>
      <c r="AA94">
        <v>0.13219400000000001</v>
      </c>
      <c r="AB94">
        <v>0.132746</v>
      </c>
      <c r="AC94">
        <v>0.133328</v>
      </c>
      <c r="AD94">
        <v>0.13400799999999999</v>
      </c>
      <c r="AE94">
        <v>0.134746</v>
      </c>
      <c r="AF94">
        <v>0.13547999999999999</v>
      </c>
      <c r="AG94">
        <v>0.136383</v>
      </c>
      <c r="AH94">
        <v>0.13747300000000001</v>
      </c>
      <c r="AI94">
        <v>0.13853799999999999</v>
      </c>
      <c r="AJ94">
        <v>0.14024700000000001</v>
      </c>
      <c r="AK94">
        <v>0.14067399999999999</v>
      </c>
      <c r="AL94">
        <v>0.14283299999999999</v>
      </c>
      <c r="AM94">
        <v>0.14381099999999999</v>
      </c>
      <c r="AN94">
        <v>0.14497299999999999</v>
      </c>
      <c r="AO94">
        <v>0.14615800000000001</v>
      </c>
      <c r="AP94" s="7">
        <v>-5.0000000000000001E-3</v>
      </c>
    </row>
    <row r="95" spans="1:42" x14ac:dyDescent="0.25">
      <c r="A95" t="s">
        <v>56</v>
      </c>
      <c r="B95" t="s">
        <v>120</v>
      </c>
      <c r="C95" t="s">
        <v>346</v>
      </c>
      <c r="D95" t="s">
        <v>42</v>
      </c>
      <c r="H95">
        <v>0.25097399999999997</v>
      </c>
      <c r="I95">
        <v>0.256025</v>
      </c>
      <c r="J95">
        <v>0.26167200000000002</v>
      </c>
      <c r="K95">
        <v>0.24692800000000001</v>
      </c>
      <c r="L95">
        <v>0.24362</v>
      </c>
      <c r="M95">
        <v>0.24363000000000001</v>
      </c>
      <c r="N95">
        <v>0.245617</v>
      </c>
      <c r="O95">
        <v>0.247949</v>
      </c>
      <c r="P95">
        <v>0.25017400000000001</v>
      </c>
      <c r="Q95">
        <v>0.25128499999999998</v>
      </c>
      <c r="R95">
        <v>0.251303</v>
      </c>
      <c r="S95">
        <v>0.250724</v>
      </c>
      <c r="T95">
        <v>0.25012099999999998</v>
      </c>
      <c r="U95">
        <v>0.25003199999999998</v>
      </c>
      <c r="V95">
        <v>0.249974</v>
      </c>
      <c r="W95">
        <v>0.249306</v>
      </c>
      <c r="X95">
        <v>0.24809800000000001</v>
      </c>
      <c r="Y95">
        <v>0.246837</v>
      </c>
      <c r="Z95">
        <v>0.24634800000000001</v>
      </c>
      <c r="AA95">
        <v>0.245695</v>
      </c>
      <c r="AB95">
        <v>0.245203</v>
      </c>
      <c r="AC95">
        <v>0.24554000000000001</v>
      </c>
      <c r="AD95">
        <v>0.245668</v>
      </c>
      <c r="AE95">
        <v>0.245753</v>
      </c>
      <c r="AF95">
        <v>0.246474</v>
      </c>
      <c r="AG95">
        <v>0.247419</v>
      </c>
      <c r="AH95">
        <v>0.24865399999999999</v>
      </c>
      <c r="AI95">
        <v>0.249836</v>
      </c>
      <c r="AJ95">
        <v>0.251139</v>
      </c>
      <c r="AK95">
        <v>0.25259700000000002</v>
      </c>
      <c r="AL95">
        <v>0.25422400000000001</v>
      </c>
      <c r="AM95">
        <v>0.25574599999999997</v>
      </c>
      <c r="AN95">
        <v>0.25748599999999999</v>
      </c>
      <c r="AO95">
        <v>0.25928499999999999</v>
      </c>
      <c r="AP95" s="7">
        <v>8.0000000000000002E-3</v>
      </c>
    </row>
    <row r="96" spans="1:42" x14ac:dyDescent="0.25">
      <c r="A96" t="s">
        <v>19</v>
      </c>
      <c r="B96" t="s">
        <v>119</v>
      </c>
      <c r="C96" t="s">
        <v>345</v>
      </c>
      <c r="D96" t="s">
        <v>42</v>
      </c>
      <c r="H96">
        <v>9.2999999999999997E-5</v>
      </c>
      <c r="I96">
        <v>1.92E-4</v>
      </c>
      <c r="J96">
        <v>9.8999999999999994E-5</v>
      </c>
      <c r="K96">
        <v>2.2100000000000001E-4</v>
      </c>
      <c r="L96">
        <v>2.3800000000000001E-4</v>
      </c>
      <c r="M96">
        <v>2.4499999999999999E-4</v>
      </c>
      <c r="N96">
        <v>2.5099999999999998E-4</v>
      </c>
      <c r="O96">
        <v>2.5599999999999999E-4</v>
      </c>
      <c r="P96">
        <v>2.61E-4</v>
      </c>
      <c r="Q96">
        <v>2.6400000000000002E-4</v>
      </c>
      <c r="R96">
        <v>2.6800000000000001E-4</v>
      </c>
      <c r="S96">
        <v>2.7E-4</v>
      </c>
      <c r="T96">
        <v>2.72E-4</v>
      </c>
      <c r="U96">
        <v>2.7399999999999999E-4</v>
      </c>
      <c r="V96">
        <v>2.7500000000000002E-4</v>
      </c>
      <c r="W96">
        <v>2.7500000000000002E-4</v>
      </c>
      <c r="X96">
        <v>2.7399999999999999E-4</v>
      </c>
      <c r="Y96">
        <v>2.7399999999999999E-4</v>
      </c>
      <c r="Z96">
        <v>2.7700000000000001E-4</v>
      </c>
      <c r="AA96">
        <v>2.8200000000000002E-4</v>
      </c>
      <c r="AB96">
        <v>2.8899999999999998E-4</v>
      </c>
      <c r="AC96">
        <v>2.99E-4</v>
      </c>
      <c r="AD96">
        <v>3.0899999999999998E-4</v>
      </c>
      <c r="AE96">
        <v>3.2299999999999999E-4</v>
      </c>
      <c r="AF96">
        <v>3.3799999999999998E-4</v>
      </c>
      <c r="AG96">
        <v>3.5500000000000001E-4</v>
      </c>
      <c r="AH96">
        <v>3.7800000000000003E-4</v>
      </c>
      <c r="AI96">
        <v>3.97E-4</v>
      </c>
      <c r="AJ96">
        <v>4.17E-4</v>
      </c>
      <c r="AK96">
        <v>4.37E-4</v>
      </c>
      <c r="AL96">
        <v>4.5800000000000002E-4</v>
      </c>
      <c r="AM96">
        <v>4.8099999999999998E-4</v>
      </c>
      <c r="AN96">
        <v>5.0500000000000002E-4</v>
      </c>
      <c r="AO96">
        <v>5.2999999999999998E-4</v>
      </c>
      <c r="AP96" s="7">
        <v>0.11</v>
      </c>
    </row>
    <row r="97" spans="1:42" x14ac:dyDescent="0.25">
      <c r="A97" t="s">
        <v>8</v>
      </c>
      <c r="B97" t="s">
        <v>118</v>
      </c>
      <c r="C97" t="s">
        <v>344</v>
      </c>
      <c r="D97" t="s">
        <v>42</v>
      </c>
      <c r="H97">
        <v>1.416317</v>
      </c>
      <c r="I97">
        <v>1.405308</v>
      </c>
      <c r="J97">
        <v>1.3741989999999999</v>
      </c>
      <c r="K97">
        <v>1.376155</v>
      </c>
      <c r="L97">
        <v>1.364789</v>
      </c>
      <c r="M97">
        <v>1.3422240000000001</v>
      </c>
      <c r="N97">
        <v>1.3577600000000001</v>
      </c>
      <c r="O97">
        <v>1.374492</v>
      </c>
      <c r="P97">
        <v>1.3864380000000001</v>
      </c>
      <c r="Q97">
        <v>1.386625</v>
      </c>
      <c r="R97">
        <v>1.3872150000000001</v>
      </c>
      <c r="S97">
        <v>1.392139</v>
      </c>
      <c r="T97">
        <v>1.3977489999999999</v>
      </c>
      <c r="U97">
        <v>1.3971420000000001</v>
      </c>
      <c r="V97">
        <v>1.3991100000000001</v>
      </c>
      <c r="W97">
        <v>1.4041170000000001</v>
      </c>
      <c r="X97">
        <v>1.411052</v>
      </c>
      <c r="Y97">
        <v>1.4212579999999999</v>
      </c>
      <c r="Z97">
        <v>1.4308920000000001</v>
      </c>
      <c r="AA97">
        <v>1.442858</v>
      </c>
      <c r="AB97">
        <v>1.454477</v>
      </c>
      <c r="AC97">
        <v>1.468323</v>
      </c>
      <c r="AD97">
        <v>1.482972</v>
      </c>
      <c r="AE97">
        <v>1.4963770000000001</v>
      </c>
      <c r="AF97">
        <v>1.5120100000000001</v>
      </c>
      <c r="AG97">
        <v>1.5279959999999999</v>
      </c>
      <c r="AH97">
        <v>1.5451790000000001</v>
      </c>
      <c r="AI97">
        <v>1.562783</v>
      </c>
      <c r="AJ97">
        <v>1.580382</v>
      </c>
      <c r="AK97">
        <v>1.5988199999999999</v>
      </c>
      <c r="AL97">
        <v>1.619516</v>
      </c>
      <c r="AM97">
        <v>1.6408959999999999</v>
      </c>
      <c r="AN97">
        <v>1.6635040000000001</v>
      </c>
      <c r="AO97">
        <v>1.6879999999999999</v>
      </c>
      <c r="AP97" s="7">
        <v>3.0000000000000001E-3</v>
      </c>
    </row>
    <row r="98" spans="1:42" x14ac:dyDescent="0.25">
      <c r="A98" t="s">
        <v>117</v>
      </c>
      <c r="B98" t="s">
        <v>116</v>
      </c>
      <c r="C98" t="s">
        <v>343</v>
      </c>
      <c r="D98" t="s">
        <v>42</v>
      </c>
      <c r="H98">
        <v>9.4579419999999992</v>
      </c>
      <c r="I98">
        <v>9.6013710000000003</v>
      </c>
      <c r="J98">
        <v>9.6055220000000006</v>
      </c>
      <c r="K98">
        <v>8.5675439999999998</v>
      </c>
      <c r="L98">
        <v>8.9437990000000003</v>
      </c>
      <c r="M98">
        <v>9.0583369999999999</v>
      </c>
      <c r="N98">
        <v>9.1423629999999996</v>
      </c>
      <c r="O98">
        <v>9.1842819999999996</v>
      </c>
      <c r="P98">
        <v>9.2176740000000006</v>
      </c>
      <c r="Q98">
        <v>9.240964</v>
      </c>
      <c r="R98">
        <v>9.2251740000000009</v>
      </c>
      <c r="S98">
        <v>9.250572</v>
      </c>
      <c r="T98">
        <v>9.2581710000000008</v>
      </c>
      <c r="U98">
        <v>9.1679639999999996</v>
      </c>
      <c r="V98">
        <v>9.1683699999999995</v>
      </c>
      <c r="W98">
        <v>9.1749690000000008</v>
      </c>
      <c r="X98">
        <v>9.2027350000000006</v>
      </c>
      <c r="Y98">
        <v>9.2464359999999992</v>
      </c>
      <c r="Z98">
        <v>9.2748170000000005</v>
      </c>
      <c r="AA98">
        <v>9.3236679999999996</v>
      </c>
      <c r="AB98">
        <v>9.3713750000000005</v>
      </c>
      <c r="AC98">
        <v>9.3991520000000008</v>
      </c>
      <c r="AD98">
        <v>9.4403889999999997</v>
      </c>
      <c r="AE98">
        <v>9.4731649999999998</v>
      </c>
      <c r="AF98">
        <v>9.5310670000000002</v>
      </c>
      <c r="AG98">
        <v>9.5779010000000007</v>
      </c>
      <c r="AH98">
        <v>9.6378850000000007</v>
      </c>
      <c r="AI98">
        <v>9.6850039999999993</v>
      </c>
      <c r="AJ98">
        <v>9.7318230000000003</v>
      </c>
      <c r="AK98">
        <v>9.8025669999999998</v>
      </c>
      <c r="AL98">
        <v>9.8655279999999994</v>
      </c>
      <c r="AM98">
        <v>9.9277650000000008</v>
      </c>
      <c r="AN98">
        <v>9.9804490000000001</v>
      </c>
      <c r="AO98">
        <v>10.041266</v>
      </c>
      <c r="AP98" s="7">
        <v>1E-3</v>
      </c>
    </row>
    <row r="99" spans="1:42" x14ac:dyDescent="0.25">
      <c r="A99" t="s">
        <v>115</v>
      </c>
      <c r="B99" t="s">
        <v>114</v>
      </c>
      <c r="C99" t="s">
        <v>342</v>
      </c>
      <c r="D99" t="s">
        <v>42</v>
      </c>
      <c r="H99">
        <v>2.1446800000000001</v>
      </c>
      <c r="I99">
        <v>2.1816170000000001</v>
      </c>
      <c r="J99">
        <v>2.0417990000000001</v>
      </c>
      <c r="K99">
        <v>1.9491959999999999</v>
      </c>
      <c r="L99">
        <v>1.896423</v>
      </c>
      <c r="M99">
        <v>1.968091</v>
      </c>
      <c r="N99">
        <v>1.979063</v>
      </c>
      <c r="O99">
        <v>1.9262520000000001</v>
      </c>
      <c r="P99">
        <v>1.890258</v>
      </c>
      <c r="Q99">
        <v>1.7529129999999999</v>
      </c>
      <c r="R99">
        <v>1.756445</v>
      </c>
      <c r="S99">
        <v>1.761128</v>
      </c>
      <c r="T99">
        <v>1.7841959999999999</v>
      </c>
      <c r="U99">
        <v>1.7313639999999999</v>
      </c>
      <c r="V99">
        <v>1.658603</v>
      </c>
      <c r="W99">
        <v>1.6223460000000001</v>
      </c>
      <c r="X99">
        <v>1.6224080000000001</v>
      </c>
      <c r="Y99">
        <v>1.6309530000000001</v>
      </c>
      <c r="Z99">
        <v>1.647044</v>
      </c>
      <c r="AA99">
        <v>1.655932</v>
      </c>
      <c r="AB99">
        <v>1.649284</v>
      </c>
      <c r="AC99">
        <v>1.6492789999999999</v>
      </c>
      <c r="AD99">
        <v>1.649867</v>
      </c>
      <c r="AE99">
        <v>1.6715679999999999</v>
      </c>
      <c r="AF99">
        <v>1.6880729999999999</v>
      </c>
      <c r="AG99">
        <v>1.6943999999999999</v>
      </c>
      <c r="AH99">
        <v>1.7094769999999999</v>
      </c>
      <c r="AI99">
        <v>1.750896</v>
      </c>
      <c r="AJ99">
        <v>1.8269439999999999</v>
      </c>
      <c r="AK99">
        <v>1.876036</v>
      </c>
      <c r="AL99">
        <v>1.871041</v>
      </c>
      <c r="AM99">
        <v>1.8816889999999999</v>
      </c>
      <c r="AN99">
        <v>1.904053</v>
      </c>
      <c r="AO99">
        <v>1.9243220000000001</v>
      </c>
      <c r="AP99" s="7">
        <v>1E-3</v>
      </c>
    </row>
    <row r="100" spans="1:42" x14ac:dyDescent="0.25">
      <c r="A100" t="s">
        <v>29</v>
      </c>
      <c r="B100" t="s">
        <v>113</v>
      </c>
      <c r="C100" t="s">
        <v>341</v>
      </c>
      <c r="D100" t="s">
        <v>42</v>
      </c>
      <c r="H100">
        <v>11.602620999999999</v>
      </c>
      <c r="I100">
        <v>11.782988</v>
      </c>
      <c r="J100">
        <v>11.647321</v>
      </c>
      <c r="K100">
        <v>10.51674</v>
      </c>
      <c r="L100">
        <v>10.840221</v>
      </c>
      <c r="M100">
        <v>11.026427999999999</v>
      </c>
      <c r="N100">
        <v>11.121426</v>
      </c>
      <c r="O100">
        <v>11.110535</v>
      </c>
      <c r="P100">
        <v>11.107932</v>
      </c>
      <c r="Q100">
        <v>10.993876</v>
      </c>
      <c r="R100">
        <v>10.981619</v>
      </c>
      <c r="S100">
        <v>11.011701</v>
      </c>
      <c r="T100">
        <v>11.042367</v>
      </c>
      <c r="U100">
        <v>10.899328000000001</v>
      </c>
      <c r="V100">
        <v>10.826973000000001</v>
      </c>
      <c r="W100">
        <v>10.797314999999999</v>
      </c>
      <c r="X100">
        <v>10.825143000000001</v>
      </c>
      <c r="Y100">
        <v>10.877389000000001</v>
      </c>
      <c r="Z100">
        <v>10.921861</v>
      </c>
      <c r="AA100">
        <v>10.979599</v>
      </c>
      <c r="AB100">
        <v>11.020659</v>
      </c>
      <c r="AC100">
        <v>11.04843</v>
      </c>
      <c r="AD100">
        <v>11.090256</v>
      </c>
      <c r="AE100">
        <v>11.144731999999999</v>
      </c>
      <c r="AF100">
        <v>11.219139</v>
      </c>
      <c r="AG100">
        <v>11.272301000000001</v>
      </c>
      <c r="AH100">
        <v>11.347362</v>
      </c>
      <c r="AI100">
        <v>11.4359</v>
      </c>
      <c r="AJ100">
        <v>11.558767</v>
      </c>
      <c r="AK100">
        <v>11.678603000000001</v>
      </c>
      <c r="AL100">
        <v>11.736568</v>
      </c>
      <c r="AM100">
        <v>11.809454000000001</v>
      </c>
      <c r="AN100">
        <v>11.884501</v>
      </c>
      <c r="AO100">
        <v>11.965589</v>
      </c>
      <c r="AP100" s="7">
        <v>1E-3</v>
      </c>
    </row>
    <row r="101" spans="1:42" x14ac:dyDescent="0.25">
      <c r="A101" t="s">
        <v>112</v>
      </c>
      <c r="C101" t="s">
        <v>340</v>
      </c>
    </row>
    <row r="102" spans="1:42" x14ac:dyDescent="0.25">
      <c r="A102" t="s">
        <v>91</v>
      </c>
      <c r="B102" t="s">
        <v>111</v>
      </c>
      <c r="C102" t="s">
        <v>339</v>
      </c>
      <c r="D102" t="s">
        <v>42</v>
      </c>
      <c r="H102">
        <v>1.772E-2</v>
      </c>
      <c r="I102">
        <v>1.7597000000000002E-2</v>
      </c>
      <c r="J102">
        <v>1.7128999999999998E-2</v>
      </c>
      <c r="K102">
        <v>1.7680999999999999E-2</v>
      </c>
      <c r="L102">
        <v>1.7013E-2</v>
      </c>
      <c r="M102">
        <v>1.6553999999999999E-2</v>
      </c>
      <c r="N102">
        <v>1.6648E-2</v>
      </c>
      <c r="O102">
        <v>1.6645E-2</v>
      </c>
      <c r="P102">
        <v>1.6552999999999998E-2</v>
      </c>
      <c r="Q102">
        <v>1.6284E-2</v>
      </c>
      <c r="R102">
        <v>1.609E-2</v>
      </c>
      <c r="S102">
        <v>1.5949999999999999E-2</v>
      </c>
      <c r="T102">
        <v>1.5796999999999999E-2</v>
      </c>
      <c r="U102">
        <v>1.5675999999999999E-2</v>
      </c>
      <c r="V102">
        <v>1.5599E-2</v>
      </c>
      <c r="W102">
        <v>1.5546000000000001E-2</v>
      </c>
      <c r="X102">
        <v>1.5505E-2</v>
      </c>
      <c r="Y102">
        <v>1.5476E-2</v>
      </c>
      <c r="Z102">
        <v>1.546E-2</v>
      </c>
      <c r="AA102">
        <v>1.5297E-2</v>
      </c>
      <c r="AB102">
        <v>1.5129999999999999E-2</v>
      </c>
      <c r="AC102">
        <v>1.4973E-2</v>
      </c>
      <c r="AD102">
        <v>1.4862999999999999E-2</v>
      </c>
      <c r="AE102">
        <v>1.4756999999999999E-2</v>
      </c>
      <c r="AF102">
        <v>1.4234E-2</v>
      </c>
      <c r="AG102">
        <v>1.3735000000000001E-2</v>
      </c>
      <c r="AH102">
        <v>1.3221E-2</v>
      </c>
      <c r="AI102">
        <v>1.2708000000000001E-2</v>
      </c>
      <c r="AJ102">
        <v>1.218E-2</v>
      </c>
      <c r="AK102">
        <v>1.2298999999999999E-2</v>
      </c>
      <c r="AL102">
        <v>1.2453000000000001E-2</v>
      </c>
      <c r="AM102">
        <v>1.2616E-2</v>
      </c>
      <c r="AN102">
        <v>1.2788000000000001E-2</v>
      </c>
      <c r="AO102">
        <v>1.2975E-2</v>
      </c>
      <c r="AP102" s="7">
        <v>-1.4E-2</v>
      </c>
    </row>
    <row r="103" spans="1:42" x14ac:dyDescent="0.25">
      <c r="A103" t="s">
        <v>89</v>
      </c>
      <c r="B103" t="s">
        <v>110</v>
      </c>
      <c r="C103" t="s">
        <v>338</v>
      </c>
      <c r="D103" t="s">
        <v>42</v>
      </c>
      <c r="H103">
        <v>5.6840000000000002E-2</v>
      </c>
      <c r="I103">
        <v>3.9690999999999997E-2</v>
      </c>
      <c r="J103">
        <v>3.7597999999999999E-2</v>
      </c>
      <c r="K103">
        <v>2.8072E-2</v>
      </c>
      <c r="L103">
        <v>2.7210000000000002E-2</v>
      </c>
      <c r="M103">
        <v>2.6161E-2</v>
      </c>
      <c r="N103">
        <v>2.5857999999999999E-2</v>
      </c>
      <c r="O103">
        <v>2.5559999999999999E-2</v>
      </c>
      <c r="P103">
        <v>2.5165E-2</v>
      </c>
      <c r="Q103">
        <v>2.4545000000000001E-2</v>
      </c>
      <c r="R103">
        <v>2.3938999999999998E-2</v>
      </c>
      <c r="S103">
        <v>2.3399E-2</v>
      </c>
      <c r="T103">
        <v>2.2872E-2</v>
      </c>
      <c r="U103">
        <v>2.2232999999999999E-2</v>
      </c>
      <c r="V103">
        <v>2.1921E-2</v>
      </c>
      <c r="W103">
        <v>2.1655000000000001E-2</v>
      </c>
      <c r="X103">
        <v>2.1420000000000002E-2</v>
      </c>
      <c r="Y103">
        <v>2.1221E-2</v>
      </c>
      <c r="Z103">
        <v>2.1021000000000001E-2</v>
      </c>
      <c r="AA103">
        <v>2.0412E-2</v>
      </c>
      <c r="AB103">
        <v>1.9800999999999999E-2</v>
      </c>
      <c r="AC103">
        <v>1.9203000000000001E-2</v>
      </c>
      <c r="AD103">
        <v>1.8592999999999998E-2</v>
      </c>
      <c r="AE103">
        <v>1.7961999999999999E-2</v>
      </c>
      <c r="AF103">
        <v>1.6028000000000001E-2</v>
      </c>
      <c r="AG103">
        <v>1.4048E-2</v>
      </c>
      <c r="AH103">
        <v>1.204E-2</v>
      </c>
      <c r="AI103">
        <v>9.979E-3</v>
      </c>
      <c r="AJ103">
        <v>7.8820000000000001E-3</v>
      </c>
      <c r="AK103">
        <v>7.9679999999999994E-3</v>
      </c>
      <c r="AL103">
        <v>8.0700000000000008E-3</v>
      </c>
      <c r="AM103">
        <v>8.1779999999999995E-3</v>
      </c>
      <c r="AN103">
        <v>8.2920000000000008E-3</v>
      </c>
      <c r="AO103">
        <v>8.4130000000000003E-3</v>
      </c>
      <c r="AP103" s="7">
        <v>-4.3999999999999997E-2</v>
      </c>
    </row>
    <row r="104" spans="1:42" x14ac:dyDescent="0.25">
      <c r="A104" t="s">
        <v>83</v>
      </c>
      <c r="B104" t="s">
        <v>109</v>
      </c>
      <c r="C104" t="s">
        <v>337</v>
      </c>
      <c r="D104" t="s">
        <v>42</v>
      </c>
      <c r="H104">
        <v>7.4560000000000001E-2</v>
      </c>
      <c r="I104">
        <v>5.7287999999999999E-2</v>
      </c>
      <c r="J104">
        <v>5.4725999999999997E-2</v>
      </c>
      <c r="K104">
        <v>4.5753000000000002E-2</v>
      </c>
      <c r="L104">
        <v>4.4222999999999998E-2</v>
      </c>
      <c r="M104">
        <v>4.2714000000000002E-2</v>
      </c>
      <c r="N104">
        <v>4.2506000000000002E-2</v>
      </c>
      <c r="O104">
        <v>4.2204999999999999E-2</v>
      </c>
      <c r="P104">
        <v>4.1717999999999998E-2</v>
      </c>
      <c r="Q104">
        <v>4.0828999999999997E-2</v>
      </c>
      <c r="R104">
        <v>4.0029000000000002E-2</v>
      </c>
      <c r="S104">
        <v>3.9349000000000002E-2</v>
      </c>
      <c r="T104">
        <v>3.8669000000000002E-2</v>
      </c>
      <c r="U104">
        <v>3.7909999999999999E-2</v>
      </c>
      <c r="V104">
        <v>3.7519999999999998E-2</v>
      </c>
      <c r="W104">
        <v>3.7200999999999998E-2</v>
      </c>
      <c r="X104">
        <v>3.6924999999999999E-2</v>
      </c>
      <c r="Y104">
        <v>3.6697E-2</v>
      </c>
      <c r="Z104">
        <v>3.6481E-2</v>
      </c>
      <c r="AA104">
        <v>3.5708999999999998E-2</v>
      </c>
      <c r="AB104">
        <v>3.4930999999999997E-2</v>
      </c>
      <c r="AC104">
        <v>3.4175999999999998E-2</v>
      </c>
      <c r="AD104">
        <v>3.3454999999999999E-2</v>
      </c>
      <c r="AE104">
        <v>3.2719999999999999E-2</v>
      </c>
      <c r="AF104">
        <v>3.0262000000000001E-2</v>
      </c>
      <c r="AG104">
        <v>2.7782999999999999E-2</v>
      </c>
      <c r="AH104">
        <v>2.5260999999999999E-2</v>
      </c>
      <c r="AI104">
        <v>2.2686999999999999E-2</v>
      </c>
      <c r="AJ104">
        <v>2.0062E-2</v>
      </c>
      <c r="AK104">
        <v>2.0268000000000001E-2</v>
      </c>
      <c r="AL104">
        <v>2.0524000000000001E-2</v>
      </c>
      <c r="AM104">
        <v>2.0795000000000001E-2</v>
      </c>
      <c r="AN104">
        <v>2.1080000000000002E-2</v>
      </c>
      <c r="AO104">
        <v>2.1387E-2</v>
      </c>
      <c r="AP104" s="7">
        <v>-3.1E-2</v>
      </c>
    </row>
    <row r="105" spans="1:42" x14ac:dyDescent="0.25">
      <c r="A105" t="s">
        <v>10</v>
      </c>
      <c r="B105" t="s">
        <v>108</v>
      </c>
      <c r="C105" t="s">
        <v>336</v>
      </c>
      <c r="D105" t="s">
        <v>42</v>
      </c>
      <c r="H105">
        <v>0.84089999999999998</v>
      </c>
      <c r="I105">
        <v>0.87354200000000004</v>
      </c>
      <c r="J105">
        <v>0.83400300000000005</v>
      </c>
      <c r="K105">
        <v>0.84768100000000002</v>
      </c>
      <c r="L105">
        <v>0.76222800000000002</v>
      </c>
      <c r="M105">
        <v>0.74647799999999997</v>
      </c>
      <c r="N105">
        <v>0.72919</v>
      </c>
      <c r="O105">
        <v>0.72768699999999997</v>
      </c>
      <c r="P105">
        <v>0.75674399999999997</v>
      </c>
      <c r="Q105">
        <v>0.77681999999999995</v>
      </c>
      <c r="R105">
        <v>0.78416200000000003</v>
      </c>
      <c r="S105">
        <v>0.781003</v>
      </c>
      <c r="T105">
        <v>0.74800699999999998</v>
      </c>
      <c r="U105">
        <v>0.64737299999999998</v>
      </c>
      <c r="V105">
        <v>0.570909</v>
      </c>
      <c r="W105">
        <v>0.54677600000000004</v>
      </c>
      <c r="X105">
        <v>0.53958799999999996</v>
      </c>
      <c r="Y105">
        <v>0.534385</v>
      </c>
      <c r="Z105">
        <v>0.53980499999999998</v>
      </c>
      <c r="AA105">
        <v>0.54683199999999998</v>
      </c>
      <c r="AB105">
        <v>0.53409700000000004</v>
      </c>
      <c r="AC105">
        <v>0.54399799999999998</v>
      </c>
      <c r="AD105">
        <v>0.55442899999999995</v>
      </c>
      <c r="AE105">
        <v>0.56457999999999997</v>
      </c>
      <c r="AF105">
        <v>0.57162400000000002</v>
      </c>
      <c r="AG105">
        <v>0.58524100000000001</v>
      </c>
      <c r="AH105">
        <v>0.58799000000000001</v>
      </c>
      <c r="AI105">
        <v>0.59642099999999998</v>
      </c>
      <c r="AJ105">
        <v>0.62204300000000001</v>
      </c>
      <c r="AK105">
        <v>0.63908500000000001</v>
      </c>
      <c r="AL105">
        <v>0.63341000000000003</v>
      </c>
      <c r="AM105">
        <v>0.64989600000000003</v>
      </c>
      <c r="AN105">
        <v>0.67501500000000003</v>
      </c>
      <c r="AO105">
        <v>0.69107300000000005</v>
      </c>
      <c r="AP105" s="7">
        <v>-0.01</v>
      </c>
    </row>
    <row r="106" spans="1:42" x14ac:dyDescent="0.25">
      <c r="A106" t="s">
        <v>107</v>
      </c>
      <c r="B106" t="s">
        <v>106</v>
      </c>
      <c r="C106" t="s">
        <v>335</v>
      </c>
      <c r="D106" t="s">
        <v>42</v>
      </c>
      <c r="H106">
        <v>0.10199999999999999</v>
      </c>
      <c r="I106">
        <v>0.13295299999999999</v>
      </c>
      <c r="J106">
        <v>0.10713</v>
      </c>
      <c r="K106">
        <v>8.1876000000000004E-2</v>
      </c>
      <c r="L106">
        <v>5.5243E-2</v>
      </c>
      <c r="M106">
        <v>5.2753000000000001E-2</v>
      </c>
      <c r="N106">
        <v>5.0581000000000001E-2</v>
      </c>
      <c r="O106">
        <v>5.1288E-2</v>
      </c>
      <c r="P106">
        <v>5.4774000000000003E-2</v>
      </c>
      <c r="Q106">
        <v>1.8971999999999999E-2</v>
      </c>
      <c r="R106">
        <v>1.8782E-2</v>
      </c>
      <c r="S106">
        <v>1.8648000000000001E-2</v>
      </c>
      <c r="T106">
        <v>1.8523999999999999E-2</v>
      </c>
      <c r="U106">
        <v>1.8311999999999998E-2</v>
      </c>
      <c r="V106">
        <v>1.8227E-2</v>
      </c>
      <c r="W106">
        <v>1.8182E-2</v>
      </c>
      <c r="X106">
        <v>1.8161E-2</v>
      </c>
      <c r="Y106">
        <v>1.8176999999999999E-2</v>
      </c>
      <c r="Z106">
        <v>1.8193000000000001E-2</v>
      </c>
      <c r="AA106">
        <v>1.8088E-2</v>
      </c>
      <c r="AB106">
        <v>1.7987E-2</v>
      </c>
      <c r="AC106">
        <v>1.7906999999999999E-2</v>
      </c>
      <c r="AD106">
        <v>1.7825000000000001E-2</v>
      </c>
      <c r="AE106">
        <v>1.7732999999999999E-2</v>
      </c>
      <c r="AF106">
        <v>1.7232999999999998E-2</v>
      </c>
      <c r="AG106">
        <v>1.6723999999999999E-2</v>
      </c>
      <c r="AH106">
        <v>1.6216000000000001E-2</v>
      </c>
      <c r="AI106">
        <v>1.5692999999999999E-2</v>
      </c>
      <c r="AJ106">
        <v>1.5162E-2</v>
      </c>
      <c r="AK106">
        <v>1.5334E-2</v>
      </c>
      <c r="AL106">
        <v>1.5531E-2</v>
      </c>
      <c r="AM106">
        <v>1.5739E-2</v>
      </c>
      <c r="AN106">
        <v>1.5956999999999999E-2</v>
      </c>
      <c r="AO106">
        <v>1.6188999999999999E-2</v>
      </c>
      <c r="AP106" s="7">
        <v>-7.0999999999999994E-2</v>
      </c>
    </row>
    <row r="107" spans="1:42" x14ac:dyDescent="0.25">
      <c r="A107" t="s">
        <v>60</v>
      </c>
      <c r="B107" t="s">
        <v>105</v>
      </c>
      <c r="C107" t="s">
        <v>334</v>
      </c>
      <c r="D107" t="s">
        <v>42</v>
      </c>
      <c r="H107">
        <v>0.28512100000000001</v>
      </c>
      <c r="I107">
        <v>0.28783300000000001</v>
      </c>
      <c r="J107">
        <v>0.28642200000000001</v>
      </c>
      <c r="K107">
        <v>0.27961599999999998</v>
      </c>
      <c r="L107">
        <v>0.27477499999999999</v>
      </c>
      <c r="M107">
        <v>0.27894200000000002</v>
      </c>
      <c r="N107">
        <v>0.28310800000000003</v>
      </c>
      <c r="O107">
        <v>0.28310800000000003</v>
      </c>
      <c r="P107">
        <v>0.18803</v>
      </c>
      <c r="Q107">
        <v>9.5765000000000003E-2</v>
      </c>
      <c r="R107">
        <v>9.5765000000000003E-2</v>
      </c>
      <c r="S107">
        <v>9.5765000000000003E-2</v>
      </c>
      <c r="T107">
        <v>9.5765000000000003E-2</v>
      </c>
      <c r="U107">
        <v>9.5765000000000003E-2</v>
      </c>
      <c r="V107">
        <v>9.5765000000000003E-2</v>
      </c>
      <c r="W107">
        <v>9.5765000000000003E-2</v>
      </c>
      <c r="X107">
        <v>9.5765000000000003E-2</v>
      </c>
      <c r="Y107">
        <v>9.5765000000000003E-2</v>
      </c>
      <c r="Z107">
        <v>9.5765000000000003E-2</v>
      </c>
      <c r="AA107">
        <v>9.5765000000000003E-2</v>
      </c>
      <c r="AB107">
        <v>9.5765000000000003E-2</v>
      </c>
      <c r="AC107">
        <v>9.5765000000000003E-2</v>
      </c>
      <c r="AD107">
        <v>9.5765000000000003E-2</v>
      </c>
      <c r="AE107">
        <v>9.5765000000000003E-2</v>
      </c>
      <c r="AF107">
        <v>9.5765000000000003E-2</v>
      </c>
      <c r="AG107">
        <v>9.5765000000000003E-2</v>
      </c>
      <c r="AH107">
        <v>9.5765000000000003E-2</v>
      </c>
      <c r="AI107">
        <v>9.5765000000000003E-2</v>
      </c>
      <c r="AJ107">
        <v>9.5765000000000003E-2</v>
      </c>
      <c r="AK107">
        <v>9.5765000000000003E-2</v>
      </c>
      <c r="AL107">
        <v>9.5765000000000003E-2</v>
      </c>
      <c r="AM107">
        <v>9.5765000000000003E-2</v>
      </c>
      <c r="AN107">
        <v>9.5765000000000003E-2</v>
      </c>
      <c r="AO107">
        <v>9.5765000000000003E-2</v>
      </c>
      <c r="AP107" s="7">
        <v>-3.2000000000000001E-2</v>
      </c>
    </row>
    <row r="108" spans="1:42" x14ac:dyDescent="0.25">
      <c r="A108" t="s">
        <v>56</v>
      </c>
      <c r="B108" t="s">
        <v>104</v>
      </c>
      <c r="C108" t="s">
        <v>333</v>
      </c>
      <c r="D108" t="s">
        <v>42</v>
      </c>
      <c r="H108">
        <v>2.237088</v>
      </c>
      <c r="I108">
        <v>2.2146520000000001</v>
      </c>
      <c r="J108">
        <v>2.1159949999999998</v>
      </c>
      <c r="K108">
        <v>2.0615480000000002</v>
      </c>
      <c r="L108">
        <v>2.115713</v>
      </c>
      <c r="M108">
        <v>2.1806320000000001</v>
      </c>
      <c r="N108">
        <v>2.2227540000000001</v>
      </c>
      <c r="O108">
        <v>2.1876259999999998</v>
      </c>
      <c r="P108">
        <v>2.226801</v>
      </c>
      <c r="Q108">
        <v>2.1984319999999999</v>
      </c>
      <c r="R108">
        <v>2.1959110000000002</v>
      </c>
      <c r="S108">
        <v>2.2093340000000001</v>
      </c>
      <c r="T108">
        <v>2.2718639999999999</v>
      </c>
      <c r="U108">
        <v>2.3198409999999998</v>
      </c>
      <c r="V108">
        <v>2.326206</v>
      </c>
      <c r="W108">
        <v>2.3192590000000002</v>
      </c>
      <c r="X108">
        <v>2.3337819999999998</v>
      </c>
      <c r="Y108">
        <v>2.3577780000000002</v>
      </c>
      <c r="Z108">
        <v>2.378323</v>
      </c>
      <c r="AA108">
        <v>2.3931290000000001</v>
      </c>
      <c r="AB108">
        <v>2.4117679999999999</v>
      </c>
      <c r="AC108">
        <v>2.4165730000000001</v>
      </c>
      <c r="AD108">
        <v>2.4221650000000001</v>
      </c>
      <c r="AE108">
        <v>2.4479920000000002</v>
      </c>
      <c r="AF108">
        <v>2.4761150000000001</v>
      </c>
      <c r="AG108">
        <v>2.4878680000000002</v>
      </c>
      <c r="AH108">
        <v>2.520438</v>
      </c>
      <c r="AI108">
        <v>2.5741540000000001</v>
      </c>
      <c r="AJ108">
        <v>2.645381</v>
      </c>
      <c r="AK108">
        <v>2.695519</v>
      </c>
      <c r="AL108">
        <v>2.7164709999999999</v>
      </c>
      <c r="AM108">
        <v>2.7315429999999998</v>
      </c>
      <c r="AN108">
        <v>2.7509839999999999</v>
      </c>
      <c r="AO108">
        <v>2.7791779999999999</v>
      </c>
      <c r="AP108" s="7">
        <v>0.01</v>
      </c>
    </row>
    <row r="109" spans="1:42" x14ac:dyDescent="0.25">
      <c r="A109" t="s">
        <v>53</v>
      </c>
      <c r="B109" t="s">
        <v>103</v>
      </c>
      <c r="C109" t="s">
        <v>332</v>
      </c>
      <c r="D109" t="s">
        <v>42</v>
      </c>
      <c r="H109">
        <v>5.5599999999999998E-3</v>
      </c>
      <c r="I109">
        <v>5.5599999999999998E-3</v>
      </c>
      <c r="J109">
        <v>5.2700000000000004E-3</v>
      </c>
      <c r="K109">
        <v>5.5420000000000001E-3</v>
      </c>
      <c r="L109">
        <v>5.5420000000000001E-3</v>
      </c>
      <c r="M109">
        <v>5.5420000000000001E-3</v>
      </c>
      <c r="N109">
        <v>5.5420000000000001E-3</v>
      </c>
      <c r="O109">
        <v>5.5420000000000001E-3</v>
      </c>
      <c r="P109">
        <v>5.5420000000000001E-3</v>
      </c>
      <c r="Q109">
        <v>5.5420000000000001E-3</v>
      </c>
      <c r="R109">
        <v>5.5420000000000001E-3</v>
      </c>
      <c r="S109">
        <v>5.5420000000000001E-3</v>
      </c>
      <c r="T109">
        <v>5.5420000000000001E-3</v>
      </c>
      <c r="U109">
        <v>5.5420000000000001E-3</v>
      </c>
      <c r="V109">
        <v>5.5420000000000001E-3</v>
      </c>
      <c r="W109">
        <v>5.5420000000000001E-3</v>
      </c>
      <c r="X109">
        <v>5.5420000000000001E-3</v>
      </c>
      <c r="Y109">
        <v>5.5420000000000001E-3</v>
      </c>
      <c r="Z109">
        <v>5.5420000000000001E-3</v>
      </c>
      <c r="AA109">
        <v>5.5420000000000001E-3</v>
      </c>
      <c r="AB109">
        <v>5.5420000000000001E-3</v>
      </c>
      <c r="AC109">
        <v>5.5420000000000001E-3</v>
      </c>
      <c r="AD109">
        <v>5.5420000000000001E-3</v>
      </c>
      <c r="AE109">
        <v>5.5420000000000001E-3</v>
      </c>
      <c r="AF109">
        <v>5.5420000000000001E-3</v>
      </c>
      <c r="AG109">
        <v>5.5420000000000001E-3</v>
      </c>
      <c r="AH109">
        <v>5.5420000000000001E-3</v>
      </c>
      <c r="AI109">
        <v>5.5420000000000001E-3</v>
      </c>
      <c r="AJ109">
        <v>5.5420000000000001E-3</v>
      </c>
      <c r="AK109">
        <v>5.5420000000000001E-3</v>
      </c>
      <c r="AL109">
        <v>5.5420000000000001E-3</v>
      </c>
      <c r="AM109">
        <v>5.5420000000000001E-3</v>
      </c>
      <c r="AN109">
        <v>5.5420000000000001E-3</v>
      </c>
      <c r="AO109">
        <v>5.5420000000000001E-3</v>
      </c>
      <c r="AP109" s="7">
        <v>0</v>
      </c>
    </row>
    <row r="110" spans="1:42" x14ac:dyDescent="0.25">
      <c r="A110" t="s">
        <v>51</v>
      </c>
      <c r="B110" t="s">
        <v>102</v>
      </c>
      <c r="C110" t="s">
        <v>331</v>
      </c>
      <c r="D110" t="s">
        <v>42</v>
      </c>
      <c r="H110">
        <v>1.5768999999999998E-2</v>
      </c>
      <c r="I110">
        <v>1.5095000000000001E-2</v>
      </c>
      <c r="J110">
        <v>1.2452E-2</v>
      </c>
      <c r="K110">
        <v>3.336E-3</v>
      </c>
      <c r="L110">
        <v>3.4880000000000002E-3</v>
      </c>
      <c r="M110">
        <v>3.2539999999999999E-3</v>
      </c>
      <c r="N110">
        <v>3.1419999999999998E-3</v>
      </c>
      <c r="O110">
        <v>3.287E-3</v>
      </c>
      <c r="P110">
        <v>3.0860000000000002E-3</v>
      </c>
      <c r="Q110">
        <v>3.179E-3</v>
      </c>
      <c r="R110">
        <v>3.4680000000000002E-3</v>
      </c>
      <c r="S110">
        <v>3.6280000000000001E-3</v>
      </c>
      <c r="T110">
        <v>3.5729999999999998E-3</v>
      </c>
      <c r="U110">
        <v>3.764E-3</v>
      </c>
      <c r="V110">
        <v>3.5439999999999998E-3</v>
      </c>
      <c r="W110">
        <v>3.738E-3</v>
      </c>
      <c r="X110">
        <v>3.6970000000000002E-3</v>
      </c>
      <c r="Y110">
        <v>3.8660000000000001E-3</v>
      </c>
      <c r="Z110">
        <v>3.826E-3</v>
      </c>
      <c r="AA110">
        <v>3.725E-3</v>
      </c>
      <c r="AB110">
        <v>3.6719999999999999E-3</v>
      </c>
      <c r="AC110">
        <v>3.6410000000000001E-3</v>
      </c>
      <c r="AD110">
        <v>3.6579999999999998E-3</v>
      </c>
      <c r="AE110">
        <v>3.6120000000000002E-3</v>
      </c>
      <c r="AF110">
        <v>3.542E-3</v>
      </c>
      <c r="AG110">
        <v>3.473E-3</v>
      </c>
      <c r="AH110">
        <v>3.444E-3</v>
      </c>
      <c r="AI110">
        <v>3.4160000000000002E-3</v>
      </c>
      <c r="AJ110">
        <v>3.372E-3</v>
      </c>
      <c r="AK110">
        <v>3.3430000000000001E-3</v>
      </c>
      <c r="AL110">
        <v>3.3140000000000001E-3</v>
      </c>
      <c r="AM110">
        <v>3.3050000000000002E-3</v>
      </c>
      <c r="AN110">
        <v>3.2130000000000001E-3</v>
      </c>
      <c r="AO110">
        <v>3.1879999999999999E-3</v>
      </c>
      <c r="AP110" s="7">
        <v>2E-3</v>
      </c>
    </row>
    <row r="111" spans="1:42" x14ac:dyDescent="0.25">
      <c r="A111" t="s">
        <v>29</v>
      </c>
      <c r="B111" t="s">
        <v>101</v>
      </c>
      <c r="C111" t="s">
        <v>330</v>
      </c>
      <c r="D111" t="s">
        <v>42</v>
      </c>
      <c r="H111">
        <v>3.560997</v>
      </c>
      <c r="I111">
        <v>3.5869249999999999</v>
      </c>
      <c r="J111">
        <v>3.4159980000000001</v>
      </c>
      <c r="K111">
        <v>3.3253509999999999</v>
      </c>
      <c r="L111">
        <v>3.261212</v>
      </c>
      <c r="M111">
        <v>3.3103150000000001</v>
      </c>
      <c r="N111">
        <v>3.3368229999999999</v>
      </c>
      <c r="O111">
        <v>3.3007439999999999</v>
      </c>
      <c r="P111">
        <v>3.2766959999999998</v>
      </c>
      <c r="Q111">
        <v>3.1395379999999999</v>
      </c>
      <c r="R111">
        <v>3.1436600000000001</v>
      </c>
      <c r="S111">
        <v>3.153267</v>
      </c>
      <c r="T111">
        <v>3.1819449999999998</v>
      </c>
      <c r="U111">
        <v>3.1285059999999998</v>
      </c>
      <c r="V111">
        <v>3.0577130000000001</v>
      </c>
      <c r="W111">
        <v>3.0264630000000001</v>
      </c>
      <c r="X111">
        <v>3.033461</v>
      </c>
      <c r="Y111">
        <v>3.0522100000000001</v>
      </c>
      <c r="Z111">
        <v>3.0779350000000001</v>
      </c>
      <c r="AA111">
        <v>3.0987900000000002</v>
      </c>
      <c r="AB111">
        <v>3.103761</v>
      </c>
      <c r="AC111">
        <v>3.1176020000000002</v>
      </c>
      <c r="AD111">
        <v>3.1328390000000002</v>
      </c>
      <c r="AE111">
        <v>3.1679439999999999</v>
      </c>
      <c r="AF111">
        <v>3.2000829999999998</v>
      </c>
      <c r="AG111">
        <v>3.2223959999999998</v>
      </c>
      <c r="AH111">
        <v>3.2546560000000002</v>
      </c>
      <c r="AI111">
        <v>3.313679</v>
      </c>
      <c r="AJ111">
        <v>3.4073259999999999</v>
      </c>
      <c r="AK111">
        <v>3.4748559999999999</v>
      </c>
      <c r="AL111">
        <v>3.4905560000000002</v>
      </c>
      <c r="AM111">
        <v>3.5225849999999999</v>
      </c>
      <c r="AN111">
        <v>3.5675569999999999</v>
      </c>
      <c r="AO111">
        <v>3.6123219999999998</v>
      </c>
      <c r="AP111" s="7">
        <v>2E-3</v>
      </c>
    </row>
    <row r="112" spans="1:42" x14ac:dyDescent="0.25">
      <c r="A112" t="s">
        <v>100</v>
      </c>
      <c r="C112" t="s">
        <v>329</v>
      </c>
    </row>
    <row r="113" spans="1:42" x14ac:dyDescent="0.25">
      <c r="A113" t="s">
        <v>99</v>
      </c>
      <c r="B113" t="s">
        <v>98</v>
      </c>
      <c r="C113" t="s">
        <v>328</v>
      </c>
      <c r="D113" t="s">
        <v>42</v>
      </c>
      <c r="H113">
        <v>8.4312999999999999E-2</v>
      </c>
      <c r="I113">
        <v>9.3257999999999994E-2</v>
      </c>
      <c r="J113">
        <v>0.104336</v>
      </c>
      <c r="K113">
        <v>9.8833000000000004E-2</v>
      </c>
      <c r="L113">
        <v>9.4957E-2</v>
      </c>
      <c r="M113">
        <v>8.9389999999999997E-2</v>
      </c>
      <c r="N113">
        <v>8.9347999999999997E-2</v>
      </c>
      <c r="O113">
        <v>8.8530999999999999E-2</v>
      </c>
      <c r="P113">
        <v>8.8077000000000003E-2</v>
      </c>
      <c r="Q113">
        <v>8.8058999999999998E-2</v>
      </c>
      <c r="R113">
        <v>8.8137999999999994E-2</v>
      </c>
      <c r="S113">
        <v>8.8152999999999995E-2</v>
      </c>
      <c r="T113">
        <v>8.8301000000000004E-2</v>
      </c>
      <c r="U113">
        <v>8.8231000000000004E-2</v>
      </c>
      <c r="V113">
        <v>8.8276999999999994E-2</v>
      </c>
      <c r="W113">
        <v>8.8402999999999995E-2</v>
      </c>
      <c r="X113">
        <v>8.8681999999999997E-2</v>
      </c>
      <c r="Y113">
        <v>8.9039999999999994E-2</v>
      </c>
      <c r="Z113">
        <v>8.9427999999999994E-2</v>
      </c>
      <c r="AA113">
        <v>8.9746999999999993E-2</v>
      </c>
      <c r="AB113">
        <v>9.0064000000000005E-2</v>
      </c>
      <c r="AC113">
        <v>9.0409000000000003E-2</v>
      </c>
      <c r="AD113">
        <v>9.0748999999999996E-2</v>
      </c>
      <c r="AE113">
        <v>9.0998999999999997E-2</v>
      </c>
      <c r="AF113">
        <v>9.1375999999999999E-2</v>
      </c>
      <c r="AG113">
        <v>9.1855999999999993E-2</v>
      </c>
      <c r="AH113">
        <v>9.2337000000000002E-2</v>
      </c>
      <c r="AI113">
        <v>9.2845999999999998E-2</v>
      </c>
      <c r="AJ113">
        <v>9.3441999999999997E-2</v>
      </c>
      <c r="AK113">
        <v>9.3954999999999997E-2</v>
      </c>
      <c r="AL113">
        <v>9.4489000000000004E-2</v>
      </c>
      <c r="AM113">
        <v>9.5089000000000007E-2</v>
      </c>
      <c r="AN113">
        <v>9.5801999999999998E-2</v>
      </c>
      <c r="AO113">
        <v>9.6521999999999997E-2</v>
      </c>
      <c r="AP113" s="7">
        <v>-8.0000000000000002E-3</v>
      </c>
    </row>
    <row r="114" spans="1:42" x14ac:dyDescent="0.25">
      <c r="A114" t="s">
        <v>2</v>
      </c>
      <c r="B114" t="s">
        <v>97</v>
      </c>
      <c r="C114" t="s">
        <v>327</v>
      </c>
      <c r="D114" t="s">
        <v>42</v>
      </c>
      <c r="H114">
        <v>2.4627849999999998</v>
      </c>
      <c r="I114">
        <v>2.4661580000000001</v>
      </c>
      <c r="J114">
        <v>2.471797</v>
      </c>
      <c r="K114">
        <v>2.1964589999999999</v>
      </c>
      <c r="L114">
        <v>2.3024969999999998</v>
      </c>
      <c r="M114">
        <v>2.3065039999999999</v>
      </c>
      <c r="N114">
        <v>2.301094</v>
      </c>
      <c r="O114">
        <v>2.2915580000000002</v>
      </c>
      <c r="P114">
        <v>2.2796379999999998</v>
      </c>
      <c r="Q114">
        <v>2.2644799999999998</v>
      </c>
      <c r="R114">
        <v>2.249171</v>
      </c>
      <c r="S114">
        <v>2.2346870000000001</v>
      </c>
      <c r="T114">
        <v>2.2189809999999999</v>
      </c>
      <c r="U114">
        <v>2.204078</v>
      </c>
      <c r="V114">
        <v>2.1896209999999998</v>
      </c>
      <c r="W114">
        <v>2.1754760000000002</v>
      </c>
      <c r="X114">
        <v>2.164444</v>
      </c>
      <c r="Y114">
        <v>2.1553330000000002</v>
      </c>
      <c r="Z114">
        <v>2.147062</v>
      </c>
      <c r="AA114">
        <v>2.13897</v>
      </c>
      <c r="AB114">
        <v>2.1314769999999998</v>
      </c>
      <c r="AC114">
        <v>2.1250040000000001</v>
      </c>
      <c r="AD114">
        <v>2.1201970000000001</v>
      </c>
      <c r="AE114">
        <v>2.1161599999999998</v>
      </c>
      <c r="AF114">
        <v>2.1130719999999998</v>
      </c>
      <c r="AG114">
        <v>2.1116959999999998</v>
      </c>
      <c r="AH114">
        <v>2.1117689999999998</v>
      </c>
      <c r="AI114">
        <v>2.11253</v>
      </c>
      <c r="AJ114">
        <v>2.1131739999999999</v>
      </c>
      <c r="AK114">
        <v>2.114163</v>
      </c>
      <c r="AL114">
        <v>2.115335</v>
      </c>
      <c r="AM114">
        <v>2.1172070000000001</v>
      </c>
      <c r="AN114">
        <v>2.1201490000000001</v>
      </c>
      <c r="AO114">
        <v>2.1233689999999998</v>
      </c>
      <c r="AP114" s="7">
        <v>-1.4999999999999999E-2</v>
      </c>
    </row>
    <row r="115" spans="1:42" x14ac:dyDescent="0.25">
      <c r="A115" t="s">
        <v>96</v>
      </c>
      <c r="B115" t="s">
        <v>95</v>
      </c>
      <c r="C115" t="s">
        <v>326</v>
      </c>
      <c r="D115" t="s">
        <v>42</v>
      </c>
      <c r="H115">
        <v>1.3619999999999999E-3</v>
      </c>
      <c r="I115">
        <v>8.8000000000000005E-3</v>
      </c>
      <c r="J115">
        <v>2.7130000000000001E-3</v>
      </c>
      <c r="K115">
        <v>2.3990000000000001E-3</v>
      </c>
      <c r="L115">
        <v>2.4919999999999999E-3</v>
      </c>
      <c r="M115">
        <v>2.7569999999999999E-3</v>
      </c>
      <c r="N115">
        <v>2.7699999999999999E-3</v>
      </c>
      <c r="O115">
        <v>2.7820000000000002E-3</v>
      </c>
      <c r="P115">
        <v>2.7789999999999998E-3</v>
      </c>
      <c r="Q115">
        <v>2.7720000000000002E-3</v>
      </c>
      <c r="R115">
        <v>2.7699999999999999E-3</v>
      </c>
      <c r="S115">
        <v>2.7529999999999998E-3</v>
      </c>
      <c r="T115">
        <v>2.745E-3</v>
      </c>
      <c r="U115">
        <v>2.7369999999999998E-3</v>
      </c>
      <c r="V115">
        <v>2.7360000000000002E-3</v>
      </c>
      <c r="W115">
        <v>2.7330000000000002E-3</v>
      </c>
      <c r="X115">
        <v>2.7360000000000002E-3</v>
      </c>
      <c r="Y115">
        <v>2.7430000000000002E-3</v>
      </c>
      <c r="Z115">
        <v>2.7529999999999998E-3</v>
      </c>
      <c r="AA115">
        <v>2.7680000000000001E-3</v>
      </c>
      <c r="AB115">
        <v>2.7829999999999999E-3</v>
      </c>
      <c r="AC115">
        <v>2.7920000000000002E-3</v>
      </c>
      <c r="AD115">
        <v>2.8189999999999999E-3</v>
      </c>
      <c r="AE115">
        <v>2.8419999999999999E-3</v>
      </c>
      <c r="AF115">
        <v>2.8760000000000001E-3</v>
      </c>
      <c r="AG115">
        <v>2.9169999999999999E-3</v>
      </c>
      <c r="AH115">
        <v>2.9589999999999998E-3</v>
      </c>
      <c r="AI115">
        <v>3.0100000000000001E-3</v>
      </c>
      <c r="AJ115">
        <v>3.0660000000000001E-3</v>
      </c>
      <c r="AK115">
        <v>3.1099999999999999E-3</v>
      </c>
      <c r="AL115">
        <v>3.1670000000000001E-3</v>
      </c>
      <c r="AM115">
        <v>3.2269999999999998E-3</v>
      </c>
      <c r="AN115">
        <v>3.2919999999999998E-3</v>
      </c>
      <c r="AO115">
        <v>3.3609999999999998E-3</v>
      </c>
      <c r="AP115" s="7">
        <v>3.9E-2</v>
      </c>
    </row>
    <row r="116" spans="1:42" x14ac:dyDescent="0.25">
      <c r="A116" t="s">
        <v>94</v>
      </c>
      <c r="B116" t="s">
        <v>93</v>
      </c>
      <c r="C116" t="s">
        <v>325</v>
      </c>
      <c r="D116" t="s">
        <v>42</v>
      </c>
      <c r="H116">
        <v>1.037347</v>
      </c>
      <c r="I116">
        <v>1.0670120000000001</v>
      </c>
      <c r="J116">
        <v>1.065018</v>
      </c>
      <c r="K116">
        <v>0.65032999999999996</v>
      </c>
      <c r="L116">
        <v>0.85097199999999995</v>
      </c>
      <c r="M116">
        <v>0.938496</v>
      </c>
      <c r="N116">
        <v>0.97562099999999996</v>
      </c>
      <c r="O116">
        <v>0.99482800000000005</v>
      </c>
      <c r="P116">
        <v>1.0120610000000001</v>
      </c>
      <c r="Q116">
        <v>1.0174369999999999</v>
      </c>
      <c r="R116">
        <v>1.0222830000000001</v>
      </c>
      <c r="S116">
        <v>1.030837</v>
      </c>
      <c r="T116">
        <v>1.037115</v>
      </c>
      <c r="U116">
        <v>1.046106</v>
      </c>
      <c r="V116">
        <v>1.057455</v>
      </c>
      <c r="W116">
        <v>1.07148</v>
      </c>
      <c r="X116">
        <v>1.0861689999999999</v>
      </c>
      <c r="Y116">
        <v>1.1008720000000001</v>
      </c>
      <c r="Z116">
        <v>1.1154459999999999</v>
      </c>
      <c r="AA116">
        <v>1.12687</v>
      </c>
      <c r="AB116">
        <v>1.136951</v>
      </c>
      <c r="AC116">
        <v>1.1483410000000001</v>
      </c>
      <c r="AD116">
        <v>1.16025</v>
      </c>
      <c r="AE116">
        <v>1.174536</v>
      </c>
      <c r="AF116">
        <v>1.1885239999999999</v>
      </c>
      <c r="AG116">
        <v>1.204099</v>
      </c>
      <c r="AH116">
        <v>1.2200420000000001</v>
      </c>
      <c r="AI116">
        <v>1.236801</v>
      </c>
      <c r="AJ116">
        <v>1.2526349999999999</v>
      </c>
      <c r="AK116">
        <v>1.267841</v>
      </c>
      <c r="AL116">
        <v>1.281396</v>
      </c>
      <c r="AM116">
        <v>1.293682</v>
      </c>
      <c r="AN116">
        <v>1.30498</v>
      </c>
      <c r="AO116">
        <v>1.3163910000000001</v>
      </c>
      <c r="AP116" s="7">
        <v>8.9999999999999993E-3</v>
      </c>
    </row>
    <row r="117" spans="1:42" x14ac:dyDescent="0.25">
      <c r="A117" t="s">
        <v>21</v>
      </c>
      <c r="B117" t="s">
        <v>92</v>
      </c>
      <c r="C117" t="s">
        <v>324</v>
      </c>
      <c r="D117" t="s">
        <v>42</v>
      </c>
      <c r="H117">
        <v>6.3E-5</v>
      </c>
      <c r="I117">
        <v>0</v>
      </c>
      <c r="J117">
        <v>9.2999999999999997E-5</v>
      </c>
      <c r="K117">
        <v>6.9999999999999994E-5</v>
      </c>
      <c r="L117">
        <v>7.7000000000000001E-5</v>
      </c>
      <c r="M117">
        <v>7.7999999999999999E-5</v>
      </c>
      <c r="N117">
        <v>1.1E-4</v>
      </c>
      <c r="O117">
        <v>1.2E-4</v>
      </c>
      <c r="P117">
        <v>1.4200000000000001E-4</v>
      </c>
      <c r="Q117">
        <v>1.3200000000000001E-4</v>
      </c>
      <c r="R117">
        <v>1.27E-4</v>
      </c>
      <c r="S117">
        <v>1.15E-4</v>
      </c>
      <c r="T117">
        <v>1.1E-4</v>
      </c>
      <c r="U117">
        <v>5.5000000000000002E-5</v>
      </c>
      <c r="V117">
        <v>5.1E-5</v>
      </c>
      <c r="W117">
        <v>4.0000000000000003E-5</v>
      </c>
      <c r="X117">
        <v>3.6999999999999998E-5</v>
      </c>
      <c r="Y117">
        <v>3.4999999999999997E-5</v>
      </c>
      <c r="Z117">
        <v>3.3000000000000003E-5</v>
      </c>
      <c r="AA117">
        <v>3.1999999999999999E-5</v>
      </c>
      <c r="AB117">
        <v>2.8E-5</v>
      </c>
      <c r="AC117">
        <v>2.4000000000000001E-5</v>
      </c>
      <c r="AD117">
        <v>2.4000000000000001E-5</v>
      </c>
      <c r="AE117">
        <v>1.9000000000000001E-5</v>
      </c>
      <c r="AF117">
        <v>1.5999999999999999E-5</v>
      </c>
      <c r="AG117">
        <v>1.4E-5</v>
      </c>
      <c r="AH117">
        <v>9.0000000000000002E-6</v>
      </c>
      <c r="AI117">
        <v>9.0000000000000002E-6</v>
      </c>
      <c r="AJ117">
        <v>7.9999999999999996E-6</v>
      </c>
      <c r="AK117">
        <v>7.9999999999999996E-6</v>
      </c>
      <c r="AL117">
        <v>7.9999999999999996E-6</v>
      </c>
      <c r="AM117">
        <v>7.9999999999999996E-6</v>
      </c>
      <c r="AN117">
        <v>7.9999999999999996E-6</v>
      </c>
      <c r="AO117">
        <v>7.9999999999999996E-6</v>
      </c>
      <c r="AP117" t="s">
        <v>0</v>
      </c>
    </row>
    <row r="118" spans="1:42" x14ac:dyDescent="0.25">
      <c r="A118" t="s">
        <v>91</v>
      </c>
      <c r="B118" t="s">
        <v>90</v>
      </c>
      <c r="C118" t="s">
        <v>323</v>
      </c>
      <c r="D118" t="s">
        <v>42</v>
      </c>
      <c r="H118">
        <v>0.91119099999999997</v>
      </c>
      <c r="I118">
        <v>0.94904500000000003</v>
      </c>
      <c r="J118">
        <v>0.95049399999999995</v>
      </c>
      <c r="K118">
        <v>0.856491</v>
      </c>
      <c r="L118">
        <v>0.90402300000000002</v>
      </c>
      <c r="M118">
        <v>0.92306299999999997</v>
      </c>
      <c r="N118">
        <v>0.93143500000000001</v>
      </c>
      <c r="O118">
        <v>0.93878499999999998</v>
      </c>
      <c r="P118">
        <v>0.95524900000000001</v>
      </c>
      <c r="Q118">
        <v>0.95628500000000005</v>
      </c>
      <c r="R118">
        <v>0.95862800000000004</v>
      </c>
      <c r="S118">
        <v>0.95621500000000004</v>
      </c>
      <c r="T118">
        <v>0.95309500000000003</v>
      </c>
      <c r="U118">
        <v>0.94693000000000005</v>
      </c>
      <c r="V118">
        <v>0.94918599999999997</v>
      </c>
      <c r="W118">
        <v>0.94730400000000003</v>
      </c>
      <c r="X118">
        <v>0.94658900000000001</v>
      </c>
      <c r="Y118">
        <v>0.94705300000000003</v>
      </c>
      <c r="Z118">
        <v>0.94844399999999995</v>
      </c>
      <c r="AA118">
        <v>0.94962899999999995</v>
      </c>
      <c r="AB118">
        <v>0.95056700000000005</v>
      </c>
      <c r="AC118">
        <v>0.95257599999999998</v>
      </c>
      <c r="AD118">
        <v>0.95555299999999999</v>
      </c>
      <c r="AE118">
        <v>0.95618999999999998</v>
      </c>
      <c r="AF118">
        <v>0.95777699999999999</v>
      </c>
      <c r="AG118">
        <v>0.96457800000000005</v>
      </c>
      <c r="AH118">
        <v>0.97001800000000005</v>
      </c>
      <c r="AI118">
        <v>0.97678200000000004</v>
      </c>
      <c r="AJ118">
        <v>0.98182599999999998</v>
      </c>
      <c r="AK118">
        <v>0.98885800000000001</v>
      </c>
      <c r="AL118">
        <v>0.99509999999999998</v>
      </c>
      <c r="AM118">
        <v>1.0015400000000001</v>
      </c>
      <c r="AN118">
        <v>1.008424</v>
      </c>
      <c r="AO118">
        <v>1.015422</v>
      </c>
      <c r="AP118" s="7">
        <v>3.0000000000000001E-3</v>
      </c>
    </row>
    <row r="119" spans="1:42" x14ac:dyDescent="0.25">
      <c r="A119" t="s">
        <v>89</v>
      </c>
      <c r="B119" t="s">
        <v>88</v>
      </c>
      <c r="C119" t="s">
        <v>322</v>
      </c>
      <c r="D119" t="s">
        <v>42</v>
      </c>
      <c r="H119">
        <v>0.353244</v>
      </c>
      <c r="I119">
        <v>0.31502999999999998</v>
      </c>
      <c r="J119">
        <v>0.25810499999999997</v>
      </c>
      <c r="K119">
        <v>0.20072999999999999</v>
      </c>
      <c r="L119">
        <v>0.22484000000000001</v>
      </c>
      <c r="M119">
        <v>0.31571900000000003</v>
      </c>
      <c r="N119">
        <v>0.31235600000000002</v>
      </c>
      <c r="O119">
        <v>0.30520199999999997</v>
      </c>
      <c r="P119">
        <v>0.26916800000000002</v>
      </c>
      <c r="Q119">
        <v>0.26819199999999999</v>
      </c>
      <c r="R119">
        <v>0.25439699999999998</v>
      </c>
      <c r="S119">
        <v>0.25109900000000002</v>
      </c>
      <c r="T119">
        <v>0.247915</v>
      </c>
      <c r="U119">
        <v>0.26480599999999999</v>
      </c>
      <c r="V119">
        <v>0.24815100000000001</v>
      </c>
      <c r="W119">
        <v>0.24656</v>
      </c>
      <c r="X119">
        <v>0.244648</v>
      </c>
      <c r="Y119">
        <v>0.242897</v>
      </c>
      <c r="Z119">
        <v>0.24099499999999999</v>
      </c>
      <c r="AA119">
        <v>0.23902499999999999</v>
      </c>
      <c r="AB119">
        <v>0.23944699999999999</v>
      </c>
      <c r="AC119">
        <v>0.235703</v>
      </c>
      <c r="AD119">
        <v>0.23477500000000001</v>
      </c>
      <c r="AE119">
        <v>0.224379</v>
      </c>
      <c r="AF119">
        <v>0.228903</v>
      </c>
      <c r="AG119">
        <v>0.215561</v>
      </c>
      <c r="AH119">
        <v>0.21291099999999999</v>
      </c>
      <c r="AI119">
        <v>0.203795</v>
      </c>
      <c r="AJ119">
        <v>0.20577000000000001</v>
      </c>
      <c r="AK119">
        <v>0.19992799999999999</v>
      </c>
      <c r="AL119">
        <v>0.196515</v>
      </c>
      <c r="AM119">
        <v>0.19544500000000001</v>
      </c>
      <c r="AN119">
        <v>0.19497800000000001</v>
      </c>
      <c r="AO119">
        <v>0.19356799999999999</v>
      </c>
      <c r="AP119" s="7">
        <v>-1.0999999999999999E-2</v>
      </c>
    </row>
    <row r="120" spans="1:42" x14ac:dyDescent="0.25">
      <c r="A120" t="s">
        <v>87</v>
      </c>
      <c r="B120" t="s">
        <v>86</v>
      </c>
      <c r="C120" t="s">
        <v>321</v>
      </c>
      <c r="D120" t="s">
        <v>42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 t="s">
        <v>0</v>
      </c>
    </row>
    <row r="121" spans="1:42" x14ac:dyDescent="0.25">
      <c r="A121" t="s">
        <v>85</v>
      </c>
      <c r="B121" t="s">
        <v>84</v>
      </c>
      <c r="C121" t="s">
        <v>320</v>
      </c>
      <c r="D121" t="s">
        <v>42</v>
      </c>
      <c r="H121">
        <v>0.55424799999999996</v>
      </c>
      <c r="I121">
        <v>0.54416500000000001</v>
      </c>
      <c r="J121">
        <v>0.55160500000000001</v>
      </c>
      <c r="K121">
        <v>0.48769200000000001</v>
      </c>
      <c r="L121">
        <v>0.51044400000000001</v>
      </c>
      <c r="M121">
        <v>0.40878599999999998</v>
      </c>
      <c r="N121">
        <v>0.40008199999999999</v>
      </c>
      <c r="O121">
        <v>0.39104800000000001</v>
      </c>
      <c r="P121">
        <v>0.39413999999999999</v>
      </c>
      <c r="Q121">
        <v>0.40593400000000002</v>
      </c>
      <c r="R121">
        <v>0.40536499999999998</v>
      </c>
      <c r="S121">
        <v>0.41491899999999998</v>
      </c>
      <c r="T121">
        <v>0.41976000000000002</v>
      </c>
      <c r="U121">
        <v>0.41111799999999998</v>
      </c>
      <c r="V121">
        <v>0.41689599999999999</v>
      </c>
      <c r="W121">
        <v>0.41484599999999999</v>
      </c>
      <c r="X121">
        <v>0.41455500000000001</v>
      </c>
      <c r="Y121">
        <v>0.422404</v>
      </c>
      <c r="Z121">
        <v>0.42626599999999998</v>
      </c>
      <c r="AA121">
        <v>0.44388100000000003</v>
      </c>
      <c r="AB121">
        <v>0.457818</v>
      </c>
      <c r="AC121">
        <v>0.45813700000000002</v>
      </c>
      <c r="AD121">
        <v>0.46505099999999999</v>
      </c>
      <c r="AE121">
        <v>0.463563</v>
      </c>
      <c r="AF121">
        <v>0.46478599999999998</v>
      </c>
      <c r="AG121">
        <v>0.46467999999999998</v>
      </c>
      <c r="AH121">
        <v>0.44906800000000002</v>
      </c>
      <c r="AI121">
        <v>0.44618000000000002</v>
      </c>
      <c r="AJ121">
        <v>0.44853700000000002</v>
      </c>
      <c r="AK121">
        <v>0.45358999999999999</v>
      </c>
      <c r="AL121">
        <v>0.46114899999999998</v>
      </c>
      <c r="AM121">
        <v>0.46717900000000001</v>
      </c>
      <c r="AN121">
        <v>0.46949400000000002</v>
      </c>
      <c r="AO121">
        <v>0.47910599999999998</v>
      </c>
      <c r="AP121" s="7">
        <v>-5.0000000000000001E-3</v>
      </c>
    </row>
    <row r="122" spans="1:42" x14ac:dyDescent="0.25">
      <c r="A122" t="s">
        <v>83</v>
      </c>
      <c r="B122" t="s">
        <v>82</v>
      </c>
      <c r="C122" t="s">
        <v>319</v>
      </c>
      <c r="D122" t="s">
        <v>42</v>
      </c>
      <c r="H122">
        <v>5.4031909999999996</v>
      </c>
      <c r="I122">
        <v>5.4346690000000004</v>
      </c>
      <c r="J122">
        <v>5.4014470000000001</v>
      </c>
      <c r="K122">
        <v>4.4906050000000004</v>
      </c>
      <c r="L122">
        <v>4.8878110000000001</v>
      </c>
      <c r="M122">
        <v>4.9820359999999999</v>
      </c>
      <c r="N122">
        <v>5.010046</v>
      </c>
      <c r="O122">
        <v>5.0100730000000002</v>
      </c>
      <c r="P122">
        <v>4.998475</v>
      </c>
      <c r="Q122">
        <v>5.0005199999999999</v>
      </c>
      <c r="R122">
        <v>4.9781079999999998</v>
      </c>
      <c r="S122">
        <v>4.9760249999999999</v>
      </c>
      <c r="T122">
        <v>4.9652770000000004</v>
      </c>
      <c r="U122">
        <v>4.9613230000000001</v>
      </c>
      <c r="V122">
        <v>4.9496359999999999</v>
      </c>
      <c r="W122">
        <v>4.9441079999999999</v>
      </c>
      <c r="X122">
        <v>4.9451239999999999</v>
      </c>
      <c r="Y122">
        <v>4.9576330000000004</v>
      </c>
      <c r="Z122">
        <v>4.9676739999999997</v>
      </c>
      <c r="AA122">
        <v>4.9881539999999998</v>
      </c>
      <c r="AB122">
        <v>5.0063519999999997</v>
      </c>
      <c r="AC122">
        <v>5.0101950000000004</v>
      </c>
      <c r="AD122">
        <v>5.0265979999999999</v>
      </c>
      <c r="AE122">
        <v>5.0258459999999996</v>
      </c>
      <c r="AF122">
        <v>5.044454</v>
      </c>
      <c r="AG122">
        <v>5.0524839999999998</v>
      </c>
      <c r="AH122">
        <v>5.0561550000000004</v>
      </c>
      <c r="AI122">
        <v>5.0689440000000001</v>
      </c>
      <c r="AJ122">
        <v>5.0953929999999996</v>
      </c>
      <c r="AK122">
        <v>5.1183430000000003</v>
      </c>
      <c r="AL122">
        <v>5.143993</v>
      </c>
      <c r="AM122">
        <v>5.1701490000000003</v>
      </c>
      <c r="AN122">
        <v>5.193835</v>
      </c>
      <c r="AO122">
        <v>5.224386</v>
      </c>
      <c r="AP122" s="7">
        <v>-4.0000000000000001E-3</v>
      </c>
    </row>
    <row r="123" spans="1:42" x14ac:dyDescent="0.25">
      <c r="A123" t="s">
        <v>10</v>
      </c>
      <c r="B123" t="s">
        <v>81</v>
      </c>
      <c r="C123" t="s">
        <v>318</v>
      </c>
      <c r="D123" t="s">
        <v>42</v>
      </c>
      <c r="H123">
        <v>2.8276979999999998</v>
      </c>
      <c r="I123">
        <v>2.952353</v>
      </c>
      <c r="J123">
        <v>2.9493109999999998</v>
      </c>
      <c r="K123">
        <v>2.8477190000000001</v>
      </c>
      <c r="L123">
        <v>2.7625760000000001</v>
      </c>
      <c r="M123">
        <v>2.7963840000000002</v>
      </c>
      <c r="N123">
        <v>2.8085559999999998</v>
      </c>
      <c r="O123">
        <v>2.8357329999999998</v>
      </c>
      <c r="P123">
        <v>2.8940350000000001</v>
      </c>
      <c r="Q123">
        <v>2.93188</v>
      </c>
      <c r="R123">
        <v>2.9409529999999999</v>
      </c>
      <c r="S123">
        <v>2.9541140000000001</v>
      </c>
      <c r="T123">
        <v>2.9340549999999999</v>
      </c>
      <c r="U123">
        <v>2.7422780000000002</v>
      </c>
      <c r="V123">
        <v>2.6646169999999998</v>
      </c>
      <c r="W123">
        <v>2.6401219999999999</v>
      </c>
      <c r="X123">
        <v>2.6419009999999998</v>
      </c>
      <c r="Y123">
        <v>2.6532179999999999</v>
      </c>
      <c r="Z123">
        <v>2.6694300000000002</v>
      </c>
      <c r="AA123">
        <v>2.697451</v>
      </c>
      <c r="AB123">
        <v>2.6987990000000002</v>
      </c>
      <c r="AC123">
        <v>2.7235510000000001</v>
      </c>
      <c r="AD123">
        <v>2.7404289999999998</v>
      </c>
      <c r="AE123">
        <v>2.7654070000000002</v>
      </c>
      <c r="AF123">
        <v>2.7873030000000001</v>
      </c>
      <c r="AG123">
        <v>2.8179310000000002</v>
      </c>
      <c r="AH123">
        <v>2.837183</v>
      </c>
      <c r="AI123">
        <v>2.8576199999999998</v>
      </c>
      <c r="AJ123">
        <v>2.8918780000000002</v>
      </c>
      <c r="AK123">
        <v>2.9261370000000002</v>
      </c>
      <c r="AL123">
        <v>2.9363239999999999</v>
      </c>
      <c r="AM123">
        <v>2.9653209999999999</v>
      </c>
      <c r="AN123">
        <v>3.0017230000000001</v>
      </c>
      <c r="AO123">
        <v>3.0311029999999999</v>
      </c>
      <c r="AP123" s="7">
        <v>3.0000000000000001E-3</v>
      </c>
    </row>
    <row r="124" spans="1:42" x14ac:dyDescent="0.25">
      <c r="A124" t="s">
        <v>80</v>
      </c>
      <c r="B124" t="s">
        <v>79</v>
      </c>
      <c r="C124" t="s">
        <v>317</v>
      </c>
      <c r="D124" t="s">
        <v>42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 t="s">
        <v>0</v>
      </c>
    </row>
    <row r="125" spans="1:42" x14ac:dyDescent="0.25">
      <c r="A125" t="s">
        <v>78</v>
      </c>
      <c r="B125" t="s">
        <v>77</v>
      </c>
      <c r="C125" t="s">
        <v>316</v>
      </c>
      <c r="D125" t="s">
        <v>42</v>
      </c>
      <c r="H125">
        <v>0.283586</v>
      </c>
      <c r="I125">
        <v>0.29477799999999998</v>
      </c>
      <c r="J125">
        <v>0.29870200000000002</v>
      </c>
      <c r="K125">
        <v>0.28741899999999998</v>
      </c>
      <c r="L125">
        <v>0.28118500000000002</v>
      </c>
      <c r="M125">
        <v>0.279584</v>
      </c>
      <c r="N125">
        <v>0.28892000000000001</v>
      </c>
      <c r="O125">
        <v>0.28322599999999998</v>
      </c>
      <c r="P125">
        <v>0.283387</v>
      </c>
      <c r="Q125">
        <v>0.28504499999999999</v>
      </c>
      <c r="R125">
        <v>0.28822799999999998</v>
      </c>
      <c r="S125">
        <v>0.29441000000000001</v>
      </c>
      <c r="T125">
        <v>0.29430099999999998</v>
      </c>
      <c r="U125">
        <v>0.30094799999999999</v>
      </c>
      <c r="V125">
        <v>0.31120399999999998</v>
      </c>
      <c r="W125">
        <v>0.31890200000000002</v>
      </c>
      <c r="X125">
        <v>0.33055299999999999</v>
      </c>
      <c r="Y125">
        <v>0.33546500000000001</v>
      </c>
      <c r="Z125">
        <v>0.33269900000000002</v>
      </c>
      <c r="AA125">
        <v>0.32720300000000002</v>
      </c>
      <c r="AB125">
        <v>0.32995400000000003</v>
      </c>
      <c r="AC125">
        <v>0.32271499999999997</v>
      </c>
      <c r="AD125">
        <v>0.32466800000000001</v>
      </c>
      <c r="AE125">
        <v>0.32738400000000001</v>
      </c>
      <c r="AF125">
        <v>0.33183200000000002</v>
      </c>
      <c r="AG125">
        <v>0.33252900000000002</v>
      </c>
      <c r="AH125">
        <v>0.34967700000000002</v>
      </c>
      <c r="AI125">
        <v>0.34900799999999998</v>
      </c>
      <c r="AJ125">
        <v>0.33699800000000002</v>
      </c>
      <c r="AK125">
        <v>0.34682600000000002</v>
      </c>
      <c r="AL125">
        <v>0.343306</v>
      </c>
      <c r="AM125">
        <v>0.34277299999999999</v>
      </c>
      <c r="AN125">
        <v>0.33455099999999999</v>
      </c>
      <c r="AO125">
        <v>0.32361899999999999</v>
      </c>
      <c r="AP125" s="7">
        <v>0</v>
      </c>
    </row>
    <row r="126" spans="1:42" x14ac:dyDescent="0.25">
      <c r="A126" t="s">
        <v>76</v>
      </c>
      <c r="B126" t="s">
        <v>75</v>
      </c>
      <c r="C126" t="s">
        <v>315</v>
      </c>
      <c r="D126" t="s">
        <v>42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 t="s">
        <v>0</v>
      </c>
    </row>
    <row r="127" spans="1:42" x14ac:dyDescent="0.25">
      <c r="A127" t="s">
        <v>74</v>
      </c>
      <c r="B127" t="s">
        <v>73</v>
      </c>
      <c r="C127" t="s">
        <v>314</v>
      </c>
      <c r="D127" t="s">
        <v>42</v>
      </c>
      <c r="H127">
        <v>4.1980999999999997E-2</v>
      </c>
      <c r="I127">
        <v>4.3070999999999998E-2</v>
      </c>
      <c r="J127">
        <v>4.4200999999999997E-2</v>
      </c>
      <c r="K127">
        <v>4.6810999999999998E-2</v>
      </c>
      <c r="L127">
        <v>4.8954999999999999E-2</v>
      </c>
      <c r="M127">
        <v>4.4031000000000001E-2</v>
      </c>
      <c r="N127">
        <v>4.3520999999999997E-2</v>
      </c>
      <c r="O127">
        <v>4.3104999999999997E-2</v>
      </c>
      <c r="P127">
        <v>4.3598999999999999E-2</v>
      </c>
      <c r="Q127">
        <v>4.3313999999999998E-2</v>
      </c>
      <c r="R127">
        <v>4.3691000000000001E-2</v>
      </c>
      <c r="S127">
        <v>4.3815E-2</v>
      </c>
      <c r="T127">
        <v>4.3756000000000003E-2</v>
      </c>
      <c r="U127">
        <v>4.1973000000000003E-2</v>
      </c>
      <c r="V127">
        <v>4.1793999999999998E-2</v>
      </c>
      <c r="W127">
        <v>4.1924000000000003E-2</v>
      </c>
      <c r="X127">
        <v>4.1902000000000002E-2</v>
      </c>
      <c r="Y127">
        <v>4.2186000000000001E-2</v>
      </c>
      <c r="Z127">
        <v>4.2581000000000001E-2</v>
      </c>
      <c r="AA127">
        <v>4.2941E-2</v>
      </c>
      <c r="AB127">
        <v>4.3237999999999999E-2</v>
      </c>
      <c r="AC127">
        <v>4.3951999999999998E-2</v>
      </c>
      <c r="AD127">
        <v>4.4245E-2</v>
      </c>
      <c r="AE127">
        <v>4.5284999999999999E-2</v>
      </c>
      <c r="AF127">
        <v>4.5711000000000002E-2</v>
      </c>
      <c r="AG127">
        <v>4.6439000000000001E-2</v>
      </c>
      <c r="AH127">
        <v>4.6989999999999997E-2</v>
      </c>
      <c r="AI127">
        <v>4.7486E-2</v>
      </c>
      <c r="AJ127">
        <v>4.7918000000000002E-2</v>
      </c>
      <c r="AK127">
        <v>4.8446999999999997E-2</v>
      </c>
      <c r="AL127">
        <v>4.9093999999999999E-2</v>
      </c>
      <c r="AM127">
        <v>4.9494000000000003E-2</v>
      </c>
      <c r="AN127">
        <v>4.9980999999999998E-2</v>
      </c>
      <c r="AO127">
        <v>5.0566E-2</v>
      </c>
      <c r="AP127" s="7">
        <v>5.0000000000000001E-3</v>
      </c>
    </row>
    <row r="128" spans="1:42" x14ac:dyDescent="0.25">
      <c r="A128" t="s">
        <v>72</v>
      </c>
      <c r="B128" t="s">
        <v>71</v>
      </c>
      <c r="C128" t="s">
        <v>313</v>
      </c>
      <c r="D128" t="s">
        <v>42</v>
      </c>
      <c r="H128">
        <v>3.1532650000000002</v>
      </c>
      <c r="I128">
        <v>3.290203</v>
      </c>
      <c r="J128">
        <v>3.2922129999999998</v>
      </c>
      <c r="K128">
        <v>3.1819489999999999</v>
      </c>
      <c r="L128">
        <v>3.0927150000000001</v>
      </c>
      <c r="M128">
        <v>3.119999</v>
      </c>
      <c r="N128">
        <v>3.1409980000000002</v>
      </c>
      <c r="O128">
        <v>3.162064</v>
      </c>
      <c r="P128">
        <v>3.2210209999999999</v>
      </c>
      <c r="Q128">
        <v>3.2602389999999999</v>
      </c>
      <c r="R128">
        <v>3.2728709999999999</v>
      </c>
      <c r="S128">
        <v>3.292338</v>
      </c>
      <c r="T128">
        <v>3.272113</v>
      </c>
      <c r="U128">
        <v>3.0851980000000001</v>
      </c>
      <c r="V128">
        <v>3.0176150000000002</v>
      </c>
      <c r="W128">
        <v>3.0009489999999999</v>
      </c>
      <c r="X128">
        <v>3.0143559999999998</v>
      </c>
      <c r="Y128">
        <v>3.030869</v>
      </c>
      <c r="Z128">
        <v>3.0447099999999998</v>
      </c>
      <c r="AA128">
        <v>3.0675949999999998</v>
      </c>
      <c r="AB128">
        <v>3.0719910000000001</v>
      </c>
      <c r="AC128">
        <v>3.0902189999999998</v>
      </c>
      <c r="AD128">
        <v>3.1093419999999998</v>
      </c>
      <c r="AE128">
        <v>3.1380759999999999</v>
      </c>
      <c r="AF128">
        <v>3.164847</v>
      </c>
      <c r="AG128">
        <v>3.1968990000000002</v>
      </c>
      <c r="AH128">
        <v>3.2338499999999999</v>
      </c>
      <c r="AI128">
        <v>3.2541150000000001</v>
      </c>
      <c r="AJ128">
        <v>3.2767940000000002</v>
      </c>
      <c r="AK128">
        <v>3.3214100000000002</v>
      </c>
      <c r="AL128">
        <v>3.3287239999999998</v>
      </c>
      <c r="AM128">
        <v>3.3575889999999999</v>
      </c>
      <c r="AN128">
        <v>3.3862549999999998</v>
      </c>
      <c r="AO128">
        <v>3.4052880000000001</v>
      </c>
      <c r="AP128" s="7">
        <v>3.0000000000000001E-3</v>
      </c>
    </row>
    <row r="129" spans="1:42" x14ac:dyDescent="0.25">
      <c r="A129" t="s">
        <v>70</v>
      </c>
      <c r="B129" t="s">
        <v>69</v>
      </c>
      <c r="C129" t="s">
        <v>312</v>
      </c>
      <c r="D129" t="s">
        <v>42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 t="s">
        <v>0</v>
      </c>
    </row>
    <row r="130" spans="1:42" x14ac:dyDescent="0.25">
      <c r="A130" t="s">
        <v>68</v>
      </c>
      <c r="B130" t="s">
        <v>67</v>
      </c>
      <c r="C130" t="s">
        <v>311</v>
      </c>
      <c r="D130" t="s">
        <v>42</v>
      </c>
      <c r="H130">
        <v>0.14021400000000001</v>
      </c>
      <c r="I130">
        <v>0.167684</v>
      </c>
      <c r="J130">
        <v>0.14306099999999999</v>
      </c>
      <c r="K130">
        <v>0.117439</v>
      </c>
      <c r="L130">
        <v>8.9923000000000003E-2</v>
      </c>
      <c r="M130">
        <v>8.7110999999999994E-2</v>
      </c>
      <c r="N130">
        <v>8.4804000000000004E-2</v>
      </c>
      <c r="O130">
        <v>8.5147E-2</v>
      </c>
      <c r="P130">
        <v>8.8262999999999994E-2</v>
      </c>
      <c r="Q130">
        <v>5.2054000000000003E-2</v>
      </c>
      <c r="R130">
        <v>5.1397999999999999E-2</v>
      </c>
      <c r="S130">
        <v>5.0757999999999998E-2</v>
      </c>
      <c r="T130">
        <v>5.0192000000000001E-2</v>
      </c>
      <c r="U130">
        <v>4.9525E-2</v>
      </c>
      <c r="V130">
        <v>4.9064999999999998E-2</v>
      </c>
      <c r="W130">
        <v>4.8589E-2</v>
      </c>
      <c r="X130">
        <v>4.8162000000000003E-2</v>
      </c>
      <c r="Y130">
        <v>4.7794999999999997E-2</v>
      </c>
      <c r="Z130">
        <v>4.7725999999999998E-2</v>
      </c>
      <c r="AA130">
        <v>4.7518999999999999E-2</v>
      </c>
      <c r="AB130">
        <v>4.7329999999999997E-2</v>
      </c>
      <c r="AC130">
        <v>4.7329999999999997E-2</v>
      </c>
      <c r="AD130">
        <v>4.7201E-2</v>
      </c>
      <c r="AE130">
        <v>4.7078000000000002E-2</v>
      </c>
      <c r="AF130">
        <v>4.6584E-2</v>
      </c>
      <c r="AG130">
        <v>4.6112E-2</v>
      </c>
      <c r="AH130">
        <v>4.5663000000000002E-2</v>
      </c>
      <c r="AI130">
        <v>4.5192000000000003E-2</v>
      </c>
      <c r="AJ130">
        <v>4.4719000000000002E-2</v>
      </c>
      <c r="AK130">
        <v>4.4972999999999999E-2</v>
      </c>
      <c r="AL130">
        <v>4.5243999999999999E-2</v>
      </c>
      <c r="AM130">
        <v>4.5520999999999999E-2</v>
      </c>
      <c r="AN130">
        <v>4.5942999999999998E-2</v>
      </c>
      <c r="AO130">
        <v>4.6267999999999997E-2</v>
      </c>
      <c r="AP130" s="7">
        <v>-3.7999999999999999E-2</v>
      </c>
    </row>
    <row r="131" spans="1:42" x14ac:dyDescent="0.25">
      <c r="A131" t="s">
        <v>66</v>
      </c>
      <c r="B131" t="s">
        <v>65</v>
      </c>
      <c r="C131" t="s">
        <v>310</v>
      </c>
      <c r="D131" t="s">
        <v>42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 t="s">
        <v>0</v>
      </c>
    </row>
    <row r="132" spans="1:42" x14ac:dyDescent="0.25">
      <c r="A132" t="s">
        <v>64</v>
      </c>
      <c r="B132" t="s">
        <v>63</v>
      </c>
      <c r="C132" t="s">
        <v>309</v>
      </c>
      <c r="D132" t="s">
        <v>42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 t="s">
        <v>0</v>
      </c>
    </row>
    <row r="133" spans="1:42" x14ac:dyDescent="0.25">
      <c r="A133" t="s">
        <v>62</v>
      </c>
      <c r="B133" t="s">
        <v>61</v>
      </c>
      <c r="C133" t="s">
        <v>308</v>
      </c>
      <c r="D133" t="s">
        <v>42</v>
      </c>
      <c r="H133">
        <v>0.14021400000000001</v>
      </c>
      <c r="I133">
        <v>0.167684</v>
      </c>
      <c r="J133">
        <v>0.14306099999999999</v>
      </c>
      <c r="K133">
        <v>0.117439</v>
      </c>
      <c r="L133">
        <v>8.9923000000000003E-2</v>
      </c>
      <c r="M133">
        <v>8.7110999999999994E-2</v>
      </c>
      <c r="N133">
        <v>8.4804000000000004E-2</v>
      </c>
      <c r="O133">
        <v>8.5147E-2</v>
      </c>
      <c r="P133">
        <v>8.8262999999999994E-2</v>
      </c>
      <c r="Q133">
        <v>5.2054000000000003E-2</v>
      </c>
      <c r="R133">
        <v>5.1397999999999999E-2</v>
      </c>
      <c r="S133">
        <v>5.0757999999999998E-2</v>
      </c>
      <c r="T133">
        <v>5.0192000000000001E-2</v>
      </c>
      <c r="U133">
        <v>4.9525E-2</v>
      </c>
      <c r="V133">
        <v>4.9064999999999998E-2</v>
      </c>
      <c r="W133">
        <v>4.8589E-2</v>
      </c>
      <c r="X133">
        <v>4.8162000000000003E-2</v>
      </c>
      <c r="Y133">
        <v>4.7794999999999997E-2</v>
      </c>
      <c r="Z133">
        <v>4.7725999999999998E-2</v>
      </c>
      <c r="AA133">
        <v>4.7518999999999999E-2</v>
      </c>
      <c r="AB133">
        <v>4.7329999999999997E-2</v>
      </c>
      <c r="AC133">
        <v>4.7329999999999997E-2</v>
      </c>
      <c r="AD133">
        <v>4.7201E-2</v>
      </c>
      <c r="AE133">
        <v>4.7078000000000002E-2</v>
      </c>
      <c r="AF133">
        <v>4.6584E-2</v>
      </c>
      <c r="AG133">
        <v>4.6112E-2</v>
      </c>
      <c r="AH133">
        <v>4.5663000000000002E-2</v>
      </c>
      <c r="AI133">
        <v>4.5192000000000003E-2</v>
      </c>
      <c r="AJ133">
        <v>4.4719000000000002E-2</v>
      </c>
      <c r="AK133">
        <v>4.4972999999999999E-2</v>
      </c>
      <c r="AL133">
        <v>4.5243999999999999E-2</v>
      </c>
      <c r="AM133">
        <v>4.5520999999999999E-2</v>
      </c>
      <c r="AN133">
        <v>4.5942999999999998E-2</v>
      </c>
      <c r="AO133">
        <v>4.6267999999999997E-2</v>
      </c>
      <c r="AP133" s="7">
        <v>-3.7999999999999999E-2</v>
      </c>
    </row>
    <row r="134" spans="1:42" x14ac:dyDescent="0.25">
      <c r="A134" t="s">
        <v>60</v>
      </c>
      <c r="B134" t="s">
        <v>59</v>
      </c>
      <c r="C134" t="s">
        <v>307</v>
      </c>
      <c r="D134" t="s">
        <v>42</v>
      </c>
      <c r="H134">
        <v>0.28512100000000001</v>
      </c>
      <c r="I134">
        <v>0.28783300000000001</v>
      </c>
      <c r="J134">
        <v>0.28642200000000001</v>
      </c>
      <c r="K134">
        <v>0.27961599999999998</v>
      </c>
      <c r="L134">
        <v>0.27477499999999999</v>
      </c>
      <c r="M134">
        <v>0.27894200000000002</v>
      </c>
      <c r="N134">
        <v>0.28310800000000003</v>
      </c>
      <c r="O134">
        <v>0.28310800000000003</v>
      </c>
      <c r="P134">
        <v>0.18803</v>
      </c>
      <c r="Q134">
        <v>9.5765000000000003E-2</v>
      </c>
      <c r="R134">
        <v>9.5765000000000003E-2</v>
      </c>
      <c r="S134">
        <v>9.5765000000000003E-2</v>
      </c>
      <c r="T134">
        <v>9.5765000000000003E-2</v>
      </c>
      <c r="U134">
        <v>9.5765000000000003E-2</v>
      </c>
      <c r="V134">
        <v>9.5765000000000003E-2</v>
      </c>
      <c r="W134">
        <v>9.5765000000000003E-2</v>
      </c>
      <c r="X134">
        <v>9.5765000000000003E-2</v>
      </c>
      <c r="Y134">
        <v>9.5765000000000003E-2</v>
      </c>
      <c r="Z134">
        <v>9.5765000000000003E-2</v>
      </c>
      <c r="AA134">
        <v>9.5765000000000003E-2</v>
      </c>
      <c r="AB134">
        <v>9.5765000000000003E-2</v>
      </c>
      <c r="AC134">
        <v>9.5765000000000003E-2</v>
      </c>
      <c r="AD134">
        <v>9.5765000000000003E-2</v>
      </c>
      <c r="AE134">
        <v>9.5765000000000003E-2</v>
      </c>
      <c r="AF134">
        <v>9.5765000000000003E-2</v>
      </c>
      <c r="AG134">
        <v>9.5765000000000003E-2</v>
      </c>
      <c r="AH134">
        <v>9.5765000000000003E-2</v>
      </c>
      <c r="AI134">
        <v>9.5765000000000003E-2</v>
      </c>
      <c r="AJ134">
        <v>9.5765000000000003E-2</v>
      </c>
      <c r="AK134">
        <v>9.5765000000000003E-2</v>
      </c>
      <c r="AL134">
        <v>9.5765000000000003E-2</v>
      </c>
      <c r="AM134">
        <v>9.5765000000000003E-2</v>
      </c>
      <c r="AN134">
        <v>9.5765000000000003E-2</v>
      </c>
      <c r="AO134">
        <v>9.5765000000000003E-2</v>
      </c>
      <c r="AP134" s="7">
        <v>-3.2000000000000001E-2</v>
      </c>
    </row>
    <row r="135" spans="1:42" x14ac:dyDescent="0.25">
      <c r="A135" t="s">
        <v>58</v>
      </c>
      <c r="B135" t="s">
        <v>57</v>
      </c>
      <c r="C135" t="s">
        <v>306</v>
      </c>
      <c r="D135" t="s">
        <v>42</v>
      </c>
      <c r="H135">
        <v>0.111349</v>
      </c>
      <c r="I135">
        <v>0.11107400000000001</v>
      </c>
      <c r="J135">
        <v>0.128689</v>
      </c>
      <c r="K135">
        <v>0.12955700000000001</v>
      </c>
      <c r="L135">
        <v>0.12639700000000001</v>
      </c>
      <c r="M135">
        <v>0.12503700000000001</v>
      </c>
      <c r="N135">
        <v>0.125164</v>
      </c>
      <c r="O135">
        <v>0.12548200000000001</v>
      </c>
      <c r="P135">
        <v>0.126279</v>
      </c>
      <c r="Q135">
        <v>0.12659500000000001</v>
      </c>
      <c r="R135">
        <v>0.12698400000000001</v>
      </c>
      <c r="S135">
        <v>0.12731600000000001</v>
      </c>
      <c r="T135">
        <v>0.12764800000000001</v>
      </c>
      <c r="U135">
        <v>0.12806400000000001</v>
      </c>
      <c r="V135">
        <v>0.12934899999999999</v>
      </c>
      <c r="W135">
        <v>0.12978400000000001</v>
      </c>
      <c r="X135">
        <v>0.13034200000000001</v>
      </c>
      <c r="Y135">
        <v>0.13102800000000001</v>
      </c>
      <c r="Z135">
        <v>0.13167100000000001</v>
      </c>
      <c r="AA135">
        <v>0.13219400000000001</v>
      </c>
      <c r="AB135">
        <v>0.132746</v>
      </c>
      <c r="AC135">
        <v>0.133328</v>
      </c>
      <c r="AD135">
        <v>0.13400799999999999</v>
      </c>
      <c r="AE135">
        <v>0.134746</v>
      </c>
      <c r="AF135">
        <v>0.13547999999999999</v>
      </c>
      <c r="AG135">
        <v>0.136383</v>
      </c>
      <c r="AH135">
        <v>0.13747300000000001</v>
      </c>
      <c r="AI135">
        <v>0.13853799999999999</v>
      </c>
      <c r="AJ135">
        <v>0.14024700000000001</v>
      </c>
      <c r="AK135">
        <v>0.14067399999999999</v>
      </c>
      <c r="AL135">
        <v>0.14283299999999999</v>
      </c>
      <c r="AM135">
        <v>0.14381099999999999</v>
      </c>
      <c r="AN135">
        <v>0.14497299999999999</v>
      </c>
      <c r="AO135">
        <v>0.14615800000000001</v>
      </c>
      <c r="AP135" s="7">
        <v>-5.0000000000000001E-3</v>
      </c>
    </row>
    <row r="136" spans="1:42" x14ac:dyDescent="0.25">
      <c r="A136" t="s">
        <v>56</v>
      </c>
      <c r="B136" t="s">
        <v>55</v>
      </c>
      <c r="C136" t="s">
        <v>305</v>
      </c>
      <c r="D136" t="s">
        <v>42</v>
      </c>
      <c r="H136">
        <v>2.4880620000000002</v>
      </c>
      <c r="I136">
        <v>2.4706769999999998</v>
      </c>
      <c r="J136">
        <v>2.3776670000000002</v>
      </c>
      <c r="K136">
        <v>2.3084750000000001</v>
      </c>
      <c r="L136">
        <v>2.3593320000000002</v>
      </c>
      <c r="M136">
        <v>2.4242629999999998</v>
      </c>
      <c r="N136">
        <v>2.4683709999999999</v>
      </c>
      <c r="O136">
        <v>2.435575</v>
      </c>
      <c r="P136">
        <v>2.4769749999999999</v>
      </c>
      <c r="Q136">
        <v>2.4497179999999998</v>
      </c>
      <c r="R136">
        <v>2.4472139999999998</v>
      </c>
      <c r="S136">
        <v>2.4600580000000001</v>
      </c>
      <c r="T136">
        <v>2.5219849999999999</v>
      </c>
      <c r="U136">
        <v>2.5698729999999999</v>
      </c>
      <c r="V136">
        <v>2.5761810000000001</v>
      </c>
      <c r="W136">
        <v>2.5685660000000001</v>
      </c>
      <c r="X136">
        <v>2.58188</v>
      </c>
      <c r="Y136">
        <v>2.604616</v>
      </c>
      <c r="Z136">
        <v>2.6246710000000002</v>
      </c>
      <c r="AA136">
        <v>2.6388240000000001</v>
      </c>
      <c r="AB136">
        <v>2.656971</v>
      </c>
      <c r="AC136">
        <v>2.6621130000000002</v>
      </c>
      <c r="AD136">
        <v>2.6678329999999999</v>
      </c>
      <c r="AE136">
        <v>2.693746</v>
      </c>
      <c r="AF136">
        <v>2.7225890000000001</v>
      </c>
      <c r="AG136">
        <v>2.7352880000000002</v>
      </c>
      <c r="AH136">
        <v>2.7690920000000001</v>
      </c>
      <c r="AI136">
        <v>2.8239909999999999</v>
      </c>
      <c r="AJ136">
        <v>2.8965190000000001</v>
      </c>
      <c r="AK136">
        <v>2.9481169999999999</v>
      </c>
      <c r="AL136">
        <v>2.9706950000000001</v>
      </c>
      <c r="AM136">
        <v>2.9872890000000001</v>
      </c>
      <c r="AN136">
        <v>3.00847</v>
      </c>
      <c r="AO136">
        <v>3.0384630000000001</v>
      </c>
      <c r="AP136" s="7">
        <v>0.01</v>
      </c>
    </row>
    <row r="137" spans="1:42" x14ac:dyDescent="0.25">
      <c r="A137" t="s">
        <v>19</v>
      </c>
      <c r="B137" t="s">
        <v>54</v>
      </c>
      <c r="C137" t="s">
        <v>304</v>
      </c>
      <c r="D137" t="s">
        <v>42</v>
      </c>
      <c r="H137">
        <v>9.2999999999999997E-5</v>
      </c>
      <c r="I137">
        <v>1.92E-4</v>
      </c>
      <c r="J137">
        <v>9.8999999999999994E-5</v>
      </c>
      <c r="K137">
        <v>2.2100000000000001E-4</v>
      </c>
      <c r="L137">
        <v>2.3800000000000001E-4</v>
      </c>
      <c r="M137">
        <v>2.4499999999999999E-4</v>
      </c>
      <c r="N137">
        <v>2.5099999999999998E-4</v>
      </c>
      <c r="O137">
        <v>2.5599999999999999E-4</v>
      </c>
      <c r="P137">
        <v>2.61E-4</v>
      </c>
      <c r="Q137">
        <v>2.6400000000000002E-4</v>
      </c>
      <c r="R137">
        <v>2.6800000000000001E-4</v>
      </c>
      <c r="S137">
        <v>2.7E-4</v>
      </c>
      <c r="T137">
        <v>2.72E-4</v>
      </c>
      <c r="U137">
        <v>2.7399999999999999E-4</v>
      </c>
      <c r="V137">
        <v>2.7500000000000002E-4</v>
      </c>
      <c r="W137">
        <v>2.7500000000000002E-4</v>
      </c>
      <c r="X137">
        <v>2.7399999999999999E-4</v>
      </c>
      <c r="Y137">
        <v>2.7399999999999999E-4</v>
      </c>
      <c r="Z137">
        <v>2.7700000000000001E-4</v>
      </c>
      <c r="AA137">
        <v>2.8200000000000002E-4</v>
      </c>
      <c r="AB137">
        <v>2.8899999999999998E-4</v>
      </c>
      <c r="AC137">
        <v>2.99E-4</v>
      </c>
      <c r="AD137">
        <v>3.0899999999999998E-4</v>
      </c>
      <c r="AE137">
        <v>3.2299999999999999E-4</v>
      </c>
      <c r="AF137">
        <v>3.3799999999999998E-4</v>
      </c>
      <c r="AG137">
        <v>3.5500000000000001E-4</v>
      </c>
      <c r="AH137">
        <v>3.7800000000000003E-4</v>
      </c>
      <c r="AI137">
        <v>3.97E-4</v>
      </c>
      <c r="AJ137">
        <v>4.17E-4</v>
      </c>
      <c r="AK137">
        <v>4.37E-4</v>
      </c>
      <c r="AL137">
        <v>4.5800000000000002E-4</v>
      </c>
      <c r="AM137">
        <v>4.8099999999999998E-4</v>
      </c>
      <c r="AN137">
        <v>5.0500000000000002E-4</v>
      </c>
      <c r="AO137">
        <v>5.2999999999999998E-4</v>
      </c>
      <c r="AP137" s="7">
        <v>0.11</v>
      </c>
    </row>
    <row r="138" spans="1:42" x14ac:dyDescent="0.25">
      <c r="A138" t="s">
        <v>53</v>
      </c>
      <c r="B138" t="s">
        <v>52</v>
      </c>
      <c r="C138" t="s">
        <v>303</v>
      </c>
      <c r="D138" t="s">
        <v>42</v>
      </c>
      <c r="H138">
        <v>5.5599999999999998E-3</v>
      </c>
      <c r="I138">
        <v>5.5599999999999998E-3</v>
      </c>
      <c r="J138">
        <v>5.2700000000000004E-3</v>
      </c>
      <c r="K138">
        <v>5.5420000000000001E-3</v>
      </c>
      <c r="L138">
        <v>5.5420000000000001E-3</v>
      </c>
      <c r="M138">
        <v>5.5420000000000001E-3</v>
      </c>
      <c r="N138">
        <v>5.5420000000000001E-3</v>
      </c>
      <c r="O138">
        <v>5.5420000000000001E-3</v>
      </c>
      <c r="P138">
        <v>5.5420000000000001E-3</v>
      </c>
      <c r="Q138">
        <v>5.5420000000000001E-3</v>
      </c>
      <c r="R138">
        <v>5.5420000000000001E-3</v>
      </c>
      <c r="S138">
        <v>5.5420000000000001E-3</v>
      </c>
      <c r="T138">
        <v>5.5420000000000001E-3</v>
      </c>
      <c r="U138">
        <v>5.5420000000000001E-3</v>
      </c>
      <c r="V138">
        <v>5.5420000000000001E-3</v>
      </c>
      <c r="W138">
        <v>5.5420000000000001E-3</v>
      </c>
      <c r="X138">
        <v>5.5420000000000001E-3</v>
      </c>
      <c r="Y138">
        <v>5.5420000000000001E-3</v>
      </c>
      <c r="Z138">
        <v>5.5420000000000001E-3</v>
      </c>
      <c r="AA138">
        <v>5.5420000000000001E-3</v>
      </c>
      <c r="AB138">
        <v>5.5420000000000001E-3</v>
      </c>
      <c r="AC138">
        <v>5.5420000000000001E-3</v>
      </c>
      <c r="AD138">
        <v>5.5420000000000001E-3</v>
      </c>
      <c r="AE138">
        <v>5.5420000000000001E-3</v>
      </c>
      <c r="AF138">
        <v>5.5420000000000001E-3</v>
      </c>
      <c r="AG138">
        <v>5.5420000000000001E-3</v>
      </c>
      <c r="AH138">
        <v>5.5420000000000001E-3</v>
      </c>
      <c r="AI138">
        <v>5.5420000000000001E-3</v>
      </c>
      <c r="AJ138">
        <v>5.5420000000000001E-3</v>
      </c>
      <c r="AK138">
        <v>5.5420000000000001E-3</v>
      </c>
      <c r="AL138">
        <v>5.5420000000000001E-3</v>
      </c>
      <c r="AM138">
        <v>5.5420000000000001E-3</v>
      </c>
      <c r="AN138">
        <v>5.5420000000000001E-3</v>
      </c>
      <c r="AO138">
        <v>5.5420000000000001E-3</v>
      </c>
      <c r="AP138" s="7">
        <v>0</v>
      </c>
    </row>
    <row r="139" spans="1:42" x14ac:dyDescent="0.25">
      <c r="A139" t="s">
        <v>51</v>
      </c>
      <c r="B139" t="s">
        <v>50</v>
      </c>
      <c r="C139" t="s">
        <v>302</v>
      </c>
      <c r="D139" t="s">
        <v>42</v>
      </c>
      <c r="H139">
        <v>1.5768999999999998E-2</v>
      </c>
      <c r="I139">
        <v>1.5095000000000001E-2</v>
      </c>
      <c r="J139">
        <v>1.2452E-2</v>
      </c>
      <c r="K139">
        <v>3.336E-3</v>
      </c>
      <c r="L139">
        <v>3.4880000000000002E-3</v>
      </c>
      <c r="M139">
        <v>3.2539999999999999E-3</v>
      </c>
      <c r="N139">
        <v>3.1419999999999998E-3</v>
      </c>
      <c r="O139">
        <v>3.287E-3</v>
      </c>
      <c r="P139">
        <v>3.0860000000000002E-3</v>
      </c>
      <c r="Q139">
        <v>3.179E-3</v>
      </c>
      <c r="R139">
        <v>3.4680000000000002E-3</v>
      </c>
      <c r="S139">
        <v>3.6280000000000001E-3</v>
      </c>
      <c r="T139">
        <v>3.5729999999999998E-3</v>
      </c>
      <c r="U139">
        <v>3.764E-3</v>
      </c>
      <c r="V139">
        <v>3.5439999999999998E-3</v>
      </c>
      <c r="W139">
        <v>3.738E-3</v>
      </c>
      <c r="X139">
        <v>3.6970000000000002E-3</v>
      </c>
      <c r="Y139">
        <v>3.8660000000000001E-3</v>
      </c>
      <c r="Z139">
        <v>3.826E-3</v>
      </c>
      <c r="AA139">
        <v>3.725E-3</v>
      </c>
      <c r="AB139">
        <v>3.6719999999999999E-3</v>
      </c>
      <c r="AC139">
        <v>3.6410000000000001E-3</v>
      </c>
      <c r="AD139">
        <v>3.6579999999999998E-3</v>
      </c>
      <c r="AE139">
        <v>3.6120000000000002E-3</v>
      </c>
      <c r="AF139">
        <v>3.542E-3</v>
      </c>
      <c r="AG139">
        <v>3.473E-3</v>
      </c>
      <c r="AH139">
        <v>3.444E-3</v>
      </c>
      <c r="AI139">
        <v>3.4160000000000002E-3</v>
      </c>
      <c r="AJ139">
        <v>3.372E-3</v>
      </c>
      <c r="AK139">
        <v>3.3430000000000001E-3</v>
      </c>
      <c r="AL139">
        <v>3.3140000000000001E-3</v>
      </c>
      <c r="AM139">
        <v>3.3050000000000002E-3</v>
      </c>
      <c r="AN139">
        <v>3.2130000000000001E-3</v>
      </c>
      <c r="AO139">
        <v>3.1879999999999999E-3</v>
      </c>
      <c r="AP139" s="7">
        <v>2E-3</v>
      </c>
    </row>
    <row r="140" spans="1:42" x14ac:dyDescent="0.25">
      <c r="A140" t="s">
        <v>29</v>
      </c>
      <c r="B140" t="s">
        <v>49</v>
      </c>
      <c r="C140" t="s">
        <v>301</v>
      </c>
      <c r="D140" t="s">
        <v>42</v>
      </c>
      <c r="H140">
        <v>11.602622999999999</v>
      </c>
      <c r="I140">
        <v>11.782988</v>
      </c>
      <c r="J140">
        <v>11.647322000000001</v>
      </c>
      <c r="K140">
        <v>10.51674</v>
      </c>
      <c r="L140">
        <v>10.840221</v>
      </c>
      <c r="M140">
        <v>11.026427999999999</v>
      </c>
      <c r="N140">
        <v>11.121426</v>
      </c>
      <c r="O140">
        <v>11.110535</v>
      </c>
      <c r="P140">
        <v>11.107931000000001</v>
      </c>
      <c r="Q140">
        <v>10.993876999999999</v>
      </c>
      <c r="R140">
        <v>10.981617999999999</v>
      </c>
      <c r="S140">
        <v>11.011702</v>
      </c>
      <c r="T140">
        <v>11.042368</v>
      </c>
      <c r="U140">
        <v>10.899329</v>
      </c>
      <c r="V140">
        <v>10.826974</v>
      </c>
      <c r="W140">
        <v>10.797314999999999</v>
      </c>
      <c r="X140">
        <v>10.825143000000001</v>
      </c>
      <c r="Y140">
        <v>10.877389000000001</v>
      </c>
      <c r="Z140">
        <v>10.921862000000001</v>
      </c>
      <c r="AA140">
        <v>10.979599</v>
      </c>
      <c r="AB140">
        <v>11.020659</v>
      </c>
      <c r="AC140">
        <v>11.048431000000001</v>
      </c>
      <c r="AD140">
        <v>11.090256999999999</v>
      </c>
      <c r="AE140">
        <v>11.144733</v>
      </c>
      <c r="AF140">
        <v>11.219139</v>
      </c>
      <c r="AG140">
        <v>11.272302</v>
      </c>
      <c r="AH140">
        <v>11.347363</v>
      </c>
      <c r="AI140">
        <v>11.435900999999999</v>
      </c>
      <c r="AJ140">
        <v>11.558768000000001</v>
      </c>
      <c r="AK140">
        <v>11.678603000000001</v>
      </c>
      <c r="AL140">
        <v>11.736568</v>
      </c>
      <c r="AM140">
        <v>11.809454000000001</v>
      </c>
      <c r="AN140">
        <v>11.884501</v>
      </c>
      <c r="AO140">
        <v>11.965589</v>
      </c>
      <c r="AP140" s="7">
        <v>1E-3</v>
      </c>
    </row>
    <row r="141" spans="1:42" x14ac:dyDescent="0.25">
      <c r="A141" t="s">
        <v>1</v>
      </c>
      <c r="C141" t="s">
        <v>300</v>
      </c>
    </row>
    <row r="142" spans="1:42" x14ac:dyDescent="0.25">
      <c r="A142" t="s">
        <v>48</v>
      </c>
      <c r="B142" t="s">
        <v>47</v>
      </c>
      <c r="C142" t="s">
        <v>299</v>
      </c>
      <c r="D142" t="s">
        <v>42</v>
      </c>
      <c r="H142">
        <v>9.4579419999999992</v>
      </c>
      <c r="I142">
        <v>9.6013710000000003</v>
      </c>
      <c r="J142">
        <v>9.6055220000000006</v>
      </c>
      <c r="K142">
        <v>8.5675439999999998</v>
      </c>
      <c r="L142">
        <v>8.9437990000000003</v>
      </c>
      <c r="M142">
        <v>9.0583369999999999</v>
      </c>
      <c r="N142">
        <v>9.1423629999999996</v>
      </c>
      <c r="O142">
        <v>9.1842819999999996</v>
      </c>
      <c r="P142">
        <v>9.2176740000000006</v>
      </c>
      <c r="Q142">
        <v>9.240964</v>
      </c>
      <c r="R142">
        <v>9.2251740000000009</v>
      </c>
      <c r="S142">
        <v>9.250572</v>
      </c>
      <c r="T142">
        <v>9.2581710000000008</v>
      </c>
      <c r="U142">
        <v>9.1679639999999996</v>
      </c>
      <c r="V142">
        <v>9.1683699999999995</v>
      </c>
      <c r="W142">
        <v>9.1749690000000008</v>
      </c>
      <c r="X142">
        <v>9.2027350000000006</v>
      </c>
      <c r="Y142">
        <v>9.2464359999999992</v>
      </c>
      <c r="Z142">
        <v>9.2748170000000005</v>
      </c>
      <c r="AA142">
        <v>9.3236679999999996</v>
      </c>
      <c r="AB142">
        <v>9.3713750000000005</v>
      </c>
      <c r="AC142">
        <v>9.3991520000000008</v>
      </c>
      <c r="AD142">
        <v>9.4403889999999997</v>
      </c>
      <c r="AE142">
        <v>9.4731649999999998</v>
      </c>
      <c r="AF142">
        <v>9.5310670000000002</v>
      </c>
      <c r="AG142">
        <v>9.5779010000000007</v>
      </c>
      <c r="AH142">
        <v>9.6378850000000007</v>
      </c>
      <c r="AI142">
        <v>9.6850039999999993</v>
      </c>
      <c r="AJ142">
        <v>9.7318230000000003</v>
      </c>
      <c r="AK142">
        <v>9.8025669999999998</v>
      </c>
      <c r="AL142">
        <v>9.8655279999999994</v>
      </c>
      <c r="AM142">
        <v>9.9277650000000008</v>
      </c>
      <c r="AN142">
        <v>9.9804490000000001</v>
      </c>
      <c r="AO142">
        <v>10.041266</v>
      </c>
      <c r="AP142" s="7">
        <v>1E-3</v>
      </c>
    </row>
    <row r="143" spans="1:42" x14ac:dyDescent="0.25">
      <c r="A143" t="s">
        <v>46</v>
      </c>
      <c r="B143" t="s">
        <v>45</v>
      </c>
      <c r="C143" t="s">
        <v>298</v>
      </c>
      <c r="D143" t="s">
        <v>42</v>
      </c>
      <c r="H143">
        <v>11.602622999999999</v>
      </c>
      <c r="I143">
        <v>11.782988</v>
      </c>
      <c r="J143">
        <v>11.647322000000001</v>
      </c>
      <c r="K143">
        <v>10.51674</v>
      </c>
      <c r="L143">
        <v>10.840221</v>
      </c>
      <c r="M143">
        <v>11.026427999999999</v>
      </c>
      <c r="N143">
        <v>11.121426</v>
      </c>
      <c r="O143">
        <v>11.110535</v>
      </c>
      <c r="P143">
        <v>11.107931000000001</v>
      </c>
      <c r="Q143">
        <v>10.993876999999999</v>
      </c>
      <c r="R143">
        <v>10.981617999999999</v>
      </c>
      <c r="S143">
        <v>11.011702</v>
      </c>
      <c r="T143">
        <v>11.042368</v>
      </c>
      <c r="U143">
        <v>10.899329</v>
      </c>
      <c r="V143">
        <v>10.826974</v>
      </c>
      <c r="W143">
        <v>10.797314999999999</v>
      </c>
      <c r="X143">
        <v>10.825143000000001</v>
      </c>
      <c r="Y143">
        <v>10.877389000000001</v>
      </c>
      <c r="Z143">
        <v>10.921862000000001</v>
      </c>
      <c r="AA143">
        <v>10.979599</v>
      </c>
      <c r="AB143">
        <v>11.020659</v>
      </c>
      <c r="AC143">
        <v>11.048431000000001</v>
      </c>
      <c r="AD143">
        <v>11.090256999999999</v>
      </c>
      <c r="AE143">
        <v>11.144733</v>
      </c>
      <c r="AF143">
        <v>11.219139</v>
      </c>
      <c r="AG143">
        <v>11.272302</v>
      </c>
      <c r="AH143">
        <v>11.347363</v>
      </c>
      <c r="AI143">
        <v>11.435900999999999</v>
      </c>
      <c r="AJ143">
        <v>11.558768000000001</v>
      </c>
      <c r="AK143">
        <v>11.678603000000001</v>
      </c>
      <c r="AL143">
        <v>11.736568</v>
      </c>
      <c r="AM143">
        <v>11.809454000000001</v>
      </c>
      <c r="AN143">
        <v>11.884501</v>
      </c>
      <c r="AO143">
        <v>11.965589</v>
      </c>
      <c r="AP143" s="7">
        <v>1E-3</v>
      </c>
    </row>
    <row r="144" spans="1:42" x14ac:dyDescent="0.25">
      <c r="A144" t="s">
        <v>44</v>
      </c>
      <c r="B144" t="s">
        <v>43</v>
      </c>
      <c r="C144" t="s">
        <v>297</v>
      </c>
      <c r="D144" t="s">
        <v>42</v>
      </c>
      <c r="H144">
        <v>0.17319100000000001</v>
      </c>
      <c r="I144">
        <v>0.18026500000000001</v>
      </c>
      <c r="J144">
        <v>0.176757</v>
      </c>
      <c r="K144">
        <v>0.15634000000000001</v>
      </c>
      <c r="L144">
        <v>0.163859</v>
      </c>
      <c r="M144">
        <v>0.16417599999999999</v>
      </c>
      <c r="N144">
        <v>0.16380400000000001</v>
      </c>
      <c r="O144">
        <v>0.16314000000000001</v>
      </c>
      <c r="P144">
        <v>0.16230700000000001</v>
      </c>
      <c r="Q144">
        <v>0.161245</v>
      </c>
      <c r="R144">
        <v>0.16017400000000001</v>
      </c>
      <c r="S144">
        <v>0.15915199999999999</v>
      </c>
      <c r="T144">
        <v>0.15805</v>
      </c>
      <c r="U144">
        <v>0.15698699999999999</v>
      </c>
      <c r="V144">
        <v>0.155976</v>
      </c>
      <c r="W144">
        <v>0.15498000000000001</v>
      </c>
      <c r="X144">
        <v>0.15421199999999999</v>
      </c>
      <c r="Y144">
        <v>0.153583</v>
      </c>
      <c r="Z144">
        <v>0.15301400000000001</v>
      </c>
      <c r="AA144">
        <v>0.15245800000000001</v>
      </c>
      <c r="AB144">
        <v>0.151947</v>
      </c>
      <c r="AC144">
        <v>0.151507</v>
      </c>
      <c r="AD144">
        <v>0.151195</v>
      </c>
      <c r="AE144">
        <v>0.15093000000000001</v>
      </c>
      <c r="AF144">
        <v>0.15073700000000001</v>
      </c>
      <c r="AG144">
        <v>0.15067</v>
      </c>
      <c r="AH144">
        <v>0.150704</v>
      </c>
      <c r="AI144">
        <v>0.15079300000000001</v>
      </c>
      <c r="AJ144">
        <v>0.15087700000000001</v>
      </c>
      <c r="AK144">
        <v>0.150978</v>
      </c>
      <c r="AL144">
        <v>0.15109900000000001</v>
      </c>
      <c r="AM144">
        <v>0.15127099999999999</v>
      </c>
      <c r="AN144">
        <v>0.15152299999999999</v>
      </c>
      <c r="AO144">
        <v>0.15179500000000001</v>
      </c>
      <c r="AP144" s="7">
        <v>-1.2E-2</v>
      </c>
    </row>
    <row r="145" spans="1:42" x14ac:dyDescent="0.25">
      <c r="A145" t="s">
        <v>41</v>
      </c>
      <c r="B145" t="s">
        <v>40</v>
      </c>
      <c r="C145" t="s">
        <v>296</v>
      </c>
      <c r="D145" t="s">
        <v>39</v>
      </c>
      <c r="H145">
        <v>53.473274000000004</v>
      </c>
      <c r="I145">
        <v>53.976073999999997</v>
      </c>
      <c r="J145">
        <v>54.506439</v>
      </c>
      <c r="K145">
        <v>54.504367999999999</v>
      </c>
      <c r="L145">
        <v>54.960903000000002</v>
      </c>
      <c r="M145">
        <v>55.420825999999998</v>
      </c>
      <c r="N145">
        <v>55.871174000000003</v>
      </c>
      <c r="O145">
        <v>56.312271000000003</v>
      </c>
      <c r="P145">
        <v>56.744948999999998</v>
      </c>
      <c r="Q145">
        <v>57.170485999999997</v>
      </c>
      <c r="R145">
        <v>57.589168999999998</v>
      </c>
      <c r="S145">
        <v>58.000221000000003</v>
      </c>
      <c r="T145">
        <v>58.405903000000002</v>
      </c>
      <c r="U145">
        <v>58.805126000000001</v>
      </c>
      <c r="V145">
        <v>59.194431000000002</v>
      </c>
      <c r="W145">
        <v>59.573878999999998</v>
      </c>
      <c r="X145">
        <v>59.943851000000002</v>
      </c>
      <c r="Y145">
        <v>60.304229999999997</v>
      </c>
      <c r="Z145">
        <v>60.655548000000003</v>
      </c>
      <c r="AA145">
        <v>60.999588000000003</v>
      </c>
      <c r="AB145">
        <v>61.338664999999999</v>
      </c>
      <c r="AC145">
        <v>61.673392999999997</v>
      </c>
      <c r="AD145">
        <v>62.004565999999997</v>
      </c>
      <c r="AE145">
        <v>62.333336000000003</v>
      </c>
      <c r="AF145">
        <v>62.660156000000001</v>
      </c>
      <c r="AG145">
        <v>62.985508000000003</v>
      </c>
      <c r="AH145">
        <v>63.309795000000001</v>
      </c>
      <c r="AI145">
        <v>63.633690000000001</v>
      </c>
      <c r="AJ145">
        <v>63.957549999999998</v>
      </c>
      <c r="AK145">
        <v>64.278992000000002</v>
      </c>
      <c r="AL145">
        <v>64.593231000000003</v>
      </c>
      <c r="AM145">
        <v>64.901336999999998</v>
      </c>
      <c r="AN145">
        <v>65.211662000000004</v>
      </c>
      <c r="AO145">
        <v>65.529662999999999</v>
      </c>
      <c r="AP145" s="7">
        <v>6.0000000000000001E-3</v>
      </c>
    </row>
    <row r="146" spans="1:42" x14ac:dyDescent="0.25">
      <c r="A146" t="s">
        <v>38</v>
      </c>
      <c r="B146" t="s">
        <v>37</v>
      </c>
      <c r="C146" t="s">
        <v>295</v>
      </c>
      <c r="D146" t="s">
        <v>36</v>
      </c>
      <c r="H146">
        <v>17096.179688</v>
      </c>
      <c r="I146">
        <v>17581.587890999999</v>
      </c>
      <c r="J146">
        <v>19061.34375</v>
      </c>
      <c r="K146">
        <v>18171.386718999998</v>
      </c>
      <c r="L146">
        <v>18739.230468999998</v>
      </c>
      <c r="M146">
        <v>19535.0625</v>
      </c>
      <c r="N146">
        <v>20170.175781000002</v>
      </c>
      <c r="O146">
        <v>20682.980468999998</v>
      </c>
      <c r="P146">
        <v>21192.648438</v>
      </c>
      <c r="Q146">
        <v>21653.730468999998</v>
      </c>
      <c r="R146">
        <v>22078.480468999998</v>
      </c>
      <c r="S146">
        <v>22477.355468999998</v>
      </c>
      <c r="T146">
        <v>22858.132812</v>
      </c>
      <c r="U146">
        <v>23288.818359000001</v>
      </c>
      <c r="V146">
        <v>23759.802734000001</v>
      </c>
      <c r="W146">
        <v>24256.835938</v>
      </c>
      <c r="X146">
        <v>24769.533202999999</v>
      </c>
      <c r="Y146">
        <v>25310.607422000001</v>
      </c>
      <c r="Z146">
        <v>25841.998047000001</v>
      </c>
      <c r="AA146">
        <v>26331.703125</v>
      </c>
      <c r="AB146">
        <v>26809.158202999999</v>
      </c>
      <c r="AC146">
        <v>27307.626952999999</v>
      </c>
      <c r="AD146">
        <v>27826.453125</v>
      </c>
      <c r="AE146">
        <v>28370.613281000002</v>
      </c>
      <c r="AF146">
        <v>28925.115234000001</v>
      </c>
      <c r="AG146">
        <v>29509.078125</v>
      </c>
      <c r="AH146">
        <v>30115.902343999998</v>
      </c>
      <c r="AI146">
        <v>30722.546875</v>
      </c>
      <c r="AJ146">
        <v>31317.330077999999</v>
      </c>
      <c r="AK146">
        <v>31908.9375</v>
      </c>
      <c r="AL146">
        <v>32501.925781000002</v>
      </c>
      <c r="AM146">
        <v>33120.199219000002</v>
      </c>
      <c r="AN146">
        <v>33745.574219000002</v>
      </c>
      <c r="AO146">
        <v>34364.589844000002</v>
      </c>
      <c r="AP146" s="7">
        <v>1.9E-2</v>
      </c>
    </row>
    <row r="147" spans="1:42" x14ac:dyDescent="0.25">
      <c r="A147" t="s">
        <v>35</v>
      </c>
      <c r="C147" t="s">
        <v>294</v>
      </c>
    </row>
    <row r="148" spans="1:42" x14ac:dyDescent="0.25">
      <c r="A148" t="s">
        <v>34</v>
      </c>
      <c r="B148" t="s">
        <v>33</v>
      </c>
      <c r="C148" t="s">
        <v>293</v>
      </c>
      <c r="D148" t="s">
        <v>32</v>
      </c>
      <c r="H148">
        <v>548.44409199999996</v>
      </c>
      <c r="I148">
        <v>558.13116500000001</v>
      </c>
      <c r="J148">
        <v>552.03271500000005</v>
      </c>
      <c r="K148">
        <v>468.78430200000003</v>
      </c>
      <c r="L148">
        <v>486.19561800000002</v>
      </c>
      <c r="M148">
        <v>499.83804300000003</v>
      </c>
      <c r="N148">
        <v>501.44506799999999</v>
      </c>
      <c r="O148">
        <v>501.50607300000001</v>
      </c>
      <c r="P148">
        <v>501.01016199999998</v>
      </c>
      <c r="Q148">
        <v>499.98956299999998</v>
      </c>
      <c r="R148">
        <v>497.94915800000001</v>
      </c>
      <c r="S148">
        <v>498.77099600000003</v>
      </c>
      <c r="T148">
        <v>496.86956800000002</v>
      </c>
      <c r="U148">
        <v>487.64306599999998</v>
      </c>
      <c r="V148">
        <v>481.91384900000003</v>
      </c>
      <c r="W148">
        <v>480.658997</v>
      </c>
      <c r="X148">
        <v>481.41455100000002</v>
      </c>
      <c r="Y148">
        <v>483.18743899999998</v>
      </c>
      <c r="Z148">
        <v>484.64306599999998</v>
      </c>
      <c r="AA148">
        <v>487.19509900000003</v>
      </c>
      <c r="AB148">
        <v>488.40988199999998</v>
      </c>
      <c r="AC148">
        <v>489.79031400000002</v>
      </c>
      <c r="AD148">
        <v>491.96493500000003</v>
      </c>
      <c r="AE148">
        <v>494.15679899999998</v>
      </c>
      <c r="AF148">
        <v>497.52218599999998</v>
      </c>
      <c r="AG148">
        <v>499.24771099999998</v>
      </c>
      <c r="AH148">
        <v>501.643372</v>
      </c>
      <c r="AI148">
        <v>503.23666400000002</v>
      </c>
      <c r="AJ148">
        <v>506.39810199999999</v>
      </c>
      <c r="AK148">
        <v>510.02899200000002</v>
      </c>
      <c r="AL148">
        <v>512.00024399999995</v>
      </c>
      <c r="AM148">
        <v>515.28918499999997</v>
      </c>
      <c r="AN148">
        <v>518.29089399999998</v>
      </c>
      <c r="AO148">
        <v>521.25482199999999</v>
      </c>
      <c r="AP148" s="7">
        <v>-3.0000000000000001E-3</v>
      </c>
    </row>
  </sheetData>
  <hyperlinks>
    <hyperlink ref="A2" r:id="rId1" location="/?id=2-AEO2020&amp;region=1-9&amp;cases=ref2020&amp;start=2018&amp;end=2050&amp;f=A&amp;linechart=ref2020-d112119a.3-2-AEO2020.1-9&amp;map=ref2020-d112119a.5-2-AEO2020.1-9&amp;sourcekey=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workbookViewId="0">
      <selection activeCell="K8" sqref="K8:AO48"/>
    </sheetView>
  </sheetViews>
  <sheetFormatPr defaultRowHeight="15" x14ac:dyDescent="0.25"/>
  <cols>
    <col min="1" max="1" width="43.28515625" customWidth="1"/>
    <col min="2" max="2" width="94.85546875" bestFit="1" customWidth="1"/>
  </cols>
  <sheetData>
    <row r="1" spans="1:41" x14ac:dyDescent="0.25">
      <c r="A1" t="s">
        <v>665</v>
      </c>
    </row>
    <row r="2" spans="1:41" x14ac:dyDescent="0.25">
      <c r="A2" s="93" t="s">
        <v>666</v>
      </c>
    </row>
    <row r="3" spans="1:41" x14ac:dyDescent="0.25">
      <c r="A3" t="s">
        <v>667</v>
      </c>
    </row>
    <row r="4" spans="1:41" x14ac:dyDescent="0.25">
      <c r="A4" t="s">
        <v>216</v>
      </c>
    </row>
    <row r="5" spans="1:41" x14ac:dyDescent="0.25">
      <c r="B5" t="s">
        <v>215</v>
      </c>
      <c r="C5" t="s">
        <v>214</v>
      </c>
      <c r="D5" t="s">
        <v>9</v>
      </c>
      <c r="E5">
        <v>2014</v>
      </c>
      <c r="F5">
        <v>2015</v>
      </c>
      <c r="G5">
        <v>2016</v>
      </c>
      <c r="H5">
        <v>2017</v>
      </c>
      <c r="I5">
        <v>2018</v>
      </c>
      <c r="J5">
        <v>2019</v>
      </c>
      <c r="K5">
        <v>2020</v>
      </c>
      <c r="L5">
        <v>2021</v>
      </c>
      <c r="M5">
        <v>2022</v>
      </c>
      <c r="N5">
        <v>2023</v>
      </c>
      <c r="O5">
        <v>2024</v>
      </c>
      <c r="P5">
        <v>2025</v>
      </c>
      <c r="Q5">
        <v>2026</v>
      </c>
      <c r="R5">
        <v>2027</v>
      </c>
      <c r="S5">
        <v>2028</v>
      </c>
      <c r="T5">
        <v>2029</v>
      </c>
      <c r="U5">
        <v>2030</v>
      </c>
      <c r="V5">
        <v>2031</v>
      </c>
      <c r="W5">
        <v>2032</v>
      </c>
      <c r="X5">
        <v>2033</v>
      </c>
      <c r="Y5">
        <v>2034</v>
      </c>
      <c r="Z5">
        <v>2035</v>
      </c>
      <c r="AA5">
        <v>2036</v>
      </c>
      <c r="AB5">
        <v>2037</v>
      </c>
      <c r="AC5">
        <v>2038</v>
      </c>
      <c r="AD5">
        <v>2039</v>
      </c>
      <c r="AE5">
        <v>2040</v>
      </c>
      <c r="AF5">
        <v>2041</v>
      </c>
      <c r="AG5">
        <v>2042</v>
      </c>
      <c r="AH5">
        <v>2043</v>
      </c>
      <c r="AI5">
        <v>2044</v>
      </c>
      <c r="AJ5">
        <v>2045</v>
      </c>
      <c r="AK5">
        <v>2046</v>
      </c>
      <c r="AL5">
        <v>2047</v>
      </c>
      <c r="AM5">
        <v>2048</v>
      </c>
      <c r="AN5">
        <v>2049</v>
      </c>
      <c r="AO5">
        <v>2050</v>
      </c>
    </row>
    <row r="6" spans="1:41" x14ac:dyDescent="0.25">
      <c r="A6" t="s">
        <v>546</v>
      </c>
    </row>
    <row r="7" spans="1:41" x14ac:dyDescent="0.25">
      <c r="A7" t="s">
        <v>545</v>
      </c>
      <c r="C7" t="s">
        <v>544</v>
      </c>
    </row>
    <row r="8" spans="1:41" x14ac:dyDescent="0.25">
      <c r="A8" t="s">
        <v>543</v>
      </c>
      <c r="B8" t="s">
        <v>542</v>
      </c>
      <c r="C8" t="s">
        <v>541</v>
      </c>
      <c r="D8" t="s">
        <v>42</v>
      </c>
      <c r="H8">
        <v>0.36779099999999998</v>
      </c>
      <c r="I8">
        <v>0.43935099999999999</v>
      </c>
      <c r="J8">
        <v>0.52879799999999999</v>
      </c>
      <c r="K8">
        <v>0.45751199999999997</v>
      </c>
      <c r="L8">
        <v>0.45433299999999999</v>
      </c>
      <c r="M8">
        <v>0.443909</v>
      </c>
      <c r="N8">
        <v>0.448911</v>
      </c>
      <c r="O8">
        <v>0.45432600000000001</v>
      </c>
      <c r="P8">
        <v>0.45631699999999997</v>
      </c>
      <c r="Q8">
        <v>0.45534000000000002</v>
      </c>
      <c r="R8">
        <v>0.45182099999999997</v>
      </c>
      <c r="S8">
        <v>0.44889299999999999</v>
      </c>
      <c r="T8">
        <v>0.444799</v>
      </c>
      <c r="U8">
        <v>0.44039800000000001</v>
      </c>
      <c r="V8">
        <v>0.43509900000000001</v>
      </c>
      <c r="W8">
        <v>0.42979099999999998</v>
      </c>
      <c r="X8">
        <v>0.423655</v>
      </c>
      <c r="Y8">
        <v>0.416962</v>
      </c>
      <c r="Z8">
        <v>0.40978399999999998</v>
      </c>
      <c r="AA8">
        <v>0.40250999999999998</v>
      </c>
      <c r="AB8">
        <v>0.39616499999999999</v>
      </c>
      <c r="AC8">
        <v>0.3906</v>
      </c>
      <c r="AD8">
        <v>0.38444800000000001</v>
      </c>
      <c r="AE8">
        <v>0.37942199999999998</v>
      </c>
      <c r="AF8">
        <v>0.37479000000000001</v>
      </c>
      <c r="AG8">
        <v>0.37020500000000001</v>
      </c>
      <c r="AH8">
        <v>0.36615700000000001</v>
      </c>
      <c r="AI8">
        <v>0.36159400000000003</v>
      </c>
      <c r="AJ8">
        <v>0.35714499999999999</v>
      </c>
      <c r="AK8">
        <v>0.35383199999999998</v>
      </c>
      <c r="AL8">
        <v>0.35059000000000001</v>
      </c>
      <c r="AM8">
        <v>0.34657500000000002</v>
      </c>
      <c r="AN8">
        <v>0.34247</v>
      </c>
      <c r="AO8">
        <v>0.33811099999999999</v>
      </c>
    </row>
    <row r="9" spans="1:41" x14ac:dyDescent="0.25">
      <c r="A9" t="s">
        <v>540</v>
      </c>
      <c r="B9" t="s">
        <v>539</v>
      </c>
      <c r="C9" t="s">
        <v>538</v>
      </c>
      <c r="D9" t="s">
        <v>42</v>
      </c>
      <c r="H9">
        <v>0.141097</v>
      </c>
      <c r="I9">
        <v>0.141097</v>
      </c>
      <c r="J9">
        <v>0.13072</v>
      </c>
      <c r="K9">
        <v>0.131216</v>
      </c>
      <c r="L9">
        <v>0.131216</v>
      </c>
      <c r="M9">
        <v>0.131216</v>
      </c>
      <c r="N9">
        <v>0.131216</v>
      </c>
      <c r="O9">
        <v>0.131216</v>
      </c>
      <c r="P9">
        <v>0.131216</v>
      </c>
      <c r="Q9">
        <v>0.131216</v>
      </c>
      <c r="R9">
        <v>0.131216</v>
      </c>
      <c r="S9">
        <v>0.131216</v>
      </c>
      <c r="T9">
        <v>0.131216</v>
      </c>
      <c r="U9">
        <v>0.131216</v>
      </c>
      <c r="V9">
        <v>0.131216</v>
      </c>
      <c r="W9">
        <v>0.131216</v>
      </c>
      <c r="X9">
        <v>0.131216</v>
      </c>
      <c r="Y9">
        <v>0.131216</v>
      </c>
      <c r="Z9">
        <v>0.131216</v>
      </c>
      <c r="AA9">
        <v>0.131216</v>
      </c>
      <c r="AB9">
        <v>0.131216</v>
      </c>
      <c r="AC9">
        <v>0.131216</v>
      </c>
      <c r="AD9">
        <v>0.131216</v>
      </c>
      <c r="AE9">
        <v>0.131216</v>
      </c>
      <c r="AF9">
        <v>0.131216</v>
      </c>
      <c r="AG9">
        <v>0.131216</v>
      </c>
      <c r="AH9">
        <v>0.131216</v>
      </c>
      <c r="AI9">
        <v>0.131216</v>
      </c>
      <c r="AJ9">
        <v>0.131216</v>
      </c>
      <c r="AK9">
        <v>0.131216</v>
      </c>
      <c r="AL9">
        <v>0.131216</v>
      </c>
      <c r="AM9">
        <v>0.131216</v>
      </c>
      <c r="AN9">
        <v>0.131216</v>
      </c>
      <c r="AO9">
        <v>0.131216</v>
      </c>
    </row>
    <row r="10" spans="1:41" x14ac:dyDescent="0.25">
      <c r="A10" t="s">
        <v>188</v>
      </c>
      <c r="B10" t="s">
        <v>537</v>
      </c>
      <c r="C10" t="s">
        <v>536</v>
      </c>
      <c r="D10" t="s">
        <v>42</v>
      </c>
      <c r="H10">
        <v>2.4297200000000001</v>
      </c>
      <c r="I10">
        <v>2.4196249999999999</v>
      </c>
      <c r="J10">
        <v>2.5275859999999999</v>
      </c>
      <c r="K10">
        <v>2.4349829999999999</v>
      </c>
      <c r="L10">
        <v>2.4103940000000001</v>
      </c>
      <c r="M10">
        <v>2.4423859999999999</v>
      </c>
      <c r="N10">
        <v>2.4542799999999998</v>
      </c>
      <c r="O10">
        <v>2.4660890000000002</v>
      </c>
      <c r="P10">
        <v>2.483581</v>
      </c>
      <c r="Q10">
        <v>2.493573</v>
      </c>
      <c r="R10">
        <v>2.5009929999999998</v>
      </c>
      <c r="S10">
        <v>2.5043090000000001</v>
      </c>
      <c r="T10">
        <v>2.5094889999999999</v>
      </c>
      <c r="U10">
        <v>2.5218639999999999</v>
      </c>
      <c r="V10">
        <v>2.54087</v>
      </c>
      <c r="W10">
        <v>2.548273</v>
      </c>
      <c r="X10">
        <v>2.5546419999999999</v>
      </c>
      <c r="Y10">
        <v>2.5604019999999998</v>
      </c>
      <c r="Z10">
        <v>2.573331</v>
      </c>
      <c r="AA10">
        <v>2.5835149999999998</v>
      </c>
      <c r="AB10">
        <v>2.595269</v>
      </c>
      <c r="AC10">
        <v>2.6118899999999998</v>
      </c>
      <c r="AD10">
        <v>2.627891</v>
      </c>
      <c r="AE10">
        <v>2.6434540000000002</v>
      </c>
      <c r="AF10">
        <v>2.663767</v>
      </c>
      <c r="AG10">
        <v>2.687821</v>
      </c>
      <c r="AH10">
        <v>2.7147329999999998</v>
      </c>
      <c r="AI10">
        <v>2.7412200000000002</v>
      </c>
      <c r="AJ10">
        <v>2.7734009999999998</v>
      </c>
      <c r="AK10">
        <v>2.7965499999999999</v>
      </c>
      <c r="AL10">
        <v>2.8346179999999999</v>
      </c>
      <c r="AM10">
        <v>2.8641700000000001</v>
      </c>
      <c r="AN10">
        <v>2.8970020000000001</v>
      </c>
      <c r="AO10">
        <v>2.9304329999999998</v>
      </c>
    </row>
    <row r="11" spans="1:41" x14ac:dyDescent="0.25">
      <c r="A11" t="s">
        <v>504</v>
      </c>
      <c r="B11" t="s">
        <v>535</v>
      </c>
      <c r="C11" t="s">
        <v>534</v>
      </c>
      <c r="D11" t="s">
        <v>42</v>
      </c>
      <c r="H11">
        <v>5.2400000000000005E-4</v>
      </c>
      <c r="I11">
        <v>1.1069999999999999E-3</v>
      </c>
      <c r="J11">
        <v>8.2700000000000004E-4</v>
      </c>
      <c r="K11">
        <v>1.2289E-2</v>
      </c>
      <c r="L11">
        <v>1.2248E-2</v>
      </c>
      <c r="M11">
        <v>1.4031E-2</v>
      </c>
      <c r="N11">
        <v>1.5814000000000002E-2</v>
      </c>
      <c r="O11">
        <v>1.6705999999999999E-2</v>
      </c>
      <c r="P11">
        <v>1.7597000000000002E-2</v>
      </c>
      <c r="Q11">
        <v>1.8488999999999998E-2</v>
      </c>
      <c r="R11">
        <v>1.9380000000000001E-2</v>
      </c>
      <c r="S11">
        <v>1.9826E-2</v>
      </c>
      <c r="T11">
        <v>2.0271999999999998E-2</v>
      </c>
      <c r="U11">
        <v>2.0716999999999999E-2</v>
      </c>
      <c r="V11">
        <v>2.1163000000000001E-2</v>
      </c>
      <c r="W11">
        <v>2.1163000000000001E-2</v>
      </c>
      <c r="X11">
        <v>2.1163000000000001E-2</v>
      </c>
      <c r="Y11">
        <v>2.1163000000000001E-2</v>
      </c>
      <c r="Z11">
        <v>2.1163000000000001E-2</v>
      </c>
      <c r="AA11">
        <v>2.1163000000000001E-2</v>
      </c>
      <c r="AB11">
        <v>2.1163000000000001E-2</v>
      </c>
      <c r="AC11">
        <v>2.1163000000000001E-2</v>
      </c>
      <c r="AD11">
        <v>2.1163000000000001E-2</v>
      </c>
      <c r="AE11">
        <v>2.1163000000000001E-2</v>
      </c>
      <c r="AF11">
        <v>2.1163000000000001E-2</v>
      </c>
      <c r="AG11">
        <v>2.1163000000000001E-2</v>
      </c>
      <c r="AH11">
        <v>2.1163000000000001E-2</v>
      </c>
      <c r="AI11">
        <v>2.1163000000000001E-2</v>
      </c>
      <c r="AJ11">
        <v>2.1163000000000001E-2</v>
      </c>
      <c r="AK11">
        <v>2.1163000000000001E-2</v>
      </c>
      <c r="AL11">
        <v>2.1163000000000001E-2</v>
      </c>
      <c r="AM11">
        <v>2.1163000000000001E-2</v>
      </c>
      <c r="AN11">
        <v>2.1163000000000001E-2</v>
      </c>
      <c r="AO11">
        <v>2.1163000000000001E-2</v>
      </c>
    </row>
    <row r="12" spans="1:41" x14ac:dyDescent="0.25">
      <c r="A12" t="s">
        <v>533</v>
      </c>
      <c r="B12" t="s">
        <v>532</v>
      </c>
      <c r="C12" t="s">
        <v>531</v>
      </c>
      <c r="D12" t="s">
        <v>42</v>
      </c>
      <c r="H12">
        <v>0.1653</v>
      </c>
      <c r="I12">
        <v>0.16800000000000001</v>
      </c>
      <c r="J12">
        <v>0.16470000000000001</v>
      </c>
      <c r="K12">
        <v>0.16345499999999999</v>
      </c>
      <c r="L12">
        <v>0.16238900000000001</v>
      </c>
      <c r="M12">
        <v>0.16277800000000001</v>
      </c>
      <c r="N12">
        <v>0.16192300000000001</v>
      </c>
      <c r="O12">
        <v>0.16106699999999999</v>
      </c>
      <c r="P12">
        <v>0.160188</v>
      </c>
      <c r="Q12">
        <v>0.15889600000000001</v>
      </c>
      <c r="R12">
        <v>0.157332</v>
      </c>
      <c r="S12">
        <v>0.15552099999999999</v>
      </c>
      <c r="T12">
        <v>0.15378</v>
      </c>
      <c r="U12">
        <v>0.152199</v>
      </c>
      <c r="V12">
        <v>0.15068200000000001</v>
      </c>
      <c r="W12">
        <v>0.14929000000000001</v>
      </c>
      <c r="X12">
        <v>0.14813000000000001</v>
      </c>
      <c r="Y12">
        <v>0.146095</v>
      </c>
      <c r="Z12">
        <v>0.14769099999999999</v>
      </c>
      <c r="AA12">
        <v>0.14918999999999999</v>
      </c>
      <c r="AB12">
        <v>0.150589</v>
      </c>
      <c r="AC12">
        <v>0.152061</v>
      </c>
      <c r="AD12">
        <v>0.15356700000000001</v>
      </c>
      <c r="AE12">
        <v>0.15520999999999999</v>
      </c>
      <c r="AF12">
        <v>0.156971</v>
      </c>
      <c r="AG12">
        <v>0.15872900000000001</v>
      </c>
      <c r="AH12">
        <v>0.16056300000000001</v>
      </c>
      <c r="AI12">
        <v>0.16247800000000001</v>
      </c>
      <c r="AJ12">
        <v>0.16441700000000001</v>
      </c>
      <c r="AK12">
        <v>0.16634699999999999</v>
      </c>
      <c r="AL12">
        <v>0.16828099999999999</v>
      </c>
      <c r="AM12">
        <v>0.17033799999999999</v>
      </c>
      <c r="AN12">
        <v>0.172482</v>
      </c>
      <c r="AO12">
        <v>0.174732</v>
      </c>
    </row>
    <row r="13" spans="1:41" x14ac:dyDescent="0.25">
      <c r="A13" t="s">
        <v>495</v>
      </c>
      <c r="B13" t="s">
        <v>530</v>
      </c>
      <c r="C13" t="s">
        <v>529</v>
      </c>
      <c r="D13" t="s">
        <v>42</v>
      </c>
      <c r="H13">
        <v>1.4799</v>
      </c>
      <c r="I13">
        <v>1.4681</v>
      </c>
      <c r="J13">
        <v>1.4597</v>
      </c>
      <c r="K13">
        <v>1.35443</v>
      </c>
      <c r="L13">
        <v>1.3546860000000001</v>
      </c>
      <c r="M13">
        <v>1.3948849999999999</v>
      </c>
      <c r="N13">
        <v>1.400493</v>
      </c>
      <c r="O13">
        <v>1.4093169999999999</v>
      </c>
      <c r="P13">
        <v>1.420372</v>
      </c>
      <c r="Q13">
        <v>1.4279390000000001</v>
      </c>
      <c r="R13">
        <v>1.4338040000000001</v>
      </c>
      <c r="S13">
        <v>1.4361889999999999</v>
      </c>
      <c r="T13">
        <v>1.440266</v>
      </c>
      <c r="U13">
        <v>1.449335</v>
      </c>
      <c r="V13">
        <v>1.4597599999999999</v>
      </c>
      <c r="W13">
        <v>1.465265</v>
      </c>
      <c r="X13">
        <v>1.4676439999999999</v>
      </c>
      <c r="Y13">
        <v>1.469241</v>
      </c>
      <c r="Z13">
        <v>1.4744969999999999</v>
      </c>
      <c r="AA13">
        <v>1.478361</v>
      </c>
      <c r="AB13">
        <v>1.483511</v>
      </c>
      <c r="AC13">
        <v>1.493263</v>
      </c>
      <c r="AD13">
        <v>1.5015499999999999</v>
      </c>
      <c r="AE13">
        <v>1.5086539999999999</v>
      </c>
      <c r="AF13">
        <v>1.5205439999999999</v>
      </c>
      <c r="AG13">
        <v>1.534778</v>
      </c>
      <c r="AH13">
        <v>1.5508310000000001</v>
      </c>
      <c r="AI13">
        <v>1.566098</v>
      </c>
      <c r="AJ13">
        <v>1.5824149999999999</v>
      </c>
      <c r="AK13">
        <v>1.5988100000000001</v>
      </c>
      <c r="AL13">
        <v>1.617537</v>
      </c>
      <c r="AM13">
        <v>1.63527</v>
      </c>
      <c r="AN13">
        <v>1.655443</v>
      </c>
      <c r="AO13">
        <v>1.6759630000000001</v>
      </c>
    </row>
    <row r="14" spans="1:41" x14ac:dyDescent="0.25">
      <c r="A14" t="s">
        <v>58</v>
      </c>
      <c r="B14" t="s">
        <v>528</v>
      </c>
      <c r="C14" t="s">
        <v>527</v>
      </c>
      <c r="D14" t="s">
        <v>42</v>
      </c>
      <c r="H14">
        <v>0.78399600000000003</v>
      </c>
      <c r="I14">
        <v>0.78241799999999995</v>
      </c>
      <c r="J14">
        <v>0.90236000000000005</v>
      </c>
      <c r="K14">
        <v>0.90481</v>
      </c>
      <c r="L14">
        <v>0.88107100000000005</v>
      </c>
      <c r="M14">
        <v>0.87069200000000002</v>
      </c>
      <c r="N14">
        <v>0.87605100000000002</v>
      </c>
      <c r="O14">
        <v>0.879</v>
      </c>
      <c r="P14">
        <v>0.88542399999999999</v>
      </c>
      <c r="Q14">
        <v>0.88824899999999996</v>
      </c>
      <c r="R14">
        <v>0.89047699999999996</v>
      </c>
      <c r="S14">
        <v>0.89277300000000004</v>
      </c>
      <c r="T14">
        <v>0.89517199999999997</v>
      </c>
      <c r="U14">
        <v>0.899613</v>
      </c>
      <c r="V14">
        <v>0.90926399999999996</v>
      </c>
      <c r="W14">
        <v>0.91255399999999998</v>
      </c>
      <c r="X14">
        <v>0.91770499999999999</v>
      </c>
      <c r="Y14">
        <v>0.92390300000000003</v>
      </c>
      <c r="Z14">
        <v>0.92998000000000003</v>
      </c>
      <c r="AA14">
        <v>0.93480099999999999</v>
      </c>
      <c r="AB14">
        <v>0.94000700000000004</v>
      </c>
      <c r="AC14">
        <v>0.94540199999999996</v>
      </c>
      <c r="AD14">
        <v>0.95161099999999998</v>
      </c>
      <c r="AE14">
        <v>0.95842700000000003</v>
      </c>
      <c r="AF14">
        <v>0.96508899999999997</v>
      </c>
      <c r="AG14">
        <v>0.97315099999999999</v>
      </c>
      <c r="AH14">
        <v>0.98217600000000005</v>
      </c>
      <c r="AI14">
        <v>0.99148099999999995</v>
      </c>
      <c r="AJ14">
        <v>1.0054069999999999</v>
      </c>
      <c r="AK14">
        <v>1.010229</v>
      </c>
      <c r="AL14">
        <v>1.0276369999999999</v>
      </c>
      <c r="AM14">
        <v>1.037398</v>
      </c>
      <c r="AN14">
        <v>1.047914</v>
      </c>
      <c r="AO14">
        <v>1.058575</v>
      </c>
    </row>
    <row r="15" spans="1:41" x14ac:dyDescent="0.25">
      <c r="A15" t="s">
        <v>163</v>
      </c>
      <c r="B15" t="s">
        <v>526</v>
      </c>
      <c r="C15" t="s">
        <v>525</v>
      </c>
      <c r="D15" t="s">
        <v>42</v>
      </c>
      <c r="H15">
        <v>1.519158</v>
      </c>
      <c r="I15">
        <v>1.5506930000000001</v>
      </c>
      <c r="J15">
        <v>1.5304629999999999</v>
      </c>
      <c r="K15">
        <v>1.331656</v>
      </c>
      <c r="L15">
        <v>1.516716</v>
      </c>
      <c r="M15">
        <v>1.5437369999999999</v>
      </c>
      <c r="N15">
        <v>1.5753509999999999</v>
      </c>
      <c r="O15">
        <v>1.5821099999999999</v>
      </c>
      <c r="P15">
        <v>1.5888739999999999</v>
      </c>
      <c r="Q15">
        <v>1.595691</v>
      </c>
      <c r="R15">
        <v>1.602471</v>
      </c>
      <c r="S15">
        <v>1.6092489999999999</v>
      </c>
      <c r="T15">
        <v>1.6160159999999999</v>
      </c>
      <c r="U15">
        <v>1.6228020000000001</v>
      </c>
      <c r="V15">
        <v>1.6218090000000001</v>
      </c>
      <c r="W15">
        <v>1.620954</v>
      </c>
      <c r="X15">
        <v>1.620123</v>
      </c>
      <c r="Y15">
        <v>1.619237</v>
      </c>
      <c r="Z15">
        <v>1.6184080000000001</v>
      </c>
      <c r="AA15">
        <v>1.617488</v>
      </c>
      <c r="AB15">
        <v>1.616493</v>
      </c>
      <c r="AC15">
        <v>1.6154999999999999</v>
      </c>
      <c r="AD15">
        <v>1.614554</v>
      </c>
      <c r="AE15">
        <v>1.613723</v>
      </c>
      <c r="AF15">
        <v>1.622198</v>
      </c>
      <c r="AG15">
        <v>1.624452</v>
      </c>
      <c r="AH15">
        <v>1.6236330000000001</v>
      </c>
      <c r="AI15">
        <v>1.630333</v>
      </c>
      <c r="AJ15">
        <v>1.638765</v>
      </c>
      <c r="AK15">
        <v>1.6472739999999999</v>
      </c>
      <c r="AL15">
        <v>1.6571130000000001</v>
      </c>
      <c r="AM15">
        <v>1.6668270000000001</v>
      </c>
      <c r="AN15">
        <v>1.682777</v>
      </c>
      <c r="AO15">
        <v>1.698785</v>
      </c>
    </row>
    <row r="16" spans="1:41" s="98" customFormat="1" x14ac:dyDescent="0.25">
      <c r="A16" s="98" t="s">
        <v>524</v>
      </c>
      <c r="B16" s="98" t="s">
        <v>523</v>
      </c>
      <c r="C16" s="98" t="s">
        <v>522</v>
      </c>
      <c r="D16" s="98" t="s">
        <v>42</v>
      </c>
      <c r="E16" s="98">
        <v>0</v>
      </c>
      <c r="F16" s="98">
        <v>0</v>
      </c>
      <c r="G16" s="98">
        <v>0</v>
      </c>
      <c r="H16" s="98">
        <v>6.0400000000000002E-3</v>
      </c>
      <c r="I16" s="98">
        <v>2.7022999999999998E-2</v>
      </c>
      <c r="J16" s="98">
        <v>9.8600000000000007E-3</v>
      </c>
      <c r="K16" s="98">
        <v>2.0695999999999999E-2</v>
      </c>
      <c r="L16" s="98">
        <v>2.1385000000000001E-2</v>
      </c>
      <c r="M16" s="98">
        <v>2.0244000000000002E-2</v>
      </c>
      <c r="N16" s="98">
        <v>2.0889999999999999E-2</v>
      </c>
      <c r="O16" s="98">
        <v>2.0712000000000001E-2</v>
      </c>
      <c r="P16" s="98">
        <v>2.0358000000000001E-2</v>
      </c>
      <c r="Q16" s="98">
        <v>1.9987999999999999E-2</v>
      </c>
      <c r="R16" s="98">
        <v>1.9567999999999999E-2</v>
      </c>
      <c r="S16" s="98">
        <v>1.9035E-2</v>
      </c>
      <c r="T16" s="98">
        <v>1.8599999999999998E-2</v>
      </c>
      <c r="U16" s="98">
        <v>1.8121999999999999E-2</v>
      </c>
      <c r="V16" s="98">
        <v>1.7815999999999999E-2</v>
      </c>
      <c r="W16" s="98">
        <v>1.7461000000000001E-2</v>
      </c>
      <c r="X16" s="98">
        <v>1.7233999999999999E-2</v>
      </c>
      <c r="Y16" s="98">
        <v>1.7044E-2</v>
      </c>
      <c r="Z16" s="98">
        <v>1.6931000000000002E-2</v>
      </c>
      <c r="AA16" s="98">
        <v>1.6846E-2</v>
      </c>
      <c r="AB16" s="98">
        <v>1.6806000000000001E-2</v>
      </c>
      <c r="AC16" s="98">
        <v>1.6781000000000001E-2</v>
      </c>
      <c r="AD16" s="98">
        <v>1.6875000000000001E-2</v>
      </c>
      <c r="AE16" s="98">
        <v>1.6924999999999999E-2</v>
      </c>
      <c r="AF16" s="98">
        <v>1.7033E-2</v>
      </c>
      <c r="AG16" s="98">
        <v>1.7191999999999999E-2</v>
      </c>
      <c r="AH16" s="98">
        <v>1.7378999999999999E-2</v>
      </c>
      <c r="AI16" s="98">
        <v>1.7603000000000001E-2</v>
      </c>
      <c r="AJ16" s="98">
        <v>1.7871000000000001E-2</v>
      </c>
      <c r="AK16" s="98">
        <v>1.805E-2</v>
      </c>
      <c r="AL16" s="98">
        <v>1.8305999999999999E-2</v>
      </c>
      <c r="AM16" s="98">
        <v>1.8568000000000001E-2</v>
      </c>
      <c r="AN16" s="98">
        <v>1.8886E-2</v>
      </c>
      <c r="AO16" s="98">
        <v>1.9217000000000001E-2</v>
      </c>
    </row>
    <row r="17" spans="1:41" s="98" customFormat="1" x14ac:dyDescent="0.25">
      <c r="A17" s="98" t="s">
        <v>521</v>
      </c>
      <c r="B17" s="98" t="s">
        <v>520</v>
      </c>
      <c r="C17" s="98" t="s">
        <v>519</v>
      </c>
      <c r="D17" s="98" t="s">
        <v>42</v>
      </c>
      <c r="E17" s="98">
        <v>1.1100000000000001</v>
      </c>
      <c r="F17" s="98">
        <v>1.1499999999999999</v>
      </c>
      <c r="G17" s="98">
        <v>1.17</v>
      </c>
      <c r="H17" s="98">
        <v>1.1932579999999999</v>
      </c>
      <c r="I17" s="98">
        <v>1.1600429999999999</v>
      </c>
      <c r="J17" s="98">
        <v>1.170234</v>
      </c>
      <c r="K17" s="98">
        <v>1.0145219999999999</v>
      </c>
      <c r="L17" s="98">
        <v>1.120045</v>
      </c>
      <c r="M17" s="98">
        <v>1.108233</v>
      </c>
      <c r="N17" s="98">
        <v>1.1098079999999999</v>
      </c>
      <c r="O17" s="98">
        <v>1.1074930000000001</v>
      </c>
      <c r="P17" s="98">
        <v>1.1097109999999999</v>
      </c>
      <c r="Q17" s="98">
        <v>1.110063</v>
      </c>
      <c r="R17" s="98">
        <v>1.1099950000000001</v>
      </c>
      <c r="S17" s="98">
        <v>1.110088</v>
      </c>
      <c r="T17" s="98">
        <v>1.109396</v>
      </c>
      <c r="U17" s="98">
        <v>1.109607</v>
      </c>
      <c r="V17" s="98">
        <v>1.1099159999999999</v>
      </c>
      <c r="W17" s="98">
        <v>1.110895</v>
      </c>
      <c r="X17" s="98">
        <v>1.113478</v>
      </c>
      <c r="Y17" s="98">
        <v>1.1171530000000001</v>
      </c>
      <c r="Z17" s="98">
        <v>1.1214090000000001</v>
      </c>
      <c r="AA17" s="98">
        <v>1.1239760000000001</v>
      </c>
      <c r="AB17" s="98">
        <v>1.1267419999999999</v>
      </c>
      <c r="AC17" s="98">
        <v>1.1300209999999999</v>
      </c>
      <c r="AD17" s="98">
        <v>1.1342410000000001</v>
      </c>
      <c r="AE17" s="98">
        <v>1.139008</v>
      </c>
      <c r="AF17" s="98">
        <v>1.143327</v>
      </c>
      <c r="AG17" s="98">
        <v>1.1488700000000001</v>
      </c>
      <c r="AH17" s="98">
        <v>1.1553389999999999</v>
      </c>
      <c r="AI17" s="98">
        <v>1.162115</v>
      </c>
      <c r="AJ17" s="98">
        <v>1.1685939999999999</v>
      </c>
      <c r="AK17" s="98">
        <v>1.175678</v>
      </c>
      <c r="AL17" s="98">
        <v>1.1825190000000001</v>
      </c>
      <c r="AM17" s="98">
        <v>1.1902790000000001</v>
      </c>
      <c r="AN17" s="98">
        <v>1.198693</v>
      </c>
      <c r="AO17" s="98">
        <v>1.207211</v>
      </c>
    </row>
    <row r="18" spans="1:41" s="98" customFormat="1" x14ac:dyDescent="0.25">
      <c r="A18" s="98" t="s">
        <v>518</v>
      </c>
      <c r="B18" s="98" t="s">
        <v>517</v>
      </c>
      <c r="C18" s="98" t="s">
        <v>516</v>
      </c>
      <c r="D18" s="98" t="s">
        <v>42</v>
      </c>
      <c r="E18" s="98">
        <v>0.19</v>
      </c>
      <c r="F18" s="98">
        <v>0.22</v>
      </c>
      <c r="G18" s="98">
        <v>0.31</v>
      </c>
      <c r="H18" s="98">
        <v>0.26588699999999998</v>
      </c>
      <c r="I18" s="98">
        <v>0.295344</v>
      </c>
      <c r="J18" s="98">
        <v>0.28631400000000001</v>
      </c>
      <c r="K18" s="98">
        <v>0.22708700000000001</v>
      </c>
      <c r="L18" s="98">
        <v>0.268152</v>
      </c>
      <c r="M18" s="98">
        <v>0.25878800000000002</v>
      </c>
      <c r="N18" s="98">
        <v>0.26499</v>
      </c>
      <c r="O18" s="98">
        <v>0.26540200000000003</v>
      </c>
      <c r="P18" s="98">
        <v>0.26579799999999998</v>
      </c>
      <c r="Q18" s="98">
        <v>0.26619100000000001</v>
      </c>
      <c r="R18" s="98">
        <v>0.26691100000000001</v>
      </c>
      <c r="S18" s="98">
        <v>0.267289</v>
      </c>
      <c r="T18" s="98">
        <v>0.26771</v>
      </c>
      <c r="U18" s="98">
        <v>0.26918900000000001</v>
      </c>
      <c r="V18" s="98">
        <v>0.26889800000000003</v>
      </c>
      <c r="W18" s="98">
        <v>0.26927699999999999</v>
      </c>
      <c r="X18" s="98">
        <v>0.269397</v>
      </c>
      <c r="Y18" s="98">
        <v>0.26981899999999998</v>
      </c>
      <c r="Z18" s="98">
        <v>0.27024199999999998</v>
      </c>
      <c r="AA18" s="98">
        <v>0.26932899999999999</v>
      </c>
      <c r="AB18" s="98">
        <v>0.265098</v>
      </c>
      <c r="AC18" s="98">
        <v>0.262687</v>
      </c>
      <c r="AD18" s="98">
        <v>0.26302900000000001</v>
      </c>
      <c r="AE18" s="98">
        <v>0.26337300000000002</v>
      </c>
      <c r="AF18" s="98">
        <v>0.26371800000000001</v>
      </c>
      <c r="AG18" s="98">
        <v>0.26406499999999999</v>
      </c>
      <c r="AH18" s="98">
        <v>0.263598</v>
      </c>
      <c r="AI18" s="98">
        <v>0.263936</v>
      </c>
      <c r="AJ18" s="98">
        <v>0.26427600000000001</v>
      </c>
      <c r="AK18" s="98">
        <v>0.26504499999999998</v>
      </c>
      <c r="AL18" s="98">
        <v>0.26540000000000002</v>
      </c>
      <c r="AM18" s="98">
        <v>0.26575799999999999</v>
      </c>
      <c r="AN18" s="98">
        <v>0.27254</v>
      </c>
      <c r="AO18" s="98">
        <v>0.27727000000000002</v>
      </c>
    </row>
    <row r="19" spans="1:41" x14ac:dyDescent="0.25">
      <c r="A19" t="s">
        <v>515</v>
      </c>
      <c r="B19" t="s">
        <v>514</v>
      </c>
      <c r="C19" t="s">
        <v>513</v>
      </c>
      <c r="D19" t="s">
        <v>42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</row>
    <row r="20" spans="1:41" x14ac:dyDescent="0.25">
      <c r="A20" t="s">
        <v>512</v>
      </c>
      <c r="B20" t="s">
        <v>511</v>
      </c>
      <c r="C20" t="s">
        <v>510</v>
      </c>
      <c r="D20" t="s">
        <v>42</v>
      </c>
      <c r="H20">
        <v>0</v>
      </c>
      <c r="I20">
        <v>3.4099999999999999E-4</v>
      </c>
      <c r="J20">
        <v>2.745E-3</v>
      </c>
      <c r="K20">
        <v>0</v>
      </c>
      <c r="L20">
        <v>0</v>
      </c>
      <c r="M20">
        <v>0</v>
      </c>
      <c r="N20">
        <v>2.745E-3</v>
      </c>
      <c r="O20">
        <v>2.14E-3</v>
      </c>
      <c r="P20">
        <v>2.33E-3</v>
      </c>
      <c r="Q20">
        <v>2.6329999999999999E-3</v>
      </c>
      <c r="R20">
        <v>1.5709999999999999E-3</v>
      </c>
      <c r="S20">
        <v>1.31E-3</v>
      </c>
      <c r="T20">
        <v>1.2830000000000001E-3</v>
      </c>
      <c r="U20">
        <v>2.745E-3</v>
      </c>
      <c r="V20">
        <v>2.5569999999999998E-3</v>
      </c>
      <c r="W20">
        <v>1.302E-3</v>
      </c>
      <c r="X20">
        <v>1.31E-3</v>
      </c>
      <c r="Y20">
        <v>1.31E-3</v>
      </c>
      <c r="Z20">
        <v>1.31E-3</v>
      </c>
      <c r="AA20">
        <v>9.4200000000000002E-4</v>
      </c>
      <c r="AB20">
        <v>9.4200000000000002E-4</v>
      </c>
      <c r="AC20">
        <v>9.0200000000000002E-4</v>
      </c>
      <c r="AD20">
        <v>9.0200000000000002E-4</v>
      </c>
      <c r="AE20">
        <v>9.0200000000000002E-4</v>
      </c>
      <c r="AF20">
        <v>9.0200000000000002E-4</v>
      </c>
      <c r="AG20">
        <v>8.3799999999999999E-4</v>
      </c>
      <c r="AH20">
        <v>5.8E-5</v>
      </c>
      <c r="AI20">
        <v>0</v>
      </c>
      <c r="AJ20">
        <v>0</v>
      </c>
      <c r="AK20">
        <v>0</v>
      </c>
      <c r="AL20">
        <v>9.9999999999999995E-7</v>
      </c>
      <c r="AM20">
        <v>9.0200000000000002E-4</v>
      </c>
      <c r="AN20">
        <v>9.0200000000000002E-4</v>
      </c>
      <c r="AO20">
        <v>9.0200000000000002E-4</v>
      </c>
    </row>
    <row r="21" spans="1:41" s="98" customFormat="1" x14ac:dyDescent="0.25">
      <c r="A21" s="98" t="s">
        <v>509</v>
      </c>
      <c r="B21" s="98" t="s">
        <v>508</v>
      </c>
      <c r="C21" s="98" t="s">
        <v>507</v>
      </c>
      <c r="D21" s="98" t="s">
        <v>42</v>
      </c>
      <c r="E21" s="98">
        <v>0</v>
      </c>
      <c r="F21" s="98">
        <v>0.01</v>
      </c>
      <c r="G21" s="98">
        <v>0.04</v>
      </c>
      <c r="H21" s="98">
        <v>5.3973E-2</v>
      </c>
      <c r="I21" s="98">
        <v>6.7943000000000003E-2</v>
      </c>
      <c r="J21" s="98">
        <v>6.1310999999999997E-2</v>
      </c>
      <c r="K21" s="98">
        <v>6.9350999999999996E-2</v>
      </c>
      <c r="L21" s="98">
        <v>0.10713399999999999</v>
      </c>
      <c r="M21" s="98">
        <v>0.156473</v>
      </c>
      <c r="N21" s="98">
        <v>0.17691899999999999</v>
      </c>
      <c r="O21" s="98">
        <v>0.186361</v>
      </c>
      <c r="P21" s="98">
        <v>0.19067700000000001</v>
      </c>
      <c r="Q21" s="98">
        <v>0.19681499999999999</v>
      </c>
      <c r="R21" s="98">
        <v>0.204426</v>
      </c>
      <c r="S21" s="98">
        <v>0.21152699999999999</v>
      </c>
      <c r="T21" s="98">
        <v>0.219027</v>
      </c>
      <c r="U21" s="98">
        <v>0.22314000000000001</v>
      </c>
      <c r="V21" s="98">
        <v>0.22262199999999999</v>
      </c>
      <c r="W21" s="98">
        <v>0.22201899999999999</v>
      </c>
      <c r="X21" s="98">
        <v>0.21870500000000001</v>
      </c>
      <c r="Y21" s="98">
        <v>0.21391099999999999</v>
      </c>
      <c r="Z21" s="98">
        <v>0.20851700000000001</v>
      </c>
      <c r="AA21" s="98">
        <v>0.206395</v>
      </c>
      <c r="AB21" s="98">
        <v>0.20690500000000001</v>
      </c>
      <c r="AC21" s="98">
        <v>0.20510900000000001</v>
      </c>
      <c r="AD21" s="98">
        <v>0.19950699999999999</v>
      </c>
      <c r="AE21" s="98">
        <v>0.19351499999999999</v>
      </c>
      <c r="AF21" s="98">
        <v>0.197218</v>
      </c>
      <c r="AG21" s="98">
        <v>0.19348899999999999</v>
      </c>
      <c r="AH21" s="98">
        <v>0.18726000000000001</v>
      </c>
      <c r="AI21" s="98">
        <v>0.18667900000000001</v>
      </c>
      <c r="AJ21" s="98">
        <v>0.188024</v>
      </c>
      <c r="AK21" s="98">
        <v>0.188501</v>
      </c>
      <c r="AL21" s="98">
        <v>0.190888</v>
      </c>
      <c r="AM21" s="98">
        <v>0.19132099999999999</v>
      </c>
      <c r="AN21" s="98">
        <v>0.19175600000000001</v>
      </c>
      <c r="AO21" s="98">
        <v>0.194184</v>
      </c>
    </row>
    <row r="22" spans="1:41" x14ac:dyDescent="0.25">
      <c r="A22" t="s">
        <v>112</v>
      </c>
      <c r="B22" t="s">
        <v>506</v>
      </c>
      <c r="C22" t="s">
        <v>505</v>
      </c>
      <c r="D22" t="s">
        <v>42</v>
      </c>
      <c r="H22">
        <v>6.246861</v>
      </c>
      <c r="I22">
        <v>6.428922</v>
      </c>
      <c r="J22">
        <v>6.6521280000000003</v>
      </c>
      <c r="K22">
        <v>6.9892469999999998</v>
      </c>
      <c r="L22">
        <v>7.647767</v>
      </c>
      <c r="M22">
        <v>8.1620500000000007</v>
      </c>
      <c r="N22">
        <v>9.0320909999999994</v>
      </c>
      <c r="O22">
        <v>10.05791</v>
      </c>
      <c r="P22">
        <v>10.554788</v>
      </c>
      <c r="Q22">
        <v>10.731877000000001</v>
      </c>
      <c r="R22">
        <v>11.059958999999999</v>
      </c>
      <c r="S22">
        <v>11.250163000000001</v>
      </c>
      <c r="T22">
        <v>11.557999000000001</v>
      </c>
      <c r="U22">
        <v>11.972022000000001</v>
      </c>
      <c r="V22">
        <v>12.222474999999999</v>
      </c>
      <c r="W22">
        <v>12.431069000000001</v>
      </c>
      <c r="X22">
        <v>12.661788</v>
      </c>
      <c r="Y22">
        <v>12.97574</v>
      </c>
      <c r="Z22">
        <v>13.412763999999999</v>
      </c>
      <c r="AA22">
        <v>13.656935000000001</v>
      </c>
      <c r="AB22">
        <v>13.847401</v>
      </c>
      <c r="AC22">
        <v>14.026551</v>
      </c>
      <c r="AD22">
        <v>14.110263</v>
      </c>
      <c r="AE22">
        <v>14.220264</v>
      </c>
      <c r="AF22">
        <v>14.416359</v>
      </c>
      <c r="AG22">
        <v>14.539232999999999</v>
      </c>
      <c r="AH22">
        <v>14.707656999999999</v>
      </c>
      <c r="AI22">
        <v>14.873734000000001</v>
      </c>
      <c r="AJ22">
        <v>15.127509999999999</v>
      </c>
      <c r="AK22">
        <v>15.407783999999999</v>
      </c>
      <c r="AL22">
        <v>15.735134</v>
      </c>
      <c r="AM22">
        <v>15.944193</v>
      </c>
      <c r="AN22">
        <v>16.183862999999999</v>
      </c>
      <c r="AO22">
        <v>16.410440000000001</v>
      </c>
    </row>
    <row r="23" spans="1:41" x14ac:dyDescent="0.25">
      <c r="A23" t="s">
        <v>504</v>
      </c>
      <c r="B23" t="s">
        <v>503</v>
      </c>
      <c r="C23" t="s">
        <v>502</v>
      </c>
      <c r="D23" t="s">
        <v>42</v>
      </c>
      <c r="H23">
        <v>2.7571279999999998</v>
      </c>
      <c r="I23">
        <v>2.6098940000000002</v>
      </c>
      <c r="J23">
        <v>2.6263960000000002</v>
      </c>
      <c r="K23">
        <v>2.5221230000000001</v>
      </c>
      <c r="L23">
        <v>2.4703900000000001</v>
      </c>
      <c r="M23">
        <v>2.550287</v>
      </c>
      <c r="N23">
        <v>2.6191059999999999</v>
      </c>
      <c r="O23">
        <v>2.5573450000000002</v>
      </c>
      <c r="P23">
        <v>2.5245009999999999</v>
      </c>
      <c r="Q23">
        <v>2.4515349999999998</v>
      </c>
      <c r="R23">
        <v>2.433996</v>
      </c>
      <c r="S23">
        <v>2.4153210000000001</v>
      </c>
      <c r="T23">
        <v>2.411651</v>
      </c>
      <c r="U23">
        <v>2.4064999999999999</v>
      </c>
      <c r="V23">
        <v>2.4033370000000001</v>
      </c>
      <c r="W23">
        <v>2.3924370000000001</v>
      </c>
      <c r="X23">
        <v>2.3838059999999999</v>
      </c>
      <c r="Y23">
        <v>2.3782220000000001</v>
      </c>
      <c r="Z23">
        <v>2.3736760000000001</v>
      </c>
      <c r="AA23">
        <v>2.3673419999999998</v>
      </c>
      <c r="AB23">
        <v>2.3630499999999999</v>
      </c>
      <c r="AC23">
        <v>2.3544450000000001</v>
      </c>
      <c r="AD23">
        <v>2.3416640000000002</v>
      </c>
      <c r="AE23">
        <v>2.3338839999999998</v>
      </c>
      <c r="AF23">
        <v>2.3270529999999998</v>
      </c>
      <c r="AG23">
        <v>2.3209930000000001</v>
      </c>
      <c r="AH23">
        <v>2.3165520000000002</v>
      </c>
      <c r="AI23">
        <v>2.3039960000000002</v>
      </c>
      <c r="AJ23">
        <v>2.2991329999999999</v>
      </c>
      <c r="AK23">
        <v>2.2907649999999999</v>
      </c>
      <c r="AL23">
        <v>2.2866439999999999</v>
      </c>
      <c r="AM23">
        <v>2.2843230000000001</v>
      </c>
      <c r="AN23">
        <v>2.280335</v>
      </c>
      <c r="AO23">
        <v>2.2735080000000001</v>
      </c>
    </row>
    <row r="24" spans="1:41" x14ac:dyDescent="0.25">
      <c r="A24" t="s">
        <v>501</v>
      </c>
      <c r="B24" t="s">
        <v>500</v>
      </c>
      <c r="C24" t="s">
        <v>499</v>
      </c>
      <c r="D24" t="s">
        <v>42</v>
      </c>
      <c r="H24">
        <v>0.14647099999999999</v>
      </c>
      <c r="I24">
        <v>0.15135499999999999</v>
      </c>
      <c r="J24">
        <v>0.15040100000000001</v>
      </c>
      <c r="K24">
        <v>0.13980699999999999</v>
      </c>
      <c r="L24">
        <v>0.136294</v>
      </c>
      <c r="M24">
        <v>0.14283699999999999</v>
      </c>
      <c r="N24">
        <v>0.14507500000000001</v>
      </c>
      <c r="O24">
        <v>0.15068999999999999</v>
      </c>
      <c r="P24">
        <v>0.159276</v>
      </c>
      <c r="Q24">
        <v>0.16339300000000001</v>
      </c>
      <c r="R24">
        <v>0.17166799999999999</v>
      </c>
      <c r="S24">
        <v>0.18447</v>
      </c>
      <c r="T24">
        <v>0.19550500000000001</v>
      </c>
      <c r="U24">
        <v>0.20671900000000001</v>
      </c>
      <c r="V24">
        <v>0.217196</v>
      </c>
      <c r="W24">
        <v>0.22500999999999999</v>
      </c>
      <c r="X24">
        <v>0.23528499999999999</v>
      </c>
      <c r="Y24">
        <v>0.245174</v>
      </c>
      <c r="Z24">
        <v>0.25771300000000003</v>
      </c>
      <c r="AA24">
        <v>0.27001199999999997</v>
      </c>
      <c r="AB24">
        <v>0.28304000000000001</v>
      </c>
      <c r="AC24">
        <v>0.29422900000000002</v>
      </c>
      <c r="AD24">
        <v>0.304396</v>
      </c>
      <c r="AE24">
        <v>0.314305</v>
      </c>
      <c r="AF24">
        <v>0.32286100000000001</v>
      </c>
      <c r="AG24">
        <v>0.33069700000000002</v>
      </c>
      <c r="AH24">
        <v>0.33694000000000002</v>
      </c>
      <c r="AI24">
        <v>0.34493699999999999</v>
      </c>
      <c r="AJ24">
        <v>0.35279100000000002</v>
      </c>
      <c r="AK24">
        <v>0.36144199999999999</v>
      </c>
      <c r="AL24">
        <v>0.36892200000000003</v>
      </c>
      <c r="AM24">
        <v>0.37639600000000001</v>
      </c>
      <c r="AN24">
        <v>0.38148799999999999</v>
      </c>
      <c r="AO24">
        <v>0.38670700000000002</v>
      </c>
    </row>
    <row r="25" spans="1:41" x14ac:dyDescent="0.25">
      <c r="A25" t="s">
        <v>498</v>
      </c>
      <c r="B25" t="s">
        <v>497</v>
      </c>
      <c r="C25" t="s">
        <v>496</v>
      </c>
      <c r="D25" t="s">
        <v>42</v>
      </c>
      <c r="H25">
        <v>0.27030700000000002</v>
      </c>
      <c r="I25">
        <v>0.30338500000000002</v>
      </c>
      <c r="J25">
        <v>0.30125400000000002</v>
      </c>
      <c r="K25">
        <v>0.29455799999999999</v>
      </c>
      <c r="L25">
        <v>0.30295499999999997</v>
      </c>
      <c r="M25">
        <v>0.306645</v>
      </c>
      <c r="N25">
        <v>0.31494499999999997</v>
      </c>
      <c r="O25">
        <v>0.32712000000000002</v>
      </c>
      <c r="P25">
        <v>0.33619500000000002</v>
      </c>
      <c r="Q25">
        <v>0.34770099999999998</v>
      </c>
      <c r="R25">
        <v>0.35702099999999998</v>
      </c>
      <c r="S25">
        <v>0.36231799999999997</v>
      </c>
      <c r="T25">
        <v>0.37375000000000003</v>
      </c>
      <c r="U25">
        <v>0.38544299999999998</v>
      </c>
      <c r="V25">
        <v>0.39695200000000003</v>
      </c>
      <c r="W25">
        <v>0.40321600000000002</v>
      </c>
      <c r="X25">
        <v>0.41711399999999998</v>
      </c>
      <c r="Y25">
        <v>0.429788</v>
      </c>
      <c r="Z25">
        <v>0.44145499999999999</v>
      </c>
      <c r="AA25">
        <v>0.45154300000000003</v>
      </c>
      <c r="AB25">
        <v>0.46375300000000003</v>
      </c>
      <c r="AC25">
        <v>0.47088400000000002</v>
      </c>
      <c r="AD25">
        <v>0.47914200000000001</v>
      </c>
      <c r="AE25">
        <v>0.487647</v>
      </c>
      <c r="AF25">
        <v>0.49712499999999998</v>
      </c>
      <c r="AG25">
        <v>0.50504400000000005</v>
      </c>
      <c r="AH25">
        <v>0.51580999999999999</v>
      </c>
      <c r="AI25">
        <v>0.52440900000000001</v>
      </c>
      <c r="AJ25">
        <v>0.53153099999999998</v>
      </c>
      <c r="AK25">
        <v>0.54166499999999995</v>
      </c>
      <c r="AL25">
        <v>0.55590399999999995</v>
      </c>
      <c r="AM25">
        <v>0.56929399999999997</v>
      </c>
      <c r="AN25">
        <v>0.57769700000000002</v>
      </c>
      <c r="AO25">
        <v>0.579264</v>
      </c>
    </row>
    <row r="26" spans="1:41" x14ac:dyDescent="0.25">
      <c r="A26" t="s">
        <v>495</v>
      </c>
      <c r="B26" t="s">
        <v>494</v>
      </c>
      <c r="C26" t="s">
        <v>493</v>
      </c>
      <c r="D26" t="s">
        <v>42</v>
      </c>
      <c r="H26">
        <v>0.230408</v>
      </c>
      <c r="I26">
        <v>0.22256999999999999</v>
      </c>
      <c r="J26">
        <v>0.20382</v>
      </c>
      <c r="K26">
        <v>0.204482</v>
      </c>
      <c r="L26">
        <v>0.20510900000000001</v>
      </c>
      <c r="M26">
        <v>0.208425</v>
      </c>
      <c r="N26">
        <v>0.20802899999999999</v>
      </c>
      <c r="O26">
        <v>0.20807400000000001</v>
      </c>
      <c r="P26">
        <v>0.20799000000000001</v>
      </c>
      <c r="Q26">
        <v>0.208012</v>
      </c>
      <c r="R26">
        <v>0.20813200000000001</v>
      </c>
      <c r="S26">
        <v>0.19941600000000001</v>
      </c>
      <c r="T26">
        <v>0.19533600000000001</v>
      </c>
      <c r="U26">
        <v>0.19772700000000001</v>
      </c>
      <c r="V26">
        <v>0.198408</v>
      </c>
      <c r="W26">
        <v>0.19610900000000001</v>
      </c>
      <c r="X26">
        <v>0.201512</v>
      </c>
      <c r="Y26">
        <v>0.19983500000000001</v>
      </c>
      <c r="Z26">
        <v>0.20144000000000001</v>
      </c>
      <c r="AA26">
        <v>0.201407</v>
      </c>
      <c r="AB26">
        <v>0.19964499999999999</v>
      </c>
      <c r="AC26">
        <v>0.19955700000000001</v>
      </c>
      <c r="AD26">
        <v>0.198159</v>
      </c>
      <c r="AE26">
        <v>0.199295</v>
      </c>
      <c r="AF26">
        <v>0.19939000000000001</v>
      </c>
      <c r="AG26">
        <v>0.19938600000000001</v>
      </c>
      <c r="AH26">
        <v>0.198243</v>
      </c>
      <c r="AI26">
        <v>0.19933699999999999</v>
      </c>
      <c r="AJ26">
        <v>0.199349</v>
      </c>
      <c r="AK26">
        <v>0.19827500000000001</v>
      </c>
      <c r="AL26">
        <v>0.19939000000000001</v>
      </c>
      <c r="AM26">
        <v>0.199349</v>
      </c>
      <c r="AN26">
        <v>0.19935700000000001</v>
      </c>
      <c r="AO26">
        <v>0.20022499999999999</v>
      </c>
    </row>
    <row r="27" spans="1:41" x14ac:dyDescent="0.25">
      <c r="A27" t="s">
        <v>492</v>
      </c>
      <c r="B27" t="s">
        <v>491</v>
      </c>
      <c r="C27" t="s">
        <v>490</v>
      </c>
      <c r="D27" t="s">
        <v>42</v>
      </c>
      <c r="H27">
        <v>0.177645</v>
      </c>
      <c r="I27">
        <v>0.17693800000000001</v>
      </c>
      <c r="J27">
        <v>0.166522</v>
      </c>
      <c r="K27">
        <v>0.16355900000000001</v>
      </c>
      <c r="L27">
        <v>0.16401499999999999</v>
      </c>
      <c r="M27">
        <v>0.168099</v>
      </c>
      <c r="N27">
        <v>0.167902</v>
      </c>
      <c r="O27">
        <v>0.167881</v>
      </c>
      <c r="P27">
        <v>0.167904</v>
      </c>
      <c r="Q27">
        <v>0.16789999999999999</v>
      </c>
      <c r="R27">
        <v>0.167989</v>
      </c>
      <c r="S27">
        <v>0.16027</v>
      </c>
      <c r="T27">
        <v>0.156719</v>
      </c>
      <c r="U27">
        <v>0.158555</v>
      </c>
      <c r="V27">
        <v>0.159162</v>
      </c>
      <c r="W27">
        <v>0.15743799999999999</v>
      </c>
      <c r="X27">
        <v>0.161688</v>
      </c>
      <c r="Y27">
        <v>0.160524</v>
      </c>
      <c r="Z27">
        <v>0.16162299999999999</v>
      </c>
      <c r="AA27">
        <v>0.161607</v>
      </c>
      <c r="AB27">
        <v>0.160353</v>
      </c>
      <c r="AC27">
        <v>0.16098499999999999</v>
      </c>
      <c r="AD27">
        <v>0.15896399999999999</v>
      </c>
      <c r="AE27">
        <v>0.159997</v>
      </c>
      <c r="AF27">
        <v>0.16017100000000001</v>
      </c>
      <c r="AG27">
        <v>0.16017000000000001</v>
      </c>
      <c r="AH27">
        <v>0.159053</v>
      </c>
      <c r="AI27">
        <v>0.160138</v>
      </c>
      <c r="AJ27">
        <v>0.16014900000000001</v>
      </c>
      <c r="AK27">
        <v>0.159079</v>
      </c>
      <c r="AL27">
        <v>0.16017100000000001</v>
      </c>
      <c r="AM27">
        <v>0.160159</v>
      </c>
      <c r="AN27">
        <v>0.160163</v>
      </c>
      <c r="AO27">
        <v>0.16103200000000001</v>
      </c>
    </row>
    <row r="28" spans="1:41" x14ac:dyDescent="0.25">
      <c r="A28" t="s">
        <v>489</v>
      </c>
      <c r="B28" t="s">
        <v>488</v>
      </c>
      <c r="C28" t="s">
        <v>487</v>
      </c>
      <c r="D28" t="s">
        <v>42</v>
      </c>
      <c r="H28">
        <v>5.2762999999999997E-2</v>
      </c>
      <c r="I28">
        <v>4.5631999999999999E-2</v>
      </c>
      <c r="J28">
        <v>3.7296999999999997E-2</v>
      </c>
      <c r="K28">
        <v>4.0923000000000001E-2</v>
      </c>
      <c r="L28">
        <v>4.1093999999999999E-2</v>
      </c>
      <c r="M28">
        <v>4.0326000000000001E-2</v>
      </c>
      <c r="N28">
        <v>4.0126000000000002E-2</v>
      </c>
      <c r="O28">
        <v>4.0191999999999999E-2</v>
      </c>
      <c r="P28">
        <v>4.0085999999999997E-2</v>
      </c>
      <c r="Q28">
        <v>4.0112000000000002E-2</v>
      </c>
      <c r="R28">
        <v>4.0142999999999998E-2</v>
      </c>
      <c r="S28">
        <v>3.9146E-2</v>
      </c>
      <c r="T28">
        <v>3.8616999999999999E-2</v>
      </c>
      <c r="U28">
        <v>3.9172999999999999E-2</v>
      </c>
      <c r="V28">
        <v>3.9246999999999997E-2</v>
      </c>
      <c r="W28">
        <v>3.8670999999999997E-2</v>
      </c>
      <c r="X28">
        <v>3.9823999999999998E-2</v>
      </c>
      <c r="Y28">
        <v>3.9312E-2</v>
      </c>
      <c r="Z28">
        <v>3.9816999999999998E-2</v>
      </c>
      <c r="AA28">
        <v>3.9799000000000001E-2</v>
      </c>
      <c r="AB28">
        <v>3.9292000000000001E-2</v>
      </c>
      <c r="AC28">
        <v>3.8572000000000002E-2</v>
      </c>
      <c r="AD28">
        <v>3.9194E-2</v>
      </c>
      <c r="AE28">
        <v>3.9296999999999999E-2</v>
      </c>
      <c r="AF28">
        <v>3.9218999999999997E-2</v>
      </c>
      <c r="AG28">
        <v>3.9217000000000002E-2</v>
      </c>
      <c r="AH28">
        <v>3.9190000000000003E-2</v>
      </c>
      <c r="AI28">
        <v>3.9198999999999998E-2</v>
      </c>
      <c r="AJ28">
        <v>3.9199999999999999E-2</v>
      </c>
      <c r="AK28">
        <v>3.9196000000000002E-2</v>
      </c>
      <c r="AL28">
        <v>3.9218999999999997E-2</v>
      </c>
      <c r="AM28">
        <v>3.9190000000000003E-2</v>
      </c>
      <c r="AN28">
        <v>3.9194E-2</v>
      </c>
      <c r="AO28">
        <v>3.9192999999999999E-2</v>
      </c>
    </row>
    <row r="29" spans="1:41" x14ac:dyDescent="0.25">
      <c r="A29" t="s">
        <v>445</v>
      </c>
      <c r="B29" t="s">
        <v>486</v>
      </c>
      <c r="C29" t="s">
        <v>485</v>
      </c>
      <c r="D29" t="s">
        <v>42</v>
      </c>
      <c r="H29">
        <v>3.0306E-2</v>
      </c>
      <c r="I29">
        <v>3.3104000000000001E-2</v>
      </c>
      <c r="J29">
        <v>3.1074000000000001E-2</v>
      </c>
      <c r="K29">
        <v>2.9326000000000001E-2</v>
      </c>
      <c r="L29">
        <v>3.0709E-2</v>
      </c>
      <c r="M29">
        <v>2.964E-2</v>
      </c>
      <c r="N29">
        <v>2.8917999999999999E-2</v>
      </c>
      <c r="O29">
        <v>2.8173E-2</v>
      </c>
      <c r="P29">
        <v>2.7123999999999999E-2</v>
      </c>
      <c r="Q29">
        <v>2.6089999999999999E-2</v>
      </c>
      <c r="R29">
        <v>2.6868E-2</v>
      </c>
      <c r="S29">
        <v>2.6119E-2</v>
      </c>
      <c r="T29">
        <v>2.5588E-2</v>
      </c>
      <c r="U29">
        <v>2.5392000000000001E-2</v>
      </c>
      <c r="V29">
        <v>2.2912999999999999E-2</v>
      </c>
      <c r="W29">
        <v>2.4746000000000001E-2</v>
      </c>
      <c r="X29">
        <v>2.4958000000000001E-2</v>
      </c>
      <c r="Y29">
        <v>2.4944999999999998E-2</v>
      </c>
      <c r="Z29">
        <v>2.3675000000000002E-2</v>
      </c>
      <c r="AA29">
        <v>2.2373000000000001E-2</v>
      </c>
      <c r="AB29">
        <v>2.4933E-2</v>
      </c>
      <c r="AC29">
        <v>2.4050999999999999E-2</v>
      </c>
      <c r="AD29">
        <v>2.368E-2</v>
      </c>
      <c r="AE29">
        <v>2.1846000000000001E-2</v>
      </c>
      <c r="AF29">
        <v>2.1956E-2</v>
      </c>
      <c r="AG29">
        <v>2.3845000000000002E-2</v>
      </c>
      <c r="AH29">
        <v>2.5633E-2</v>
      </c>
      <c r="AI29">
        <v>2.1787999999999998E-2</v>
      </c>
      <c r="AJ29">
        <v>2.0558E-2</v>
      </c>
      <c r="AK29">
        <v>2.4331999999999999E-2</v>
      </c>
      <c r="AL29">
        <v>2.4237000000000002E-2</v>
      </c>
      <c r="AM29">
        <v>2.1736999999999999E-2</v>
      </c>
      <c r="AN29">
        <v>2.2109E-2</v>
      </c>
      <c r="AO29">
        <v>2.4303000000000002E-2</v>
      </c>
    </row>
    <row r="30" spans="1:41" x14ac:dyDescent="0.25">
      <c r="A30" t="s">
        <v>442</v>
      </c>
      <c r="B30" t="s">
        <v>484</v>
      </c>
      <c r="C30" t="s">
        <v>483</v>
      </c>
      <c r="D30" t="s">
        <v>42</v>
      </c>
      <c r="H30">
        <v>0.46062399999999998</v>
      </c>
      <c r="I30">
        <v>0.58218800000000004</v>
      </c>
      <c r="J30">
        <v>0.63320299999999996</v>
      </c>
      <c r="K30">
        <v>0.73886200000000002</v>
      </c>
      <c r="L30">
        <v>0.95929200000000003</v>
      </c>
      <c r="M30">
        <v>1.241563</v>
      </c>
      <c r="N30">
        <v>1.375319</v>
      </c>
      <c r="O30">
        <v>1.542475</v>
      </c>
      <c r="P30">
        <v>1.8985449999999999</v>
      </c>
      <c r="Q30">
        <v>2.2701699999999998</v>
      </c>
      <c r="R30">
        <v>2.6069779999999998</v>
      </c>
      <c r="S30">
        <v>2.7745869999999999</v>
      </c>
      <c r="T30">
        <v>3.0471499999999998</v>
      </c>
      <c r="U30">
        <v>3.2458490000000002</v>
      </c>
      <c r="V30">
        <v>3.4195549999999999</v>
      </c>
      <c r="W30">
        <v>3.6300300000000001</v>
      </c>
      <c r="X30">
        <v>3.8425090000000002</v>
      </c>
      <c r="Y30">
        <v>4.0059100000000001</v>
      </c>
      <c r="Z30">
        <v>4.2098100000000001</v>
      </c>
      <c r="AA30">
        <v>4.3711190000000002</v>
      </c>
      <c r="AB30">
        <v>4.5342330000000004</v>
      </c>
      <c r="AC30">
        <v>4.7089840000000001</v>
      </c>
      <c r="AD30">
        <v>4.8128549999999999</v>
      </c>
      <c r="AE30">
        <v>4.918622</v>
      </c>
      <c r="AF30">
        <v>5.1047580000000004</v>
      </c>
      <c r="AG30">
        <v>5.2344059999999999</v>
      </c>
      <c r="AH30">
        <v>5.3787370000000001</v>
      </c>
      <c r="AI30">
        <v>5.5249490000000003</v>
      </c>
      <c r="AJ30">
        <v>5.742737</v>
      </c>
      <c r="AK30">
        <v>5.9992619999999999</v>
      </c>
      <c r="AL30">
        <v>6.2735709999999996</v>
      </c>
      <c r="AM30">
        <v>6.4545240000000002</v>
      </c>
      <c r="AN30">
        <v>6.6406710000000002</v>
      </c>
      <c r="AO30">
        <v>6.8109970000000004</v>
      </c>
    </row>
    <row r="31" spans="1:41" x14ac:dyDescent="0.25">
      <c r="A31" t="s">
        <v>439</v>
      </c>
      <c r="B31" t="s">
        <v>482</v>
      </c>
      <c r="C31" t="s">
        <v>481</v>
      </c>
      <c r="D31" t="s">
        <v>42</v>
      </c>
      <c r="H31">
        <v>2.3516159999999999</v>
      </c>
      <c r="I31">
        <v>2.5264250000000001</v>
      </c>
      <c r="J31">
        <v>2.705981</v>
      </c>
      <c r="K31">
        <v>3.0600890000000001</v>
      </c>
      <c r="L31">
        <v>3.543018</v>
      </c>
      <c r="M31">
        <v>3.6826539999999999</v>
      </c>
      <c r="N31">
        <v>4.3406989999999999</v>
      </c>
      <c r="O31">
        <v>5.2440329999999999</v>
      </c>
      <c r="P31">
        <v>5.4011570000000004</v>
      </c>
      <c r="Q31">
        <v>5.2649759999999999</v>
      </c>
      <c r="R31">
        <v>5.2552940000000001</v>
      </c>
      <c r="S31">
        <v>5.2879329999999998</v>
      </c>
      <c r="T31">
        <v>5.3090169999999999</v>
      </c>
      <c r="U31">
        <v>5.504391</v>
      </c>
      <c r="V31">
        <v>5.564114</v>
      </c>
      <c r="W31">
        <v>5.5595210000000002</v>
      </c>
      <c r="X31">
        <v>5.5566040000000001</v>
      </c>
      <c r="Y31">
        <v>5.691865</v>
      </c>
      <c r="Z31">
        <v>5.9049950000000004</v>
      </c>
      <c r="AA31">
        <v>5.9731389999999998</v>
      </c>
      <c r="AB31">
        <v>5.9787460000000001</v>
      </c>
      <c r="AC31">
        <v>5.9744010000000003</v>
      </c>
      <c r="AD31">
        <v>5.950367</v>
      </c>
      <c r="AE31">
        <v>5.9446649999999996</v>
      </c>
      <c r="AF31">
        <v>5.9432159999999996</v>
      </c>
      <c r="AG31">
        <v>5.9248609999999999</v>
      </c>
      <c r="AH31">
        <v>5.93574</v>
      </c>
      <c r="AI31">
        <v>5.9543179999999998</v>
      </c>
      <c r="AJ31">
        <v>5.9814109999999996</v>
      </c>
      <c r="AK31">
        <v>5.9920439999999999</v>
      </c>
      <c r="AL31">
        <v>6.0264660000000001</v>
      </c>
      <c r="AM31">
        <v>6.03857</v>
      </c>
      <c r="AN31">
        <v>6.0822060000000002</v>
      </c>
      <c r="AO31">
        <v>6.1354350000000002</v>
      </c>
    </row>
    <row r="32" spans="1:41" x14ac:dyDescent="0.25">
      <c r="A32" t="s">
        <v>480</v>
      </c>
      <c r="B32" t="s">
        <v>479</v>
      </c>
      <c r="C32" t="s">
        <v>478</v>
      </c>
      <c r="D32" t="s">
        <v>42</v>
      </c>
      <c r="H32">
        <v>10.704628</v>
      </c>
      <c r="I32">
        <v>10.979689</v>
      </c>
      <c r="J32">
        <v>11.369695999999999</v>
      </c>
      <c r="K32">
        <v>11.344614999999999</v>
      </c>
      <c r="L32">
        <v>12.160427</v>
      </c>
      <c r="M32">
        <v>12.723299000000001</v>
      </c>
      <c r="N32">
        <v>13.64185</v>
      </c>
      <c r="O32">
        <v>14.691649999999999</v>
      </c>
      <c r="P32">
        <v>15.214774999999999</v>
      </c>
      <c r="Q32">
        <v>15.407698</v>
      </c>
      <c r="R32">
        <v>15.746460000000001</v>
      </c>
      <c r="S32">
        <v>15.94383</v>
      </c>
      <c r="T32">
        <v>16.259518</v>
      </c>
      <c r="U32">
        <v>16.688303000000001</v>
      </c>
      <c r="V32">
        <v>16.951468999999999</v>
      </c>
      <c r="W32">
        <v>17.161303</v>
      </c>
      <c r="X32">
        <v>17.391424000000001</v>
      </c>
      <c r="Y32">
        <v>17.703558000000001</v>
      </c>
      <c r="Z32">
        <v>18.145503999999999</v>
      </c>
      <c r="AA32">
        <v>18.391663000000001</v>
      </c>
      <c r="AB32">
        <v>18.586544</v>
      </c>
      <c r="AC32">
        <v>18.775756999999999</v>
      </c>
      <c r="AD32">
        <v>18.868373999999999</v>
      </c>
      <c r="AE32">
        <v>18.988078999999999</v>
      </c>
      <c r="AF32">
        <v>19.20833</v>
      </c>
      <c r="AG32">
        <v>19.352927999999999</v>
      </c>
      <c r="AH32">
        <v>19.543396000000001</v>
      </c>
      <c r="AI32">
        <v>19.738095999999999</v>
      </c>
      <c r="AJ32">
        <v>20.028037999999999</v>
      </c>
      <c r="AK32">
        <v>20.336656999999999</v>
      </c>
      <c r="AL32">
        <v>20.708672</v>
      </c>
      <c r="AM32">
        <v>20.95298</v>
      </c>
      <c r="AN32">
        <v>21.237328000000002</v>
      </c>
      <c r="AO32">
        <v>21.508986</v>
      </c>
    </row>
    <row r="33" spans="1:41" x14ac:dyDescent="0.25">
      <c r="A33" t="s">
        <v>477</v>
      </c>
      <c r="C33" t="s">
        <v>476</v>
      </c>
    </row>
    <row r="34" spans="1:41" x14ac:dyDescent="0.25">
      <c r="A34" t="s">
        <v>475</v>
      </c>
      <c r="B34" t="s">
        <v>474</v>
      </c>
      <c r="C34" t="s">
        <v>473</v>
      </c>
      <c r="D34" t="s">
        <v>42</v>
      </c>
      <c r="H34">
        <v>1.3092159999999999</v>
      </c>
      <c r="I34">
        <v>1.3181339999999999</v>
      </c>
      <c r="J34">
        <v>1.294333</v>
      </c>
      <c r="K34">
        <v>1.133613</v>
      </c>
      <c r="L34">
        <v>1.2481439999999999</v>
      </c>
      <c r="M34">
        <v>1.265447</v>
      </c>
      <c r="N34">
        <v>1.2710440000000001</v>
      </c>
      <c r="O34">
        <v>1.277336</v>
      </c>
      <c r="P34">
        <v>1.2860450000000001</v>
      </c>
      <c r="Q34">
        <v>1.2903530000000001</v>
      </c>
      <c r="R34">
        <v>1.2934509999999999</v>
      </c>
      <c r="S34">
        <v>1.2975479999999999</v>
      </c>
      <c r="T34">
        <v>1.3005359999999999</v>
      </c>
      <c r="U34">
        <v>1.3046679999999999</v>
      </c>
      <c r="V34">
        <v>1.3177319999999999</v>
      </c>
      <c r="W34">
        <v>1.323108</v>
      </c>
      <c r="X34">
        <v>1.330333</v>
      </c>
      <c r="Y34">
        <v>1.338808</v>
      </c>
      <c r="Z34">
        <v>1.3480650000000001</v>
      </c>
      <c r="AA34">
        <v>1.355367</v>
      </c>
      <c r="AB34">
        <v>1.3634759999999999</v>
      </c>
      <c r="AC34">
        <v>1.372201</v>
      </c>
      <c r="AD34">
        <v>1.3821509999999999</v>
      </c>
      <c r="AE34">
        <v>1.3927620000000001</v>
      </c>
      <c r="AF34">
        <v>1.4031260000000001</v>
      </c>
      <c r="AG34">
        <v>1.4149050000000001</v>
      </c>
      <c r="AH34">
        <v>1.426971</v>
      </c>
      <c r="AI34">
        <v>1.440293</v>
      </c>
      <c r="AJ34">
        <v>1.4601010000000001</v>
      </c>
      <c r="AK34">
        <v>1.4675640000000001</v>
      </c>
      <c r="AL34">
        <v>1.494367</v>
      </c>
      <c r="AM34">
        <v>1.5106329999999999</v>
      </c>
      <c r="AN34">
        <v>1.5269250000000001</v>
      </c>
      <c r="AO34">
        <v>1.543531</v>
      </c>
    </row>
    <row r="35" spans="1:41" x14ac:dyDescent="0.25">
      <c r="A35" t="s">
        <v>472</v>
      </c>
      <c r="B35" t="s">
        <v>471</v>
      </c>
      <c r="C35" t="s">
        <v>470</v>
      </c>
      <c r="D35" t="s">
        <v>42</v>
      </c>
      <c r="H35">
        <v>7.3800000000000005E-4</v>
      </c>
      <c r="I35">
        <v>1.8959999999999999E-3</v>
      </c>
      <c r="J35">
        <v>5.0500000000000002E-4</v>
      </c>
      <c r="K35">
        <v>9.9999999999999995E-7</v>
      </c>
      <c r="L35">
        <v>1.3500000000000001E-3</v>
      </c>
      <c r="M35">
        <v>1.346E-3</v>
      </c>
      <c r="N35">
        <v>1.4289999999999999E-3</v>
      </c>
      <c r="O35">
        <v>4.2299999999999998E-4</v>
      </c>
      <c r="P35">
        <v>4.2299999999999998E-4</v>
      </c>
      <c r="Q35">
        <v>0</v>
      </c>
      <c r="R35">
        <v>4.2299999999999998E-4</v>
      </c>
      <c r="S35">
        <v>0</v>
      </c>
      <c r="T35">
        <v>8.8999999999999995E-5</v>
      </c>
      <c r="U35">
        <v>0</v>
      </c>
      <c r="V35">
        <v>6.9999999999999999E-6</v>
      </c>
      <c r="W35">
        <v>7.9999999999999996E-6</v>
      </c>
      <c r="X35">
        <v>0</v>
      </c>
      <c r="Y35">
        <v>0</v>
      </c>
      <c r="Z35">
        <v>0</v>
      </c>
      <c r="AA35">
        <v>4.2299999999999998E-4</v>
      </c>
      <c r="AB35">
        <v>4.2299999999999998E-4</v>
      </c>
      <c r="AC35">
        <v>4.6299999999999998E-4</v>
      </c>
      <c r="AD35">
        <v>4.6299999999999998E-4</v>
      </c>
      <c r="AE35">
        <v>4.6299999999999998E-4</v>
      </c>
      <c r="AF35">
        <v>4.6299999999999998E-4</v>
      </c>
      <c r="AG35">
        <v>4.6299999999999998E-4</v>
      </c>
      <c r="AH35">
        <v>1.289E-3</v>
      </c>
      <c r="AI35">
        <v>1.346E-3</v>
      </c>
      <c r="AJ35">
        <v>1.346E-3</v>
      </c>
      <c r="AK35">
        <v>1.346E-3</v>
      </c>
      <c r="AL35">
        <v>1.346E-3</v>
      </c>
      <c r="AM35">
        <v>4.6299999999999998E-4</v>
      </c>
      <c r="AN35">
        <v>4.6299999999999998E-4</v>
      </c>
      <c r="AO35">
        <v>4.6299999999999998E-4</v>
      </c>
    </row>
    <row r="36" spans="1:41" x14ac:dyDescent="0.25">
      <c r="A36" t="s">
        <v>469</v>
      </c>
      <c r="B36" t="s">
        <v>468</v>
      </c>
      <c r="C36" t="s">
        <v>467</v>
      </c>
      <c r="D36" t="s">
        <v>42</v>
      </c>
      <c r="H36">
        <v>-0.110655</v>
      </c>
      <c r="I36">
        <v>-0.132965</v>
      </c>
      <c r="J36">
        <v>-0.114745</v>
      </c>
      <c r="K36">
        <v>-9.8394999999999996E-2</v>
      </c>
      <c r="L36">
        <v>-0.10806399999999999</v>
      </c>
      <c r="M36">
        <v>-0.13831599999999999</v>
      </c>
      <c r="N36">
        <v>-0.14177500000000001</v>
      </c>
      <c r="O36">
        <v>-0.14955299999999999</v>
      </c>
      <c r="P36">
        <v>-0.15639900000000001</v>
      </c>
      <c r="Q36">
        <v>-0.160302</v>
      </c>
      <c r="R36">
        <v>-0.16431100000000001</v>
      </c>
      <c r="S36">
        <v>-0.16842499999999999</v>
      </c>
      <c r="T36">
        <v>-0.17263000000000001</v>
      </c>
      <c r="U36">
        <v>-0.17693999999999999</v>
      </c>
      <c r="V36">
        <v>-0.19000700000000001</v>
      </c>
      <c r="W36">
        <v>-0.19475899999999999</v>
      </c>
      <c r="X36">
        <v>-0.19962199999999999</v>
      </c>
      <c r="Y36">
        <v>-0.20461099999999999</v>
      </c>
      <c r="Z36">
        <v>-0.209726</v>
      </c>
      <c r="AA36">
        <v>-0.21496799999999999</v>
      </c>
      <c r="AB36">
        <v>-0.22035099999999999</v>
      </c>
      <c r="AC36">
        <v>-0.22586100000000001</v>
      </c>
      <c r="AD36">
        <v>-0.23149800000000001</v>
      </c>
      <c r="AE36">
        <v>-0.237292</v>
      </c>
      <c r="AF36">
        <v>-0.243228</v>
      </c>
      <c r="AG36">
        <v>-0.249306</v>
      </c>
      <c r="AH36">
        <v>-0.25554300000000002</v>
      </c>
      <c r="AI36">
        <v>-0.26192100000000001</v>
      </c>
      <c r="AJ36">
        <v>-0.27498299999999998</v>
      </c>
      <c r="AK36">
        <v>-0.27518300000000001</v>
      </c>
      <c r="AL36">
        <v>-0.29488700000000001</v>
      </c>
      <c r="AM36">
        <v>-0.30224899999999999</v>
      </c>
      <c r="AN36">
        <v>-0.30980799999999997</v>
      </c>
      <c r="AO36">
        <v>-0.31756600000000001</v>
      </c>
    </row>
    <row r="37" spans="1:41" x14ac:dyDescent="0.25">
      <c r="A37" t="s">
        <v>466</v>
      </c>
      <c r="B37" t="s">
        <v>465</v>
      </c>
      <c r="C37" t="s">
        <v>464</v>
      </c>
      <c r="D37" t="s">
        <v>42</v>
      </c>
      <c r="H37">
        <v>1.1992989999999999</v>
      </c>
      <c r="I37">
        <v>1.187066</v>
      </c>
      <c r="J37">
        <v>1.180094</v>
      </c>
      <c r="K37">
        <v>1.035218</v>
      </c>
      <c r="L37">
        <v>1.1414299999999999</v>
      </c>
      <c r="M37">
        <v>1.128477</v>
      </c>
      <c r="N37">
        <v>1.1306970000000001</v>
      </c>
      <c r="O37">
        <v>1.128206</v>
      </c>
      <c r="P37">
        <v>1.130069</v>
      </c>
      <c r="Q37">
        <v>1.1300509999999999</v>
      </c>
      <c r="R37">
        <v>1.1295630000000001</v>
      </c>
      <c r="S37">
        <v>1.1291230000000001</v>
      </c>
      <c r="T37">
        <v>1.127996</v>
      </c>
      <c r="U37">
        <v>1.1277280000000001</v>
      </c>
      <c r="V37">
        <v>1.127731</v>
      </c>
      <c r="W37">
        <v>1.1283559999999999</v>
      </c>
      <c r="X37">
        <v>1.130711</v>
      </c>
      <c r="Y37">
        <v>1.1341969999999999</v>
      </c>
      <c r="Z37">
        <v>1.138339</v>
      </c>
      <c r="AA37">
        <v>1.140822</v>
      </c>
      <c r="AB37">
        <v>1.1435470000000001</v>
      </c>
      <c r="AC37">
        <v>1.1468020000000001</v>
      </c>
      <c r="AD37">
        <v>1.151116</v>
      </c>
      <c r="AE37">
        <v>1.1559330000000001</v>
      </c>
      <c r="AF37">
        <v>1.160361</v>
      </c>
      <c r="AG37">
        <v>1.166061</v>
      </c>
      <c r="AH37">
        <v>1.172717</v>
      </c>
      <c r="AI37">
        <v>1.179718</v>
      </c>
      <c r="AJ37">
        <v>1.1864650000000001</v>
      </c>
      <c r="AK37">
        <v>1.1937279999999999</v>
      </c>
      <c r="AL37">
        <v>1.200825</v>
      </c>
      <c r="AM37">
        <v>1.208847</v>
      </c>
      <c r="AN37">
        <v>1.217579</v>
      </c>
      <c r="AO37">
        <v>1.2264280000000001</v>
      </c>
    </row>
    <row r="38" spans="1:41" x14ac:dyDescent="0.25">
      <c r="A38" t="s">
        <v>463</v>
      </c>
      <c r="C38" t="s">
        <v>462</v>
      </c>
    </row>
    <row r="39" spans="1:41" x14ac:dyDescent="0.25">
      <c r="A39" t="s">
        <v>461</v>
      </c>
      <c r="C39" t="s">
        <v>460</v>
      </c>
    </row>
    <row r="40" spans="1:41" x14ac:dyDescent="0.25">
      <c r="A40" t="s">
        <v>213</v>
      </c>
      <c r="B40" t="s">
        <v>459</v>
      </c>
      <c r="C40" t="s">
        <v>458</v>
      </c>
      <c r="D40" t="s">
        <v>42</v>
      </c>
      <c r="H40">
        <v>0.18323200000000001</v>
      </c>
      <c r="I40">
        <v>0.229909</v>
      </c>
      <c r="J40">
        <v>0.24008599999999999</v>
      </c>
      <c r="K40">
        <v>0.27982400000000002</v>
      </c>
      <c r="L40">
        <v>0.32071699999999997</v>
      </c>
      <c r="M40">
        <v>0.35361799999999999</v>
      </c>
      <c r="N40">
        <v>0.38002000000000002</v>
      </c>
      <c r="O40">
        <v>0.40817700000000001</v>
      </c>
      <c r="P40">
        <v>0.43098999999999998</v>
      </c>
      <c r="Q40">
        <v>0.45727699999999999</v>
      </c>
      <c r="R40">
        <v>0.486734</v>
      </c>
      <c r="S40">
        <v>0.51718900000000001</v>
      </c>
      <c r="T40">
        <v>0.54669900000000005</v>
      </c>
      <c r="U40">
        <v>0.58058299999999996</v>
      </c>
      <c r="V40">
        <v>0.61256999999999995</v>
      </c>
      <c r="W40">
        <v>0.64334800000000003</v>
      </c>
      <c r="X40">
        <v>0.67493199999999998</v>
      </c>
      <c r="Y40">
        <v>0.70849499999999999</v>
      </c>
      <c r="Z40">
        <v>0.74302800000000002</v>
      </c>
      <c r="AA40">
        <v>0.77892899999999998</v>
      </c>
      <c r="AB40">
        <v>0.81736699999999995</v>
      </c>
      <c r="AC40">
        <v>0.85011999999999999</v>
      </c>
      <c r="AD40">
        <v>0.88812500000000005</v>
      </c>
      <c r="AE40">
        <v>0.92653700000000005</v>
      </c>
      <c r="AF40">
        <v>0.96557000000000004</v>
      </c>
      <c r="AG40">
        <v>1.005617</v>
      </c>
      <c r="AH40">
        <v>1.045633</v>
      </c>
      <c r="AI40">
        <v>1.0865199999999999</v>
      </c>
      <c r="AJ40">
        <v>1.126142</v>
      </c>
      <c r="AK40">
        <v>1.167511</v>
      </c>
      <c r="AL40">
        <v>1.21296</v>
      </c>
      <c r="AM40">
        <v>1.2558910000000001</v>
      </c>
      <c r="AN40">
        <v>1.2983389999999999</v>
      </c>
      <c r="AO40">
        <v>1.344705</v>
      </c>
    </row>
    <row r="41" spans="1:41" x14ac:dyDescent="0.25">
      <c r="A41" t="s">
        <v>457</v>
      </c>
      <c r="B41" t="s">
        <v>456</v>
      </c>
      <c r="C41" t="s">
        <v>455</v>
      </c>
      <c r="D41" t="s">
        <v>42</v>
      </c>
      <c r="H41">
        <v>2.1384E-2</v>
      </c>
      <c r="I41">
        <v>2.9434999999999999E-2</v>
      </c>
      <c r="J41">
        <v>3.7303999999999997E-2</v>
      </c>
      <c r="K41">
        <v>4.1875999999999997E-2</v>
      </c>
      <c r="L41">
        <v>4.5830999999999997E-2</v>
      </c>
      <c r="M41">
        <v>4.6117999999999999E-2</v>
      </c>
      <c r="N41">
        <v>4.5619E-2</v>
      </c>
      <c r="O41">
        <v>4.5566000000000002E-2</v>
      </c>
      <c r="P41">
        <v>4.4778999999999999E-2</v>
      </c>
      <c r="Q41">
        <v>4.4589999999999998E-2</v>
      </c>
      <c r="R41">
        <v>4.4705000000000002E-2</v>
      </c>
      <c r="S41">
        <v>4.4933000000000001E-2</v>
      </c>
      <c r="T41">
        <v>4.5137999999999998E-2</v>
      </c>
      <c r="U41">
        <v>4.5601999999999997E-2</v>
      </c>
      <c r="V41">
        <v>4.5950999999999999E-2</v>
      </c>
      <c r="W41">
        <v>4.6161000000000001E-2</v>
      </c>
      <c r="X41">
        <v>4.6390000000000001E-2</v>
      </c>
      <c r="Y41">
        <v>4.6642999999999997E-2</v>
      </c>
      <c r="Z41">
        <v>4.6836999999999997E-2</v>
      </c>
      <c r="AA41">
        <v>4.7087999999999998E-2</v>
      </c>
      <c r="AB41">
        <v>4.7438000000000001E-2</v>
      </c>
      <c r="AC41">
        <v>4.7509999999999997E-2</v>
      </c>
      <c r="AD41">
        <v>4.7744000000000002E-2</v>
      </c>
      <c r="AE41">
        <v>4.7961999999999998E-2</v>
      </c>
      <c r="AF41">
        <v>4.8198999999999999E-2</v>
      </c>
      <c r="AG41">
        <v>4.8433999999999998E-2</v>
      </c>
      <c r="AH41">
        <v>4.8627999999999998E-2</v>
      </c>
      <c r="AI41">
        <v>4.8779999999999997E-2</v>
      </c>
      <c r="AJ41">
        <v>4.8828000000000003E-2</v>
      </c>
      <c r="AK41">
        <v>4.8940999999999998E-2</v>
      </c>
      <c r="AL41">
        <v>4.9234E-2</v>
      </c>
      <c r="AM41">
        <v>4.9318000000000001E-2</v>
      </c>
      <c r="AN41">
        <v>4.9361000000000002E-2</v>
      </c>
      <c r="AO41">
        <v>4.9486000000000002E-2</v>
      </c>
    </row>
    <row r="42" spans="1:41" x14ac:dyDescent="0.25">
      <c r="A42" t="s">
        <v>454</v>
      </c>
      <c r="B42" t="s">
        <v>453</v>
      </c>
      <c r="C42" t="s">
        <v>452</v>
      </c>
      <c r="D42" t="s">
        <v>42</v>
      </c>
      <c r="H42">
        <v>3.2333000000000001E-2</v>
      </c>
      <c r="I42">
        <v>4.3832999999999997E-2</v>
      </c>
      <c r="J42">
        <v>1.4064E-2</v>
      </c>
      <c r="K42">
        <v>1.3027E-2</v>
      </c>
      <c r="L42">
        <v>1.5183E-2</v>
      </c>
      <c r="M42">
        <v>1.7817E-2</v>
      </c>
      <c r="N42">
        <v>1.9005000000000001E-2</v>
      </c>
      <c r="O42">
        <v>2.0483999999999999E-2</v>
      </c>
      <c r="P42">
        <v>2.1389999999999999E-2</v>
      </c>
      <c r="Q42">
        <v>2.2734999999999998E-2</v>
      </c>
      <c r="R42">
        <v>2.3963000000000002E-2</v>
      </c>
      <c r="S42">
        <v>2.5274999999999999E-2</v>
      </c>
      <c r="T42">
        <v>2.6539E-2</v>
      </c>
      <c r="U42">
        <v>2.7795E-2</v>
      </c>
      <c r="V42">
        <v>2.8951000000000001E-2</v>
      </c>
      <c r="W42">
        <v>3.0151000000000001E-2</v>
      </c>
      <c r="X42">
        <v>3.1366999999999999E-2</v>
      </c>
      <c r="Y42">
        <v>3.2542000000000001E-2</v>
      </c>
      <c r="Z42">
        <v>3.3729000000000002E-2</v>
      </c>
      <c r="AA42">
        <v>3.4930999999999997E-2</v>
      </c>
      <c r="AB42">
        <v>3.61E-2</v>
      </c>
      <c r="AC42">
        <v>3.7217E-2</v>
      </c>
      <c r="AD42">
        <v>3.8406000000000003E-2</v>
      </c>
      <c r="AE42">
        <v>3.9655000000000003E-2</v>
      </c>
      <c r="AF42">
        <v>4.0898999999999998E-2</v>
      </c>
      <c r="AG42">
        <v>4.2190999999999999E-2</v>
      </c>
      <c r="AH42">
        <v>4.3469000000000001E-2</v>
      </c>
      <c r="AI42">
        <v>4.4774000000000001E-2</v>
      </c>
      <c r="AJ42">
        <v>4.6102999999999998E-2</v>
      </c>
      <c r="AK42">
        <v>4.7516000000000003E-2</v>
      </c>
      <c r="AL42">
        <v>4.8974999999999998E-2</v>
      </c>
      <c r="AM42">
        <v>5.0460999999999999E-2</v>
      </c>
      <c r="AN42">
        <v>5.1894000000000003E-2</v>
      </c>
      <c r="AO42">
        <v>5.3342000000000001E-2</v>
      </c>
    </row>
    <row r="43" spans="1:41" x14ac:dyDescent="0.25">
      <c r="A43" t="s">
        <v>442</v>
      </c>
      <c r="B43" t="s">
        <v>451</v>
      </c>
      <c r="C43" t="s">
        <v>450</v>
      </c>
      <c r="D43" t="s">
        <v>42</v>
      </c>
      <c r="H43">
        <v>0.12917999999999999</v>
      </c>
      <c r="I43">
        <v>0.15629999999999999</v>
      </c>
      <c r="J43">
        <v>0.18854299999999999</v>
      </c>
      <c r="K43">
        <v>0.224748</v>
      </c>
      <c r="L43">
        <v>0.25952999999999998</v>
      </c>
      <c r="M43">
        <v>0.28950999999999999</v>
      </c>
      <c r="N43">
        <v>0.31522600000000001</v>
      </c>
      <c r="O43">
        <v>0.34195799999999998</v>
      </c>
      <c r="P43">
        <v>0.36465500000000001</v>
      </c>
      <c r="Q43">
        <v>0.38978800000000002</v>
      </c>
      <c r="R43">
        <v>0.41790300000000002</v>
      </c>
      <c r="S43">
        <v>0.44681700000000002</v>
      </c>
      <c r="T43">
        <v>0.47486</v>
      </c>
      <c r="U43">
        <v>0.50702400000000003</v>
      </c>
      <c r="V43">
        <v>0.53750600000000004</v>
      </c>
      <c r="W43">
        <v>0.56687399999999999</v>
      </c>
      <c r="X43">
        <v>0.59701300000000002</v>
      </c>
      <c r="Y43">
        <v>0.62914899999999996</v>
      </c>
      <c r="Z43">
        <v>0.66230100000000003</v>
      </c>
      <c r="AA43">
        <v>0.69674899999999995</v>
      </c>
      <c r="AB43">
        <v>0.73366699999999996</v>
      </c>
      <c r="AC43">
        <v>0.76523300000000005</v>
      </c>
      <c r="AD43">
        <v>0.80181400000000003</v>
      </c>
      <c r="AE43">
        <v>0.838758</v>
      </c>
      <c r="AF43">
        <v>0.87630799999999998</v>
      </c>
      <c r="AG43">
        <v>0.91482699999999995</v>
      </c>
      <c r="AH43">
        <v>0.95336900000000002</v>
      </c>
      <c r="AI43">
        <v>0.99279799999999996</v>
      </c>
      <c r="AJ43">
        <v>1.0310410000000001</v>
      </c>
      <c r="AK43">
        <v>1.0708819999999999</v>
      </c>
      <c r="AL43">
        <v>1.114576</v>
      </c>
      <c r="AM43">
        <v>1.1559360000000001</v>
      </c>
      <c r="AN43">
        <v>1.196906</v>
      </c>
      <c r="AO43">
        <v>1.241698</v>
      </c>
    </row>
    <row r="44" spans="1:41" x14ac:dyDescent="0.25">
      <c r="A44" t="s">
        <v>439</v>
      </c>
      <c r="B44" t="s">
        <v>449</v>
      </c>
      <c r="C44" t="s">
        <v>448</v>
      </c>
      <c r="D44" t="s">
        <v>42</v>
      </c>
      <c r="H44">
        <v>3.3500000000000001E-4</v>
      </c>
      <c r="I44">
        <v>3.4099999999999999E-4</v>
      </c>
      <c r="J44">
        <v>1.75E-4</v>
      </c>
      <c r="K44">
        <v>1.7200000000000001E-4</v>
      </c>
      <c r="L44">
        <v>1.74E-4</v>
      </c>
      <c r="M44">
        <v>1.73E-4</v>
      </c>
      <c r="N44">
        <v>1.7100000000000001E-4</v>
      </c>
      <c r="O44">
        <v>1.7000000000000001E-4</v>
      </c>
      <c r="P44">
        <v>1.65E-4</v>
      </c>
      <c r="Q44">
        <v>1.64E-4</v>
      </c>
      <c r="R44">
        <v>1.63E-4</v>
      </c>
      <c r="S44">
        <v>1.63E-4</v>
      </c>
      <c r="T44">
        <v>1.6200000000000001E-4</v>
      </c>
      <c r="U44">
        <v>1.6200000000000001E-4</v>
      </c>
      <c r="V44">
        <v>1.6200000000000001E-4</v>
      </c>
      <c r="W44">
        <v>1.6200000000000001E-4</v>
      </c>
      <c r="X44">
        <v>1.6100000000000001E-4</v>
      </c>
      <c r="Y44">
        <v>1.6100000000000001E-4</v>
      </c>
      <c r="Z44">
        <v>1.6100000000000001E-4</v>
      </c>
      <c r="AA44">
        <v>1.6100000000000001E-4</v>
      </c>
      <c r="AB44">
        <v>1.6100000000000001E-4</v>
      </c>
      <c r="AC44">
        <v>1.6000000000000001E-4</v>
      </c>
      <c r="AD44">
        <v>1.6100000000000001E-4</v>
      </c>
      <c r="AE44">
        <v>1.6200000000000001E-4</v>
      </c>
      <c r="AF44">
        <v>1.63E-4</v>
      </c>
      <c r="AG44">
        <v>1.65E-4</v>
      </c>
      <c r="AH44">
        <v>1.6699999999999999E-4</v>
      </c>
      <c r="AI44">
        <v>1.6899999999999999E-4</v>
      </c>
      <c r="AJ44">
        <v>1.7000000000000001E-4</v>
      </c>
      <c r="AK44">
        <v>1.7200000000000001E-4</v>
      </c>
      <c r="AL44">
        <v>1.74E-4</v>
      </c>
      <c r="AM44">
        <v>1.76E-4</v>
      </c>
      <c r="AN44">
        <v>1.7799999999999999E-4</v>
      </c>
      <c r="AO44">
        <v>1.8000000000000001E-4</v>
      </c>
    </row>
    <row r="45" spans="1:41" x14ac:dyDescent="0.25">
      <c r="A45" t="s">
        <v>203</v>
      </c>
      <c r="B45" t="s">
        <v>447</v>
      </c>
      <c r="C45" t="s">
        <v>446</v>
      </c>
      <c r="D45" t="s">
        <v>42</v>
      </c>
      <c r="H45">
        <v>0.195633</v>
      </c>
      <c r="I45">
        <v>0.216303</v>
      </c>
      <c r="J45">
        <v>0.244787</v>
      </c>
      <c r="K45">
        <v>0.246143</v>
      </c>
      <c r="L45">
        <v>0.27621200000000001</v>
      </c>
      <c r="M45">
        <v>0.29548200000000002</v>
      </c>
      <c r="N45">
        <v>0.302537</v>
      </c>
      <c r="O45">
        <v>0.31115300000000001</v>
      </c>
      <c r="P45">
        <v>0.32383299999999998</v>
      </c>
      <c r="Q45">
        <v>0.33554400000000001</v>
      </c>
      <c r="R45">
        <v>0.35487800000000003</v>
      </c>
      <c r="S45">
        <v>0.36702000000000001</v>
      </c>
      <c r="T45">
        <v>0.38123800000000002</v>
      </c>
      <c r="U45">
        <v>0.39169500000000002</v>
      </c>
      <c r="V45">
        <v>0.40658899999999998</v>
      </c>
      <c r="W45">
        <v>0.411414</v>
      </c>
      <c r="X45">
        <v>0.426537</v>
      </c>
      <c r="Y45">
        <v>0.43382199999999999</v>
      </c>
      <c r="Z45">
        <v>0.45155400000000001</v>
      </c>
      <c r="AA45">
        <v>0.47020299999999998</v>
      </c>
      <c r="AB45">
        <v>0.48383900000000002</v>
      </c>
      <c r="AC45">
        <v>0.49467</v>
      </c>
      <c r="AD45">
        <v>0.50775899999999996</v>
      </c>
      <c r="AE45">
        <v>0.52286999999999995</v>
      </c>
      <c r="AF45">
        <v>0.53813800000000001</v>
      </c>
      <c r="AG45">
        <v>0.55597099999999999</v>
      </c>
      <c r="AH45">
        <v>0.56083799999999995</v>
      </c>
      <c r="AI45">
        <v>0.57489800000000002</v>
      </c>
      <c r="AJ45">
        <v>0.58586400000000005</v>
      </c>
      <c r="AK45">
        <v>0.600518</v>
      </c>
      <c r="AL45">
        <v>0.61634199999999995</v>
      </c>
      <c r="AM45">
        <v>0.62701799999999996</v>
      </c>
      <c r="AN45">
        <v>0.63078400000000001</v>
      </c>
      <c r="AO45">
        <v>0.63648700000000002</v>
      </c>
    </row>
    <row r="46" spans="1:41" x14ac:dyDescent="0.25">
      <c r="A46" t="s">
        <v>445</v>
      </c>
      <c r="B46" t="s">
        <v>444</v>
      </c>
      <c r="C46" t="s">
        <v>443</v>
      </c>
      <c r="D46" t="s">
        <v>42</v>
      </c>
      <c r="H46">
        <v>7.3734999999999995E-2</v>
      </c>
      <c r="I46">
        <v>7.4426999999999993E-2</v>
      </c>
      <c r="J46">
        <v>7.5358999999999995E-2</v>
      </c>
      <c r="K46">
        <v>7.3691999999999994E-2</v>
      </c>
      <c r="L46">
        <v>7.4771000000000004E-2</v>
      </c>
      <c r="M46">
        <v>7.4763999999999997E-2</v>
      </c>
      <c r="N46">
        <v>7.3534000000000002E-2</v>
      </c>
      <c r="O46">
        <v>7.3245000000000005E-2</v>
      </c>
      <c r="P46">
        <v>7.1374999999999994E-2</v>
      </c>
      <c r="Q46">
        <v>7.0848999999999995E-2</v>
      </c>
      <c r="R46">
        <v>7.0451E-2</v>
      </c>
      <c r="S46">
        <v>7.0455000000000004E-2</v>
      </c>
      <c r="T46">
        <v>7.0278999999999994E-2</v>
      </c>
      <c r="U46">
        <v>7.0495000000000002E-2</v>
      </c>
      <c r="V46">
        <v>7.0365999999999998E-2</v>
      </c>
      <c r="W46">
        <v>7.0212999999999998E-2</v>
      </c>
      <c r="X46">
        <v>7.0060999999999998E-2</v>
      </c>
      <c r="Y46">
        <v>6.9983000000000004E-2</v>
      </c>
      <c r="Z46">
        <v>6.9874000000000006E-2</v>
      </c>
      <c r="AA46">
        <v>6.9837999999999997E-2</v>
      </c>
      <c r="AB46">
        <v>6.9871000000000003E-2</v>
      </c>
      <c r="AC46">
        <v>6.9458000000000006E-2</v>
      </c>
      <c r="AD46">
        <v>6.9417999999999994E-2</v>
      </c>
      <c r="AE46">
        <v>6.9345000000000004E-2</v>
      </c>
      <c r="AF46">
        <v>6.9290000000000004E-2</v>
      </c>
      <c r="AG46">
        <v>6.9236000000000006E-2</v>
      </c>
      <c r="AH46">
        <v>6.9093000000000002E-2</v>
      </c>
      <c r="AI46">
        <v>6.8950999999999998E-2</v>
      </c>
      <c r="AJ46">
        <v>6.8748000000000004E-2</v>
      </c>
      <c r="AK46">
        <v>6.8580000000000002E-2</v>
      </c>
      <c r="AL46">
        <v>6.8497000000000002E-2</v>
      </c>
      <c r="AM46">
        <v>6.8274000000000001E-2</v>
      </c>
      <c r="AN46">
        <v>6.7988999999999994E-2</v>
      </c>
      <c r="AO46">
        <v>6.7805000000000004E-2</v>
      </c>
    </row>
    <row r="47" spans="1:41" x14ac:dyDescent="0.25">
      <c r="A47" t="s">
        <v>442</v>
      </c>
      <c r="B47" t="s">
        <v>441</v>
      </c>
      <c r="C47" t="s">
        <v>440</v>
      </c>
      <c r="D47" t="s">
        <v>42</v>
      </c>
      <c r="H47">
        <v>0.114854</v>
      </c>
      <c r="I47">
        <v>0.13483100000000001</v>
      </c>
      <c r="J47">
        <v>0.162357</v>
      </c>
      <c r="K47">
        <v>0.16556000000000001</v>
      </c>
      <c r="L47">
        <v>0.19445999999999999</v>
      </c>
      <c r="M47">
        <v>0.213751</v>
      </c>
      <c r="N47">
        <v>0.22212799999999999</v>
      </c>
      <c r="O47">
        <v>0.23104</v>
      </c>
      <c r="P47">
        <v>0.245749</v>
      </c>
      <c r="Q47">
        <v>0.25803100000000001</v>
      </c>
      <c r="R47">
        <v>0.27777200000000002</v>
      </c>
      <c r="S47">
        <v>0.28991299999999998</v>
      </c>
      <c r="T47">
        <v>0.30431799999999998</v>
      </c>
      <c r="U47">
        <v>0.31456000000000001</v>
      </c>
      <c r="V47">
        <v>0.32959300000000002</v>
      </c>
      <c r="W47">
        <v>0.33458599999999999</v>
      </c>
      <c r="X47">
        <v>0.34983999999999998</v>
      </c>
      <c r="Y47">
        <v>0.357211</v>
      </c>
      <c r="Z47">
        <v>0.37506</v>
      </c>
      <c r="AA47">
        <v>0.39375300000000002</v>
      </c>
      <c r="AB47">
        <v>0.40736</v>
      </c>
      <c r="AC47">
        <v>0.418628</v>
      </c>
      <c r="AD47">
        <v>0.43176100000000001</v>
      </c>
      <c r="AE47">
        <v>0.44695200000000002</v>
      </c>
      <c r="AF47">
        <v>0.462283</v>
      </c>
      <c r="AG47">
        <v>0.480161</v>
      </c>
      <c r="AH47">
        <v>0.48518499999999998</v>
      </c>
      <c r="AI47">
        <v>0.49939099999999997</v>
      </c>
      <c r="AJ47">
        <v>0.51058000000000003</v>
      </c>
      <c r="AK47">
        <v>0.52541599999999999</v>
      </c>
      <c r="AL47">
        <v>0.54133100000000001</v>
      </c>
      <c r="AM47">
        <v>0.55223299999999997</v>
      </c>
      <c r="AN47">
        <v>0.55629600000000001</v>
      </c>
      <c r="AO47">
        <v>0.56219200000000003</v>
      </c>
    </row>
    <row r="48" spans="1:41" x14ac:dyDescent="0.25">
      <c r="A48" t="s">
        <v>439</v>
      </c>
      <c r="B48" t="s">
        <v>438</v>
      </c>
      <c r="C48" t="s">
        <v>437</v>
      </c>
      <c r="D48" t="s">
        <v>42</v>
      </c>
      <c r="H48">
        <v>7.0439999999999999E-3</v>
      </c>
      <c r="I48">
        <v>7.045E-3</v>
      </c>
      <c r="J48">
        <v>7.071E-3</v>
      </c>
      <c r="K48">
        <v>6.8910000000000004E-3</v>
      </c>
      <c r="L48">
        <v>6.9810000000000002E-3</v>
      </c>
      <c r="M48">
        <v>6.9670000000000001E-3</v>
      </c>
      <c r="N48">
        <v>6.8739999999999999E-3</v>
      </c>
      <c r="O48">
        <v>6.868E-3</v>
      </c>
      <c r="P48">
        <v>6.7089999999999997E-3</v>
      </c>
      <c r="Q48">
        <v>6.6639999999999998E-3</v>
      </c>
      <c r="R48">
        <v>6.6550000000000003E-3</v>
      </c>
      <c r="S48">
        <v>6.6519999999999999E-3</v>
      </c>
      <c r="T48">
        <v>6.6410000000000002E-3</v>
      </c>
      <c r="U48">
        <v>6.6400000000000001E-3</v>
      </c>
      <c r="V48">
        <v>6.6299999999999996E-3</v>
      </c>
      <c r="W48">
        <v>6.6150000000000002E-3</v>
      </c>
      <c r="X48">
        <v>6.6360000000000004E-3</v>
      </c>
      <c r="Y48">
        <v>6.6280000000000002E-3</v>
      </c>
      <c r="Z48">
        <v>6.62E-3</v>
      </c>
      <c r="AA48">
        <v>6.613E-3</v>
      </c>
      <c r="AB48">
        <v>6.607E-3</v>
      </c>
      <c r="AC48">
        <v>6.5849999999999997E-3</v>
      </c>
      <c r="AD48">
        <v>6.5789999999999998E-3</v>
      </c>
      <c r="AE48">
        <v>6.5729999999999998E-3</v>
      </c>
      <c r="AF48">
        <v>6.5649999999999997E-3</v>
      </c>
      <c r="AG48">
        <v>6.574E-3</v>
      </c>
      <c r="AH48">
        <v>6.5599999999999999E-3</v>
      </c>
      <c r="AI48">
        <v>6.5570000000000003E-3</v>
      </c>
      <c r="AJ48">
        <v>6.5360000000000001E-3</v>
      </c>
      <c r="AK48">
        <v>6.522E-3</v>
      </c>
      <c r="AL48">
        <v>6.515E-3</v>
      </c>
      <c r="AM48">
        <v>6.5110000000000003E-3</v>
      </c>
      <c r="AN48">
        <v>6.4989999999999996E-3</v>
      </c>
      <c r="AO48">
        <v>6.489E-3</v>
      </c>
    </row>
  </sheetData>
  <hyperlinks>
    <hyperlink ref="A2" r:id="rId1" location="/?id=24-AEO2020&amp;cases=ref2020&amp;sourcekey=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3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5" sqref="M5:P17"/>
    </sheetView>
  </sheetViews>
  <sheetFormatPr defaultRowHeight="15" x14ac:dyDescent="0.25"/>
  <cols>
    <col min="1" max="1" width="14.140625" bestFit="1" customWidth="1"/>
    <col min="2" max="2" width="17.28515625" bestFit="1" customWidth="1"/>
    <col min="3" max="6" width="16.42578125" customWidth="1"/>
    <col min="7" max="8" width="14.140625" customWidth="1"/>
    <col min="9" max="10" width="14.140625" style="129" customWidth="1"/>
    <col min="11" max="11" width="12" bestFit="1" customWidth="1"/>
    <col min="12" max="12" width="13.42578125" customWidth="1"/>
    <col min="13" max="13" width="18.28515625" customWidth="1"/>
    <col min="14" max="14" width="14.7109375" customWidth="1"/>
    <col min="15" max="15" width="16.28515625" customWidth="1"/>
    <col min="16" max="16" width="16.42578125" customWidth="1"/>
    <col min="19" max="19" width="19.85546875" customWidth="1"/>
    <col min="20" max="22" width="16.85546875" customWidth="1"/>
  </cols>
  <sheetData>
    <row r="3" spans="1:20" x14ac:dyDescent="0.25">
      <c r="A3" s="19" t="s">
        <v>574</v>
      </c>
      <c r="C3" s="19" t="s">
        <v>648</v>
      </c>
      <c r="D3" s="19" t="s">
        <v>249</v>
      </c>
      <c r="I3"/>
      <c r="J3"/>
      <c r="M3" s="38" t="s">
        <v>668</v>
      </c>
    </row>
    <row r="4" spans="1:20" x14ac:dyDescent="0.25">
      <c r="C4" s="20">
        <v>44562</v>
      </c>
      <c r="E4" s="20">
        <v>44197</v>
      </c>
      <c r="G4" s="20">
        <v>43831</v>
      </c>
      <c r="I4" s="20">
        <v>43466</v>
      </c>
      <c r="J4" s="20">
        <v>43101</v>
      </c>
    </row>
    <row r="5" spans="1:20" ht="30.75" thickBot="1" x14ac:dyDescent="0.3">
      <c r="A5" s="19" t="s">
        <v>565</v>
      </c>
      <c r="B5" s="19" t="s">
        <v>254</v>
      </c>
      <c r="C5" s="20">
        <v>44562</v>
      </c>
      <c r="D5" s="20">
        <v>44197</v>
      </c>
      <c r="E5" s="20">
        <v>44197</v>
      </c>
      <c r="F5" s="20">
        <v>43831</v>
      </c>
      <c r="G5" s="20">
        <v>43831</v>
      </c>
      <c r="H5" s="20">
        <v>43466</v>
      </c>
      <c r="I5" s="20">
        <v>43466</v>
      </c>
      <c r="J5" s="20">
        <v>43101</v>
      </c>
      <c r="N5" s="35" t="s">
        <v>600</v>
      </c>
      <c r="O5" s="35" t="s">
        <v>601</v>
      </c>
      <c r="P5" s="35" t="s">
        <v>602</v>
      </c>
    </row>
    <row r="6" spans="1:20" x14ac:dyDescent="0.25">
      <c r="A6" s="129" t="s">
        <v>570</v>
      </c>
      <c r="B6" s="129" t="s">
        <v>566</v>
      </c>
      <c r="C6" s="25">
        <v>122.48</v>
      </c>
      <c r="D6" s="25"/>
      <c r="E6" s="25">
        <v>122.48</v>
      </c>
      <c r="F6" s="25"/>
      <c r="G6" s="25">
        <v>122.48</v>
      </c>
      <c r="H6" s="25"/>
      <c r="I6" s="25">
        <v>118.383</v>
      </c>
      <c r="J6" s="25">
        <v>116.09</v>
      </c>
      <c r="M6" s="64" t="s">
        <v>4</v>
      </c>
      <c r="N6" s="16">
        <f>+ED_gas_T0</f>
        <v>122.48</v>
      </c>
      <c r="O6" s="16">
        <f>+CIT_gas_T0</f>
        <v>93.51</v>
      </c>
      <c r="P6" s="50">
        <f>+CIA_gas_T0</f>
        <v>100.14</v>
      </c>
    </row>
    <row r="7" spans="1:20" x14ac:dyDescent="0.25">
      <c r="B7" s="129" t="s">
        <v>568</v>
      </c>
      <c r="C7" s="25">
        <v>122.48</v>
      </c>
      <c r="D7" s="25"/>
      <c r="E7" s="25">
        <v>122.48</v>
      </c>
      <c r="F7" s="25"/>
      <c r="G7" s="25">
        <v>122.48</v>
      </c>
      <c r="H7" s="25"/>
      <c r="I7" s="25">
        <v>122.48</v>
      </c>
      <c r="J7" s="25">
        <v>116.09</v>
      </c>
      <c r="M7" s="120" t="s">
        <v>5</v>
      </c>
      <c r="N7" s="16">
        <f>+ED_eth_T0</f>
        <v>81.510000000000005</v>
      </c>
      <c r="O7" s="16">
        <f>+CIT_gas_T0</f>
        <v>93.51</v>
      </c>
      <c r="P7" s="147">
        <f>+CIA_Eth_T0</f>
        <v>46.5</v>
      </c>
    </row>
    <row r="8" spans="1:20" x14ac:dyDescent="0.25">
      <c r="B8" s="129" t="s">
        <v>5</v>
      </c>
      <c r="C8" s="25">
        <v>81.510000000000005</v>
      </c>
      <c r="D8" s="25"/>
      <c r="E8" s="25">
        <v>81.510000000000005</v>
      </c>
      <c r="F8" s="25"/>
      <c r="G8" s="25">
        <v>81.510000000000005</v>
      </c>
      <c r="H8" s="25"/>
      <c r="I8" s="25">
        <v>81.510000000000005</v>
      </c>
      <c r="J8" s="25">
        <v>81.510000000000005</v>
      </c>
      <c r="M8" t="s">
        <v>3</v>
      </c>
      <c r="N8" s="16">
        <f>+ED_die_T0</f>
        <v>134.47999999999999</v>
      </c>
      <c r="O8" s="16">
        <f>+CIT_die_T0</f>
        <v>93.81</v>
      </c>
      <c r="P8" s="50">
        <f>+CIA_die_T0</f>
        <v>100.74</v>
      </c>
    </row>
    <row r="9" spans="1:20" x14ac:dyDescent="0.25">
      <c r="B9" s="129" t="s">
        <v>567</v>
      </c>
      <c r="C9" s="25">
        <v>134.47999999999999</v>
      </c>
      <c r="D9" s="25"/>
      <c r="E9" s="25">
        <v>134.47999999999999</v>
      </c>
      <c r="F9" s="25"/>
      <c r="G9" s="25">
        <v>134.47999999999999</v>
      </c>
      <c r="H9" s="25"/>
      <c r="I9" s="25">
        <v>134.47999999999999</v>
      </c>
      <c r="J9" s="25">
        <v>129.49</v>
      </c>
      <c r="M9" s="148" t="s">
        <v>7</v>
      </c>
      <c r="N9" s="16">
        <f>+ED_Bio_T0</f>
        <v>126.13</v>
      </c>
      <c r="O9" s="16">
        <f>+CIT_die_T0</f>
        <v>93.81</v>
      </c>
      <c r="P9" s="149">
        <f>CIA_bio_T0</f>
        <v>31.5</v>
      </c>
    </row>
    <row r="10" spans="1:20" x14ac:dyDescent="0.25">
      <c r="B10" s="129" t="s">
        <v>7</v>
      </c>
      <c r="C10" s="25">
        <v>126.13</v>
      </c>
      <c r="D10" s="25"/>
      <c r="E10" s="25">
        <v>126.13</v>
      </c>
      <c r="F10" s="25"/>
      <c r="G10" s="25">
        <v>126.13</v>
      </c>
      <c r="H10" s="25"/>
      <c r="I10" s="25">
        <v>126.13</v>
      </c>
      <c r="J10" s="25">
        <v>119.55</v>
      </c>
      <c r="M10" s="150" t="s">
        <v>6</v>
      </c>
      <c r="N10" s="16">
        <f>+ED_ren_T0</f>
        <v>129.65</v>
      </c>
      <c r="O10" s="16">
        <f>+CIT_die_T0</f>
        <v>93.81</v>
      </c>
      <c r="P10" s="151">
        <f>+CIA_ren_T0</f>
        <v>33.25</v>
      </c>
    </row>
    <row r="11" spans="1:20" x14ac:dyDescent="0.25">
      <c r="B11" s="129" t="s">
        <v>255</v>
      </c>
      <c r="C11" s="25">
        <v>129.65</v>
      </c>
      <c r="D11" s="25"/>
      <c r="E11" s="25">
        <v>129.65</v>
      </c>
      <c r="F11" s="25"/>
      <c r="G11" s="25">
        <v>129.65</v>
      </c>
      <c r="H11" s="25"/>
      <c r="I11" s="25">
        <v>129.65</v>
      </c>
      <c r="J11" s="25">
        <v>129.65</v>
      </c>
      <c r="K11" s="10"/>
      <c r="M11" s="98" t="s">
        <v>8</v>
      </c>
      <c r="N11" s="50">
        <f>ED_eon_T0</f>
        <v>3.6</v>
      </c>
      <c r="O11" s="16">
        <f>+CIT_gas_T0</f>
        <v>93.51</v>
      </c>
      <c r="P11" s="184">
        <f>+CIA_eon_T0</f>
        <v>63.47</v>
      </c>
      <c r="S11">
        <v>0.56999999999999995</v>
      </c>
    </row>
    <row r="12" spans="1:20" x14ac:dyDescent="0.25">
      <c r="B12" s="129" t="s">
        <v>261</v>
      </c>
      <c r="C12" s="25">
        <v>3.6</v>
      </c>
      <c r="D12" s="25"/>
      <c r="E12" s="25">
        <v>3.6</v>
      </c>
      <c r="F12" s="25"/>
      <c r="G12" s="25">
        <v>3.6</v>
      </c>
      <c r="H12" s="25"/>
      <c r="I12" s="25">
        <v>3.6</v>
      </c>
      <c r="J12" s="25">
        <v>3.6</v>
      </c>
      <c r="K12" s="10"/>
      <c r="M12" s="24" t="s">
        <v>603</v>
      </c>
      <c r="N12" s="126">
        <f>KWh_T0</f>
        <v>4474.2066983916566</v>
      </c>
      <c r="O12" s="16"/>
      <c r="P12" s="50"/>
      <c r="S12">
        <v>0.43</v>
      </c>
      <c r="T12">
        <v>147</v>
      </c>
    </row>
    <row r="13" spans="1:20" x14ac:dyDescent="0.25">
      <c r="B13" s="129" t="s">
        <v>266</v>
      </c>
      <c r="C13" s="25">
        <v>105.5</v>
      </c>
      <c r="D13" s="25"/>
      <c r="E13" s="25">
        <v>105.5</v>
      </c>
      <c r="F13" s="25"/>
      <c r="G13" s="25">
        <v>0.98</v>
      </c>
      <c r="H13" s="25"/>
      <c r="I13" s="25">
        <v>0.98</v>
      </c>
      <c r="J13" s="25">
        <v>0.98</v>
      </c>
      <c r="M13" s="24" t="s">
        <v>713</v>
      </c>
      <c r="N13" s="125">
        <f>EEReon_T0</f>
        <v>3.4</v>
      </c>
      <c r="O13" s="16"/>
      <c r="P13" s="50"/>
    </row>
    <row r="14" spans="1:20" x14ac:dyDescent="0.25">
      <c r="B14" s="129" t="s">
        <v>275</v>
      </c>
      <c r="C14" s="25">
        <v>78.83</v>
      </c>
      <c r="D14" s="25"/>
      <c r="E14" s="25">
        <v>78.83</v>
      </c>
      <c r="F14" s="25"/>
      <c r="G14" s="25">
        <v>78.83</v>
      </c>
      <c r="H14" s="25"/>
      <c r="I14" s="25">
        <v>78.83</v>
      </c>
      <c r="J14" s="25">
        <v>76.84</v>
      </c>
      <c r="M14" s="24" t="s">
        <v>714</v>
      </c>
      <c r="N14" s="125">
        <f>EERng_T0</f>
        <v>0.9</v>
      </c>
      <c r="O14" s="115"/>
      <c r="P14" s="50"/>
      <c r="T14">
        <f>S12*T12</f>
        <v>63.21</v>
      </c>
    </row>
    <row r="15" spans="1:20" x14ac:dyDescent="0.25">
      <c r="B15" s="129" t="s">
        <v>268</v>
      </c>
      <c r="C15" s="25">
        <v>89.63</v>
      </c>
      <c r="D15" s="25"/>
      <c r="E15" s="25">
        <v>89.63</v>
      </c>
      <c r="F15" s="25"/>
      <c r="G15" s="25">
        <v>89.63</v>
      </c>
      <c r="H15" s="25"/>
      <c r="I15" s="25">
        <v>89.63</v>
      </c>
      <c r="J15" s="25">
        <v>96.5</v>
      </c>
      <c r="M15" t="s">
        <v>10</v>
      </c>
      <c r="N15" s="16">
        <f>+ED_die_T0</f>
        <v>134.47999999999999</v>
      </c>
      <c r="O15" s="16">
        <f>+CIT_die_T0</f>
        <v>93.81</v>
      </c>
      <c r="P15" s="50">
        <f>+CIA_fcg_T0</f>
        <v>79.98</v>
      </c>
    </row>
    <row r="16" spans="1:20" x14ac:dyDescent="0.25">
      <c r="B16" s="129" t="s">
        <v>19</v>
      </c>
      <c r="C16" s="25">
        <v>120</v>
      </c>
      <c r="D16" s="25"/>
      <c r="E16" s="25">
        <v>120</v>
      </c>
      <c r="F16" s="25"/>
      <c r="G16" s="25">
        <v>120</v>
      </c>
      <c r="H16" s="25"/>
      <c r="I16" s="25">
        <v>123</v>
      </c>
      <c r="J16" s="25">
        <v>123</v>
      </c>
      <c r="M16" s="24" t="s">
        <v>31</v>
      </c>
      <c r="N16" s="16">
        <f>+ED_die_T0</f>
        <v>134.47999999999999</v>
      </c>
      <c r="O16" s="16">
        <f>+CIT_die_T0</f>
        <v>93.81</v>
      </c>
      <c r="P16" s="50">
        <f>+CIA_bgs_T0</f>
        <v>49</v>
      </c>
    </row>
    <row r="17" spans="1:16" x14ac:dyDescent="0.25">
      <c r="B17" s="129" t="s">
        <v>569</v>
      </c>
      <c r="C17" s="25">
        <v>126.37</v>
      </c>
      <c r="D17" s="25"/>
      <c r="E17" s="25">
        <v>126.37</v>
      </c>
      <c r="F17" s="25"/>
      <c r="G17" s="25">
        <v>126.37</v>
      </c>
      <c r="H17" s="25"/>
      <c r="I17" s="25">
        <v>0</v>
      </c>
      <c r="J17" s="25">
        <v>0</v>
      </c>
      <c r="M17" t="s">
        <v>604</v>
      </c>
      <c r="N17" s="16">
        <f>+ED_lp_T0</f>
        <v>89.63</v>
      </c>
      <c r="O17" s="16">
        <f>+CIT_gas_T0</f>
        <v>93.51</v>
      </c>
      <c r="P17" s="50">
        <f>+CIA_lp_T0</f>
        <v>80.88</v>
      </c>
    </row>
    <row r="18" spans="1:16" x14ac:dyDescent="0.25">
      <c r="A18" s="129" t="s">
        <v>571</v>
      </c>
      <c r="B18" s="129" t="s">
        <v>566</v>
      </c>
      <c r="C18" s="25">
        <v>93.51</v>
      </c>
      <c r="D18" s="25"/>
      <c r="E18" s="25">
        <v>94.63</v>
      </c>
      <c r="F18" s="25"/>
      <c r="G18" s="25">
        <v>95.61</v>
      </c>
      <c r="H18" s="25"/>
      <c r="I18" s="25">
        <v>97.16</v>
      </c>
      <c r="J18" s="25">
        <v>97.63</v>
      </c>
    </row>
    <row r="19" spans="1:16" x14ac:dyDescent="0.25">
      <c r="B19" s="129" t="s">
        <v>567</v>
      </c>
      <c r="C19" s="25">
        <v>93.81</v>
      </c>
      <c r="D19" s="25"/>
      <c r="E19" s="25">
        <v>95.29</v>
      </c>
      <c r="F19" s="25"/>
      <c r="G19" s="25">
        <v>96.27</v>
      </c>
      <c r="H19" s="25"/>
      <c r="I19" s="25">
        <v>98.12</v>
      </c>
      <c r="J19" s="25">
        <v>98.64</v>
      </c>
    </row>
    <row r="20" spans="1:16" x14ac:dyDescent="0.25">
      <c r="B20" s="129" t="s">
        <v>569</v>
      </c>
      <c r="C20" s="25">
        <v>90.8</v>
      </c>
      <c r="D20" s="25"/>
      <c r="E20" s="25">
        <v>90.8</v>
      </c>
      <c r="F20" s="25"/>
      <c r="G20" s="25">
        <v>90.8</v>
      </c>
      <c r="H20" s="25"/>
      <c r="I20" s="25"/>
      <c r="J20" s="25"/>
    </row>
    <row r="21" spans="1:16" x14ac:dyDescent="0.25">
      <c r="A21" s="129" t="s">
        <v>572</v>
      </c>
      <c r="B21" s="129" t="s">
        <v>566</v>
      </c>
      <c r="C21" s="25">
        <v>100.14</v>
      </c>
      <c r="D21" s="25"/>
      <c r="E21" s="25">
        <v>100.14</v>
      </c>
      <c r="F21" s="25"/>
      <c r="G21" s="25">
        <v>100.14</v>
      </c>
      <c r="H21" s="25"/>
      <c r="I21" s="25">
        <v>98.64</v>
      </c>
      <c r="J21" s="25">
        <v>98.62</v>
      </c>
    </row>
    <row r="22" spans="1:16" x14ac:dyDescent="0.25">
      <c r="B22" s="129" t="s">
        <v>568</v>
      </c>
      <c r="C22" s="25">
        <v>98.06</v>
      </c>
      <c r="D22" s="25"/>
      <c r="E22" s="25">
        <v>98.16</v>
      </c>
      <c r="F22" s="25"/>
      <c r="G22" s="25">
        <v>100.14</v>
      </c>
      <c r="H22" s="25"/>
      <c r="I22" s="25">
        <v>100.77</v>
      </c>
      <c r="J22" s="25">
        <v>100.77</v>
      </c>
    </row>
    <row r="23" spans="1:16" x14ac:dyDescent="0.25">
      <c r="B23" s="129" t="s">
        <v>5</v>
      </c>
      <c r="C23" s="25">
        <v>46.5</v>
      </c>
      <c r="D23" s="25">
        <v>49</v>
      </c>
      <c r="E23" s="25">
        <v>47.5</v>
      </c>
      <c r="F23" s="25">
        <v>52.83</v>
      </c>
      <c r="G23" s="25">
        <v>57.76</v>
      </c>
      <c r="H23" s="25"/>
      <c r="I23" s="25">
        <v>59.01863095238096</v>
      </c>
      <c r="J23" s="25">
        <v>60.877499999999998</v>
      </c>
      <c r="M23" s="180" t="s">
        <v>717</v>
      </c>
      <c r="N23" s="180"/>
      <c r="O23" s="180"/>
    </row>
    <row r="24" spans="1:16" x14ac:dyDescent="0.25">
      <c r="B24" s="129" t="s">
        <v>567</v>
      </c>
      <c r="C24" s="25">
        <v>100.74</v>
      </c>
      <c r="D24" s="25"/>
      <c r="E24" s="25">
        <v>100.74</v>
      </c>
      <c r="F24" s="25"/>
      <c r="G24" s="25">
        <v>100.74</v>
      </c>
      <c r="H24" s="25"/>
      <c r="I24" s="25">
        <v>101.65</v>
      </c>
      <c r="J24" s="25">
        <v>99.64</v>
      </c>
      <c r="M24" t="s">
        <v>718</v>
      </c>
      <c r="N24" t="s">
        <v>719</v>
      </c>
    </row>
    <row r="25" spans="1:16" x14ac:dyDescent="0.25">
      <c r="B25" s="129" t="s">
        <v>7</v>
      </c>
      <c r="C25" s="25">
        <v>31.5</v>
      </c>
      <c r="D25" s="25">
        <v>36</v>
      </c>
      <c r="E25" s="25">
        <v>26.5</v>
      </c>
      <c r="F25" s="25">
        <v>32.596249999999998</v>
      </c>
      <c r="G25" s="25">
        <v>35.4</v>
      </c>
      <c r="H25" s="25"/>
      <c r="I25" s="25">
        <v>47.09</v>
      </c>
      <c r="J25" s="25">
        <v>45.230000000000004</v>
      </c>
      <c r="M25" t="s">
        <v>720</v>
      </c>
      <c r="N25" t="s">
        <v>721</v>
      </c>
    </row>
    <row r="26" spans="1:16" x14ac:dyDescent="0.25">
      <c r="B26" s="129" t="s">
        <v>31</v>
      </c>
      <c r="C26" s="25">
        <v>49</v>
      </c>
      <c r="D26" s="25">
        <v>49</v>
      </c>
      <c r="E26" s="25">
        <v>49</v>
      </c>
      <c r="F26" s="25">
        <v>49</v>
      </c>
      <c r="G26" s="25">
        <v>50</v>
      </c>
      <c r="H26" s="25"/>
      <c r="I26" s="25">
        <v>35</v>
      </c>
      <c r="J26" s="25">
        <v>35</v>
      </c>
      <c r="M26" t="s">
        <v>722</v>
      </c>
      <c r="N26" t="s">
        <v>723</v>
      </c>
    </row>
    <row r="27" spans="1:16" x14ac:dyDescent="0.25">
      <c r="B27" s="129" t="s">
        <v>255</v>
      </c>
      <c r="C27" s="25">
        <v>33.25</v>
      </c>
      <c r="D27" s="25">
        <v>36</v>
      </c>
      <c r="E27" s="25">
        <v>27.2</v>
      </c>
      <c r="F27" s="25">
        <v>33.181249999999999</v>
      </c>
      <c r="G27" s="25">
        <v>29.165339245815588</v>
      </c>
      <c r="H27" s="25"/>
      <c r="I27" s="25">
        <v>45.752499999999998</v>
      </c>
      <c r="J27" s="25">
        <v>39.380000000000003</v>
      </c>
    </row>
    <row r="28" spans="1:16" x14ac:dyDescent="0.25">
      <c r="B28" s="129" t="s">
        <v>261</v>
      </c>
      <c r="C28" s="25">
        <v>63.47</v>
      </c>
      <c r="D28" s="25"/>
      <c r="E28" s="25">
        <v>107.92</v>
      </c>
      <c r="F28" s="25"/>
      <c r="G28" s="25">
        <v>109.31</v>
      </c>
      <c r="H28" s="25"/>
      <c r="I28" s="25">
        <v>120.27</v>
      </c>
      <c r="J28" s="25">
        <v>120.27</v>
      </c>
      <c r="M28" t="s">
        <v>724</v>
      </c>
      <c r="N28" t="s">
        <v>725</v>
      </c>
    </row>
    <row r="29" spans="1:16" x14ac:dyDescent="0.25">
      <c r="B29" s="129" t="s">
        <v>266</v>
      </c>
      <c r="C29" s="25">
        <v>79.98</v>
      </c>
      <c r="D29" s="25"/>
      <c r="E29" s="25">
        <v>79.98</v>
      </c>
      <c r="F29" s="25"/>
      <c r="G29" s="25">
        <v>79.98</v>
      </c>
      <c r="H29" s="25"/>
      <c r="I29" s="25">
        <v>79.930000000000007</v>
      </c>
      <c r="J29" s="25">
        <v>79.930000000000007</v>
      </c>
      <c r="M29" t="s">
        <v>726</v>
      </c>
      <c r="N29" t="s">
        <v>727</v>
      </c>
    </row>
    <row r="30" spans="1:16" x14ac:dyDescent="0.25">
      <c r="B30" s="129" t="s">
        <v>268</v>
      </c>
      <c r="C30" s="25">
        <v>80.88</v>
      </c>
      <c r="D30" s="25"/>
      <c r="E30" s="25">
        <v>80.88</v>
      </c>
      <c r="F30" s="25"/>
      <c r="G30" s="25">
        <v>80.88</v>
      </c>
      <c r="H30" s="25"/>
      <c r="I30" s="25">
        <v>83.05</v>
      </c>
      <c r="J30" s="25">
        <v>83.05</v>
      </c>
      <c r="M30" t="s">
        <v>728</v>
      </c>
      <c r="N30" t="s">
        <v>729</v>
      </c>
    </row>
    <row r="31" spans="1:16" x14ac:dyDescent="0.25">
      <c r="B31" s="129" t="s">
        <v>609</v>
      </c>
      <c r="C31" s="25"/>
      <c r="D31" s="25"/>
      <c r="E31" s="25">
        <v>100.14</v>
      </c>
      <c r="F31" s="25"/>
      <c r="G31" s="25">
        <v>100.14</v>
      </c>
      <c r="H31" s="25"/>
      <c r="I31" s="25">
        <v>100.77</v>
      </c>
      <c r="J31" s="25">
        <v>100.77</v>
      </c>
      <c r="M31" t="s">
        <v>730</v>
      </c>
      <c r="N31" t="s">
        <v>611</v>
      </c>
    </row>
    <row r="32" spans="1:16" x14ac:dyDescent="0.25">
      <c r="A32" s="129" t="s">
        <v>573</v>
      </c>
      <c r="B32" s="129" t="s">
        <v>658</v>
      </c>
      <c r="C32" s="25">
        <v>4474.2066983916566</v>
      </c>
      <c r="D32" s="25">
        <v>4374.2066983916566</v>
      </c>
      <c r="E32" s="25">
        <v>3506.0776345659137</v>
      </c>
      <c r="F32" s="25">
        <v>3021.0776345659137</v>
      </c>
      <c r="G32" s="25">
        <v>3621</v>
      </c>
      <c r="H32" s="25"/>
      <c r="I32" s="25">
        <v>3470</v>
      </c>
      <c r="J32" s="25">
        <v>3470</v>
      </c>
      <c r="M32" t="s">
        <v>731</v>
      </c>
      <c r="N32" t="s">
        <v>647</v>
      </c>
    </row>
    <row r="33" spans="1:10" x14ac:dyDescent="0.25">
      <c r="B33" s="129" t="s">
        <v>711</v>
      </c>
      <c r="C33" s="25">
        <v>3.4</v>
      </c>
      <c r="D33" s="25"/>
      <c r="E33" s="25">
        <v>3.4</v>
      </c>
      <c r="F33" s="25"/>
      <c r="G33" s="25">
        <v>3.4</v>
      </c>
      <c r="H33" s="25"/>
      <c r="I33" s="25">
        <v>3.4</v>
      </c>
      <c r="J33" s="25">
        <v>3.4</v>
      </c>
    </row>
    <row r="34" spans="1:10" x14ac:dyDescent="0.25">
      <c r="B34" s="129" t="s">
        <v>712</v>
      </c>
      <c r="C34" s="25">
        <v>0.9</v>
      </c>
      <c r="D34" s="25"/>
      <c r="E34" s="25">
        <v>0.9</v>
      </c>
      <c r="F34" s="25"/>
      <c r="G34" s="25">
        <v>0.9</v>
      </c>
      <c r="H34" s="25"/>
      <c r="I34" s="25">
        <v>0.9</v>
      </c>
      <c r="J34" s="25">
        <v>0.9</v>
      </c>
    </row>
    <row r="35" spans="1:10" x14ac:dyDescent="0.25">
      <c r="A35" s="129" t="s">
        <v>647</v>
      </c>
      <c r="B35" s="129" t="s">
        <v>566</v>
      </c>
      <c r="C35" s="25"/>
      <c r="D35" s="25"/>
      <c r="E35" s="25">
        <v>0.10299999999999999</v>
      </c>
      <c r="F35" s="25">
        <v>-0.106</v>
      </c>
      <c r="G35" s="25">
        <v>4.8945290938999996E-3</v>
      </c>
      <c r="H35" s="25">
        <v>4.5776239147999999E-3</v>
      </c>
      <c r="I35" s="25"/>
      <c r="J35" s="25"/>
    </row>
    <row r="36" spans="1:10" x14ac:dyDescent="0.25">
      <c r="B36" s="129" t="s">
        <v>567</v>
      </c>
      <c r="C36" s="25"/>
      <c r="D36" s="25"/>
      <c r="E36" s="25">
        <v>4.6262661114707893E-2</v>
      </c>
      <c r="F36" s="25">
        <v>-3.1046501075563837E-2</v>
      </c>
      <c r="G36" s="25">
        <v>4.4104026435999996E-3</v>
      </c>
      <c r="H36" s="25">
        <v>-1.556351194E-2</v>
      </c>
      <c r="I36" s="25"/>
      <c r="J36" s="25"/>
    </row>
    <row r="37" spans="1:10" x14ac:dyDescent="0.25">
      <c r="B37" s="129" t="s">
        <v>268</v>
      </c>
      <c r="C37" s="25">
        <v>0.7</v>
      </c>
      <c r="D37" s="25">
        <v>0.5</v>
      </c>
      <c r="E37" s="25">
        <v>0.7</v>
      </c>
      <c r="F37" s="25">
        <v>1</v>
      </c>
      <c r="G37" s="25">
        <v>1</v>
      </c>
      <c r="H37" s="25">
        <v>2</v>
      </c>
      <c r="I37" s="25"/>
      <c r="J37" s="25"/>
    </row>
    <row r="38" spans="1:10" x14ac:dyDescent="0.25">
      <c r="B38" s="129" t="s">
        <v>260</v>
      </c>
      <c r="C38" s="25">
        <v>0.65</v>
      </c>
      <c r="D38" s="25">
        <v>0.5</v>
      </c>
      <c r="E38" s="25">
        <v>0.75</v>
      </c>
      <c r="F38" s="25">
        <v>0.5</v>
      </c>
      <c r="G38" s="25">
        <v>0.01</v>
      </c>
      <c r="H38" s="25">
        <v>0.01</v>
      </c>
      <c r="I38" s="25"/>
      <c r="J38" s="25"/>
    </row>
    <row r="39" spans="1:10" x14ac:dyDescent="0.25">
      <c r="B39" s="129" t="s">
        <v>649</v>
      </c>
      <c r="C39" s="25">
        <v>0.35</v>
      </c>
      <c r="D39" s="25">
        <v>0.25</v>
      </c>
      <c r="E39" s="25">
        <v>7.0000000000000007E-2</v>
      </c>
      <c r="F39" s="25">
        <v>0.1</v>
      </c>
      <c r="G39" s="25">
        <v>6.5668580803999996E-2</v>
      </c>
      <c r="H39" s="25">
        <v>0.14299109235999999</v>
      </c>
      <c r="I39" s="25"/>
      <c r="J39" s="25"/>
    </row>
    <row r="40" spans="1:10" x14ac:dyDescent="0.25">
      <c r="A40" s="129" t="s">
        <v>611</v>
      </c>
      <c r="B40" s="129" t="s">
        <v>5</v>
      </c>
      <c r="C40" s="25">
        <v>0.10100000000000001</v>
      </c>
      <c r="D40" s="25">
        <v>0.10100000000000001</v>
      </c>
      <c r="E40" s="25">
        <v>0.10100000000000001</v>
      </c>
      <c r="F40" s="25">
        <v>0.10100000000000001</v>
      </c>
      <c r="G40" s="25">
        <v>0.10100000000000001</v>
      </c>
      <c r="H40" s="25"/>
      <c r="I40" s="25"/>
      <c r="J40" s="25"/>
    </row>
    <row r="41" spans="1:10" x14ac:dyDescent="0.25">
      <c r="B41" s="129" t="s">
        <v>7</v>
      </c>
      <c r="C41" s="25">
        <v>0.105</v>
      </c>
      <c r="D41" s="25">
        <v>9.8000000000000004E-2</v>
      </c>
      <c r="E41" s="25">
        <v>9.6000000000000002E-2</v>
      </c>
      <c r="F41" s="25">
        <v>8.5999999999999993E-2</v>
      </c>
      <c r="G41" s="25">
        <v>6.9000000000000006E-2</v>
      </c>
      <c r="H41" s="25"/>
      <c r="I41" s="25"/>
      <c r="J41" s="25"/>
    </row>
    <row r="42" spans="1:10" x14ac:dyDescent="0.25">
      <c r="B42" s="129" t="s">
        <v>31</v>
      </c>
      <c r="C42" s="25">
        <v>0.9</v>
      </c>
      <c r="D42" s="25">
        <v>0.875</v>
      </c>
      <c r="E42" s="25">
        <v>0.75</v>
      </c>
      <c r="F42" s="25">
        <v>0.67500000000000004</v>
      </c>
      <c r="G42" s="25">
        <v>0.7</v>
      </c>
      <c r="H42" s="25"/>
      <c r="I42" s="25"/>
      <c r="J42" s="25"/>
    </row>
    <row r="43" spans="1:10" x14ac:dyDescent="0.25">
      <c r="B43" s="129" t="s">
        <v>6</v>
      </c>
      <c r="C43" s="25">
        <v>0.06</v>
      </c>
      <c r="D43" s="25">
        <v>0.03</v>
      </c>
      <c r="E43" s="25">
        <v>7.2999999999999995E-2</v>
      </c>
      <c r="F43" s="25">
        <v>4.2000000000000003E-2</v>
      </c>
      <c r="G43" s="25">
        <v>3.5000000000000003E-2</v>
      </c>
      <c r="H43" s="25"/>
      <c r="I43" s="25"/>
      <c r="J43" s="25"/>
    </row>
  </sheetData>
  <mergeCells count="1">
    <mergeCell ref="M23:O23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C7B12AE804049AF890919B65DCAA1" ma:contentTypeVersion="9" ma:contentTypeDescription="Create a new document." ma:contentTypeScope="" ma:versionID="4ea9a14a3a496b8d908ccdc5e188100c">
  <xsd:schema xmlns:xsd="http://www.w3.org/2001/XMLSchema" xmlns:xs="http://www.w3.org/2001/XMLSchema" xmlns:p="http://schemas.microsoft.com/office/2006/metadata/properties" xmlns:ns1="http://schemas.microsoft.com/sharepoint/v3" xmlns:ns2="2f119d7b-84ae-485e-90b2-f8bb54fe4be9" xmlns:ns3="c11a4dd1-9999-41de-ad6b-508521c3559d" targetNamespace="http://schemas.microsoft.com/office/2006/metadata/properties" ma:root="true" ma:fieldsID="59e3ea66ea2ee84ff8cf1250dfcbfdba" ns1:_="" ns2:_="" ns3:_="">
    <xsd:import namespace="http://schemas.microsoft.com/sharepoint/v3"/>
    <xsd:import namespace="2f119d7b-84ae-485e-90b2-f8bb54fe4be9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2:Topic_x0020_area" minOccurs="0"/>
                <xsd:element ref="ns2:Subtopics" minOccurs="0"/>
                <xsd:element ref="ns2:Demographic" minOccurs="0"/>
                <xsd:element ref="ns2:Posted_x0020_to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19d7b-84ae-485e-90b2-f8bb54fe4be9" elementFormDefault="qualified">
    <xsd:import namespace="http://schemas.microsoft.com/office/2006/documentManagement/types"/>
    <xsd:import namespace="http://schemas.microsoft.com/office/infopath/2007/PartnerControls"/>
    <xsd:element name="Topic_x0020_area" ma:index="2" nillable="true" ma:displayName="Topic area" ma:format="Dropdown" ma:internalName="Topic_x0020_area">
      <xsd:simpleType>
        <xsd:restriction base="dms:Choice">
          <xsd:enumeration value="Economic forecast"/>
          <xsd:enumeration value="Revenue forecast"/>
          <xsd:enumeration value="Corrections forecast"/>
          <xsd:enumeration value="Youth forecast"/>
          <xsd:enumeration value="Demographic forecast"/>
          <xsd:enumeration value="Highway Cost Allocation"/>
        </xsd:restriction>
      </xsd:simpleType>
    </xsd:element>
    <xsd:element name="Subtopics" ma:index="3" nillable="true" ma:displayName="Sub-topic" ma:format="Dropdown" ma:internalName="Subtopics">
      <xsd:simpleType>
        <xsd:restriction base="dms:Choice">
          <xsd:enumeration value="Corrections"/>
          <xsd:enumeration value="Youth Authority"/>
        </xsd:restriction>
      </xsd:simpleType>
    </xsd:element>
    <xsd:element name="Demographic" ma:index="4" nillable="true" ma:displayName="Demographic" ma:format="Dropdown" ma:internalName="Demographic">
      <xsd:simpleType>
        <xsd:restriction base="dms:Choice">
          <xsd:enumeration value="Demographic Forecast"/>
          <xsd:enumeration value="Census Data"/>
        </xsd:restriction>
      </xsd:simpleType>
    </xsd:element>
    <xsd:element name="Posted_x0020_to" ma:index="5" nillable="true" ma:displayName="Posted to" ma:format="Dropdown" ma:internalName="Posted_x0020_to">
      <xsd:simpleType>
        <xsd:union memberTypes="dms:Text">
          <xsd:simpleType>
            <xsd:restriction base="dms:Choice">
              <xsd:enumeration value="Current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opic_x0020_area xmlns="2f119d7b-84ae-485e-90b2-f8bb54fe4be9" xsi:nil="true"/>
    <Posted_x0020_to xmlns="2f119d7b-84ae-485e-90b2-f8bb54fe4be9" xsi:nil="true"/>
    <Subtopics xmlns="2f119d7b-84ae-485e-90b2-f8bb54fe4be9" xsi:nil="true"/>
    <Demographic xmlns="2f119d7b-84ae-485e-90b2-f8bb54fe4be9" xsi:nil="true"/>
  </documentManagement>
</p:properties>
</file>

<file path=customXml/itemProps1.xml><?xml version="1.0" encoding="utf-8"?>
<ds:datastoreItem xmlns:ds="http://schemas.openxmlformats.org/officeDocument/2006/customXml" ds:itemID="{BE1E3F1C-231E-4191-9822-C2369501A5A7}"/>
</file>

<file path=customXml/itemProps2.xml><?xml version="1.0" encoding="utf-8"?>
<ds:datastoreItem xmlns:ds="http://schemas.openxmlformats.org/officeDocument/2006/customXml" ds:itemID="{E8326CB7-E1DA-4511-9E2C-3C66D172C921}"/>
</file>

<file path=customXml/itemProps3.xml><?xml version="1.0" encoding="utf-8"?>
<ds:datastoreItem xmlns:ds="http://schemas.openxmlformats.org/officeDocument/2006/customXml" ds:itemID="{9DC8B986-DD4D-4C7A-AA1A-004A2CDEC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116</vt:i4>
      </vt:variant>
    </vt:vector>
  </HeadingPairs>
  <TitlesOfParts>
    <vt:vector size="128" baseType="lpstr">
      <vt:lpstr>Forecast_Main</vt:lpstr>
      <vt:lpstr>Table 1 - Volumes</vt:lpstr>
      <vt:lpstr>Table 3+4 - Credit</vt:lpstr>
      <vt:lpstr>CI Trend</vt:lpstr>
      <vt:lpstr>CI Facility</vt:lpstr>
      <vt:lpstr>Electric Vehicles</vt:lpstr>
      <vt:lpstr>AEO Pacific</vt:lpstr>
      <vt:lpstr>AEO Renewable</vt:lpstr>
      <vt:lpstr>Constants Pivot</vt:lpstr>
      <vt:lpstr>Constants_out</vt:lpstr>
      <vt:lpstr>Growth Rate Tables</vt:lpstr>
      <vt:lpstr>Charts</vt:lpstr>
      <vt:lpstr>BR_bgs_T0</vt:lpstr>
      <vt:lpstr>BR_bgs_T1</vt:lpstr>
      <vt:lpstr>BR_bgs_T2</vt:lpstr>
      <vt:lpstr>BR_bio_T0</vt:lpstr>
      <vt:lpstr>BR_bio_T1</vt:lpstr>
      <vt:lpstr>BR_bio_T2</vt:lpstr>
      <vt:lpstr>BR_eth_T0</vt:lpstr>
      <vt:lpstr>BR_eth_T1</vt:lpstr>
      <vt:lpstr>BR_eth_T2</vt:lpstr>
      <vt:lpstr>BR_ren_T0</vt:lpstr>
      <vt:lpstr>BR_ren_T1</vt:lpstr>
      <vt:lpstr>BR_ren_T2</vt:lpstr>
      <vt:lpstr>CIA_bgs_T0</vt:lpstr>
      <vt:lpstr>CIA_bgs_T1</vt:lpstr>
      <vt:lpstr>CIA_bgs_T2</vt:lpstr>
      <vt:lpstr>CIA_bio_T0</vt:lpstr>
      <vt:lpstr>CIA_Bio_T1</vt:lpstr>
      <vt:lpstr>CIA_bio_T2</vt:lpstr>
      <vt:lpstr>CIA_cbob_T0</vt:lpstr>
      <vt:lpstr>CIA_cbob_T1</vt:lpstr>
      <vt:lpstr>CIA_cbob_T2</vt:lpstr>
      <vt:lpstr>CIA_die_T0</vt:lpstr>
      <vt:lpstr>CIA_die_T1</vt:lpstr>
      <vt:lpstr>CIA_die_T2</vt:lpstr>
      <vt:lpstr>CIA_E10_T0</vt:lpstr>
      <vt:lpstr>CIA_E10_T1</vt:lpstr>
      <vt:lpstr>CIA_E10_T2</vt:lpstr>
      <vt:lpstr>CIA_eon_T0</vt:lpstr>
      <vt:lpstr>CIA_eon_T1</vt:lpstr>
      <vt:lpstr>CIA_eon_T2</vt:lpstr>
      <vt:lpstr>CIA_Eth_T0</vt:lpstr>
      <vt:lpstr>CIA_eth_T1</vt:lpstr>
      <vt:lpstr>CIA_eth_T2</vt:lpstr>
      <vt:lpstr>CIA_fcg_T0</vt:lpstr>
      <vt:lpstr>CIA_fcg_T1</vt:lpstr>
      <vt:lpstr>CIA_fcg_T2</vt:lpstr>
      <vt:lpstr>CIA_gas_T0</vt:lpstr>
      <vt:lpstr>CIA_gas_T1</vt:lpstr>
      <vt:lpstr>CIA_gas_T2</vt:lpstr>
      <vt:lpstr>CIA_lp_T0</vt:lpstr>
      <vt:lpstr>CIA_lp_T1</vt:lpstr>
      <vt:lpstr>CIA_lp_T2</vt:lpstr>
      <vt:lpstr>CIA_ren_T0</vt:lpstr>
      <vt:lpstr>CIA_ren_T1</vt:lpstr>
      <vt:lpstr>CIA_ren_T2</vt:lpstr>
      <vt:lpstr>CIT_die_T0</vt:lpstr>
      <vt:lpstr>CIT_die_T1</vt:lpstr>
      <vt:lpstr>CIT_die_T2</vt:lpstr>
      <vt:lpstr>CIT_gas_T0</vt:lpstr>
      <vt:lpstr>CIT_gas_T1</vt:lpstr>
      <vt:lpstr>CIT_gas_T2</vt:lpstr>
      <vt:lpstr>CIT_jf_T0</vt:lpstr>
      <vt:lpstr>CIT_jf_T1</vt:lpstr>
      <vt:lpstr>CIT_jf_T2</vt:lpstr>
      <vt:lpstr>constants_data_out</vt:lpstr>
      <vt:lpstr>ED_Bio_T0</vt:lpstr>
      <vt:lpstr>ED_bio_T1</vt:lpstr>
      <vt:lpstr>ED_bio_T2</vt:lpstr>
      <vt:lpstr>ED_die_T0</vt:lpstr>
      <vt:lpstr>ED_die_T1</vt:lpstr>
      <vt:lpstr>ED_die_T2</vt:lpstr>
      <vt:lpstr>ED_E10_T0</vt:lpstr>
      <vt:lpstr>ED_E10_T1</vt:lpstr>
      <vt:lpstr>ED_E10_T2</vt:lpstr>
      <vt:lpstr>ED_eon_T0</vt:lpstr>
      <vt:lpstr>ED_eon_T1</vt:lpstr>
      <vt:lpstr>ED_eon_T2</vt:lpstr>
      <vt:lpstr>ED_eth_T0</vt:lpstr>
      <vt:lpstr>ED_eth_T1</vt:lpstr>
      <vt:lpstr>ED_eth_T2</vt:lpstr>
      <vt:lpstr>ED_fcg_T0</vt:lpstr>
      <vt:lpstr>ED_fcg_T1</vt:lpstr>
      <vt:lpstr>ED_fcg_T2</vt:lpstr>
      <vt:lpstr>ED_flg_T0</vt:lpstr>
      <vt:lpstr>ED_flg_T1</vt:lpstr>
      <vt:lpstr>ED_flg_T2</vt:lpstr>
      <vt:lpstr>ED_gas_2018</vt:lpstr>
      <vt:lpstr>ED_gas_T0</vt:lpstr>
      <vt:lpstr>ED_gas_T1</vt:lpstr>
      <vt:lpstr>ED_gas_T2</vt:lpstr>
      <vt:lpstr>ED_hyd_T0</vt:lpstr>
      <vt:lpstr>ED_hyd_T1</vt:lpstr>
      <vt:lpstr>ED_hyd_T2</vt:lpstr>
      <vt:lpstr>ED_jf_T0</vt:lpstr>
      <vt:lpstr>ED_jf_T1</vt:lpstr>
      <vt:lpstr>ED_jf_T2</vt:lpstr>
      <vt:lpstr>ED_lp_T0</vt:lpstr>
      <vt:lpstr>ED_lp_T1</vt:lpstr>
      <vt:lpstr>ED_lp_T2</vt:lpstr>
      <vt:lpstr>ED_ren_T0</vt:lpstr>
      <vt:lpstr>ED_ren_T1</vt:lpstr>
      <vt:lpstr>ED_ren_T2</vt:lpstr>
      <vt:lpstr>EEReon_T0</vt:lpstr>
      <vt:lpstr>EEReon_T1</vt:lpstr>
      <vt:lpstr>EEReon_T2</vt:lpstr>
      <vt:lpstr>EERng_T0</vt:lpstr>
      <vt:lpstr>EERng_T1</vt:lpstr>
      <vt:lpstr>EERng_T2</vt:lpstr>
      <vt:lpstr>GR_die_T0</vt:lpstr>
      <vt:lpstr>GR_die_T1</vt:lpstr>
      <vt:lpstr>GR_die_T2</vt:lpstr>
      <vt:lpstr>GR_eof_T0</vt:lpstr>
      <vt:lpstr>GR_eof_T1</vt:lpstr>
      <vt:lpstr>GR_eof_T2</vt:lpstr>
      <vt:lpstr>GR_gas_T0</vt:lpstr>
      <vt:lpstr>GR_gas_T1</vt:lpstr>
      <vt:lpstr>GR_gas_T2</vt:lpstr>
      <vt:lpstr>GR_lp_T0</vt:lpstr>
      <vt:lpstr>GR_lp_T1</vt:lpstr>
      <vt:lpstr>GR_lp_T2</vt:lpstr>
      <vt:lpstr>GR_ng_T0</vt:lpstr>
      <vt:lpstr>GR_ng_T1</vt:lpstr>
      <vt:lpstr>GR_ng_T2</vt:lpstr>
      <vt:lpstr>KWh_T0</vt:lpstr>
      <vt:lpstr>KWh_T1</vt:lpstr>
      <vt:lpstr>KWh_T2</vt:lpstr>
    </vt:vector>
  </TitlesOfParts>
  <Company>ICFI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Sheehy, Philip</dc:creator>
  <cp:lastModifiedBy>KENNEDY Michael  * DAS</cp:lastModifiedBy>
  <dcterms:created xsi:type="dcterms:W3CDTF">2017-07-18T17:03:04Z</dcterms:created>
  <dcterms:modified xsi:type="dcterms:W3CDTF">2021-08-26T17:03:48Z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0x01010084FC7B12AE804049AF890919B65DCAA1</vt:lpwstr>
  </property>
</Properties>
</file>