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grams\Oregon Forward\Program Documents\Program Templates\Costing Workbooks\Current workbooks\"/>
    </mc:Choice>
  </mc:AlternateContent>
  <xr:revisionPtr revIDLastSave="0" documentId="13_ncr:1_{000EAEDD-7210-4B1D-ACB3-3F121010C7A1}" xr6:coauthVersionLast="47" xr6:coauthVersionMax="47" xr10:uidLastSave="{00000000-0000-0000-0000-000000000000}"/>
  <workbookProtection workbookAlgorithmName="SHA-512" workbookHashValue="BrbG7eoa4xzCMSU2rVcRV5a9tOqq/KtHwF3Gp6Z6iwj8h3cDv1+wqevAGwB5RfIQQiH0q14Pn4CN59mhHW7QVA==" workbookSaltValue="auGpb9Iy4SskGZ9fyvwQrw==" workbookSpinCount="100000" lockStructure="1"/>
  <bookViews>
    <workbookView xWindow="28680" yWindow="-900" windowWidth="29040" windowHeight="17520" tabRatio="887" firstSheet="3" activeTab="6" xr2:uid="{E2D15C15-5082-4B48-99CD-C91409BEF994}"/>
  </bookViews>
  <sheets>
    <sheet name="kt info" sheetId="20" r:id="rId1"/>
    <sheet name="Pay &amp; Benefits" sheetId="26" r:id="rId2"/>
    <sheet name="Overhead &amp; Margin" sheetId="18" r:id="rId3"/>
    <sheet name="Supplies" sheetId="22" r:id="rId4"/>
    <sheet name="Equipment List" sheetId="21" r:id="rId5"/>
    <sheet name="Subcontractors" sheetId="11" r:id="rId6"/>
    <sheet name="Transportation" sheetId="23" r:id="rId7"/>
    <sheet name="Grounds Maintenance" sheetId="2" r:id="rId8"/>
    <sheet name="Periodics" sheetId="5" r:id="rId9"/>
    <sheet name="Additional-Except &amp; Emerg" sheetId="3" r:id="rId10"/>
    <sheet name="Summary-pricing" sheetId="1" r:id="rId11"/>
    <sheet name="Price Approval" sheetId="24" r:id="rId12"/>
  </sheets>
  <definedNames>
    <definedName name="Margin">'Overhead &amp; Margin'!$G$10</definedName>
    <definedName name="_xlnm.Print_Area" localSheetId="7">'Grounds Maintenance'!$A$8:$M$68</definedName>
    <definedName name="_xlnm.Print_Area" localSheetId="0">'kt info'!$B$8:$H$37</definedName>
    <definedName name="_xlnm.Print_Area" localSheetId="8">Periodics!$A$9:$N$56</definedName>
    <definedName name="_xlnm.Print_Area" localSheetId="11">'Price Approval'!$B$1:$H$41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2" l="1"/>
  <c r="L46" i="2"/>
  <c r="B11" i="1" l="1"/>
  <c r="B30" i="1"/>
  <c r="B28" i="1"/>
  <c r="B26" i="1"/>
  <c r="B24" i="1"/>
  <c r="B22" i="1"/>
  <c r="B20" i="1"/>
  <c r="B18" i="1"/>
  <c r="B10" i="5"/>
  <c r="C13" i="5"/>
  <c r="C17" i="5" s="1"/>
  <c r="H15" i="5"/>
  <c r="I15" i="5" s="1"/>
  <c r="M18" i="5"/>
  <c r="D22" i="5"/>
  <c r="E22" i="5"/>
  <c r="F22" i="5" s="1"/>
  <c r="J22" i="5"/>
  <c r="K22" i="5"/>
  <c r="M22" i="5"/>
  <c r="D23" i="5"/>
  <c r="E23" i="5"/>
  <c r="F23" i="5" s="1"/>
  <c r="J23" i="5"/>
  <c r="K23" i="5"/>
  <c r="L23" i="5" s="1"/>
  <c r="N23" i="5" s="1"/>
  <c r="M23" i="5"/>
  <c r="D24" i="5"/>
  <c r="E24" i="5"/>
  <c r="I24" i="5" s="1"/>
  <c r="J24" i="5"/>
  <c r="K24" i="5"/>
  <c r="L24" i="5" s="1"/>
  <c r="N24" i="5" s="1"/>
  <c r="M24" i="5"/>
  <c r="D25" i="5"/>
  <c r="E25" i="5"/>
  <c r="J25" i="5"/>
  <c r="K25" i="5"/>
  <c r="L25" i="5" s="1"/>
  <c r="N25" i="5" s="1"/>
  <c r="M25" i="5"/>
  <c r="D26" i="5"/>
  <c r="E26" i="5"/>
  <c r="F26" i="5" s="1"/>
  <c r="J26" i="5"/>
  <c r="K26" i="5"/>
  <c r="L26" i="5" s="1"/>
  <c r="N26" i="5" s="1"/>
  <c r="M26" i="5"/>
  <c r="D27" i="5"/>
  <c r="E27" i="5"/>
  <c r="H27" i="5" s="1"/>
  <c r="J27" i="5"/>
  <c r="K27" i="5"/>
  <c r="L27" i="5" s="1"/>
  <c r="N27" i="5" s="1"/>
  <c r="M27" i="5"/>
  <c r="D28" i="5"/>
  <c r="E28" i="5"/>
  <c r="F28" i="5" s="1"/>
  <c r="J28" i="5"/>
  <c r="K28" i="5"/>
  <c r="L28" i="5" s="1"/>
  <c r="N28" i="5" s="1"/>
  <c r="M28" i="5"/>
  <c r="D29" i="5"/>
  <c r="E29" i="5"/>
  <c r="F29" i="5" s="1"/>
  <c r="J29" i="5"/>
  <c r="K29" i="5"/>
  <c r="L29" i="5" s="1"/>
  <c r="N29" i="5" s="1"/>
  <c r="M29" i="5"/>
  <c r="D30" i="5"/>
  <c r="E30" i="5"/>
  <c r="F30" i="5" s="1"/>
  <c r="J30" i="5"/>
  <c r="K30" i="5"/>
  <c r="L30" i="5" s="1"/>
  <c r="N30" i="5" s="1"/>
  <c r="M30" i="5"/>
  <c r="D31" i="5"/>
  <c r="E31" i="5"/>
  <c r="I31" i="5" s="1"/>
  <c r="J31" i="5"/>
  <c r="K31" i="5"/>
  <c r="L31" i="5" s="1"/>
  <c r="N31" i="5" s="1"/>
  <c r="M31" i="5"/>
  <c r="D36" i="5"/>
  <c r="E36" i="5" s="1"/>
  <c r="K36" i="5"/>
  <c r="L36" i="5" s="1"/>
  <c r="D37" i="5"/>
  <c r="E37" i="5" s="1"/>
  <c r="K37" i="5"/>
  <c r="L37" i="5" s="1"/>
  <c r="D38" i="5"/>
  <c r="E38" i="5" s="1"/>
  <c r="K38" i="5"/>
  <c r="L38" i="5" s="1"/>
  <c r="D39" i="5"/>
  <c r="E39" i="5" s="1"/>
  <c r="K39" i="5"/>
  <c r="L39" i="5" s="1"/>
  <c r="D40" i="5"/>
  <c r="E40" i="5" s="1"/>
  <c r="K40" i="5"/>
  <c r="L40" i="5" s="1"/>
  <c r="D41" i="5"/>
  <c r="E41" i="5" s="1"/>
  <c r="K41" i="5"/>
  <c r="L41" i="5" s="1"/>
  <c r="D42" i="5"/>
  <c r="E42" i="5" s="1"/>
  <c r="K42" i="5"/>
  <c r="L42" i="5" s="1"/>
  <c r="D43" i="5"/>
  <c r="E43" i="5" s="1"/>
  <c r="K43" i="5"/>
  <c r="L43" i="5" s="1"/>
  <c r="D44" i="5"/>
  <c r="E44" i="5" s="1"/>
  <c r="K44" i="5"/>
  <c r="L44" i="5" s="1"/>
  <c r="D45" i="5"/>
  <c r="E45" i="5" s="1"/>
  <c r="K45" i="5"/>
  <c r="L45" i="5" s="1"/>
  <c r="D46" i="5"/>
  <c r="E46" i="5" s="1"/>
  <c r="D47" i="5"/>
  <c r="E47" i="5" s="1"/>
  <c r="D48" i="5"/>
  <c r="E48" i="5" s="1"/>
  <c r="D49" i="5"/>
  <c r="E49" i="5" s="1"/>
  <c r="D50" i="5"/>
  <c r="E50" i="5" s="1"/>
  <c r="K50" i="5"/>
  <c r="L50" i="5"/>
  <c r="M50" i="5"/>
  <c r="D51" i="5"/>
  <c r="E51" i="5" s="1"/>
  <c r="K51" i="5"/>
  <c r="L51" i="5"/>
  <c r="M51" i="5"/>
  <c r="D52" i="5"/>
  <c r="E52" i="5" s="1"/>
  <c r="D53" i="5"/>
  <c r="E53" i="5" s="1"/>
  <c r="D54" i="5"/>
  <c r="E54" i="5" s="1"/>
  <c r="D55" i="5"/>
  <c r="E55" i="5" s="1"/>
  <c r="I55" i="5"/>
  <c r="I56" i="5"/>
  <c r="C61" i="5"/>
  <c r="C63" i="5"/>
  <c r="C65" i="5"/>
  <c r="B67" i="5"/>
  <c r="C70" i="5"/>
  <c r="C74" i="5" s="1"/>
  <c r="H72" i="5"/>
  <c r="I72" i="5" s="1"/>
  <c r="M76" i="5"/>
  <c r="D80" i="5"/>
  <c r="E80" i="5"/>
  <c r="F80" i="5" s="1"/>
  <c r="J80" i="5"/>
  <c r="K80" i="5"/>
  <c r="L80" i="5" s="1"/>
  <c r="N80" i="5" s="1"/>
  <c r="M80" i="5"/>
  <c r="D81" i="5"/>
  <c r="E81" i="5"/>
  <c r="I81" i="5" s="1"/>
  <c r="J81" i="5"/>
  <c r="K81" i="5"/>
  <c r="L81" i="5" s="1"/>
  <c r="N81" i="5" s="1"/>
  <c r="M81" i="5"/>
  <c r="D82" i="5"/>
  <c r="E82" i="5"/>
  <c r="I82" i="5" s="1"/>
  <c r="J82" i="5"/>
  <c r="K82" i="5"/>
  <c r="L82" i="5" s="1"/>
  <c r="N82" i="5" s="1"/>
  <c r="M82" i="5"/>
  <c r="D83" i="5"/>
  <c r="E83" i="5"/>
  <c r="J83" i="5"/>
  <c r="K83" i="5"/>
  <c r="L83" i="5" s="1"/>
  <c r="N83" i="5" s="1"/>
  <c r="M83" i="5"/>
  <c r="D84" i="5"/>
  <c r="E84" i="5"/>
  <c r="F84" i="5" s="1"/>
  <c r="J84" i="5"/>
  <c r="K84" i="5"/>
  <c r="L84" i="5" s="1"/>
  <c r="N84" i="5" s="1"/>
  <c r="M84" i="5"/>
  <c r="D85" i="5"/>
  <c r="E85" i="5"/>
  <c r="F85" i="5" s="1"/>
  <c r="J85" i="5"/>
  <c r="K85" i="5"/>
  <c r="L85" i="5" s="1"/>
  <c r="N85" i="5" s="1"/>
  <c r="M85" i="5"/>
  <c r="D86" i="5"/>
  <c r="E86" i="5"/>
  <c r="F86" i="5" s="1"/>
  <c r="J86" i="5"/>
  <c r="K86" i="5"/>
  <c r="L86" i="5" s="1"/>
  <c r="N86" i="5" s="1"/>
  <c r="M86" i="5"/>
  <c r="D87" i="5"/>
  <c r="E87" i="5"/>
  <c r="J87" i="5"/>
  <c r="K87" i="5"/>
  <c r="L87" i="5" s="1"/>
  <c r="N87" i="5" s="1"/>
  <c r="M87" i="5"/>
  <c r="D88" i="5"/>
  <c r="E88" i="5"/>
  <c r="F88" i="5" s="1"/>
  <c r="J88" i="5"/>
  <c r="K88" i="5"/>
  <c r="L88" i="5" s="1"/>
  <c r="N88" i="5" s="1"/>
  <c r="M88" i="5"/>
  <c r="D89" i="5"/>
  <c r="E89" i="5"/>
  <c r="F89" i="5" s="1"/>
  <c r="J89" i="5"/>
  <c r="K89" i="5"/>
  <c r="L89" i="5" s="1"/>
  <c r="N89" i="5" s="1"/>
  <c r="M89" i="5"/>
  <c r="D94" i="5"/>
  <c r="E94" i="5" s="1"/>
  <c r="K94" i="5"/>
  <c r="L94" i="5" s="1"/>
  <c r="D95" i="5"/>
  <c r="E95" i="5" s="1"/>
  <c r="K95" i="5"/>
  <c r="L95" i="5" s="1"/>
  <c r="D96" i="5"/>
  <c r="E96" i="5" s="1"/>
  <c r="K96" i="5"/>
  <c r="L96" i="5" s="1"/>
  <c r="D97" i="5"/>
  <c r="E97" i="5" s="1"/>
  <c r="K97" i="5"/>
  <c r="L97" i="5" s="1"/>
  <c r="D98" i="5"/>
  <c r="E98" i="5" s="1"/>
  <c r="K98" i="5"/>
  <c r="L98" i="5" s="1"/>
  <c r="D99" i="5"/>
  <c r="E99" i="5" s="1"/>
  <c r="K99" i="5"/>
  <c r="L99" i="5" s="1"/>
  <c r="D100" i="5"/>
  <c r="E100" i="5" s="1"/>
  <c r="K100" i="5"/>
  <c r="L100" i="5" s="1"/>
  <c r="D101" i="5"/>
  <c r="E101" i="5" s="1"/>
  <c r="K101" i="5"/>
  <c r="L101" i="5" s="1"/>
  <c r="D102" i="5"/>
  <c r="E102" i="5" s="1"/>
  <c r="K102" i="5"/>
  <c r="L102" i="5" s="1"/>
  <c r="D103" i="5"/>
  <c r="E103" i="5" s="1"/>
  <c r="K103" i="5"/>
  <c r="L103" i="5" s="1"/>
  <c r="D104" i="5"/>
  <c r="E104" i="5" s="1"/>
  <c r="D105" i="5"/>
  <c r="E105" i="5" s="1"/>
  <c r="D106" i="5"/>
  <c r="E106" i="5" s="1"/>
  <c r="D107" i="5"/>
  <c r="E107" i="5" s="1"/>
  <c r="D108" i="5"/>
  <c r="E108" i="5" s="1"/>
  <c r="K108" i="5"/>
  <c r="L108" i="5"/>
  <c r="M108" i="5"/>
  <c r="D109" i="5"/>
  <c r="E109" i="5" s="1"/>
  <c r="K109" i="5"/>
  <c r="L109" i="5"/>
  <c r="M109" i="5"/>
  <c r="D110" i="5"/>
  <c r="E110" i="5" s="1"/>
  <c r="D111" i="5"/>
  <c r="E111" i="5" s="1"/>
  <c r="D112" i="5"/>
  <c r="E112" i="5" s="1"/>
  <c r="D113" i="5"/>
  <c r="E113" i="5" s="1"/>
  <c r="I113" i="5"/>
  <c r="I114" i="5"/>
  <c r="C119" i="5"/>
  <c r="C121" i="5"/>
  <c r="C123" i="5"/>
  <c r="B125" i="5"/>
  <c r="C128" i="5"/>
  <c r="C132" i="5" s="1"/>
  <c r="H130" i="5"/>
  <c r="I130" i="5" s="1"/>
  <c r="M134" i="5"/>
  <c r="D138" i="5"/>
  <c r="E138" i="5"/>
  <c r="F138" i="5" s="1"/>
  <c r="J138" i="5"/>
  <c r="K138" i="5"/>
  <c r="L138" i="5" s="1"/>
  <c r="N138" i="5" s="1"/>
  <c r="M138" i="5"/>
  <c r="D139" i="5"/>
  <c r="E139" i="5"/>
  <c r="F139" i="5" s="1"/>
  <c r="J139" i="5"/>
  <c r="K139" i="5"/>
  <c r="L139" i="5" s="1"/>
  <c r="N139" i="5" s="1"/>
  <c r="M139" i="5"/>
  <c r="D140" i="5"/>
  <c r="E140" i="5"/>
  <c r="F140" i="5" s="1"/>
  <c r="J140" i="5"/>
  <c r="K140" i="5"/>
  <c r="L140" i="5" s="1"/>
  <c r="N140" i="5" s="1"/>
  <c r="M140" i="5"/>
  <c r="D141" i="5"/>
  <c r="E141" i="5"/>
  <c r="F141" i="5" s="1"/>
  <c r="J141" i="5"/>
  <c r="K141" i="5"/>
  <c r="L141" i="5" s="1"/>
  <c r="N141" i="5" s="1"/>
  <c r="M141" i="5"/>
  <c r="D142" i="5"/>
  <c r="E142" i="5"/>
  <c r="F142" i="5" s="1"/>
  <c r="J142" i="5"/>
  <c r="K142" i="5"/>
  <c r="L142" i="5" s="1"/>
  <c r="N142" i="5" s="1"/>
  <c r="M142" i="5"/>
  <c r="D143" i="5"/>
  <c r="E143" i="5"/>
  <c r="J143" i="5"/>
  <c r="K143" i="5"/>
  <c r="L143" i="5"/>
  <c r="N143" i="5" s="1"/>
  <c r="M143" i="5"/>
  <c r="D144" i="5"/>
  <c r="E144" i="5"/>
  <c r="I144" i="5" s="1"/>
  <c r="J144" i="5"/>
  <c r="K144" i="5"/>
  <c r="L144" i="5" s="1"/>
  <c r="N144" i="5" s="1"/>
  <c r="M144" i="5"/>
  <c r="D145" i="5"/>
  <c r="E145" i="5"/>
  <c r="I145" i="5" s="1"/>
  <c r="J145" i="5"/>
  <c r="K145" i="5"/>
  <c r="L145" i="5" s="1"/>
  <c r="N145" i="5" s="1"/>
  <c r="M145" i="5"/>
  <c r="D146" i="5"/>
  <c r="E146" i="5"/>
  <c r="H146" i="5" s="1"/>
  <c r="J146" i="5"/>
  <c r="K146" i="5"/>
  <c r="L146" i="5" s="1"/>
  <c r="N146" i="5" s="1"/>
  <c r="M146" i="5"/>
  <c r="D147" i="5"/>
  <c r="E147" i="5"/>
  <c r="F147" i="5" s="1"/>
  <c r="J147" i="5"/>
  <c r="K147" i="5"/>
  <c r="L147" i="5" s="1"/>
  <c r="N147" i="5" s="1"/>
  <c r="M147" i="5"/>
  <c r="D152" i="5"/>
  <c r="E152" i="5" s="1"/>
  <c r="K152" i="5"/>
  <c r="L152" i="5" s="1"/>
  <c r="D153" i="5"/>
  <c r="E153" i="5" s="1"/>
  <c r="K153" i="5"/>
  <c r="L153" i="5" s="1"/>
  <c r="D154" i="5"/>
  <c r="E154" i="5" s="1"/>
  <c r="K154" i="5"/>
  <c r="L154" i="5" s="1"/>
  <c r="D155" i="5"/>
  <c r="E155" i="5" s="1"/>
  <c r="K155" i="5"/>
  <c r="L155" i="5" s="1"/>
  <c r="D156" i="5"/>
  <c r="E156" i="5" s="1"/>
  <c r="K156" i="5"/>
  <c r="L156" i="5" s="1"/>
  <c r="D157" i="5"/>
  <c r="E157" i="5" s="1"/>
  <c r="K157" i="5"/>
  <c r="L157" i="5" s="1"/>
  <c r="D158" i="5"/>
  <c r="E158" i="5" s="1"/>
  <c r="K158" i="5"/>
  <c r="L158" i="5" s="1"/>
  <c r="D159" i="5"/>
  <c r="E159" i="5" s="1"/>
  <c r="K159" i="5"/>
  <c r="L159" i="5" s="1"/>
  <c r="D160" i="5"/>
  <c r="E160" i="5" s="1"/>
  <c r="K160" i="5"/>
  <c r="L160" i="5" s="1"/>
  <c r="D161" i="5"/>
  <c r="E161" i="5" s="1"/>
  <c r="K161" i="5"/>
  <c r="L161" i="5" s="1"/>
  <c r="D162" i="5"/>
  <c r="E162" i="5" s="1"/>
  <c r="D163" i="5"/>
  <c r="E163" i="5" s="1"/>
  <c r="D164" i="5"/>
  <c r="E164" i="5" s="1"/>
  <c r="D165" i="5"/>
  <c r="E165" i="5" s="1"/>
  <c r="D166" i="5"/>
  <c r="E166" i="5" s="1"/>
  <c r="K166" i="5"/>
  <c r="L166" i="5"/>
  <c r="M166" i="5"/>
  <c r="D167" i="5"/>
  <c r="E167" i="5" s="1"/>
  <c r="K167" i="5"/>
  <c r="L167" i="5"/>
  <c r="M167" i="5"/>
  <c r="D168" i="5"/>
  <c r="E168" i="5" s="1"/>
  <c r="D169" i="5"/>
  <c r="E169" i="5" s="1"/>
  <c r="D170" i="5"/>
  <c r="E170" i="5" s="1"/>
  <c r="D171" i="5"/>
  <c r="E171" i="5" s="1"/>
  <c r="I171" i="5"/>
  <c r="I172" i="5"/>
  <c r="C177" i="5"/>
  <c r="C179" i="5"/>
  <c r="C181" i="5"/>
  <c r="B183" i="5"/>
  <c r="C186" i="5"/>
  <c r="C190" i="5" s="1"/>
  <c r="H188" i="5"/>
  <c r="I188" i="5" s="1"/>
  <c r="M192" i="5"/>
  <c r="D196" i="5"/>
  <c r="E196" i="5"/>
  <c r="I196" i="5" s="1"/>
  <c r="J196" i="5"/>
  <c r="K196" i="5"/>
  <c r="L196" i="5" s="1"/>
  <c r="N196" i="5" s="1"/>
  <c r="M196" i="5"/>
  <c r="D197" i="5"/>
  <c r="E197" i="5"/>
  <c r="H197" i="5" s="1"/>
  <c r="J197" i="5"/>
  <c r="K197" i="5"/>
  <c r="L197" i="5" s="1"/>
  <c r="N197" i="5" s="1"/>
  <c r="M197" i="5"/>
  <c r="D198" i="5"/>
  <c r="E198" i="5"/>
  <c r="F198" i="5" s="1"/>
  <c r="J198" i="5"/>
  <c r="K198" i="5"/>
  <c r="L198" i="5" s="1"/>
  <c r="N198" i="5" s="1"/>
  <c r="M198" i="5"/>
  <c r="D199" i="5"/>
  <c r="E199" i="5"/>
  <c r="I199" i="5" s="1"/>
  <c r="J199" i="5"/>
  <c r="K199" i="5"/>
  <c r="L199" i="5" s="1"/>
  <c r="N199" i="5" s="1"/>
  <c r="M199" i="5"/>
  <c r="D200" i="5"/>
  <c r="E200" i="5"/>
  <c r="I200" i="5" s="1"/>
  <c r="J200" i="5"/>
  <c r="K200" i="5"/>
  <c r="L200" i="5" s="1"/>
  <c r="N200" i="5" s="1"/>
  <c r="M200" i="5"/>
  <c r="D201" i="5"/>
  <c r="E201" i="5"/>
  <c r="H201" i="5" s="1"/>
  <c r="J201" i="5"/>
  <c r="K201" i="5"/>
  <c r="L201" i="5" s="1"/>
  <c r="N201" i="5" s="1"/>
  <c r="M201" i="5"/>
  <c r="D202" i="5"/>
  <c r="E202" i="5"/>
  <c r="I202" i="5" s="1"/>
  <c r="J202" i="5"/>
  <c r="K202" i="5"/>
  <c r="L202" i="5" s="1"/>
  <c r="N202" i="5" s="1"/>
  <c r="M202" i="5"/>
  <c r="D203" i="5"/>
  <c r="E203" i="5"/>
  <c r="J203" i="5"/>
  <c r="K203" i="5"/>
  <c r="L203" i="5" s="1"/>
  <c r="N203" i="5" s="1"/>
  <c r="M203" i="5"/>
  <c r="D204" i="5"/>
  <c r="E204" i="5"/>
  <c r="I204" i="5" s="1"/>
  <c r="J204" i="5"/>
  <c r="K204" i="5"/>
  <c r="L204" i="5" s="1"/>
  <c r="N204" i="5" s="1"/>
  <c r="M204" i="5"/>
  <c r="D205" i="5"/>
  <c r="E205" i="5"/>
  <c r="F205" i="5" s="1"/>
  <c r="J205" i="5"/>
  <c r="K205" i="5"/>
  <c r="L205" i="5" s="1"/>
  <c r="N205" i="5" s="1"/>
  <c r="M205" i="5"/>
  <c r="D210" i="5"/>
  <c r="E210" i="5" s="1"/>
  <c r="K210" i="5"/>
  <c r="L210" i="5" s="1"/>
  <c r="D211" i="5"/>
  <c r="E211" i="5" s="1"/>
  <c r="K211" i="5"/>
  <c r="L211" i="5" s="1"/>
  <c r="D212" i="5"/>
  <c r="E212" i="5" s="1"/>
  <c r="K212" i="5"/>
  <c r="L212" i="5" s="1"/>
  <c r="D213" i="5"/>
  <c r="E213" i="5" s="1"/>
  <c r="K213" i="5"/>
  <c r="L213" i="5" s="1"/>
  <c r="D214" i="5"/>
  <c r="E214" i="5" s="1"/>
  <c r="K214" i="5"/>
  <c r="L214" i="5" s="1"/>
  <c r="D215" i="5"/>
  <c r="E215" i="5" s="1"/>
  <c r="K215" i="5"/>
  <c r="L215" i="5" s="1"/>
  <c r="D216" i="5"/>
  <c r="E216" i="5" s="1"/>
  <c r="K216" i="5"/>
  <c r="L216" i="5" s="1"/>
  <c r="D217" i="5"/>
  <c r="E217" i="5" s="1"/>
  <c r="K217" i="5"/>
  <c r="L217" i="5" s="1"/>
  <c r="D218" i="5"/>
  <c r="E218" i="5" s="1"/>
  <c r="K218" i="5"/>
  <c r="L218" i="5" s="1"/>
  <c r="D219" i="5"/>
  <c r="E219" i="5" s="1"/>
  <c r="K219" i="5"/>
  <c r="L219" i="5" s="1"/>
  <c r="D220" i="5"/>
  <c r="E220" i="5" s="1"/>
  <c r="D221" i="5"/>
  <c r="E221" i="5" s="1"/>
  <c r="D222" i="5"/>
  <c r="E222" i="5" s="1"/>
  <c r="D223" i="5"/>
  <c r="E223" i="5" s="1"/>
  <c r="D224" i="5"/>
  <c r="E224" i="5" s="1"/>
  <c r="K224" i="5"/>
  <c r="L224" i="5"/>
  <c r="M224" i="5"/>
  <c r="D225" i="5"/>
  <c r="E225" i="5" s="1"/>
  <c r="K225" i="5"/>
  <c r="L225" i="5"/>
  <c r="M225" i="5"/>
  <c r="D226" i="5"/>
  <c r="E226" i="5" s="1"/>
  <c r="D227" i="5"/>
  <c r="E227" i="5" s="1"/>
  <c r="D228" i="5"/>
  <c r="E228" i="5" s="1"/>
  <c r="D229" i="5"/>
  <c r="E229" i="5" s="1"/>
  <c r="I229" i="5"/>
  <c r="I230" i="5"/>
  <c r="C235" i="5"/>
  <c r="C237" i="5"/>
  <c r="C239" i="5"/>
  <c r="B241" i="5"/>
  <c r="H246" i="5"/>
  <c r="I246" i="5" s="1"/>
  <c r="M250" i="5"/>
  <c r="D254" i="5"/>
  <c r="E254" i="5"/>
  <c r="F254" i="5" s="1"/>
  <c r="J254" i="5"/>
  <c r="K254" i="5"/>
  <c r="M254" i="5"/>
  <c r="D255" i="5"/>
  <c r="E255" i="5"/>
  <c r="F255" i="5" s="1"/>
  <c r="H255" i="5"/>
  <c r="J255" i="5"/>
  <c r="K255" i="5"/>
  <c r="L255" i="5" s="1"/>
  <c r="N255" i="5" s="1"/>
  <c r="M255" i="5"/>
  <c r="D256" i="5"/>
  <c r="E256" i="5"/>
  <c r="F256" i="5" s="1"/>
  <c r="J256" i="5"/>
  <c r="K256" i="5"/>
  <c r="L256" i="5" s="1"/>
  <c r="N256" i="5" s="1"/>
  <c r="M256" i="5"/>
  <c r="D257" i="5"/>
  <c r="E257" i="5"/>
  <c r="F257" i="5" s="1"/>
  <c r="J257" i="5"/>
  <c r="K257" i="5"/>
  <c r="L257" i="5" s="1"/>
  <c r="N257" i="5" s="1"/>
  <c r="M257" i="5"/>
  <c r="D258" i="5"/>
  <c r="E258" i="5"/>
  <c r="H258" i="5" s="1"/>
  <c r="J258" i="5"/>
  <c r="K258" i="5"/>
  <c r="L258" i="5" s="1"/>
  <c r="N258" i="5" s="1"/>
  <c r="M258" i="5"/>
  <c r="D259" i="5"/>
  <c r="E259" i="5"/>
  <c r="H259" i="5" s="1"/>
  <c r="J259" i="5"/>
  <c r="K259" i="5"/>
  <c r="L259" i="5" s="1"/>
  <c r="N259" i="5" s="1"/>
  <c r="M259" i="5"/>
  <c r="D260" i="5"/>
  <c r="E260" i="5"/>
  <c r="F260" i="5" s="1"/>
  <c r="J260" i="5"/>
  <c r="K260" i="5"/>
  <c r="L260" i="5" s="1"/>
  <c r="N260" i="5" s="1"/>
  <c r="M260" i="5"/>
  <c r="D261" i="5"/>
  <c r="E261" i="5"/>
  <c r="H261" i="5" s="1"/>
  <c r="J261" i="5"/>
  <c r="K261" i="5"/>
  <c r="L261" i="5" s="1"/>
  <c r="N261" i="5" s="1"/>
  <c r="M261" i="5"/>
  <c r="D262" i="5"/>
  <c r="E262" i="5"/>
  <c r="F262" i="5" s="1"/>
  <c r="J262" i="5"/>
  <c r="K262" i="5"/>
  <c r="L262" i="5" s="1"/>
  <c r="N262" i="5" s="1"/>
  <c r="M262" i="5"/>
  <c r="D263" i="5"/>
  <c r="E263" i="5"/>
  <c r="I263" i="5" s="1"/>
  <c r="J263" i="5"/>
  <c r="K263" i="5"/>
  <c r="L263" i="5" s="1"/>
  <c r="N263" i="5" s="1"/>
  <c r="M263" i="5"/>
  <c r="D268" i="5"/>
  <c r="E268" i="5" s="1"/>
  <c r="K268" i="5"/>
  <c r="L268" i="5" s="1"/>
  <c r="D269" i="5"/>
  <c r="E269" i="5" s="1"/>
  <c r="K269" i="5"/>
  <c r="L269" i="5" s="1"/>
  <c r="D270" i="5"/>
  <c r="E270" i="5" s="1"/>
  <c r="K270" i="5"/>
  <c r="L270" i="5" s="1"/>
  <c r="D271" i="5"/>
  <c r="E271" i="5" s="1"/>
  <c r="K271" i="5"/>
  <c r="L271" i="5" s="1"/>
  <c r="D272" i="5"/>
  <c r="E272" i="5" s="1"/>
  <c r="K272" i="5"/>
  <c r="L272" i="5" s="1"/>
  <c r="D273" i="5"/>
  <c r="E273" i="5" s="1"/>
  <c r="K273" i="5"/>
  <c r="L273" i="5" s="1"/>
  <c r="D274" i="5"/>
  <c r="E274" i="5" s="1"/>
  <c r="K274" i="5"/>
  <c r="L274" i="5" s="1"/>
  <c r="D275" i="5"/>
  <c r="E275" i="5" s="1"/>
  <c r="K275" i="5"/>
  <c r="L275" i="5" s="1"/>
  <c r="D276" i="5"/>
  <c r="E276" i="5" s="1"/>
  <c r="K276" i="5"/>
  <c r="L276" i="5" s="1"/>
  <c r="D277" i="5"/>
  <c r="E277" i="5" s="1"/>
  <c r="K277" i="5"/>
  <c r="L277" i="5" s="1"/>
  <c r="D278" i="5"/>
  <c r="E278" i="5" s="1"/>
  <c r="D279" i="5"/>
  <c r="E279" i="5" s="1"/>
  <c r="D280" i="5"/>
  <c r="E280" i="5" s="1"/>
  <c r="D281" i="5"/>
  <c r="E281" i="5" s="1"/>
  <c r="D282" i="5"/>
  <c r="E282" i="5" s="1"/>
  <c r="K282" i="5"/>
  <c r="L282" i="5"/>
  <c r="M282" i="5"/>
  <c r="D283" i="5"/>
  <c r="E283" i="5" s="1"/>
  <c r="K283" i="5"/>
  <c r="L283" i="5"/>
  <c r="M283" i="5"/>
  <c r="D284" i="5"/>
  <c r="E284" i="5" s="1"/>
  <c r="D285" i="5"/>
  <c r="E285" i="5" s="1"/>
  <c r="D286" i="5"/>
  <c r="E286" i="5" s="1"/>
  <c r="D287" i="5"/>
  <c r="E287" i="5" s="1"/>
  <c r="I287" i="5"/>
  <c r="I288" i="5"/>
  <c r="C293" i="5"/>
  <c r="C295" i="5"/>
  <c r="C297" i="5"/>
  <c r="B299" i="5"/>
  <c r="C302" i="5"/>
  <c r="C306" i="5" s="1"/>
  <c r="H304" i="5"/>
  <c r="I304" i="5" s="1"/>
  <c r="M308" i="5"/>
  <c r="D312" i="5"/>
  <c r="E312" i="5"/>
  <c r="I312" i="5" s="1"/>
  <c r="J312" i="5"/>
  <c r="K312" i="5"/>
  <c r="L312" i="5" s="1"/>
  <c r="N312" i="5" s="1"/>
  <c r="M312" i="5"/>
  <c r="D313" i="5"/>
  <c r="E313" i="5"/>
  <c r="J313" i="5"/>
  <c r="K313" i="5"/>
  <c r="L313" i="5" s="1"/>
  <c r="N313" i="5" s="1"/>
  <c r="M313" i="5"/>
  <c r="D314" i="5"/>
  <c r="E314" i="5"/>
  <c r="J314" i="5"/>
  <c r="K314" i="5"/>
  <c r="L314" i="5" s="1"/>
  <c r="N314" i="5" s="1"/>
  <c r="M314" i="5"/>
  <c r="D315" i="5"/>
  <c r="E315" i="5"/>
  <c r="H315" i="5" s="1"/>
  <c r="J315" i="5"/>
  <c r="K315" i="5"/>
  <c r="L315" i="5" s="1"/>
  <c r="N315" i="5" s="1"/>
  <c r="M315" i="5"/>
  <c r="D316" i="5"/>
  <c r="E316" i="5"/>
  <c r="H316" i="5" s="1"/>
  <c r="J316" i="5"/>
  <c r="K316" i="5"/>
  <c r="L316" i="5" s="1"/>
  <c r="N316" i="5" s="1"/>
  <c r="M316" i="5"/>
  <c r="D317" i="5"/>
  <c r="E317" i="5"/>
  <c r="I317" i="5" s="1"/>
  <c r="J317" i="5"/>
  <c r="K317" i="5"/>
  <c r="L317" i="5" s="1"/>
  <c r="N317" i="5" s="1"/>
  <c r="M317" i="5"/>
  <c r="D318" i="5"/>
  <c r="E318" i="5"/>
  <c r="F318" i="5" s="1"/>
  <c r="J318" i="5"/>
  <c r="K318" i="5"/>
  <c r="L318" i="5" s="1"/>
  <c r="N318" i="5" s="1"/>
  <c r="M318" i="5"/>
  <c r="D319" i="5"/>
  <c r="E319" i="5"/>
  <c r="J319" i="5"/>
  <c r="K319" i="5"/>
  <c r="L319" i="5" s="1"/>
  <c r="N319" i="5" s="1"/>
  <c r="M319" i="5"/>
  <c r="D320" i="5"/>
  <c r="E320" i="5"/>
  <c r="H320" i="5" s="1"/>
  <c r="J320" i="5"/>
  <c r="K320" i="5"/>
  <c r="L320" i="5" s="1"/>
  <c r="N320" i="5" s="1"/>
  <c r="M320" i="5"/>
  <c r="D321" i="5"/>
  <c r="E321" i="5"/>
  <c r="I321" i="5" s="1"/>
  <c r="J321" i="5"/>
  <c r="K321" i="5"/>
  <c r="L321" i="5" s="1"/>
  <c r="N321" i="5" s="1"/>
  <c r="M321" i="5"/>
  <c r="D326" i="5"/>
  <c r="E326" i="5" s="1"/>
  <c r="K326" i="5"/>
  <c r="L326" i="5" s="1"/>
  <c r="D327" i="5"/>
  <c r="E327" i="5" s="1"/>
  <c r="K327" i="5"/>
  <c r="L327" i="5" s="1"/>
  <c r="D328" i="5"/>
  <c r="E328" i="5" s="1"/>
  <c r="K328" i="5"/>
  <c r="L328" i="5" s="1"/>
  <c r="D329" i="5"/>
  <c r="E329" i="5" s="1"/>
  <c r="K329" i="5"/>
  <c r="L329" i="5" s="1"/>
  <c r="D330" i="5"/>
  <c r="E330" i="5" s="1"/>
  <c r="K330" i="5"/>
  <c r="L330" i="5" s="1"/>
  <c r="D331" i="5"/>
  <c r="E331" i="5" s="1"/>
  <c r="K331" i="5"/>
  <c r="L331" i="5" s="1"/>
  <c r="D332" i="5"/>
  <c r="E332" i="5" s="1"/>
  <c r="K332" i="5"/>
  <c r="L332" i="5" s="1"/>
  <c r="D333" i="5"/>
  <c r="E333" i="5" s="1"/>
  <c r="K333" i="5"/>
  <c r="L333" i="5" s="1"/>
  <c r="D334" i="5"/>
  <c r="E334" i="5" s="1"/>
  <c r="K334" i="5"/>
  <c r="L334" i="5" s="1"/>
  <c r="D335" i="5"/>
  <c r="E335" i="5" s="1"/>
  <c r="K335" i="5"/>
  <c r="L335" i="5" s="1"/>
  <c r="D336" i="5"/>
  <c r="E336" i="5" s="1"/>
  <c r="D337" i="5"/>
  <c r="E337" i="5" s="1"/>
  <c r="D338" i="5"/>
  <c r="E338" i="5" s="1"/>
  <c r="D339" i="5"/>
  <c r="E339" i="5" s="1"/>
  <c r="D340" i="5"/>
  <c r="E340" i="5" s="1"/>
  <c r="K340" i="5"/>
  <c r="L340" i="5"/>
  <c r="M340" i="5"/>
  <c r="D341" i="5"/>
  <c r="E341" i="5" s="1"/>
  <c r="K341" i="5"/>
  <c r="L341" i="5"/>
  <c r="M341" i="5"/>
  <c r="D342" i="5"/>
  <c r="E342" i="5" s="1"/>
  <c r="D343" i="5"/>
  <c r="E343" i="5" s="1"/>
  <c r="D344" i="5"/>
  <c r="E344" i="5" s="1"/>
  <c r="D345" i="5"/>
  <c r="E345" i="5" s="1"/>
  <c r="I345" i="5"/>
  <c r="I346" i="5"/>
  <c r="C351" i="5"/>
  <c r="C353" i="5"/>
  <c r="C355" i="5"/>
  <c r="B357" i="5"/>
  <c r="H362" i="5"/>
  <c r="I362" i="5" s="1"/>
  <c r="M366" i="5"/>
  <c r="D370" i="5"/>
  <c r="E370" i="5"/>
  <c r="I370" i="5" s="1"/>
  <c r="J370" i="5"/>
  <c r="K370" i="5"/>
  <c r="L370" i="5" s="1"/>
  <c r="N370" i="5" s="1"/>
  <c r="M370" i="5"/>
  <c r="D371" i="5"/>
  <c r="E371" i="5"/>
  <c r="J371" i="5"/>
  <c r="K371" i="5"/>
  <c r="L371" i="5" s="1"/>
  <c r="N371" i="5" s="1"/>
  <c r="M371" i="5"/>
  <c r="D372" i="5"/>
  <c r="E372" i="5"/>
  <c r="F372" i="5" s="1"/>
  <c r="J372" i="5"/>
  <c r="K372" i="5"/>
  <c r="L372" i="5" s="1"/>
  <c r="N372" i="5" s="1"/>
  <c r="M372" i="5"/>
  <c r="D373" i="5"/>
  <c r="E373" i="5"/>
  <c r="F373" i="5" s="1"/>
  <c r="J373" i="5"/>
  <c r="K373" i="5"/>
  <c r="L373" i="5" s="1"/>
  <c r="N373" i="5" s="1"/>
  <c r="M373" i="5"/>
  <c r="D374" i="5"/>
  <c r="E374" i="5"/>
  <c r="I374" i="5" s="1"/>
  <c r="J374" i="5"/>
  <c r="K374" i="5"/>
  <c r="L374" i="5" s="1"/>
  <c r="N374" i="5" s="1"/>
  <c r="M374" i="5"/>
  <c r="D375" i="5"/>
  <c r="E375" i="5"/>
  <c r="I375" i="5" s="1"/>
  <c r="J375" i="5"/>
  <c r="K375" i="5"/>
  <c r="L375" i="5" s="1"/>
  <c r="N375" i="5" s="1"/>
  <c r="M375" i="5"/>
  <c r="D376" i="5"/>
  <c r="E376" i="5"/>
  <c r="F376" i="5" s="1"/>
  <c r="J376" i="5"/>
  <c r="K376" i="5"/>
  <c r="L376" i="5" s="1"/>
  <c r="N376" i="5" s="1"/>
  <c r="M376" i="5"/>
  <c r="D377" i="5"/>
  <c r="E377" i="5"/>
  <c r="H377" i="5" s="1"/>
  <c r="J377" i="5"/>
  <c r="K377" i="5"/>
  <c r="L377" i="5" s="1"/>
  <c r="N377" i="5" s="1"/>
  <c r="M377" i="5"/>
  <c r="D378" i="5"/>
  <c r="E378" i="5"/>
  <c r="I378" i="5" s="1"/>
  <c r="J378" i="5"/>
  <c r="K378" i="5"/>
  <c r="L378" i="5" s="1"/>
  <c r="N378" i="5" s="1"/>
  <c r="M378" i="5"/>
  <c r="D379" i="5"/>
  <c r="E379" i="5"/>
  <c r="H379" i="5" s="1"/>
  <c r="J379" i="5"/>
  <c r="K379" i="5"/>
  <c r="L379" i="5" s="1"/>
  <c r="N379" i="5" s="1"/>
  <c r="M379" i="5"/>
  <c r="D384" i="5"/>
  <c r="E384" i="5" s="1"/>
  <c r="K384" i="5"/>
  <c r="L384" i="5" s="1"/>
  <c r="D385" i="5"/>
  <c r="E385" i="5" s="1"/>
  <c r="K385" i="5"/>
  <c r="L385" i="5" s="1"/>
  <c r="D386" i="5"/>
  <c r="E386" i="5" s="1"/>
  <c r="K386" i="5"/>
  <c r="L386" i="5" s="1"/>
  <c r="D387" i="5"/>
  <c r="E387" i="5" s="1"/>
  <c r="K387" i="5"/>
  <c r="L387" i="5" s="1"/>
  <c r="D388" i="5"/>
  <c r="E388" i="5" s="1"/>
  <c r="K388" i="5"/>
  <c r="L388" i="5" s="1"/>
  <c r="D389" i="5"/>
  <c r="E389" i="5" s="1"/>
  <c r="K389" i="5"/>
  <c r="L389" i="5" s="1"/>
  <c r="D390" i="5"/>
  <c r="E390" i="5" s="1"/>
  <c r="K390" i="5"/>
  <c r="L390" i="5" s="1"/>
  <c r="D391" i="5"/>
  <c r="E391" i="5" s="1"/>
  <c r="K391" i="5"/>
  <c r="L391" i="5" s="1"/>
  <c r="D392" i="5"/>
  <c r="E392" i="5" s="1"/>
  <c r="K392" i="5"/>
  <c r="L392" i="5" s="1"/>
  <c r="D393" i="5"/>
  <c r="E393" i="5" s="1"/>
  <c r="K393" i="5"/>
  <c r="L393" i="5" s="1"/>
  <c r="D394" i="5"/>
  <c r="E394" i="5" s="1"/>
  <c r="D395" i="5"/>
  <c r="E395" i="5" s="1"/>
  <c r="D396" i="5"/>
  <c r="E396" i="5" s="1"/>
  <c r="D397" i="5"/>
  <c r="E397" i="5" s="1"/>
  <c r="D398" i="5"/>
  <c r="E398" i="5" s="1"/>
  <c r="K398" i="5"/>
  <c r="L398" i="5"/>
  <c r="M398" i="5"/>
  <c r="D399" i="5"/>
  <c r="E399" i="5" s="1"/>
  <c r="K399" i="5"/>
  <c r="L399" i="5"/>
  <c r="M399" i="5"/>
  <c r="D400" i="5"/>
  <c r="E400" i="5" s="1"/>
  <c r="D401" i="5"/>
  <c r="E401" i="5" s="1"/>
  <c r="D402" i="5"/>
  <c r="E402" i="5" s="1"/>
  <c r="D403" i="5"/>
  <c r="E403" i="5" s="1"/>
  <c r="I403" i="5"/>
  <c r="I404" i="5"/>
  <c r="F81" i="5" l="1"/>
  <c r="H373" i="5"/>
  <c r="H374" i="5"/>
  <c r="F374" i="5"/>
  <c r="I258" i="5"/>
  <c r="I255" i="5"/>
  <c r="H363" i="5"/>
  <c r="I363" i="5" s="1"/>
  <c r="I318" i="5"/>
  <c r="I315" i="5"/>
  <c r="I80" i="5"/>
  <c r="H24" i="5"/>
  <c r="I84" i="5"/>
  <c r="H81" i="5"/>
  <c r="H80" i="5"/>
  <c r="F24" i="5"/>
  <c r="F258" i="5"/>
  <c r="F197" i="5"/>
  <c r="H131" i="5"/>
  <c r="I131" i="5" s="1"/>
  <c r="I146" i="5"/>
  <c r="I23" i="5"/>
  <c r="F146" i="5"/>
  <c r="I85" i="5"/>
  <c r="H23" i="5"/>
  <c r="I372" i="5"/>
  <c r="I316" i="5"/>
  <c r="I256" i="5"/>
  <c r="I205" i="5"/>
  <c r="I138" i="5"/>
  <c r="H372" i="5"/>
  <c r="F316" i="5"/>
  <c r="H205" i="5"/>
  <c r="H138" i="5"/>
  <c r="H305" i="5"/>
  <c r="I305" i="5" s="1"/>
  <c r="F320" i="5"/>
  <c r="H256" i="5"/>
  <c r="H85" i="5"/>
  <c r="H84" i="5"/>
  <c r="H31" i="5"/>
  <c r="F27" i="5"/>
  <c r="F321" i="5"/>
  <c r="F31" i="5"/>
  <c r="H317" i="5"/>
  <c r="F315" i="5"/>
  <c r="I259" i="5"/>
  <c r="F82" i="5"/>
  <c r="H375" i="5"/>
  <c r="I260" i="5"/>
  <c r="I140" i="5"/>
  <c r="I141" i="5"/>
  <c r="F375" i="5"/>
  <c r="F312" i="5"/>
  <c r="I261" i="5"/>
  <c r="H260" i="5"/>
  <c r="I254" i="5"/>
  <c r="H145" i="5"/>
  <c r="H141" i="5"/>
  <c r="H140" i="5"/>
  <c r="I88" i="5"/>
  <c r="F261" i="5"/>
  <c r="H254" i="5"/>
  <c r="F145" i="5"/>
  <c r="H88" i="5"/>
  <c r="H378" i="5"/>
  <c r="H202" i="5"/>
  <c r="H144" i="5"/>
  <c r="F379" i="5"/>
  <c r="F378" i="5"/>
  <c r="F377" i="5"/>
  <c r="H312" i="5"/>
  <c r="F202" i="5"/>
  <c r="F201" i="5"/>
  <c r="F144" i="5"/>
  <c r="H82" i="5"/>
  <c r="H301" i="5"/>
  <c r="H318" i="5"/>
  <c r="F317" i="5"/>
  <c r="I262" i="5"/>
  <c r="F259" i="5"/>
  <c r="I28" i="5"/>
  <c r="H263" i="5"/>
  <c r="I197" i="5"/>
  <c r="H370" i="5"/>
  <c r="H262" i="5"/>
  <c r="H199" i="5"/>
  <c r="I198" i="5"/>
  <c r="I29" i="5"/>
  <c r="H28" i="5"/>
  <c r="I27" i="5"/>
  <c r="I373" i="5"/>
  <c r="F370" i="5"/>
  <c r="H321" i="5"/>
  <c r="I320" i="5"/>
  <c r="F263" i="5"/>
  <c r="H189" i="5"/>
  <c r="I189" i="5" s="1"/>
  <c r="F199" i="5"/>
  <c r="H198" i="5"/>
  <c r="H16" i="5"/>
  <c r="I16" i="5" s="1"/>
  <c r="H29" i="5"/>
  <c r="I379" i="5"/>
  <c r="I201" i="5"/>
  <c r="I377" i="5"/>
  <c r="G348" i="5"/>
  <c r="G290" i="5"/>
  <c r="G232" i="5"/>
  <c r="H68" i="5"/>
  <c r="I68" i="5" s="1"/>
  <c r="H303" i="5"/>
  <c r="I303" i="5" s="1"/>
  <c r="G349" i="5"/>
  <c r="H184" i="5"/>
  <c r="I184" i="5" s="1"/>
  <c r="H129" i="5"/>
  <c r="I129" i="5" s="1"/>
  <c r="H358" i="5"/>
  <c r="I358" i="5" s="1"/>
  <c r="G233" i="5"/>
  <c r="G175" i="5"/>
  <c r="G58" i="5"/>
  <c r="I301" i="5"/>
  <c r="H302" i="5"/>
  <c r="I302" i="5" s="1"/>
  <c r="I313" i="5"/>
  <c r="H313" i="5"/>
  <c r="H371" i="5"/>
  <c r="F371" i="5"/>
  <c r="I371" i="5"/>
  <c r="H13" i="5"/>
  <c r="I13" i="5" s="1"/>
  <c r="H300" i="5"/>
  <c r="I300" i="5" s="1"/>
  <c r="F87" i="5"/>
  <c r="H87" i="5"/>
  <c r="I87" i="5"/>
  <c r="F314" i="5"/>
  <c r="H314" i="5"/>
  <c r="I314" i="5"/>
  <c r="I203" i="5"/>
  <c r="F203" i="5"/>
  <c r="H203" i="5"/>
  <c r="H245" i="5"/>
  <c r="I245" i="5" s="1"/>
  <c r="H142" i="5"/>
  <c r="I142" i="5"/>
  <c r="G117" i="5"/>
  <c r="G174" i="5"/>
  <c r="H71" i="5"/>
  <c r="I71" i="5" s="1"/>
  <c r="H89" i="5"/>
  <c r="I89" i="5"/>
  <c r="H12" i="5"/>
  <c r="H319" i="5"/>
  <c r="I319" i="5"/>
  <c r="H361" i="5"/>
  <c r="I361" i="5" s="1"/>
  <c r="H186" i="5"/>
  <c r="I186" i="5" s="1"/>
  <c r="H69" i="5"/>
  <c r="H360" i="5"/>
  <c r="I360" i="5" s="1"/>
  <c r="H376" i="5"/>
  <c r="I376" i="5"/>
  <c r="H243" i="5"/>
  <c r="L254" i="5"/>
  <c r="N254" i="5" s="1"/>
  <c r="F25" i="5"/>
  <c r="H25" i="5"/>
  <c r="I25" i="5"/>
  <c r="I86" i="5"/>
  <c r="H86" i="5"/>
  <c r="F319" i="5"/>
  <c r="F313" i="5"/>
  <c r="H244" i="5"/>
  <c r="I244" i="5" s="1"/>
  <c r="H257" i="5"/>
  <c r="I257" i="5"/>
  <c r="H143" i="5"/>
  <c r="I143" i="5"/>
  <c r="F143" i="5"/>
  <c r="H70" i="5"/>
  <c r="I70" i="5" s="1"/>
  <c r="H22" i="5"/>
  <c r="I22" i="5"/>
  <c r="H139" i="5"/>
  <c r="I139" i="5"/>
  <c r="F83" i="5"/>
  <c r="H83" i="5"/>
  <c r="I83" i="5"/>
  <c r="F200" i="5"/>
  <c r="H200" i="5"/>
  <c r="H14" i="5"/>
  <c r="I14" i="5" s="1"/>
  <c r="H127" i="5"/>
  <c r="H11" i="5"/>
  <c r="I11" i="5" s="1"/>
  <c r="H359" i="5"/>
  <c r="H126" i="5"/>
  <c r="I126" i="5" s="1"/>
  <c r="H30" i="5"/>
  <c r="I30" i="5"/>
  <c r="L22" i="5"/>
  <c r="N22" i="5" s="1"/>
  <c r="H187" i="5"/>
  <c r="I187" i="5" s="1"/>
  <c r="H242" i="5"/>
  <c r="I242" i="5" s="1"/>
  <c r="H147" i="5"/>
  <c r="I147" i="5"/>
  <c r="G116" i="5"/>
  <c r="H185" i="5"/>
  <c r="G291" i="5"/>
  <c r="H247" i="5"/>
  <c r="I247" i="5" s="1"/>
  <c r="F204" i="5"/>
  <c r="H204" i="5"/>
  <c r="F196" i="5"/>
  <c r="H196" i="5"/>
  <c r="H128" i="5"/>
  <c r="I128" i="5" s="1"/>
  <c r="H73" i="5"/>
  <c r="I73" i="5" s="1"/>
  <c r="G59" i="5"/>
  <c r="H26" i="5"/>
  <c r="I26" i="5"/>
  <c r="H190" i="5" l="1"/>
  <c r="I190" i="5" s="1"/>
  <c r="I185" i="5"/>
  <c r="H364" i="5"/>
  <c r="I364" i="5" s="1"/>
  <c r="I359" i="5"/>
  <c r="H74" i="5"/>
  <c r="I74" i="5" s="1"/>
  <c r="I69" i="5"/>
  <c r="H132" i="5"/>
  <c r="I132" i="5" s="1"/>
  <c r="I127" i="5"/>
  <c r="H248" i="5"/>
  <c r="I248" i="5" s="1"/>
  <c r="I243" i="5"/>
  <c r="H306" i="5"/>
  <c r="H17" i="5"/>
  <c r="I17" i="5" s="1"/>
  <c r="I12" i="5"/>
  <c r="J24" i="2"/>
  <c r="H75" i="5" l="1"/>
  <c r="I75" i="5" s="1"/>
  <c r="H18" i="5"/>
  <c r="I18" i="5" s="1"/>
  <c r="H249" i="5"/>
  <c r="I249" i="5" s="1"/>
  <c r="I306" i="5"/>
  <c r="H365" i="5"/>
  <c r="I365" i="5" s="1"/>
  <c r="H307" i="5"/>
  <c r="I307" i="5" s="1"/>
  <c r="H191" i="5"/>
  <c r="H133" i="5"/>
  <c r="I133" i="5" s="1"/>
  <c r="G2" i="1"/>
  <c r="I8" i="3"/>
  <c r="D2" i="2"/>
  <c r="D2" i="23"/>
  <c r="C2" i="11"/>
  <c r="C2" i="21"/>
  <c r="C2" i="22"/>
  <c r="D2" i="18"/>
  <c r="F2" i="26"/>
  <c r="B11" i="24"/>
  <c r="L83" i="2"/>
  <c r="L82" i="2"/>
  <c r="L81" i="2"/>
  <c r="K83" i="2"/>
  <c r="K82" i="2"/>
  <c r="K81" i="2"/>
  <c r="C72" i="5" l="1"/>
  <c r="C246" i="5"/>
  <c r="C15" i="5"/>
  <c r="C362" i="5"/>
  <c r="I191" i="5"/>
  <c r="C188" i="5"/>
  <c r="C304" i="5"/>
  <c r="C130" i="5"/>
  <c r="A22" i="24"/>
  <c r="A21" i="24"/>
  <c r="A13" i="24"/>
  <c r="A14" i="24"/>
  <c r="A15" i="24"/>
  <c r="A16" i="24"/>
  <c r="A17" i="24"/>
  <c r="A18" i="24"/>
  <c r="A19" i="24"/>
  <c r="A20" i="24"/>
  <c r="D58" i="18" l="1"/>
  <c r="D62" i="18"/>
  <c r="D60" i="18"/>
  <c r="E41" i="2"/>
  <c r="H41" i="2" s="1"/>
  <c r="E36" i="2"/>
  <c r="F36" i="2" s="1"/>
  <c r="E35" i="2"/>
  <c r="F35" i="2" s="1"/>
  <c r="E34" i="2"/>
  <c r="F34" i="2" s="1"/>
  <c r="E33" i="2"/>
  <c r="H33" i="2" s="1"/>
  <c r="J41" i="2"/>
  <c r="J36" i="2"/>
  <c r="J35" i="2"/>
  <c r="J34" i="2"/>
  <c r="J33" i="2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C71" i="26"/>
  <c r="B71" i="26"/>
  <c r="A71" i="26"/>
  <c r="C70" i="26"/>
  <c r="B70" i="26"/>
  <c r="A70" i="26"/>
  <c r="C69" i="26"/>
  <c r="B69" i="26"/>
  <c r="A69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E31" i="2" s="1"/>
  <c r="H31" i="2" s="1"/>
  <c r="A64" i="26"/>
  <c r="K53" i="26"/>
  <c r="J53" i="26"/>
  <c r="I53" i="26"/>
  <c r="H53" i="26"/>
  <c r="G53" i="26"/>
  <c r="F53" i="26"/>
  <c r="E53" i="26"/>
  <c r="D53" i="26"/>
  <c r="C53" i="26"/>
  <c r="B53" i="26"/>
  <c r="K52" i="26"/>
  <c r="J52" i="26"/>
  <c r="I52" i="26"/>
  <c r="H52" i="26"/>
  <c r="G52" i="26"/>
  <c r="F52" i="26"/>
  <c r="E52" i="26"/>
  <c r="D52" i="26"/>
  <c r="C52" i="26"/>
  <c r="B52" i="26"/>
  <c r="K37" i="26"/>
  <c r="J37" i="26"/>
  <c r="I37" i="26"/>
  <c r="H37" i="26"/>
  <c r="G37" i="26"/>
  <c r="F37" i="26"/>
  <c r="E37" i="26"/>
  <c r="D37" i="26"/>
  <c r="C37" i="26"/>
  <c r="B37" i="26"/>
  <c r="K36" i="26"/>
  <c r="J36" i="26"/>
  <c r="I36" i="26"/>
  <c r="H36" i="26"/>
  <c r="G36" i="26"/>
  <c r="F36" i="26"/>
  <c r="E36" i="26"/>
  <c r="D36" i="26"/>
  <c r="C36" i="26"/>
  <c r="B36" i="26"/>
  <c r="K21" i="26"/>
  <c r="J21" i="26"/>
  <c r="I21" i="26"/>
  <c r="H21" i="26"/>
  <c r="G21" i="26"/>
  <c r="F21" i="26"/>
  <c r="E21" i="26"/>
  <c r="D21" i="26"/>
  <c r="C21" i="26"/>
  <c r="B21" i="26"/>
  <c r="K20" i="26"/>
  <c r="J20" i="26"/>
  <c r="I20" i="26"/>
  <c r="H20" i="26"/>
  <c r="G20" i="26"/>
  <c r="F20" i="26"/>
  <c r="E20" i="26"/>
  <c r="D20" i="26"/>
  <c r="C20" i="26"/>
  <c r="B20" i="26"/>
  <c r="C8" i="26"/>
  <c r="C6" i="26"/>
  <c r="C4" i="26"/>
  <c r="E32" i="2" l="1"/>
  <c r="F32" i="2" s="1"/>
  <c r="E23" i="2"/>
  <c r="F23" i="2" s="1"/>
  <c r="E25" i="2"/>
  <c r="F25" i="2" s="1"/>
  <c r="E26" i="2"/>
  <c r="F26" i="2" s="1"/>
  <c r="E24" i="2"/>
  <c r="F24" i="2" s="1"/>
  <c r="E37" i="2"/>
  <c r="H37" i="2" s="1"/>
  <c r="E38" i="2"/>
  <c r="F38" i="2" s="1"/>
  <c r="E39" i="2"/>
  <c r="H39" i="2" s="1"/>
  <c r="E40" i="2"/>
  <c r="H40" i="2" s="1"/>
  <c r="E22" i="2"/>
  <c r="H22" i="2" s="1"/>
  <c r="E27" i="2"/>
  <c r="F27" i="2" s="1"/>
  <c r="E28" i="2"/>
  <c r="F28" i="2" s="1"/>
  <c r="E29" i="2"/>
  <c r="F29" i="2" s="1"/>
  <c r="E30" i="2"/>
  <c r="H30" i="2" s="1"/>
  <c r="D30" i="3"/>
  <c r="I30" i="3" s="1"/>
  <c r="D18" i="3"/>
  <c r="H18" i="3" s="1"/>
  <c r="D75" i="26"/>
  <c r="D76" i="26"/>
  <c r="D74" i="26"/>
  <c r="D68" i="26"/>
  <c r="D69" i="26"/>
  <c r="D72" i="26"/>
  <c r="D67" i="26"/>
  <c r="J38" i="2" s="1"/>
  <c r="D73" i="26"/>
  <c r="D71" i="26"/>
  <c r="D66" i="26"/>
  <c r="J31" i="2" s="1"/>
  <c r="D78" i="26"/>
  <c r="D64" i="26"/>
  <c r="F41" i="2"/>
  <c r="H34" i="2"/>
  <c r="H35" i="2"/>
  <c r="H36" i="2"/>
  <c r="F31" i="2"/>
  <c r="H32" i="2"/>
  <c r="F33" i="2"/>
  <c r="D65" i="26"/>
  <c r="D70" i="26"/>
  <c r="D77" i="26"/>
  <c r="H23" i="2" l="1"/>
  <c r="F22" i="2"/>
  <c r="H25" i="2"/>
  <c r="F40" i="2"/>
  <c r="F39" i="2"/>
  <c r="H24" i="2"/>
  <c r="H26" i="2"/>
  <c r="J32" i="2"/>
  <c r="J26" i="2"/>
  <c r="F37" i="2"/>
  <c r="J25" i="2"/>
  <c r="H38" i="2"/>
  <c r="J23" i="2"/>
  <c r="J40" i="2"/>
  <c r="H28" i="2"/>
  <c r="J39" i="2"/>
  <c r="J37" i="2"/>
  <c r="G18" i="3"/>
  <c r="E30" i="3"/>
  <c r="H30" i="3"/>
  <c r="G30" i="3"/>
  <c r="F30" i="3"/>
  <c r="F30" i="2"/>
  <c r="H29" i="2"/>
  <c r="H27" i="2"/>
  <c r="E18" i="3"/>
  <c r="J22" i="2"/>
  <c r="J30" i="2"/>
  <c r="J27" i="2"/>
  <c r="J29" i="2"/>
  <c r="J28" i="2"/>
  <c r="J30" i="3" l="1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H10" i="2" l="1"/>
  <c r="F12" i="18"/>
  <c r="B12" i="18"/>
  <c r="M75" i="2" l="1"/>
  <c r="M74" i="2"/>
  <c r="M73" i="2"/>
  <c r="K16" i="23" l="1"/>
  <c r="K15" i="23"/>
  <c r="K14" i="23"/>
  <c r="K13" i="23"/>
  <c r="K12" i="23"/>
  <c r="L16" i="23"/>
  <c r="L15" i="23"/>
  <c r="L14" i="23"/>
  <c r="L13" i="23"/>
  <c r="L12" i="23"/>
  <c r="G13" i="24" l="1"/>
  <c r="L65" i="2"/>
  <c r="L64" i="2"/>
  <c r="L63" i="2"/>
  <c r="L62" i="2"/>
  <c r="L61" i="2"/>
  <c r="L60" i="2"/>
  <c r="L59" i="2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I36" i="2"/>
  <c r="K35" i="2"/>
  <c r="L35" i="2" s="1"/>
  <c r="N35" i="2" s="1"/>
  <c r="K33" i="2"/>
  <c r="L33" i="2" s="1"/>
  <c r="N33" i="2" s="1"/>
  <c r="I34" i="2" l="1"/>
  <c r="K34" i="2"/>
  <c r="L34" i="2" s="1"/>
  <c r="N34" i="2" s="1"/>
  <c r="I39" i="2"/>
  <c r="K39" i="2" s="1"/>
  <c r="L39" i="2" s="1"/>
  <c r="N39" i="2" s="1"/>
  <c r="I33" i="2"/>
  <c r="I37" i="2"/>
  <c r="K37" i="2" s="1"/>
  <c r="L37" i="2" s="1"/>
  <c r="N37" i="2" s="1"/>
  <c r="I32" i="2"/>
  <c r="K32" i="2" s="1"/>
  <c r="L32" i="2" s="1"/>
  <c r="N32" i="2" s="1"/>
  <c r="I41" i="2"/>
  <c r="K36" i="2"/>
  <c r="L36" i="2" s="1"/>
  <c r="N36" i="2" s="1"/>
  <c r="K41" i="2"/>
  <c r="L41" i="2" s="1"/>
  <c r="N41" i="2" s="1"/>
  <c r="I35" i="2"/>
  <c r="I40" i="2"/>
  <c r="K40" i="2" s="1"/>
  <c r="L40" i="2" s="1"/>
  <c r="N40" i="2" s="1"/>
  <c r="G2" i="5"/>
  <c r="C9" i="24"/>
  <c r="C7" i="24"/>
  <c r="C6" i="24"/>
  <c r="H13" i="24"/>
  <c r="C8" i="5"/>
  <c r="C6" i="5"/>
  <c r="C4" i="5"/>
  <c r="C12" i="2" l="1"/>
  <c r="M83" i="2"/>
  <c r="M82" i="2"/>
  <c r="M81" i="2"/>
  <c r="L80" i="2"/>
  <c r="M80" i="2" s="1"/>
  <c r="K80" i="2"/>
  <c r="H15" i="2" l="1"/>
  <c r="G406" i="5"/>
  <c r="L75" i="2"/>
  <c r="L74" i="2"/>
  <c r="L73" i="2"/>
  <c r="D85" i="2"/>
  <c r="E85" i="2" s="1"/>
  <c r="D84" i="2"/>
  <c r="E84" i="2" s="1"/>
  <c r="D83" i="2"/>
  <c r="E83" i="2" s="1"/>
  <c r="D82" i="2"/>
  <c r="E82" i="2" s="1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72" i="2"/>
  <c r="E72" i="2" s="1"/>
  <c r="D71" i="2"/>
  <c r="E71" i="2" s="1"/>
  <c r="D70" i="2"/>
  <c r="E70" i="2" s="1"/>
  <c r="D69" i="2"/>
  <c r="E69" i="2" s="1"/>
  <c r="D68" i="2"/>
  <c r="E68" i="2" s="1"/>
  <c r="D67" i="2"/>
  <c r="E67" i="2" s="1"/>
  <c r="D66" i="2"/>
  <c r="E66" i="2" s="1"/>
  <c r="D65" i="2"/>
  <c r="E65" i="2" s="1"/>
  <c r="D64" i="2"/>
  <c r="E64" i="2" s="1"/>
  <c r="D63" i="2"/>
  <c r="E63" i="2" s="1"/>
  <c r="D62" i="2"/>
  <c r="E62" i="2" s="1"/>
  <c r="D61" i="2"/>
  <c r="E61" i="2" s="1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E53" i="2" s="1"/>
  <c r="D52" i="2"/>
  <c r="E52" i="2" s="1"/>
  <c r="D51" i="2"/>
  <c r="E51" i="2" s="1"/>
  <c r="D50" i="2"/>
  <c r="E50" i="2" s="1"/>
  <c r="D49" i="2"/>
  <c r="E49" i="2" s="1"/>
  <c r="D48" i="2"/>
  <c r="E48" i="2" s="1"/>
  <c r="D47" i="2"/>
  <c r="E47" i="2" s="1"/>
  <c r="D46" i="2"/>
  <c r="E46" i="2" s="1"/>
  <c r="H12" i="2" l="1"/>
  <c r="F4" i="23"/>
  <c r="C15" i="2"/>
  <c r="C7" i="2"/>
  <c r="C5" i="2"/>
  <c r="C3" i="2"/>
  <c r="K10" i="23" l="1"/>
  <c r="L10" i="23" s="1"/>
  <c r="K11" i="23"/>
  <c r="L11" i="23" s="1"/>
  <c r="K8" i="23"/>
  <c r="L8" i="23" s="1"/>
  <c r="K9" i="23"/>
  <c r="L9" i="23" s="1"/>
  <c r="F27" i="21"/>
  <c r="F31" i="21"/>
  <c r="F32" i="21"/>
  <c r="F30" i="21"/>
  <c r="F29" i="21"/>
  <c r="F28" i="21"/>
  <c r="K6" i="23"/>
  <c r="L6" i="23" s="1"/>
  <c r="K7" i="23"/>
  <c r="L7" i="23" s="1"/>
  <c r="F26" i="21"/>
  <c r="F22" i="21"/>
  <c r="F24" i="21"/>
  <c r="F23" i="21"/>
  <c r="F16" i="21"/>
  <c r="F12" i="21"/>
  <c r="F21" i="21"/>
  <c r="F15" i="21"/>
  <c r="F20" i="21"/>
  <c r="F25" i="21"/>
  <c r="L58" i="2" s="1"/>
  <c r="F19" i="21"/>
  <c r="F14" i="21"/>
  <c r="F13" i="21"/>
  <c r="F18" i="21"/>
  <c r="F17" i="21"/>
  <c r="L57" i="2" l="1"/>
  <c r="L72" i="2"/>
  <c r="M72" i="2" s="1"/>
  <c r="L55" i="2"/>
  <c r="L56" i="2"/>
  <c r="L54" i="2"/>
  <c r="L51" i="2"/>
  <c r="L52" i="2"/>
  <c r="L53" i="2"/>
  <c r="G11" i="1"/>
  <c r="L48" i="2"/>
  <c r="L50" i="2"/>
  <c r="L49" i="2"/>
  <c r="L71" i="2"/>
  <c r="M71" i="2" s="1"/>
  <c r="L70" i="2"/>
  <c r="M70" i="2" s="1"/>
  <c r="H13" i="2" l="1"/>
  <c r="H14" i="2"/>
  <c r="C7" i="3"/>
  <c r="C5" i="3"/>
  <c r="C3" i="3"/>
  <c r="C7" i="18"/>
  <c r="C5" i="18"/>
  <c r="C3" i="18"/>
  <c r="C7" i="22" l="1"/>
  <c r="C5" i="22"/>
  <c r="C3" i="22"/>
  <c r="C7" i="21"/>
  <c r="C5" i="21"/>
  <c r="C3" i="21"/>
  <c r="C30" i="1" l="1"/>
  <c r="B20" i="24" s="1"/>
  <c r="C20" i="24" s="1"/>
  <c r="C7" i="11"/>
  <c r="C5" i="11"/>
  <c r="C3" i="11"/>
  <c r="C7" i="1"/>
  <c r="C5" i="1"/>
  <c r="C3" i="1"/>
  <c r="E20" i="24" l="1"/>
  <c r="C28" i="1"/>
  <c r="B19" i="24" s="1"/>
  <c r="C19" i="24" s="1"/>
  <c r="E28" i="1"/>
  <c r="D20" i="24" l="1"/>
  <c r="F20" i="24" s="1"/>
  <c r="G20" i="24"/>
  <c r="H20" i="24" s="1"/>
  <c r="D19" i="24" l="1"/>
  <c r="F19" i="24" s="1"/>
  <c r="G19" i="24"/>
  <c r="H19" i="24" s="1"/>
  <c r="E19" i="24" l="1"/>
  <c r="I26" i="2"/>
  <c r="I29" i="2"/>
  <c r="I27" i="2"/>
  <c r="I31" i="2"/>
  <c r="K31" i="2" s="1"/>
  <c r="L31" i="2" s="1"/>
  <c r="N31" i="2" s="1"/>
  <c r="I30" i="2"/>
  <c r="I28" i="2"/>
  <c r="I22" i="2"/>
  <c r="I38" i="2"/>
  <c r="I23" i="2"/>
  <c r="I24" i="2"/>
  <c r="I25" i="2"/>
  <c r="F18" i="3"/>
  <c r="I18" i="3"/>
  <c r="D49" i="18"/>
  <c r="C49" i="18"/>
  <c r="K22" i="2" l="1"/>
  <c r="L22" i="2" s="1"/>
  <c r="D23" i="3"/>
  <c r="K26" i="2"/>
  <c r="L26" i="2" s="1"/>
  <c r="N26" i="2" s="1"/>
  <c r="K23" i="2"/>
  <c r="L23" i="2" s="1"/>
  <c r="N23" i="2" s="1"/>
  <c r="K29" i="2"/>
  <c r="L29" i="2" s="1"/>
  <c r="N29" i="2" s="1"/>
  <c r="K27" i="2"/>
  <c r="L27" i="2" s="1"/>
  <c r="N27" i="2" s="1"/>
  <c r="K30" i="2"/>
  <c r="L30" i="2" s="1"/>
  <c r="N30" i="2" s="1"/>
  <c r="K28" i="2"/>
  <c r="L28" i="2" s="1"/>
  <c r="N28" i="2" s="1"/>
  <c r="K25" i="2"/>
  <c r="L25" i="2" s="1"/>
  <c r="N25" i="2" s="1"/>
  <c r="K38" i="2"/>
  <c r="L38" i="2" s="1"/>
  <c r="N38" i="2" s="1"/>
  <c r="K24" i="2"/>
  <c r="L24" i="2" s="1"/>
  <c r="J18" i="3"/>
  <c r="D11" i="3" s="1"/>
  <c r="N24" i="2" l="1"/>
  <c r="H11" i="2"/>
  <c r="H16" i="2" s="1"/>
  <c r="H17" i="2" s="1"/>
  <c r="D24" i="3"/>
  <c r="D25" i="3" s="1"/>
  <c r="D26" i="3" s="1"/>
  <c r="N22" i="2"/>
  <c r="D12" i="3"/>
  <c r="D13" i="3" s="1"/>
  <c r="D14" i="3" l="1"/>
  <c r="F11" i="3" s="1"/>
  <c r="C26" i="1" l="1"/>
  <c r="G22" i="1"/>
  <c r="G11" i="3"/>
  <c r="C33" i="1"/>
  <c r="B21" i="24" s="1"/>
  <c r="B18" i="24" l="1"/>
  <c r="C18" i="24" s="1"/>
  <c r="E18" i="24" s="1"/>
  <c r="G18" i="1"/>
  <c r="G20" i="1"/>
  <c r="G24" i="1"/>
  <c r="E20" i="1"/>
  <c r="C22" i="1"/>
  <c r="B16" i="24" s="1"/>
  <c r="C16" i="24" s="1"/>
  <c r="C24" i="1"/>
  <c r="B17" i="24" s="1"/>
  <c r="C17" i="24" s="1"/>
  <c r="E24" i="1"/>
  <c r="E22" i="1"/>
  <c r="C20" i="1"/>
  <c r="B15" i="24" s="1"/>
  <c r="C15" i="24" s="1"/>
  <c r="C16" i="2"/>
  <c r="C21" i="24"/>
  <c r="D21" i="24"/>
  <c r="C18" i="1"/>
  <c r="B14" i="24" s="1"/>
  <c r="D18" i="24" l="1"/>
  <c r="F18" i="24" s="1"/>
  <c r="G18" i="24"/>
  <c r="H18" i="24" s="1"/>
  <c r="G16" i="24"/>
  <c r="H16" i="24" s="1"/>
  <c r="E18" i="1"/>
  <c r="D15" i="24"/>
  <c r="E11" i="1"/>
  <c r="E14" i="24" l="1"/>
  <c r="C14" i="24"/>
  <c r="D14" i="24" s="1"/>
  <c r="D16" i="24"/>
  <c r="E16" i="24"/>
  <c r="D17" i="24"/>
  <c r="G15" i="24"/>
  <c r="H15" i="24" s="1"/>
  <c r="G14" i="24" l="1"/>
  <c r="H14" i="24" s="1"/>
  <c r="F14" i="24"/>
  <c r="F16" i="24"/>
  <c r="E15" i="24"/>
  <c r="F15" i="24" s="1"/>
  <c r="G17" i="24"/>
  <c r="H17" i="24" l="1"/>
  <c r="E17" i="24"/>
  <c r="F17" i="24" s="1"/>
  <c r="C14" i="2"/>
  <c r="C13" i="1" s="1"/>
  <c r="B13" i="24" s="1"/>
  <c r="I13" i="2"/>
  <c r="I16" i="2"/>
  <c r="I17" i="2"/>
  <c r="I11" i="2"/>
  <c r="I12" i="2"/>
  <c r="I15" i="2"/>
  <c r="I14" i="2"/>
  <c r="H18" i="2"/>
  <c r="E13" i="1" l="1"/>
  <c r="C11" i="1"/>
  <c r="C13" i="24" l="1"/>
  <c r="F13" i="24" s="1"/>
  <c r="E13" i="24"/>
  <c r="D13" i="24" l="1"/>
  <c r="F23" i="3"/>
  <c r="C35" i="1" s="1"/>
  <c r="B22" i="24" s="1"/>
  <c r="D22" i="24" l="1"/>
  <c r="C22" i="24"/>
  <c r="G2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56AA81-32D0-4A63-8C22-B19CB11E7E48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<sst xmlns="http://schemas.openxmlformats.org/spreadsheetml/2006/main" count="1137" uniqueCount="279">
  <si>
    <t>Labor</t>
  </si>
  <si>
    <t>Monthly</t>
  </si>
  <si>
    <t>Emergency Services</t>
  </si>
  <si>
    <t>Service Element for Which a Price is Required</t>
  </si>
  <si>
    <t>Unit</t>
  </si>
  <si>
    <t>Price</t>
  </si>
  <si>
    <t>Per Month</t>
  </si>
  <si>
    <t>Cost</t>
  </si>
  <si>
    <t>Description</t>
  </si>
  <si>
    <t xml:space="preserve">Units </t>
  </si>
  <si>
    <t>Equipment</t>
  </si>
  <si>
    <t># of</t>
  </si>
  <si>
    <t>Units</t>
  </si>
  <si>
    <t>Worker</t>
  </si>
  <si>
    <t>Work</t>
  </si>
  <si>
    <t>Hourly</t>
  </si>
  <si>
    <t>FICA</t>
  </si>
  <si>
    <t>Workers</t>
  </si>
  <si>
    <t>Unemploy-</t>
  </si>
  <si>
    <t>Other Benefits</t>
  </si>
  <si>
    <t>Times</t>
  </si>
  <si>
    <t>Annual/Total</t>
  </si>
  <si>
    <t>Annual Hours</t>
  </si>
  <si>
    <t>Hours</t>
  </si>
  <si>
    <t>Rate</t>
  </si>
  <si>
    <t>comp%</t>
  </si>
  <si>
    <t>ment  %</t>
  </si>
  <si>
    <t>Benefits %</t>
  </si>
  <si>
    <t>Per Yr.</t>
  </si>
  <si>
    <t>Emp type 1</t>
  </si>
  <si>
    <t>Emp type 2</t>
  </si>
  <si>
    <t>Emp type 3</t>
  </si>
  <si>
    <t>Labor cost</t>
  </si>
  <si>
    <t>as a  %</t>
  </si>
  <si>
    <t>Worksheet</t>
  </si>
  <si>
    <t>WORK AREA:</t>
  </si>
  <si>
    <t>Total Annual Operations Expense</t>
  </si>
  <si>
    <t xml:space="preserve">     INDIRECT COSTS</t>
  </si>
  <si>
    <t>ORGANIZATION</t>
  </si>
  <si>
    <t>DEPARTMENTAL</t>
  </si>
  <si>
    <t>Management Salaries</t>
  </si>
  <si>
    <t>Management Payroll Tax Expense</t>
  </si>
  <si>
    <t>Management Medical Insurance</t>
  </si>
  <si>
    <t>Management Pension Plan Expense</t>
  </si>
  <si>
    <t>Sales &amp; Administrative Salaries</t>
  </si>
  <si>
    <t>Sales &amp; Administrative Payroll Tax Expense</t>
  </si>
  <si>
    <t>Sales &amp; Administrative Medical Insurance</t>
  </si>
  <si>
    <t>Sales &amp; Administrative Pension Plan Expense</t>
  </si>
  <si>
    <t>Office Rent</t>
  </si>
  <si>
    <t>Advertising and Public Education</t>
  </si>
  <si>
    <t>Background Checks &amp; Urinalysis</t>
  </si>
  <si>
    <t>Professional &amp; Accounting / Audit Fees</t>
  </si>
  <si>
    <t>Training &amp; Worker Safety</t>
  </si>
  <si>
    <t xml:space="preserve"> Insurance</t>
  </si>
  <si>
    <t>Telephone</t>
  </si>
  <si>
    <t>Utilities</t>
  </si>
  <si>
    <t>Property Taxes/Licenses/Fees</t>
  </si>
  <si>
    <t>Dues &amp; Subscriptions</t>
  </si>
  <si>
    <t>Depreciation-office building</t>
  </si>
  <si>
    <t>Depreciation-office equipment</t>
  </si>
  <si>
    <t>Repairs &amp; Maintenance-office</t>
  </si>
  <si>
    <t>Cleaning and Maintenance</t>
  </si>
  <si>
    <t>Office Equipment Rental</t>
  </si>
  <si>
    <t>Office Supplies</t>
  </si>
  <si>
    <t>Postage &amp; Freight</t>
  </si>
  <si>
    <t>Rehab</t>
  </si>
  <si>
    <t>Miscellaneous Expense</t>
  </si>
  <si>
    <t>Bad Debts</t>
  </si>
  <si>
    <t>Other: *</t>
  </si>
  <si>
    <t>TOTAL INDIRECT COSTS</t>
  </si>
  <si>
    <t>% of wage</t>
  </si>
  <si>
    <t>Per Service</t>
  </si>
  <si>
    <t xml:space="preserve">Hours </t>
  </si>
  <si>
    <t>Supplies</t>
  </si>
  <si>
    <t>Equipment Cost</t>
  </si>
  <si>
    <t>Amortization</t>
  </si>
  <si>
    <t>Cost per</t>
  </si>
  <si>
    <t>Service</t>
  </si>
  <si>
    <t xml:space="preserve">Project % </t>
  </si>
  <si>
    <t>of Yearly Use</t>
  </si>
  <si>
    <t>Overhead</t>
  </si>
  <si>
    <t>Margin</t>
  </si>
  <si>
    <t>Transportation</t>
  </si>
  <si>
    <t>Margin*</t>
  </si>
  <si>
    <t>*Held In reserve for inventory and equipment replacement.</t>
  </si>
  <si>
    <t>Miles Per</t>
  </si>
  <si>
    <t>Rate Per</t>
  </si>
  <si>
    <t>Mile</t>
  </si>
  <si>
    <t>of Asset/months</t>
  </si>
  <si>
    <t>Area to be Serviced in square feet</t>
  </si>
  <si>
    <t>Price per square foot</t>
  </si>
  <si>
    <t>Price per service</t>
  </si>
  <si>
    <t xml:space="preserve"> </t>
  </si>
  <si>
    <t>SUBCONTRACTORS</t>
  </si>
  <si>
    <t>Cost per Time</t>
  </si>
  <si>
    <t>Subcontractor</t>
  </si>
  <si>
    <t>Service to be purchased</t>
  </si>
  <si>
    <t>Direct Labor Matrix</t>
  </si>
  <si>
    <t>Per Use/Per Item  - Supplies Matrix</t>
  </si>
  <si>
    <t>Durable EquipmentMatrix</t>
  </si>
  <si>
    <t>Emp type 4</t>
  </si>
  <si>
    <t>Emp type 5</t>
  </si>
  <si>
    <t>Oregon Forward Contractor</t>
  </si>
  <si>
    <t>Project/Contract #</t>
  </si>
  <si>
    <t>Emp type 6</t>
  </si>
  <si>
    <t>Emp type 7</t>
  </si>
  <si>
    <t>Emp type 8</t>
  </si>
  <si>
    <t>Emp type 9</t>
  </si>
  <si>
    <t>Emp type 10</t>
  </si>
  <si>
    <t>Column1</t>
  </si>
  <si>
    <t>sq. ft.</t>
  </si>
  <si>
    <t>Subcontractors will be utilized</t>
  </si>
  <si>
    <t>Service Components Required by Contract and Plan to Fulfill the Contract</t>
  </si>
  <si>
    <t>Yes</t>
  </si>
  <si>
    <t>No</t>
  </si>
  <si>
    <t>Item Description</t>
  </si>
  <si>
    <t>Include unit size</t>
  </si>
  <si>
    <t>Monthly/Total</t>
  </si>
  <si>
    <t>Wage</t>
  </si>
  <si>
    <t>Frequency</t>
  </si>
  <si>
    <t>/ year</t>
  </si>
  <si>
    <t>/square foot</t>
  </si>
  <si>
    <t>/hour</t>
  </si>
  <si>
    <t>/service</t>
  </si>
  <si>
    <t>Links to Pages</t>
  </si>
  <si>
    <t>Contract Information</t>
  </si>
  <si>
    <t>Public Agency</t>
  </si>
  <si>
    <t>Include size of container or lot</t>
  </si>
  <si>
    <t>Benefits</t>
  </si>
  <si>
    <t>Item</t>
  </si>
  <si>
    <t>Number</t>
  </si>
  <si>
    <t>Worker's Compensation</t>
  </si>
  <si>
    <t>Unemployment</t>
  </si>
  <si>
    <t>Hourly Cost</t>
  </si>
  <si>
    <t>Exceptional Services Rate</t>
  </si>
  <si>
    <t>Payroll costs</t>
  </si>
  <si>
    <t>Equipment, Supplies, Transportation</t>
  </si>
  <si>
    <t>Payroll Costs</t>
  </si>
  <si>
    <t>Worker Description</t>
  </si>
  <si>
    <t>Other</t>
  </si>
  <si>
    <t xml:space="preserve">Hourly </t>
  </si>
  <si>
    <t>Emergency Services Rate</t>
  </si>
  <si>
    <t>Rate per mile from GSA</t>
  </si>
  <si>
    <t xml:space="preserve">Mileage Reimbursement from GSA </t>
  </si>
  <si>
    <t>per mile</t>
  </si>
  <si>
    <t>Vehicle</t>
  </si>
  <si>
    <t>Vehicle type</t>
  </si>
  <si>
    <t>Average Annual Miles</t>
  </si>
  <si>
    <t>Annual Depreciation</t>
  </si>
  <si>
    <t xml:space="preserve">Annual Fuel </t>
  </si>
  <si>
    <t>Annual Maintenance</t>
  </si>
  <si>
    <t>Price per mile</t>
  </si>
  <si>
    <t>Services per</t>
  </si>
  <si>
    <t>Year</t>
  </si>
  <si>
    <t>Oregon Forward Program Periodical Services Price Calculation</t>
  </si>
  <si>
    <t>Oregon Forward Program Overhead and Margin Information</t>
  </si>
  <si>
    <t>Equipment Description</t>
  </si>
  <si>
    <t>Include Brand and Model</t>
  </si>
  <si>
    <t>Purchase date</t>
  </si>
  <si>
    <t>Month for kt</t>
  </si>
  <si>
    <t>Vehicle Cost</t>
  </si>
  <si>
    <t>Labor Cost</t>
  </si>
  <si>
    <t>Price per Month</t>
  </si>
  <si>
    <t>Periodical Service</t>
  </si>
  <si>
    <t>End of Periodic Section</t>
  </si>
  <si>
    <t>Start of Periodic Section</t>
  </si>
  <si>
    <t>End of Periodical Services</t>
  </si>
  <si>
    <t>Worker Title</t>
  </si>
  <si>
    <t>Permission granted by the Public Agency and DAS</t>
  </si>
  <si>
    <t>Date of Purchase 
(mm/dd/yyyy)</t>
  </si>
  <si>
    <t>Purchased with a Grant?</t>
  </si>
  <si>
    <t>Durable Equipment</t>
  </si>
  <si>
    <t>Transportation cost</t>
  </si>
  <si>
    <t>Subcontractors</t>
  </si>
  <si>
    <t>Company Name</t>
  </si>
  <si>
    <t xml:space="preserve">Supplies </t>
  </si>
  <si>
    <t>Cost / Service</t>
  </si>
  <si>
    <t>Periodical Services</t>
  </si>
  <si>
    <t>STATE OF OREGON</t>
  </si>
  <si>
    <t>DEPARTMENT OF ADMINISTRATIVE SERVICES</t>
  </si>
  <si>
    <t>Oregon Forward Program Request for Price Approval</t>
  </si>
  <si>
    <t>Public Agency Customer:</t>
  </si>
  <si>
    <t xml:space="preserve">Oregon Forward Company: </t>
  </si>
  <si>
    <t xml:space="preserve">Service: </t>
  </si>
  <si>
    <t>Once completed, select the "microsoft print to pdf" option to facilitate the signature process</t>
  </si>
  <si>
    <t xml:space="preserve">   </t>
  </si>
  <si>
    <t>Public Agency Signature</t>
  </si>
  <si>
    <t>Signature Date</t>
  </si>
  <si>
    <t>Email Address</t>
  </si>
  <si>
    <t>Phone number</t>
  </si>
  <si>
    <t>Oregon Forward Contractor Signature</t>
  </si>
  <si>
    <t>DAS has reviewed the submitted documentation offered by the Oregon Forward Contractor. The price(s) listed are approved.in accordance with OAR 125-055-0030.</t>
  </si>
  <si>
    <t>Oregon Forward Program Signature</t>
  </si>
  <si>
    <t>Price Approval</t>
  </si>
  <si>
    <t>Proposal Preparer</t>
  </si>
  <si>
    <t>Cost per year</t>
  </si>
  <si>
    <t>Services per year</t>
  </si>
  <si>
    <t>Square feet per person per hour</t>
  </si>
  <si>
    <t>Per Year</t>
  </si>
  <si>
    <t>Units per</t>
  </si>
  <si>
    <t>per year</t>
  </si>
  <si>
    <t>Annual</t>
  </si>
  <si>
    <r>
      <rPr>
        <b/>
        <sz val="12"/>
        <rFont val="Arial"/>
        <family val="2"/>
      </rPr>
      <t>Contract number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(&amp; amendment#)</t>
    </r>
    <r>
      <rPr>
        <b/>
        <sz val="11"/>
        <rFont val="Arial"/>
        <family val="2"/>
      </rPr>
      <t>:</t>
    </r>
  </si>
  <si>
    <t>Transportation Cost Matrix</t>
  </si>
  <si>
    <t>% of Price</t>
  </si>
  <si>
    <t>Annual info</t>
  </si>
  <si>
    <t>Depreciation Term (Months)</t>
  </si>
  <si>
    <t>/month*</t>
  </si>
  <si>
    <t>List "Other Benefits" Provided. Sick Leave and Oregon Paid Leave will populate automatically</t>
  </si>
  <si>
    <t>Wages &amp; Benefits Matrix for all direct labor workers on this contract</t>
  </si>
  <si>
    <t>Durable EquipmentMatrix for all equipment that will be used to fufill contract</t>
  </si>
  <si>
    <t>List all Supplies that will be used tofulfill the contract.</t>
  </si>
  <si>
    <t>Emp type 11</t>
  </si>
  <si>
    <t>Emp type 12</t>
  </si>
  <si>
    <t>Emp type 13</t>
  </si>
  <si>
    <t>Emp type 14</t>
  </si>
  <si>
    <t>Emp type 15</t>
  </si>
  <si>
    <t>wage</t>
  </si>
  <si>
    <t>benefits</t>
  </si>
  <si>
    <t>Overhead &amp; Margin</t>
  </si>
  <si>
    <t>Wages and Benefits (includes Unemployment and Worker's Compensation</t>
  </si>
  <si>
    <t>Summary-Pricing</t>
  </si>
  <si>
    <t>Contract Requirement</t>
  </si>
  <si>
    <t xml:space="preserve"> Yes/No</t>
  </si>
  <si>
    <t>Included in Monthly Charge</t>
  </si>
  <si>
    <t>Yes/No</t>
  </si>
  <si>
    <t>Number of Chairs</t>
  </si>
  <si>
    <t>Price per chair</t>
  </si>
  <si>
    <t>/per chair</t>
  </si>
  <si>
    <t>Area</t>
  </si>
  <si>
    <t>/month</t>
  </si>
  <si>
    <t>sq ft/person/ hr</t>
  </si>
  <si>
    <t>when "Worker Title" is replaced with a worker category/title.</t>
  </si>
  <si>
    <t>Replace "Worker Title" with the title for each type of worker.</t>
  </si>
  <si>
    <t>If any workers may use Overtime, create a worker title and information for that situation.</t>
  </si>
  <si>
    <t>Use the area below to show how you arrived at the final figure that you show</t>
  </si>
  <si>
    <t>as your total Overhead. Alternatively indicate that the calculation is entered</t>
  </si>
  <si>
    <t>Revised1/2/2025</t>
  </si>
  <si>
    <t>TOTAL ANNUAL REVENUE</t>
  </si>
  <si>
    <t>TOTAL ANNUAL COSTS</t>
  </si>
  <si>
    <t>TOTAL ANNUAL EMPLOYEE HOURS</t>
  </si>
  <si>
    <t>OVERHEAD/REVENUE BASIS</t>
  </si>
  <si>
    <t>OVERHEAD/COST BASIS</t>
  </si>
  <si>
    <t>OVERHEAD/EMPLOYEE HOURS BASIS</t>
  </si>
  <si>
    <t xml:space="preserve">ORG.WIDE </t>
  </si>
  <si>
    <t>DEPARTMENT</t>
  </si>
  <si>
    <t xml:space="preserve">into the "OHCalc" spreadsheet, unless you are using the Worksheet in cells </t>
  </si>
  <si>
    <t>B14 through D62.</t>
  </si>
  <si>
    <t>Overhead as a percentage of total costs</t>
  </si>
  <si>
    <t>Trips per</t>
  </si>
  <si>
    <t>Trip</t>
  </si>
  <si>
    <t>per trip</t>
  </si>
  <si>
    <t>Proposed Prices</t>
  </si>
  <si>
    <t>Title</t>
  </si>
  <si>
    <t>*Services included in Monthly Price have green background.</t>
  </si>
  <si>
    <t>Monthly Price, includes periodicals per SOW*</t>
  </si>
  <si>
    <t xml:space="preserve">Total Cost </t>
  </si>
  <si>
    <t>Form date: 2/20/26</t>
  </si>
  <si>
    <t>Oregon Forward Program Additional/Exceptional, Emergency and Day Porter Services</t>
  </si>
  <si>
    <t>Grounds Maintenance</t>
  </si>
  <si>
    <t>Periodical Service 1</t>
  </si>
  <si>
    <t>Periodical Service 2</t>
  </si>
  <si>
    <t>Periodical Service 3</t>
  </si>
  <si>
    <t>Periodical Service 4</t>
  </si>
  <si>
    <t>Periodical Service 5</t>
  </si>
  <si>
    <t>Periodical Service 6</t>
  </si>
  <si>
    <t>Periodical Service 7</t>
  </si>
  <si>
    <t>Additional/Exceptional Services</t>
  </si>
  <si>
    <t>Additional/Exceptional Services and Emergency Services</t>
  </si>
  <si>
    <t>Landscape Area</t>
  </si>
  <si>
    <t>Oregon Forward Program  Equipment List</t>
  </si>
  <si>
    <t>Oregon Forward Program Supplies</t>
  </si>
  <si>
    <t>Oregon Forward Program  Subcontractors</t>
  </si>
  <si>
    <t>Oregon Forward Program Transportation</t>
  </si>
  <si>
    <t>Oregon Forward Program Contract Price Calculation</t>
  </si>
  <si>
    <t>Oregon Forward Program  Pricing Summary</t>
  </si>
  <si>
    <t>Oregon Forward Program Contract Information</t>
  </si>
  <si>
    <t>Oregon Forward Program Direct Labor Matrix</t>
  </si>
  <si>
    <t>Additional-Exceptional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</si>
</sst>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0_);_(&quot;$&quot;* \(#,##0.000000\);_(&quot;$&quot;* &quot;-&quot;??????_);_(@_)"/>
    <numFmt numFmtId="165" formatCode="_(* #,##0.0000_);_(* \(#,##0.0000\);_(* &quot;-&quot;??_);_(@_)"/>
    <numFmt numFmtId="166" formatCode="_(* #,##0_);_(* \(#,##0\);_(* &quot;-&quot;??_);_(@_)"/>
    <numFmt numFmtId="167" formatCode="#,##0.0_);\(#,##0.0\)"/>
    <numFmt numFmtId="168" formatCode="&quot;$&quot;#,##0.00"/>
    <numFmt numFmtId="169" formatCode="0.0%"/>
    <numFmt numFmtId="170" formatCode="0.0000"/>
    <numFmt numFmtId="171" formatCode="_(&quot;$&quot;* #,##0.000_);_(&quot;$&quot;* \(#,##0.000\);_(&quot;$&quot;* &quot;-&quot;??_);_(@_)"/>
    <numFmt numFmtId="172" formatCode="_(&quot;$&quot;* #,##0.0000_);_(&quot;$&quot;* \(#,##0.0000\);_(&quot;$&quot;* &quot;-&quot;????_);_(@_)"/>
    <numFmt numFmtId="173" formatCode="0_);\(0\)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Arial"/>
      <family val="2"/>
    </font>
    <font>
      <sz val="10"/>
      <color rgb="FF040C28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12"/>
      <name val="Arial"/>
      <family val="2"/>
    </font>
    <font>
      <b/>
      <sz val="14"/>
      <name val="Arial"/>
      <family val="2"/>
    </font>
    <font>
      <b/>
      <i/>
      <sz val="10"/>
      <color theme="7" tint="-0.24994659260841701"/>
      <name val="Arial"/>
      <family val="2"/>
    </font>
    <font>
      <sz val="10"/>
      <color theme="1"/>
      <name val="Arial"/>
      <family val="2"/>
    </font>
    <font>
      <i/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25">
    <xf numFmtId="0" fontId="0" fillId="0" borderId="0" xfId="0"/>
    <xf numFmtId="44" fontId="0" fillId="0" borderId="0" xfId="0" applyNumberFormat="1"/>
    <xf numFmtId="0" fontId="3" fillId="0" borderId="0" xfId="0" applyFont="1"/>
    <xf numFmtId="0" fontId="6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4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35" xfId="0" applyFont="1" applyBorder="1"/>
    <xf numFmtId="0" fontId="5" fillId="0" borderId="36" xfId="0" applyFont="1" applyBorder="1"/>
    <xf numFmtId="0" fontId="5" fillId="2" borderId="36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0" borderId="0" xfId="0" applyFont="1"/>
    <xf numFmtId="44" fontId="5" fillId="3" borderId="5" xfId="2" applyFont="1" applyFill="1" applyBorder="1" applyAlignment="1">
      <alignment horizontal="right"/>
    </xf>
    <xf numFmtId="1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4" fontId="0" fillId="3" borderId="8" xfId="2" applyFont="1" applyFill="1" applyBorder="1" applyProtection="1"/>
    <xf numFmtId="167" fontId="0" fillId="3" borderId="8" xfId="2" applyNumberFormat="1" applyFont="1" applyFill="1" applyBorder="1" applyProtection="1"/>
    <xf numFmtId="44" fontId="0" fillId="3" borderId="9" xfId="2" applyFont="1" applyFill="1" applyBorder="1" applyProtection="1"/>
    <xf numFmtId="167" fontId="0" fillId="3" borderId="9" xfId="2" applyNumberFormat="1" applyFont="1" applyFill="1" applyBorder="1" applyProtection="1"/>
    <xf numFmtId="0" fontId="0" fillId="0" borderId="19" xfId="0" applyBorder="1" applyAlignment="1">
      <alignment horizontal="center"/>
    </xf>
    <xf numFmtId="168" fontId="0" fillId="0" borderId="0" xfId="0" applyNumberFormat="1"/>
    <xf numFmtId="0" fontId="4" fillId="0" borderId="0" xfId="0" applyFont="1"/>
    <xf numFmtId="164" fontId="0" fillId="0" borderId="0" xfId="0" applyNumberFormat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5" xfId="0" applyFill="1" applyBorder="1" applyProtection="1">
      <protection locked="0"/>
    </xf>
    <xf numFmtId="165" fontId="0" fillId="4" borderId="5" xfId="1" applyNumberFormat="1" applyFont="1" applyFill="1" applyBorder="1" applyProtection="1">
      <protection locked="0"/>
    </xf>
    <xf numFmtId="165" fontId="0" fillId="4" borderId="9" xfId="1" applyNumberFormat="1" applyFont="1" applyFill="1" applyBorder="1" applyProtection="1">
      <protection locked="0"/>
    </xf>
    <xf numFmtId="165" fontId="0" fillId="4" borderId="8" xfId="1" applyNumberFormat="1" applyFont="1" applyFill="1" applyBorder="1" applyProtection="1">
      <protection locked="0"/>
    </xf>
    <xf numFmtId="166" fontId="0" fillId="4" borderId="5" xfId="1" applyNumberFormat="1" applyFont="1" applyFill="1" applyBorder="1" applyProtection="1">
      <protection locked="0"/>
    </xf>
    <xf numFmtId="166" fontId="0" fillId="4" borderId="9" xfId="1" applyNumberFormat="1" applyFont="1" applyFill="1" applyBorder="1" applyProtection="1">
      <protection locked="0"/>
    </xf>
    <xf numFmtId="166" fontId="0" fillId="4" borderId="8" xfId="1" applyNumberFormat="1" applyFont="1" applyFill="1" applyBorder="1" applyProtection="1">
      <protection locked="0"/>
    </xf>
    <xf numFmtId="0" fontId="0" fillId="0" borderId="0" xfId="0" applyAlignment="1">
      <alignment wrapText="1"/>
    </xf>
    <xf numFmtId="44" fontId="5" fillId="4" borderId="8" xfId="2" applyFont="1" applyFill="1" applyBorder="1" applyAlignment="1" applyProtection="1">
      <alignment horizontal="right"/>
      <protection locked="0"/>
    </xf>
    <xf numFmtId="44" fontId="5" fillId="4" borderId="5" xfId="2" applyFont="1" applyFill="1" applyBorder="1" applyAlignment="1" applyProtection="1">
      <alignment horizontal="right"/>
      <protection locked="0"/>
    </xf>
    <xf numFmtId="0" fontId="5" fillId="4" borderId="3" xfId="7" applyFill="1" applyBorder="1" applyProtection="1">
      <protection locked="0"/>
    </xf>
    <xf numFmtId="8" fontId="5" fillId="4" borderId="3" xfId="7" applyNumberFormat="1" applyFill="1" applyBorder="1" applyProtection="1">
      <protection locked="0"/>
    </xf>
    <xf numFmtId="0" fontId="16" fillId="0" borderId="0" xfId="4" applyFont="1" applyAlignment="1" applyProtection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2" fillId="0" borderId="0" xfId="4" applyAlignment="1" applyProtection="1">
      <alignment horizontal="center"/>
    </xf>
    <xf numFmtId="169" fontId="0" fillId="3" borderId="8" xfId="2" applyNumberFormat="1" applyFont="1" applyFill="1" applyBorder="1" applyProtection="1"/>
    <xf numFmtId="169" fontId="0" fillId="3" borderId="9" xfId="2" applyNumberFormat="1" applyFont="1" applyFill="1" applyBorder="1" applyProtection="1"/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0" xfId="4" applyAlignment="1" applyProtection="1"/>
    <xf numFmtId="166" fontId="0" fillId="4" borderId="16" xfId="1" applyNumberFormat="1" applyFont="1" applyFill="1" applyBorder="1" applyProtection="1">
      <protection locked="0"/>
    </xf>
    <xf numFmtId="44" fontId="0" fillId="3" borderId="5" xfId="2" applyFont="1" applyFill="1" applyBorder="1" applyProtection="1"/>
    <xf numFmtId="44" fontId="0" fillId="3" borderId="16" xfId="2" applyFont="1" applyFill="1" applyBorder="1" applyProtection="1"/>
    <xf numFmtId="169" fontId="0" fillId="3" borderId="16" xfId="2" applyNumberFormat="1" applyFont="1" applyFill="1" applyBorder="1" applyProtection="1"/>
    <xf numFmtId="167" fontId="0" fillId="3" borderId="16" xfId="2" applyNumberFormat="1" applyFont="1" applyFill="1" applyBorder="1" applyProtection="1"/>
    <xf numFmtId="169" fontId="0" fillId="3" borderId="5" xfId="2" applyNumberFormat="1" applyFont="1" applyFill="1" applyBorder="1" applyProtection="1"/>
    <xf numFmtId="167" fontId="0" fillId="3" borderId="5" xfId="2" applyNumberFormat="1" applyFont="1" applyFill="1" applyBorder="1" applyProtection="1"/>
    <xf numFmtId="165" fontId="0" fillId="4" borderId="16" xfId="8" applyNumberFormat="1" applyFont="1" applyFill="1" applyBorder="1" applyProtection="1">
      <protection locked="0"/>
    </xf>
    <xf numFmtId="165" fontId="0" fillId="4" borderId="5" xfId="8" applyNumberFormat="1" applyFont="1" applyFill="1" applyBorder="1" applyProtection="1">
      <protection locked="0"/>
    </xf>
    <xf numFmtId="165" fontId="0" fillId="4" borderId="9" xfId="8" applyNumberFormat="1" applyFont="1" applyFill="1" applyBorder="1" applyProtection="1">
      <protection locked="0"/>
    </xf>
    <xf numFmtId="165" fontId="0" fillId="4" borderId="8" xfId="8" applyNumberFormat="1" applyFont="1" applyFill="1" applyBorder="1" applyProtection="1">
      <protection locked="0"/>
    </xf>
    <xf numFmtId="0" fontId="0" fillId="0" borderId="0" xfId="0" applyProtection="1">
      <protection hidden="1"/>
    </xf>
    <xf numFmtId="3" fontId="0" fillId="0" borderId="0" xfId="0" applyNumberFormat="1"/>
    <xf numFmtId="170" fontId="0" fillId="0" borderId="0" xfId="0" applyNumberFormat="1"/>
    <xf numFmtId="10" fontId="0" fillId="3" borderId="16" xfId="2" applyNumberFormat="1" applyFont="1" applyFill="1" applyBorder="1" applyProtection="1"/>
    <xf numFmtId="10" fontId="0" fillId="3" borderId="5" xfId="2" applyNumberFormat="1" applyFont="1" applyFill="1" applyBorder="1" applyProtection="1"/>
    <xf numFmtId="10" fontId="0" fillId="3" borderId="9" xfId="2" applyNumberFormat="1" applyFont="1" applyFill="1" applyBorder="1" applyProtection="1"/>
    <xf numFmtId="10" fontId="0" fillId="3" borderId="8" xfId="2" applyNumberFormat="1" applyFont="1" applyFill="1" applyBorder="1" applyProtection="1"/>
    <xf numFmtId="44" fontId="5" fillId="4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10" fontId="0" fillId="7" borderId="16" xfId="3" applyNumberFormat="1" applyFont="1" applyFill="1" applyBorder="1" applyProtection="1"/>
    <xf numFmtId="10" fontId="0" fillId="7" borderId="5" xfId="3" applyNumberFormat="1" applyFont="1" applyFill="1" applyBorder="1" applyProtection="1"/>
    <xf numFmtId="10" fontId="0" fillId="7" borderId="9" xfId="3" applyNumberFormat="1" applyFont="1" applyFill="1" applyBorder="1" applyProtection="1"/>
    <xf numFmtId="10" fontId="0" fillId="7" borderId="8" xfId="3" applyNumberFormat="1" applyFont="1" applyFill="1" applyBorder="1" applyProtection="1"/>
    <xf numFmtId="44" fontId="5" fillId="7" borderId="5" xfId="6" applyFont="1" applyFill="1" applyBorder="1" applyAlignment="1" applyProtection="1">
      <alignment shrinkToFit="1"/>
    </xf>
    <xf numFmtId="0" fontId="0" fillId="0" borderId="4" xfId="0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4" fontId="5" fillId="0" borderId="45" xfId="6" applyFont="1" applyFill="1" applyBorder="1" applyAlignment="1" applyProtection="1">
      <alignment horizontal="center"/>
    </xf>
    <xf numFmtId="39" fontId="5" fillId="0" borderId="45" xfId="6" applyNumberFormat="1" applyFont="1" applyFill="1" applyBorder="1" applyAlignment="1" applyProtection="1">
      <alignment horizontal="center"/>
    </xf>
    <xf numFmtId="10" fontId="5" fillId="0" borderId="45" xfId="5" applyNumberFormat="1" applyFont="1" applyFill="1" applyBorder="1" applyAlignment="1" applyProtection="1">
      <alignment horizontal="center"/>
    </xf>
    <xf numFmtId="10" fontId="0" fillId="0" borderId="45" xfId="6" applyNumberFormat="1" applyFont="1" applyFill="1" applyBorder="1" applyAlignment="1" applyProtection="1">
      <alignment horizontal="center"/>
    </xf>
    <xf numFmtId="44" fontId="0" fillId="0" borderId="45" xfId="6" applyFont="1" applyFill="1" applyBorder="1" applyAlignment="1" applyProtection="1">
      <alignment horizontal="center"/>
    </xf>
    <xf numFmtId="0" fontId="0" fillId="8" borderId="4" xfId="0" applyFill="1" applyBorder="1" applyAlignment="1">
      <alignment vertical="center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10" fontId="0" fillId="8" borderId="4" xfId="0" applyNumberForma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0" fontId="0" fillId="0" borderId="19" xfId="0" applyNumberFormat="1" applyBorder="1" applyAlignment="1">
      <alignment horizontal="center"/>
    </xf>
    <xf numFmtId="0" fontId="5" fillId="0" borderId="0" xfId="4" applyFont="1" applyAlignment="1" applyProtection="1"/>
    <xf numFmtId="0" fontId="19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shrinkToFit="1"/>
    </xf>
    <xf numFmtId="0" fontId="12" fillId="0" borderId="0" xfId="4" applyAlignment="1" applyProtection="1">
      <alignment shrinkToFit="1"/>
    </xf>
    <xf numFmtId="171" fontId="0" fillId="0" borderId="0" xfId="2" applyNumberFormat="1" applyFont="1" applyAlignment="1" applyProtection="1">
      <alignment horizontal="center" vertical="center"/>
    </xf>
    <xf numFmtId="14" fontId="21" fillId="0" borderId="0" xfId="0" applyNumberFormat="1" applyFont="1"/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44" fontId="0" fillId="3" borderId="16" xfId="6" applyFont="1" applyFill="1" applyBorder="1" applyProtection="1"/>
    <xf numFmtId="44" fontId="0" fillId="3" borderId="5" xfId="6" applyFont="1" applyFill="1" applyBorder="1" applyProtection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0" fillId="4" borderId="53" xfId="0" applyFill="1" applyBorder="1" applyProtection="1">
      <protection locked="0"/>
    </xf>
    <xf numFmtId="0" fontId="0" fillId="4" borderId="54" xfId="0" applyFill="1" applyBorder="1" applyProtection="1">
      <protection locked="0"/>
    </xf>
    <xf numFmtId="166" fontId="0" fillId="4" borderId="56" xfId="1" applyNumberFormat="1" applyFont="1" applyFill="1" applyBorder="1" applyProtection="1">
      <protection locked="0"/>
    </xf>
    <xf numFmtId="0" fontId="0" fillId="4" borderId="59" xfId="0" applyFill="1" applyBorder="1" applyProtection="1">
      <protection locked="0"/>
    </xf>
    <xf numFmtId="0" fontId="18" fillId="0" borderId="64" xfId="0" applyFont="1" applyBorder="1"/>
    <xf numFmtId="0" fontId="3" fillId="0" borderId="64" xfId="0" applyFont="1" applyBorder="1"/>
    <xf numFmtId="0" fontId="4" fillId="0" borderId="65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/>
    </xf>
    <xf numFmtId="0" fontId="15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/>
    </xf>
    <xf numFmtId="0" fontId="4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/>
    </xf>
    <xf numFmtId="0" fontId="4" fillId="0" borderId="72" xfId="0" applyFont="1" applyBorder="1" applyAlignment="1">
      <alignment horizontal="center" vertical="center"/>
    </xf>
    <xf numFmtId="10" fontId="5" fillId="4" borderId="39" xfId="3" applyNumberFormat="1" applyFont="1" applyFill="1" applyBorder="1" applyAlignment="1" applyProtection="1">
      <alignment horizontal="center" vertical="center"/>
      <protection locked="0"/>
    </xf>
    <xf numFmtId="10" fontId="5" fillId="4" borderId="32" xfId="3" applyNumberFormat="1" applyFont="1" applyFill="1" applyBorder="1" applyAlignment="1" applyProtection="1">
      <alignment horizontal="center" vertical="center"/>
      <protection locked="0"/>
    </xf>
    <xf numFmtId="10" fontId="5" fillId="7" borderId="37" xfId="3" applyNumberFormat="1" applyFont="1" applyFill="1" applyBorder="1" applyAlignment="1" applyProtection="1">
      <alignment horizontal="center" vertical="center" wrapText="1"/>
    </xf>
    <xf numFmtId="9" fontId="0" fillId="4" borderId="16" xfId="1" applyNumberFormat="1" applyFont="1" applyFill="1" applyBorder="1" applyProtection="1">
      <protection locked="0"/>
    </xf>
    <xf numFmtId="9" fontId="0" fillId="4" borderId="5" xfId="1" applyNumberFormat="1" applyFont="1" applyFill="1" applyBorder="1" applyProtection="1">
      <protection locked="0"/>
    </xf>
    <xf numFmtId="9" fontId="0" fillId="4" borderId="9" xfId="1" applyNumberFormat="1" applyFont="1" applyFill="1" applyBorder="1" applyProtection="1">
      <protection locked="0"/>
    </xf>
    <xf numFmtId="9" fontId="0" fillId="4" borderId="8" xfId="1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39" fontId="5" fillId="7" borderId="77" xfId="6" applyNumberFormat="1" applyFont="1" applyFill="1" applyBorder="1" applyAlignment="1" applyProtection="1">
      <alignment horizontal="center"/>
    </xf>
    <xf numFmtId="10" fontId="5" fillId="7" borderId="77" xfId="5" applyNumberFormat="1" applyFont="1" applyFill="1" applyBorder="1" applyAlignment="1" applyProtection="1">
      <alignment horizontal="center"/>
    </xf>
    <xf numFmtId="10" fontId="0" fillId="3" borderId="77" xfId="6" applyNumberFormat="1" applyFont="1" applyFill="1" applyBorder="1" applyAlignment="1" applyProtection="1">
      <alignment horizontal="center"/>
    </xf>
    <xf numFmtId="44" fontId="0" fillId="3" borderId="78" xfId="6" applyFont="1" applyFill="1" applyBorder="1" applyAlignment="1" applyProtection="1">
      <alignment horizontal="center"/>
    </xf>
    <xf numFmtId="0" fontId="5" fillId="0" borderId="0" xfId="0" applyFont="1" applyAlignment="1">
      <alignment horizontal="center" vertical="center" wrapText="1"/>
    </xf>
    <xf numFmtId="168" fontId="5" fillId="0" borderId="0" xfId="0" applyNumberFormat="1" applyFont="1" applyAlignment="1">
      <alignment horizontal="center" vertical="center"/>
    </xf>
    <xf numFmtId="37" fontId="0" fillId="4" borderId="1" xfId="0" applyNumberFormat="1" applyFill="1" applyBorder="1" applyProtection="1">
      <protection locked="0"/>
    </xf>
    <xf numFmtId="10" fontId="0" fillId="4" borderId="5" xfId="3" applyNumberFormat="1" applyFont="1" applyFill="1" applyBorder="1" applyProtection="1">
      <protection locked="0"/>
    </xf>
    <xf numFmtId="9" fontId="0" fillId="0" borderId="0" xfId="3" applyFont="1" applyFill="1" applyBorder="1" applyProtection="1"/>
    <xf numFmtId="10" fontId="5" fillId="7" borderId="39" xfId="3" applyNumberFormat="1" applyFont="1" applyFill="1" applyBorder="1" applyAlignment="1" applyProtection="1">
      <alignment horizontal="center" vertical="center" wrapText="1"/>
    </xf>
    <xf numFmtId="0" fontId="0" fillId="6" borderId="76" xfId="0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26" fillId="8" borderId="0" xfId="0" applyNumberFormat="1" applyFont="1" applyFill="1" applyAlignment="1">
      <alignment horizontal="left" vertical="center"/>
    </xf>
    <xf numFmtId="3" fontId="25" fillId="8" borderId="0" xfId="0" applyNumberFormat="1" applyFont="1" applyFill="1" applyAlignment="1">
      <alignment horizontal="left" vertical="center"/>
    </xf>
    <xf numFmtId="0" fontId="5" fillId="0" borderId="0" xfId="7" applyProtection="1">
      <protection locked="0"/>
    </xf>
    <xf numFmtId="44" fontId="5" fillId="0" borderId="0" xfId="6" applyFont="1" applyFill="1" applyBorder="1"/>
    <xf numFmtId="0" fontId="4" fillId="0" borderId="52" xfId="7" applyFont="1" applyBorder="1" applyAlignment="1">
      <alignment horizontal="center" wrapText="1"/>
    </xf>
    <xf numFmtId="0" fontId="5" fillId="4" borderId="53" xfId="7" applyFill="1" applyBorder="1" applyProtection="1">
      <protection locked="0"/>
    </xf>
    <xf numFmtId="44" fontId="5" fillId="4" borderId="79" xfId="6" applyFont="1" applyFill="1" applyBorder="1" applyProtection="1">
      <protection locked="0"/>
    </xf>
    <xf numFmtId="8" fontId="5" fillId="4" borderId="53" xfId="7" applyNumberFormat="1" applyFill="1" applyBorder="1" applyProtection="1">
      <protection locked="0"/>
    </xf>
    <xf numFmtId="0" fontId="5" fillId="4" borderId="54" xfId="7" applyFill="1" applyBorder="1" applyProtection="1">
      <protection locked="0"/>
    </xf>
    <xf numFmtId="0" fontId="5" fillId="4" borderId="85" xfId="7" applyFill="1" applyBorder="1" applyProtection="1">
      <protection locked="0"/>
    </xf>
    <xf numFmtId="44" fontId="5" fillId="4" borderId="80" xfId="6" applyFont="1" applyFill="1" applyBorder="1" applyProtection="1">
      <protection locked="0"/>
    </xf>
    <xf numFmtId="0" fontId="28" fillId="0" borderId="0" xfId="4" applyFont="1" applyAlignment="1" applyProtection="1"/>
    <xf numFmtId="0" fontId="0" fillId="6" borderId="53" xfId="0" applyFill="1" applyBorder="1" applyAlignment="1" applyProtection="1">
      <alignment shrinkToFit="1"/>
      <protection locked="0"/>
    </xf>
    <xf numFmtId="0" fontId="0" fillId="6" borderId="2" xfId="0" applyFill="1" applyBorder="1" applyAlignment="1" applyProtection="1">
      <alignment shrinkToFit="1"/>
      <protection locked="0"/>
    </xf>
    <xf numFmtId="3" fontId="0" fillId="6" borderId="5" xfId="0" applyNumberFormat="1" applyFill="1" applyBorder="1" applyAlignment="1" applyProtection="1">
      <alignment shrinkToFit="1"/>
      <protection locked="0"/>
    </xf>
    <xf numFmtId="44" fontId="0" fillId="6" borderId="5" xfId="0" applyNumberFormat="1" applyFill="1" applyBorder="1" applyAlignment="1" applyProtection="1">
      <alignment shrinkToFit="1"/>
      <protection locked="0"/>
    </xf>
    <xf numFmtId="14" fontId="0" fillId="6" borderId="5" xfId="0" applyNumberFormat="1" applyFill="1" applyBorder="1" applyAlignment="1" applyProtection="1">
      <alignment shrinkToFit="1"/>
      <protection locked="0"/>
    </xf>
    <xf numFmtId="1" fontId="0" fillId="6" borderId="5" xfId="0" applyNumberFormat="1" applyFill="1" applyBorder="1" applyAlignment="1" applyProtection="1">
      <alignment shrinkToFit="1"/>
      <protection locked="0"/>
    </xf>
    <xf numFmtId="44" fontId="0" fillId="6" borderId="1" xfId="0" applyNumberFormat="1" applyFill="1" applyBorder="1" applyAlignment="1" applyProtection="1">
      <alignment shrinkToFit="1"/>
      <protection locked="0"/>
    </xf>
    <xf numFmtId="0" fontId="0" fillId="6" borderId="54" xfId="0" applyFill="1" applyBorder="1" applyAlignment="1" applyProtection="1">
      <alignment shrinkToFit="1"/>
      <protection locked="0"/>
    </xf>
    <xf numFmtId="0" fontId="0" fillId="6" borderId="55" xfId="0" applyFill="1" applyBorder="1" applyAlignment="1" applyProtection="1">
      <alignment shrinkToFit="1"/>
      <protection locked="0"/>
    </xf>
    <xf numFmtId="3" fontId="0" fillId="6" borderId="56" xfId="0" applyNumberFormat="1" applyFill="1" applyBorder="1" applyAlignment="1" applyProtection="1">
      <alignment shrinkToFit="1"/>
      <protection locked="0"/>
    </xf>
    <xf numFmtId="44" fontId="0" fillId="6" borderId="56" xfId="0" applyNumberFormat="1" applyFill="1" applyBorder="1" applyAlignment="1" applyProtection="1">
      <alignment shrinkToFit="1"/>
      <protection locked="0"/>
    </xf>
    <xf numFmtId="14" fontId="0" fillId="6" borderId="56" xfId="0" applyNumberFormat="1" applyFill="1" applyBorder="1" applyAlignment="1" applyProtection="1">
      <alignment shrinkToFit="1"/>
      <protection locked="0"/>
    </xf>
    <xf numFmtId="1" fontId="0" fillId="6" borderId="56" xfId="0" applyNumberFormat="1" applyFill="1" applyBorder="1" applyAlignment="1" applyProtection="1">
      <alignment shrinkToFit="1"/>
      <protection locked="0"/>
    </xf>
    <xf numFmtId="44" fontId="0" fillId="6" borderId="57" xfId="0" applyNumberFormat="1" applyFill="1" applyBorder="1" applyAlignment="1" applyProtection="1">
      <alignment shrinkToFit="1"/>
      <protection locked="0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4" applyFont="1" applyBorder="1" applyAlignment="1" applyProtection="1">
      <alignment horizontal="left" vertical="center"/>
    </xf>
    <xf numFmtId="0" fontId="4" fillId="0" borderId="97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100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/>
    </xf>
    <xf numFmtId="44" fontId="0" fillId="3" borderId="102" xfId="6" applyFont="1" applyFill="1" applyBorder="1" applyProtection="1"/>
    <xf numFmtId="44" fontId="0" fillId="3" borderId="52" xfId="6" applyFont="1" applyFill="1" applyBorder="1" applyProtection="1"/>
    <xf numFmtId="0" fontId="0" fillId="4" borderId="56" xfId="0" applyFill="1" applyBorder="1" applyProtection="1">
      <protection locked="0"/>
    </xf>
    <xf numFmtId="37" fontId="0" fillId="4" borderId="57" xfId="0" applyNumberFormat="1" applyFill="1" applyBorder="1" applyProtection="1">
      <protection locked="0"/>
    </xf>
    <xf numFmtId="44" fontId="0" fillId="3" borderId="56" xfId="6" applyFont="1" applyFill="1" applyBorder="1" applyProtection="1"/>
    <xf numFmtId="44" fontId="0" fillId="3" borderId="58" xfId="6" applyFont="1" applyFill="1" applyBorder="1" applyProtection="1"/>
    <xf numFmtId="0" fontId="4" fillId="0" borderId="103" xfId="0" applyFont="1" applyBorder="1" applyAlignment="1">
      <alignment horizontal="center"/>
    </xf>
    <xf numFmtId="164" fontId="4" fillId="0" borderId="96" xfId="0" applyNumberFormat="1" applyFont="1" applyBorder="1" applyAlignment="1">
      <alignment horizontal="center"/>
    </xf>
    <xf numFmtId="164" fontId="4" fillId="0" borderId="104" xfId="0" applyNumberFormat="1" applyFont="1" applyBorder="1" applyAlignment="1">
      <alignment horizontal="center"/>
    </xf>
    <xf numFmtId="165" fontId="0" fillId="4" borderId="56" xfId="1" applyNumberFormat="1" applyFont="1" applyFill="1" applyBorder="1" applyProtection="1">
      <protection locked="0"/>
    </xf>
    <xf numFmtId="44" fontId="0" fillId="3" borderId="102" xfId="2" applyFont="1" applyFill="1" applyBorder="1" applyProtection="1"/>
    <xf numFmtId="44" fontId="0" fillId="3" borderId="60" xfId="2" applyFont="1" applyFill="1" applyBorder="1" applyProtection="1"/>
    <xf numFmtId="44" fontId="0" fillId="3" borderId="107" xfId="2" applyFont="1" applyFill="1" applyBorder="1" applyProtection="1"/>
    <xf numFmtId="9" fontId="0" fillId="4" borderId="56" xfId="1" applyNumberFormat="1" applyFont="1" applyFill="1" applyBorder="1" applyProtection="1">
      <protection locked="0"/>
    </xf>
    <xf numFmtId="44" fontId="0" fillId="3" borderId="58" xfId="2" applyFont="1" applyFill="1" applyBorder="1" applyProtection="1"/>
    <xf numFmtId="0" fontId="4" fillId="0" borderId="98" xfId="0" applyFont="1" applyBorder="1" applyAlignment="1">
      <alignment horizontal="center"/>
    </xf>
    <xf numFmtId="0" fontId="0" fillId="4" borderId="105" xfId="0" applyFill="1" applyBorder="1" applyProtection="1">
      <protection locked="0"/>
    </xf>
    <xf numFmtId="44" fontId="0" fillId="3" borderId="52" xfId="2" applyFont="1" applyFill="1" applyBorder="1" applyProtection="1"/>
    <xf numFmtId="0" fontId="0" fillId="4" borderId="106" xfId="0" applyFill="1" applyBorder="1" applyProtection="1">
      <protection locked="0"/>
    </xf>
    <xf numFmtId="44" fontId="0" fillId="3" borderId="56" xfId="2" applyFont="1" applyFill="1" applyBorder="1" applyProtection="1"/>
    <xf numFmtId="10" fontId="0" fillId="7" borderId="56" xfId="3" applyNumberFormat="1" applyFont="1" applyFill="1" applyBorder="1" applyProtection="1"/>
    <xf numFmtId="10" fontId="0" fillId="3" borderId="56" xfId="2" applyNumberFormat="1" applyFont="1" applyFill="1" applyBorder="1" applyProtection="1"/>
    <xf numFmtId="169" fontId="0" fillId="3" borderId="56" xfId="2" applyNumberFormat="1" applyFont="1" applyFill="1" applyBorder="1" applyProtection="1"/>
    <xf numFmtId="167" fontId="0" fillId="3" borderId="56" xfId="2" applyNumberFormat="1" applyFont="1" applyFill="1" applyBorder="1" applyProtection="1"/>
    <xf numFmtId="0" fontId="0" fillId="6" borderId="8" xfId="0" applyFill="1" applyBorder="1" applyAlignment="1" applyProtection="1">
      <alignment shrinkToFit="1"/>
      <protection locked="0"/>
    </xf>
    <xf numFmtId="44" fontId="0" fillId="7" borderId="8" xfId="0" applyNumberFormat="1" applyFill="1" applyBorder="1" applyAlignment="1">
      <alignment shrinkToFit="1"/>
    </xf>
    <xf numFmtId="0" fontId="0" fillId="6" borderId="5" xfId="0" applyFill="1" applyBorder="1" applyAlignment="1" applyProtection="1">
      <alignment shrinkToFit="1"/>
      <protection locked="0"/>
    </xf>
    <xf numFmtId="44" fontId="0" fillId="7" borderId="5" xfId="0" applyNumberFormat="1" applyFill="1" applyBorder="1" applyAlignment="1">
      <alignment shrinkToFit="1"/>
    </xf>
    <xf numFmtId="0" fontId="0" fillId="6" borderId="56" xfId="0" applyFill="1" applyBorder="1" applyAlignment="1" applyProtection="1">
      <alignment shrinkToFit="1"/>
      <protection locked="0"/>
    </xf>
    <xf numFmtId="44" fontId="0" fillId="7" borderId="56" xfId="0" applyNumberFormat="1" applyFill="1" applyBorder="1" applyAlignment="1">
      <alignment shrinkToFit="1"/>
    </xf>
    <xf numFmtId="44" fontId="0" fillId="7" borderId="60" xfId="0" applyNumberFormat="1" applyFill="1" applyBorder="1" applyAlignment="1">
      <alignment shrinkToFit="1"/>
    </xf>
    <xf numFmtId="44" fontId="0" fillId="7" borderId="52" xfId="0" applyNumberFormat="1" applyFill="1" applyBorder="1" applyAlignment="1">
      <alignment shrinkToFit="1"/>
    </xf>
    <xf numFmtId="44" fontId="0" fillId="7" borderId="58" xfId="0" applyNumberFormat="1" applyFill="1" applyBorder="1" applyAlignment="1">
      <alignment shrinkToFit="1"/>
    </xf>
    <xf numFmtId="0" fontId="4" fillId="0" borderId="53" xfId="7" applyFont="1" applyBorder="1" applyAlignment="1">
      <alignment horizontal="center"/>
    </xf>
    <xf numFmtId="0" fontId="4" fillId="0" borderId="5" xfId="7" applyFont="1" applyBorder="1" applyAlignment="1">
      <alignment horizontal="center"/>
    </xf>
    <xf numFmtId="0" fontId="4" fillId="0" borderId="5" xfId="7" applyFon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44" fontId="0" fillId="3" borderId="102" xfId="2" applyFont="1" applyFill="1" applyBorder="1" applyAlignment="1" applyProtection="1">
      <alignment shrinkToFit="1"/>
    </xf>
    <xf numFmtId="44" fontId="0" fillId="3" borderId="60" xfId="2" applyFont="1" applyFill="1" applyBorder="1" applyAlignment="1" applyProtection="1">
      <alignment shrinkToFit="1"/>
    </xf>
    <xf numFmtId="44" fontId="0" fillId="3" borderId="107" xfId="2" applyFont="1" applyFill="1" applyBorder="1" applyAlignment="1" applyProtection="1">
      <alignment shrinkToFit="1"/>
    </xf>
    <xf numFmtId="44" fontId="0" fillId="3" borderId="58" xfId="2" applyFont="1" applyFill="1" applyBorder="1" applyAlignment="1" applyProtection="1">
      <alignment shrinkToFit="1"/>
    </xf>
    <xf numFmtId="44" fontId="0" fillId="3" borderId="16" xfId="2" applyFont="1" applyFill="1" applyBorder="1" applyAlignment="1" applyProtection="1">
      <alignment shrinkToFit="1"/>
    </xf>
    <xf numFmtId="44" fontId="0" fillId="3" borderId="8" xfId="2" applyFont="1" applyFill="1" applyBorder="1" applyAlignment="1" applyProtection="1">
      <alignment shrinkToFit="1"/>
    </xf>
    <xf numFmtId="44" fontId="0" fillId="3" borderId="9" xfId="2" applyFont="1" applyFill="1" applyBorder="1" applyAlignment="1" applyProtection="1">
      <alignment shrinkToFit="1"/>
    </xf>
    <xf numFmtId="44" fontId="0" fillId="3" borderId="56" xfId="2" applyFont="1" applyFill="1" applyBorder="1" applyAlignment="1" applyProtection="1">
      <alignment shrinkToFit="1"/>
    </xf>
    <xf numFmtId="44" fontId="5" fillId="7" borderId="77" xfId="6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11" fillId="0" borderId="109" xfId="0" applyFont="1" applyBorder="1" applyAlignment="1">
      <alignment horizontal="center" vertical="center" wrapText="1"/>
    </xf>
    <xf numFmtId="169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3" fontId="0" fillId="4" borderId="16" xfId="2" quotePrefix="1" applyNumberFormat="1" applyFont="1" applyFill="1" applyBorder="1" applyProtection="1">
      <protection locked="0"/>
    </xf>
    <xf numFmtId="3" fontId="0" fillId="4" borderId="5" xfId="2" applyNumberFormat="1" applyFont="1" applyFill="1" applyBorder="1" applyProtection="1">
      <protection locked="0"/>
    </xf>
    <xf numFmtId="3" fontId="0" fillId="4" borderId="9" xfId="2" applyNumberFormat="1" applyFont="1" applyFill="1" applyBorder="1" applyProtection="1">
      <protection locked="0"/>
    </xf>
    <xf numFmtId="3" fontId="0" fillId="4" borderId="8" xfId="2" applyNumberFormat="1" applyFont="1" applyFill="1" applyBorder="1" applyProtection="1">
      <protection locked="0"/>
    </xf>
    <xf numFmtId="3" fontId="0" fillId="4" borderId="56" xfId="2" applyNumberFormat="1" applyFont="1" applyFill="1" applyBorder="1" applyProtection="1">
      <protection locked="0"/>
    </xf>
    <xf numFmtId="0" fontId="3" fillId="0" borderId="0" xfId="2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169" fontId="0" fillId="8" borderId="51" xfId="0" applyNumberFormat="1" applyFill="1" applyBorder="1"/>
    <xf numFmtId="169" fontId="0" fillId="7" borderId="52" xfId="0" applyNumberFormat="1" applyFill="1" applyBorder="1"/>
    <xf numFmtId="44" fontId="0" fillId="3" borderId="53" xfId="2" applyFont="1" applyFill="1" applyBorder="1" applyAlignment="1" applyProtection="1">
      <alignment horizontal="left" vertical="center" shrinkToFit="1"/>
    </xf>
    <xf numFmtId="44" fontId="0" fillId="7" borderId="53" xfId="0" applyNumberFormat="1" applyFill="1" applyBorder="1" applyAlignment="1">
      <alignment horizontal="left" vertical="center" shrinkToFit="1"/>
    </xf>
    <xf numFmtId="0" fontId="8" fillId="4" borderId="9" xfId="0" applyFont="1" applyFill="1" applyBorder="1" applyProtection="1">
      <protection locked="0"/>
    </xf>
    <xf numFmtId="0" fontId="4" fillId="0" borderId="120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/>
    </xf>
    <xf numFmtId="0" fontId="0" fillId="4" borderId="30" xfId="0" applyFill="1" applyBorder="1" applyAlignment="1" applyProtection="1">
      <alignment horizontal="left" vertical="center" wrapText="1"/>
      <protection locked="0"/>
    </xf>
    <xf numFmtId="0" fontId="0" fillId="4" borderId="44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4" borderId="105" xfId="0" applyFill="1" applyBorder="1" applyAlignment="1" applyProtection="1">
      <alignment wrapText="1"/>
      <protection locked="0"/>
    </xf>
    <xf numFmtId="0" fontId="0" fillId="4" borderId="53" xfId="0" applyFill="1" applyBorder="1" applyAlignment="1" applyProtection="1">
      <alignment wrapText="1"/>
      <protection locked="0"/>
    </xf>
    <xf numFmtId="0" fontId="0" fillId="4" borderId="106" xfId="0" applyFill="1" applyBorder="1" applyAlignment="1" applyProtection="1">
      <alignment wrapText="1"/>
      <protection locked="0"/>
    </xf>
    <xf numFmtId="0" fontId="0" fillId="4" borderId="59" xfId="0" applyFill="1" applyBorder="1" applyAlignment="1" applyProtection="1">
      <alignment wrapText="1"/>
      <protection locked="0"/>
    </xf>
    <xf numFmtId="0" fontId="0" fillId="4" borderId="54" xfId="0" applyFill="1" applyBorder="1" applyAlignment="1" applyProtection="1">
      <alignment wrapText="1"/>
      <protection locked="0"/>
    </xf>
    <xf numFmtId="44" fontId="0" fillId="7" borderId="60" xfId="8" applyNumberFormat="1" applyFont="1" applyFill="1" applyBorder="1" applyAlignment="1" applyProtection="1">
      <alignment horizontal="center" vertical="center"/>
    </xf>
    <xf numFmtId="44" fontId="0" fillId="7" borderId="52" xfId="8" applyNumberFormat="1" applyFont="1" applyFill="1" applyBorder="1" applyAlignment="1" applyProtection="1">
      <alignment horizontal="center" vertical="center"/>
    </xf>
    <xf numFmtId="44" fontId="0" fillId="7" borderId="63" xfId="8" applyNumberFormat="1" applyFont="1" applyFill="1" applyBorder="1" applyAlignment="1" applyProtection="1">
      <alignment horizontal="center" vertical="center"/>
    </xf>
    <xf numFmtId="44" fontId="0" fillId="7" borderId="52" xfId="1" applyNumberFormat="1" applyFont="1" applyFill="1" applyBorder="1" applyAlignment="1" applyProtection="1">
      <alignment horizontal="center" vertical="center"/>
    </xf>
    <xf numFmtId="44" fontId="0" fillId="7" borderId="63" xfId="1" applyNumberFormat="1" applyFont="1" applyFill="1" applyBorder="1" applyAlignment="1" applyProtection="1">
      <alignment horizontal="center" vertical="center"/>
    </xf>
    <xf numFmtId="44" fontId="0" fillId="7" borderId="60" xfId="1" applyNumberFormat="1" applyFont="1" applyFill="1" applyBorder="1" applyAlignment="1" applyProtection="1">
      <alignment horizontal="center" vertical="center"/>
    </xf>
    <xf numFmtId="44" fontId="0" fillId="7" borderId="58" xfId="1" applyNumberFormat="1" applyFont="1" applyFill="1" applyBorder="1" applyAlignment="1" applyProtection="1">
      <alignment horizontal="center" vertical="center"/>
    </xf>
    <xf numFmtId="3" fontId="0" fillId="0" borderId="0" xfId="0" applyNumberFormat="1" applyAlignment="1">
      <alignment horizontal="center"/>
    </xf>
    <xf numFmtId="10" fontId="5" fillId="4" borderId="27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39" xfId="0" applyNumberFormat="1" applyFont="1" applyFill="1" applyBorder="1" applyAlignment="1" applyProtection="1">
      <alignment horizontal="center" vertical="center"/>
      <protection locked="0"/>
    </xf>
    <xf numFmtId="10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32" xfId="0" applyNumberFormat="1" applyFont="1" applyFill="1" applyBorder="1" applyAlignment="1" applyProtection="1">
      <alignment horizontal="center" vertical="center"/>
      <protection locked="0"/>
    </xf>
    <xf numFmtId="10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4" applyFill="1" applyAlignment="1" applyProtection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10" fontId="5" fillId="7" borderId="38" xfId="0" applyNumberFormat="1" applyFont="1" applyFill="1" applyBorder="1" applyAlignment="1">
      <alignment horizontal="center" vertical="center" wrapText="1"/>
    </xf>
    <xf numFmtId="10" fontId="5" fillId="7" borderId="27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5" fillId="7" borderId="3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0" fillId="0" borderId="99" xfId="0" applyBorder="1"/>
    <xf numFmtId="0" fontId="0" fillId="0" borderId="100" xfId="0" applyBorder="1"/>
    <xf numFmtId="3" fontId="0" fillId="4" borderId="5" xfId="0" applyNumberFormat="1" applyFill="1" applyBorder="1" applyAlignment="1" applyProtection="1">
      <alignment horizontal="center" vertical="center"/>
      <protection locked="0"/>
    </xf>
    <xf numFmtId="0" fontId="0" fillId="0" borderId="89" xfId="0" applyBorder="1" applyAlignment="1">
      <alignment wrapText="1"/>
    </xf>
    <xf numFmtId="0" fontId="31" fillId="0" borderId="0" xfId="0" applyFont="1" applyAlignment="1">
      <alignment wrapText="1"/>
    </xf>
    <xf numFmtId="0" fontId="0" fillId="0" borderId="0" xfId="0" applyAlignment="1">
      <alignment horizontal="center" vertical="center" shrinkToFit="1"/>
    </xf>
    <xf numFmtId="3" fontId="25" fillId="8" borderId="0" xfId="0" applyNumberFormat="1" applyFont="1" applyFill="1" applyAlignment="1">
      <alignment horizontal="left" vertical="center" wrapText="1"/>
    </xf>
    <xf numFmtId="0" fontId="3" fillId="0" borderId="0" xfId="2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9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123" xfId="0" applyBorder="1"/>
    <xf numFmtId="0" fontId="0" fillId="0" borderId="64" xfId="0" applyBorder="1" applyAlignment="1">
      <alignment horizontal="center"/>
    </xf>
    <xf numFmtId="0" fontId="0" fillId="0" borderId="64" xfId="0" applyBorder="1"/>
    <xf numFmtId="0" fontId="0" fillId="0" borderId="124" xfId="0" applyBorder="1"/>
    <xf numFmtId="0" fontId="0" fillId="0" borderId="125" xfId="0" applyBorder="1"/>
    <xf numFmtId="0" fontId="0" fillId="0" borderId="126" xfId="0" applyBorder="1"/>
    <xf numFmtId="0" fontId="0" fillId="8" borderId="100" xfId="0" applyFill="1" applyBorder="1"/>
    <xf numFmtId="0" fontId="4" fillId="8" borderId="104" xfId="0" applyFont="1" applyFill="1" applyBorder="1" applyAlignment="1">
      <alignment horizontal="center"/>
    </xf>
    <xf numFmtId="0" fontId="0" fillId="0" borderId="127" xfId="0" applyBorder="1"/>
    <xf numFmtId="0" fontId="0" fillId="0" borderId="123" xfId="0" applyBorder="1" applyAlignment="1">
      <alignment wrapText="1"/>
    </xf>
    <xf numFmtId="0" fontId="0" fillId="0" borderId="124" xfId="0" applyBorder="1" applyAlignment="1">
      <alignment wrapText="1"/>
    </xf>
    <xf numFmtId="0" fontId="0" fillId="0" borderId="104" xfId="0" applyBorder="1"/>
    <xf numFmtId="0" fontId="0" fillId="0" borderId="128" xfId="0" applyBorder="1"/>
    <xf numFmtId="0" fontId="0" fillId="0" borderId="129" xfId="0" applyBorder="1"/>
    <xf numFmtId="170" fontId="0" fillId="0" borderId="129" xfId="0" applyNumberFormat="1" applyBorder="1"/>
    <xf numFmtId="0" fontId="0" fillId="0" borderId="130" xfId="0" applyBorder="1"/>
    <xf numFmtId="0" fontId="12" fillId="0" borderId="0" xfId="4" applyAlignment="1" applyProtection="1">
      <alignment vertical="center"/>
    </xf>
    <xf numFmtId="44" fontId="0" fillId="7" borderId="21" xfId="1" applyNumberFormat="1" applyFont="1" applyFill="1" applyBorder="1" applyAlignment="1" applyProtection="1">
      <alignment vertical="center"/>
    </xf>
    <xf numFmtId="44" fontId="0" fillId="7" borderId="2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3" fontId="12" fillId="0" borderId="0" xfId="4" applyNumberFormat="1" applyAlignment="1" applyProtection="1">
      <alignment vertical="center"/>
    </xf>
    <xf numFmtId="0" fontId="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0" fillId="3" borderId="5" xfId="2" applyNumberFormat="1" applyFont="1" applyFill="1" applyBorder="1" applyAlignment="1" applyProtection="1">
      <alignment vertical="center" wrapText="1"/>
    </xf>
    <xf numFmtId="0" fontId="0" fillId="7" borderId="5" xfId="0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44" fontId="0" fillId="3" borderId="5" xfId="2" applyFont="1" applyFill="1" applyBorder="1" applyAlignment="1" applyProtection="1">
      <alignment vertical="center" wrapText="1"/>
    </xf>
    <xf numFmtId="44" fontId="0" fillId="7" borderId="5" xfId="0" applyNumberFormat="1" applyFill="1" applyBorder="1" applyAlignment="1">
      <alignment vertical="center"/>
    </xf>
    <xf numFmtId="3" fontId="0" fillId="3" borderId="5" xfId="2" applyNumberFormat="1" applyFont="1" applyFill="1" applyBorder="1" applyAlignment="1" applyProtection="1">
      <alignment vertical="center" shrinkToFit="1"/>
    </xf>
    <xf numFmtId="44" fontId="0" fillId="3" borderId="5" xfId="2" applyFont="1" applyFill="1" applyBorder="1" applyAlignment="1" applyProtection="1">
      <alignment vertical="center" shrinkToFit="1"/>
    </xf>
    <xf numFmtId="0" fontId="3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4" borderId="38" xfId="0" applyFill="1" applyBorder="1" applyAlignment="1" applyProtection="1">
      <alignment vertical="center"/>
      <protection locked="0"/>
    </xf>
    <xf numFmtId="39" fontId="0" fillId="4" borderId="16" xfId="2" applyNumberFormat="1" applyFont="1" applyFill="1" applyBorder="1" applyAlignment="1" applyProtection="1">
      <alignment vertical="center" shrinkToFit="1"/>
      <protection locked="0"/>
    </xf>
    <xf numFmtId="173" fontId="0" fillId="3" borderId="5" xfId="2" applyNumberFormat="1" applyFont="1" applyFill="1" applyBorder="1" applyAlignment="1" applyProtection="1">
      <alignment vertical="center"/>
    </xf>
    <xf numFmtId="44" fontId="0" fillId="3" borderId="16" xfId="2" applyFont="1" applyFill="1" applyBorder="1" applyAlignment="1" applyProtection="1">
      <alignment vertical="center"/>
    </xf>
    <xf numFmtId="10" fontId="0" fillId="7" borderId="16" xfId="3" applyNumberFormat="1" applyFont="1" applyFill="1" applyBorder="1" applyAlignment="1" applyProtection="1">
      <alignment vertical="center" wrapText="1"/>
    </xf>
    <xf numFmtId="10" fontId="0" fillId="3" borderId="16" xfId="2" applyNumberFormat="1" applyFont="1" applyFill="1" applyBorder="1" applyAlignment="1" applyProtection="1">
      <alignment vertical="center"/>
    </xf>
    <xf numFmtId="169" fontId="0" fillId="3" borderId="16" xfId="2" applyNumberFormat="1" applyFont="1" applyFill="1" applyBorder="1" applyAlignment="1" applyProtection="1">
      <alignment vertical="center"/>
    </xf>
    <xf numFmtId="167" fontId="0" fillId="3" borderId="16" xfId="2" applyNumberFormat="1" applyFont="1" applyFill="1" applyBorder="1" applyAlignment="1" applyProtection="1">
      <alignment vertical="center"/>
    </xf>
    <xf numFmtId="44" fontId="0" fillId="3" borderId="37" xfId="2" applyFont="1" applyFill="1" applyBorder="1" applyAlignment="1" applyProtection="1">
      <alignment vertical="center"/>
    </xf>
    <xf numFmtId="0" fontId="0" fillId="4" borderId="27" xfId="0" applyFill="1" applyBorder="1" applyAlignment="1" applyProtection="1">
      <alignment vertical="center"/>
      <protection locked="0"/>
    </xf>
    <xf numFmtId="39" fontId="0" fillId="4" borderId="5" xfId="2" applyNumberFormat="1" applyFont="1" applyFill="1" applyBorder="1" applyAlignment="1" applyProtection="1">
      <alignment vertical="center" shrinkToFit="1"/>
      <protection locked="0"/>
    </xf>
    <xf numFmtId="44" fontId="0" fillId="3" borderId="5" xfId="2" applyFont="1" applyFill="1" applyBorder="1" applyAlignment="1" applyProtection="1">
      <alignment vertical="center"/>
    </xf>
    <xf numFmtId="10" fontId="0" fillId="7" borderId="5" xfId="3" applyNumberFormat="1" applyFont="1" applyFill="1" applyBorder="1" applyAlignment="1" applyProtection="1">
      <alignment vertical="center" wrapText="1"/>
    </xf>
    <xf numFmtId="10" fontId="0" fillId="3" borderId="5" xfId="2" applyNumberFormat="1" applyFont="1" applyFill="1" applyBorder="1" applyAlignment="1" applyProtection="1">
      <alignment vertical="center"/>
    </xf>
    <xf numFmtId="169" fontId="0" fillId="3" borderId="5" xfId="2" applyNumberFormat="1" applyFont="1" applyFill="1" applyBorder="1" applyAlignment="1" applyProtection="1">
      <alignment vertical="center"/>
    </xf>
    <xf numFmtId="167" fontId="0" fillId="3" borderId="5" xfId="2" applyNumberFormat="1" applyFont="1" applyFill="1" applyBorder="1" applyAlignment="1" applyProtection="1">
      <alignment vertical="center"/>
    </xf>
    <xf numFmtId="44" fontId="0" fillId="3" borderId="39" xfId="2" applyFont="1" applyFill="1" applyBorder="1" applyAlignment="1" applyProtection="1">
      <alignment vertical="center"/>
    </xf>
    <xf numFmtId="0" fontId="0" fillId="4" borderId="28" xfId="0" applyFill="1" applyBorder="1" applyAlignment="1" applyProtection="1">
      <alignment vertical="center"/>
      <protection locked="0"/>
    </xf>
    <xf numFmtId="39" fontId="0" fillId="4" borderId="9" xfId="2" applyNumberFormat="1" applyFont="1" applyFill="1" applyBorder="1" applyAlignment="1" applyProtection="1">
      <alignment vertical="center" shrinkToFit="1"/>
      <protection locked="0"/>
    </xf>
    <xf numFmtId="173" fontId="0" fillId="3" borderId="9" xfId="2" applyNumberFormat="1" applyFont="1" applyFill="1" applyBorder="1" applyAlignment="1" applyProtection="1">
      <alignment vertical="center"/>
    </xf>
    <xf numFmtId="44" fontId="0" fillId="3" borderId="9" xfId="2" applyFont="1" applyFill="1" applyBorder="1" applyAlignment="1" applyProtection="1">
      <alignment vertical="center"/>
    </xf>
    <xf numFmtId="10" fontId="0" fillId="7" borderId="9" xfId="3" applyNumberFormat="1" applyFont="1" applyFill="1" applyBorder="1" applyAlignment="1" applyProtection="1">
      <alignment vertical="center" wrapText="1"/>
    </xf>
    <xf numFmtId="10" fontId="0" fillId="3" borderId="9" xfId="2" applyNumberFormat="1" applyFont="1" applyFill="1" applyBorder="1" applyAlignment="1" applyProtection="1">
      <alignment vertical="center"/>
    </xf>
    <xf numFmtId="169" fontId="0" fillId="3" borderId="9" xfId="2" applyNumberFormat="1" applyFont="1" applyFill="1" applyBorder="1" applyAlignment="1" applyProtection="1">
      <alignment vertical="center"/>
    </xf>
    <xf numFmtId="167" fontId="0" fillId="3" borderId="9" xfId="2" applyNumberFormat="1" applyFont="1" applyFill="1" applyBorder="1" applyAlignment="1" applyProtection="1">
      <alignment vertical="center"/>
    </xf>
    <xf numFmtId="44" fontId="0" fillId="3" borderId="32" xfId="2" applyFont="1" applyFill="1" applyBorder="1" applyAlignment="1" applyProtection="1">
      <alignment vertical="center"/>
    </xf>
    <xf numFmtId="39" fontId="0" fillId="4" borderId="8" xfId="2" applyNumberFormat="1" applyFont="1" applyFill="1" applyBorder="1" applyAlignment="1" applyProtection="1">
      <alignment vertical="center" shrinkToFit="1"/>
      <protection locked="0"/>
    </xf>
    <xf numFmtId="173" fontId="0" fillId="3" borderId="8" xfId="2" applyNumberFormat="1" applyFont="1" applyFill="1" applyBorder="1" applyAlignment="1" applyProtection="1">
      <alignment vertical="center"/>
    </xf>
    <xf numFmtId="44" fontId="0" fillId="3" borderId="8" xfId="2" applyFont="1" applyFill="1" applyBorder="1" applyAlignment="1" applyProtection="1">
      <alignment vertical="center"/>
    </xf>
    <xf numFmtId="10" fontId="0" fillId="7" borderId="8" xfId="3" applyNumberFormat="1" applyFont="1" applyFill="1" applyBorder="1" applyAlignment="1" applyProtection="1">
      <alignment vertical="center" wrapText="1"/>
    </xf>
    <xf numFmtId="10" fontId="0" fillId="3" borderId="8" xfId="2" applyNumberFormat="1" applyFont="1" applyFill="1" applyBorder="1" applyAlignment="1" applyProtection="1">
      <alignment vertical="center"/>
    </xf>
    <xf numFmtId="169" fontId="0" fillId="3" borderId="8" xfId="2" applyNumberFormat="1" applyFont="1" applyFill="1" applyBorder="1" applyAlignment="1" applyProtection="1">
      <alignment vertical="center"/>
    </xf>
    <xf numFmtId="167" fontId="0" fillId="3" borderId="8" xfId="2" applyNumberFormat="1" applyFont="1" applyFill="1" applyBorder="1" applyAlignment="1" applyProtection="1">
      <alignment vertical="center"/>
    </xf>
    <xf numFmtId="44" fontId="0" fillId="3" borderId="43" xfId="2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168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4" fontId="0" fillId="0" borderId="0" xfId="2" applyFont="1" applyFill="1" applyBorder="1" applyAlignment="1" applyProtection="1">
      <alignment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4" borderId="38" xfId="0" applyFill="1" applyBorder="1" applyAlignment="1" applyProtection="1">
      <alignment vertical="center" wrapText="1" shrinkToFit="1"/>
      <protection locked="0"/>
    </xf>
    <xf numFmtId="165" fontId="0" fillId="4" borderId="16" xfId="8" applyNumberFormat="1" applyFont="1" applyFill="1" applyBorder="1" applyAlignment="1" applyProtection="1">
      <alignment vertical="center" shrinkToFit="1"/>
      <protection locked="0"/>
    </xf>
    <xf numFmtId="44" fontId="0" fillId="7" borderId="16" xfId="6" applyFont="1" applyFill="1" applyBorder="1" applyAlignment="1" applyProtection="1">
      <alignment vertical="center"/>
    </xf>
    <xf numFmtId="166" fontId="0" fillId="4" borderId="38" xfId="1" applyNumberFormat="1" applyFont="1" applyFill="1" applyBorder="1" applyAlignment="1" applyProtection="1">
      <alignment vertical="center" wrapText="1"/>
      <protection locked="0"/>
    </xf>
    <xf numFmtId="10" fontId="0" fillId="4" borderId="16" xfId="1" applyNumberFormat="1" applyFont="1" applyFill="1" applyBorder="1" applyAlignment="1" applyProtection="1">
      <alignment vertical="center"/>
      <protection locked="0"/>
    </xf>
    <xf numFmtId="166" fontId="0" fillId="4" borderId="16" xfId="1" applyNumberFormat="1" applyFont="1" applyFill="1" applyBorder="1" applyAlignment="1" applyProtection="1">
      <alignment vertical="center"/>
      <protection locked="0"/>
    </xf>
    <xf numFmtId="44" fontId="0" fillId="7" borderId="16" xfId="1" applyNumberFormat="1" applyFont="1" applyFill="1" applyBorder="1" applyAlignment="1" applyProtection="1">
      <alignment vertical="center"/>
    </xf>
    <xf numFmtId="44" fontId="0" fillId="3" borderId="37" xfId="2" applyFont="1" applyFill="1" applyBorder="1" applyAlignment="1" applyProtection="1">
      <alignment vertical="center" wrapText="1"/>
    </xf>
    <xf numFmtId="0" fontId="0" fillId="4" borderId="27" xfId="0" applyFill="1" applyBorder="1" applyAlignment="1" applyProtection="1">
      <alignment vertical="center" wrapText="1" shrinkToFit="1"/>
      <protection locked="0"/>
    </xf>
    <xf numFmtId="165" fontId="0" fillId="4" borderId="5" xfId="8" applyNumberFormat="1" applyFont="1" applyFill="1" applyBorder="1" applyAlignment="1" applyProtection="1">
      <alignment vertical="center" shrinkToFit="1"/>
      <protection locked="0"/>
    </xf>
    <xf numFmtId="44" fontId="0" fillId="7" borderId="5" xfId="6" applyFont="1" applyFill="1" applyBorder="1" applyAlignment="1" applyProtection="1">
      <alignment vertical="center"/>
    </xf>
    <xf numFmtId="166" fontId="0" fillId="4" borderId="27" xfId="1" applyNumberFormat="1" applyFont="1" applyFill="1" applyBorder="1" applyAlignment="1" applyProtection="1">
      <alignment vertical="center" wrapText="1"/>
      <protection locked="0"/>
    </xf>
    <xf numFmtId="10" fontId="0" fillId="4" borderId="5" xfId="1" applyNumberFormat="1" applyFont="1" applyFill="1" applyBorder="1" applyAlignment="1" applyProtection="1">
      <alignment vertical="center"/>
      <protection locked="0"/>
    </xf>
    <xf numFmtId="166" fontId="0" fillId="4" borderId="5" xfId="1" applyNumberFormat="1" applyFont="1" applyFill="1" applyBorder="1" applyAlignment="1" applyProtection="1">
      <alignment vertical="center"/>
      <protection locked="0"/>
    </xf>
    <xf numFmtId="44" fontId="0" fillId="7" borderId="108" xfId="1" applyNumberFormat="1" applyFont="1" applyFill="1" applyBorder="1" applyAlignment="1" applyProtection="1">
      <alignment vertical="center"/>
    </xf>
    <xf numFmtId="44" fontId="0" fillId="3" borderId="43" xfId="2" applyFont="1" applyFill="1" applyBorder="1" applyAlignment="1" applyProtection="1">
      <alignment vertical="center" wrapText="1"/>
    </xf>
    <xf numFmtId="44" fontId="0" fillId="7" borderId="3" xfId="1" applyNumberFormat="1" applyFont="1" applyFill="1" applyBorder="1" applyAlignment="1" applyProtection="1">
      <alignment vertical="center"/>
    </xf>
    <xf numFmtId="0" fontId="0" fillId="4" borderId="28" xfId="0" applyFill="1" applyBorder="1" applyAlignment="1" applyProtection="1">
      <alignment vertical="center" wrapText="1" shrinkToFit="1"/>
      <protection locked="0"/>
    </xf>
    <xf numFmtId="165" fontId="0" fillId="4" borderId="9" xfId="8" applyNumberFormat="1" applyFont="1" applyFill="1" applyBorder="1" applyAlignment="1" applyProtection="1">
      <alignment vertical="center" shrinkToFit="1"/>
      <protection locked="0"/>
    </xf>
    <xf numFmtId="44" fontId="0" fillId="7" borderId="9" xfId="6" applyFont="1" applyFill="1" applyBorder="1" applyAlignment="1" applyProtection="1">
      <alignment vertical="center"/>
    </xf>
    <xf numFmtId="166" fontId="0" fillId="4" borderId="28" xfId="1" applyNumberFormat="1" applyFont="1" applyFill="1" applyBorder="1" applyAlignment="1" applyProtection="1">
      <alignment vertical="center" wrapText="1"/>
      <protection locked="0"/>
    </xf>
    <xf numFmtId="10" fontId="0" fillId="4" borderId="9" xfId="1" applyNumberFormat="1" applyFont="1" applyFill="1" applyBorder="1" applyAlignment="1" applyProtection="1">
      <alignment vertical="center"/>
      <protection locked="0"/>
    </xf>
    <xf numFmtId="166" fontId="0" fillId="4" borderId="9" xfId="1" applyNumberFormat="1" applyFont="1" applyFill="1" applyBorder="1" applyAlignment="1" applyProtection="1">
      <alignment vertical="center"/>
      <protection locked="0"/>
    </xf>
    <xf numFmtId="44" fontId="0" fillId="7" borderId="41" xfId="1" applyNumberFormat="1" applyFont="1" applyFill="1" applyBorder="1" applyAlignment="1" applyProtection="1">
      <alignment vertical="center"/>
    </xf>
    <xf numFmtId="44" fontId="0" fillId="3" borderId="32" xfId="2" applyFont="1" applyFill="1" applyBorder="1" applyAlignment="1" applyProtection="1">
      <alignment vertical="center" wrapText="1"/>
    </xf>
    <xf numFmtId="0" fontId="0" fillId="4" borderId="29" xfId="0" applyFill="1" applyBorder="1" applyAlignment="1" applyProtection="1">
      <alignment vertical="center" wrapText="1" shrinkToFit="1"/>
      <protection locked="0"/>
    </xf>
    <xf numFmtId="165" fontId="0" fillId="4" borderId="8" xfId="8" applyNumberFormat="1" applyFont="1" applyFill="1" applyBorder="1" applyAlignment="1" applyProtection="1">
      <alignment vertical="center" shrinkToFit="1"/>
      <protection locked="0"/>
    </xf>
    <xf numFmtId="44" fontId="0" fillId="7" borderId="8" xfId="6" applyFont="1" applyFill="1" applyBorder="1" applyAlignment="1" applyProtection="1">
      <alignment vertical="center"/>
    </xf>
    <xf numFmtId="0" fontId="0" fillId="4" borderId="29" xfId="0" applyFill="1" applyBorder="1" applyAlignment="1" applyProtection="1">
      <alignment vertical="center" wrapText="1"/>
      <protection locked="0"/>
    </xf>
    <xf numFmtId="10" fontId="0" fillId="4" borderId="8" xfId="1" applyNumberFormat="1" applyFont="1" applyFill="1" applyBorder="1" applyAlignment="1" applyProtection="1">
      <alignment vertical="center"/>
      <protection locked="0"/>
    </xf>
    <xf numFmtId="166" fontId="0" fillId="4" borderId="8" xfId="1" applyNumberFormat="1" applyFont="1" applyFill="1" applyBorder="1" applyAlignment="1" applyProtection="1">
      <alignment vertical="center"/>
      <protection locked="0"/>
    </xf>
    <xf numFmtId="44" fontId="0" fillId="7" borderId="108" xfId="0" applyNumberFormat="1" applyFill="1" applyBorder="1" applyAlignment="1">
      <alignment vertical="center"/>
    </xf>
    <xf numFmtId="0" fontId="0" fillId="4" borderId="27" xfId="0" applyFill="1" applyBorder="1" applyAlignment="1" applyProtection="1">
      <alignment vertical="center" wrapText="1"/>
      <protection locked="0"/>
    </xf>
    <xf numFmtId="44" fontId="0" fillId="7" borderId="3" xfId="0" applyNumberFormat="1" applyFill="1" applyBorder="1" applyAlignment="1">
      <alignment vertical="center"/>
    </xf>
    <xf numFmtId="0" fontId="0" fillId="4" borderId="28" xfId="0" applyFill="1" applyBorder="1" applyAlignment="1" applyProtection="1">
      <alignment vertical="center" wrapText="1"/>
      <protection locked="0"/>
    </xf>
    <xf numFmtId="44" fontId="0" fillId="7" borderId="41" xfId="0" applyNumberFormat="1" applyFill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165" fontId="0" fillId="4" borderId="9" xfId="1" applyNumberFormat="1" applyFont="1" applyFill="1" applyBorder="1" applyAlignment="1" applyProtection="1">
      <alignment vertical="center" shrinkToFit="1"/>
      <protection locked="0"/>
    </xf>
    <xf numFmtId="44" fontId="0" fillId="7" borderId="11" xfId="2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  <protection locked="0"/>
    </xf>
    <xf numFmtId="37" fontId="0" fillId="4" borderId="1" xfId="0" applyNumberFormat="1" applyFill="1" applyBorder="1" applyAlignment="1" applyProtection="1">
      <alignment vertical="center"/>
      <protection locked="0"/>
    </xf>
    <xf numFmtId="44" fontId="0" fillId="3" borderId="16" xfId="6" applyFont="1" applyFill="1" applyBorder="1" applyAlignment="1" applyProtection="1">
      <alignment vertical="center"/>
    </xf>
    <xf numFmtId="44" fontId="0" fillId="3" borderId="20" xfId="6" applyFont="1" applyFill="1" applyBorder="1" applyAlignment="1" applyProtection="1">
      <alignment vertical="center"/>
    </xf>
    <xf numFmtId="44" fontId="0" fillId="3" borderId="37" xfId="6" applyFont="1" applyFill="1" applyBorder="1" applyAlignment="1" applyProtection="1">
      <alignment vertical="center"/>
    </xf>
    <xf numFmtId="165" fontId="0" fillId="4" borderId="8" xfId="1" applyNumberFormat="1" applyFont="1" applyFill="1" applyBorder="1" applyAlignment="1" applyProtection="1">
      <alignment vertical="center" shrinkToFit="1"/>
      <protection locked="0"/>
    </xf>
    <xf numFmtId="44" fontId="0" fillId="7" borderId="10" xfId="2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vertical="center"/>
      <protection locked="0"/>
    </xf>
    <xf numFmtId="37" fontId="0" fillId="4" borderId="11" xfId="0" applyNumberFormat="1" applyFill="1" applyBorder="1" applyAlignment="1" applyProtection="1">
      <alignment vertical="center"/>
      <protection locked="0"/>
    </xf>
    <xf numFmtId="44" fontId="0" fillId="3" borderId="9" xfId="6" applyFont="1" applyFill="1" applyBorder="1" applyAlignment="1" applyProtection="1">
      <alignment vertical="center"/>
    </xf>
    <xf numFmtId="44" fontId="0" fillId="3" borderId="11" xfId="6" applyFont="1" applyFill="1" applyBorder="1" applyAlignment="1" applyProtection="1">
      <alignment vertical="center"/>
    </xf>
    <xf numFmtId="44" fontId="0" fillId="3" borderId="32" xfId="6" applyFont="1" applyFill="1" applyBorder="1" applyAlignment="1" applyProtection="1">
      <alignment vertical="center"/>
    </xf>
    <xf numFmtId="165" fontId="0" fillId="4" borderId="5" xfId="1" applyNumberFormat="1" applyFont="1" applyFill="1" applyBorder="1" applyAlignment="1" applyProtection="1">
      <alignment vertical="center" shrinkToFit="1"/>
      <protection locked="0"/>
    </xf>
    <xf numFmtId="44" fontId="0" fillId="7" borderId="1" xfId="2" applyFont="1" applyFill="1" applyBorder="1" applyAlignment="1" applyProtection="1">
      <alignment vertical="center"/>
    </xf>
    <xf numFmtId="0" fontId="0" fillId="0" borderId="19" xfId="0" applyBorder="1" applyAlignment="1" applyProtection="1">
      <alignment vertical="center"/>
      <protection locked="0"/>
    </xf>
    <xf numFmtId="37" fontId="0" fillId="0" borderId="19" xfId="0" applyNumberFormat="1" applyBorder="1" applyAlignment="1" applyProtection="1">
      <alignment vertical="center"/>
      <protection locked="0"/>
    </xf>
    <xf numFmtId="44" fontId="0" fillId="0" borderId="19" xfId="6" applyFont="1" applyFill="1" applyBorder="1" applyAlignment="1" applyProtection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37" fontId="0" fillId="9" borderId="0" xfId="0" applyNumberFormat="1" applyFill="1" applyAlignment="1" applyProtection="1">
      <alignment vertical="center"/>
      <protection locked="0"/>
    </xf>
    <xf numFmtId="44" fontId="0" fillId="9" borderId="0" xfId="6" applyFont="1" applyFill="1" applyBorder="1" applyAlignment="1" applyProtection="1">
      <alignment vertical="center"/>
    </xf>
    <xf numFmtId="0" fontId="3" fillId="0" borderId="38" xfId="0" applyFont="1" applyBorder="1" applyAlignment="1">
      <alignment horizontal="center" vertical="center" wrapText="1" shrinkToFit="1"/>
    </xf>
    <xf numFmtId="165" fontId="3" fillId="0" borderId="37" xfId="1" applyNumberFormat="1" applyFont="1" applyFill="1" applyBorder="1" applyAlignment="1" applyProtection="1">
      <alignment horizontal="center" vertical="center" shrinkToFit="1"/>
    </xf>
    <xf numFmtId="0" fontId="0" fillId="6" borderId="27" xfId="0" applyFill="1" applyBorder="1" applyAlignment="1" applyProtection="1">
      <alignment vertical="center" wrapText="1" shrinkToFit="1"/>
      <protection locked="0"/>
    </xf>
    <xf numFmtId="44" fontId="0" fillId="7" borderId="39" xfId="2" applyFont="1" applyFill="1" applyBorder="1" applyAlignment="1" applyProtection="1">
      <alignment vertical="center"/>
    </xf>
    <xf numFmtId="0" fontId="0" fillId="6" borderId="28" xfId="0" applyFill="1" applyBorder="1" applyAlignment="1" applyProtection="1">
      <alignment vertical="center" wrapText="1"/>
      <protection locked="0"/>
    </xf>
    <xf numFmtId="44" fontId="0" fillId="7" borderId="32" xfId="2" applyFont="1" applyFill="1" applyBorder="1" applyAlignment="1">
      <alignment vertical="center"/>
    </xf>
    <xf numFmtId="0" fontId="0" fillId="0" borderId="0" xfId="0" applyAlignment="1" applyProtection="1">
      <alignment vertical="center" wrapText="1" shrinkToFit="1"/>
      <protection locked="0"/>
    </xf>
    <xf numFmtId="165" fontId="0" fillId="0" borderId="0" xfId="1" applyNumberFormat="1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4" borderId="38" xfId="0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65" fontId="3" fillId="0" borderId="0" xfId="1" applyNumberFormat="1" applyFont="1" applyFill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vertical="center" shrinkToFit="1"/>
      <protection locked="0"/>
    </xf>
    <xf numFmtId="43" fontId="0" fillId="0" borderId="0" xfId="1" applyFont="1" applyFill="1" applyBorder="1" applyAlignment="1" applyProtection="1">
      <alignment vertical="center"/>
    </xf>
    <xf numFmtId="0" fontId="0" fillId="0" borderId="17" xfId="0" applyBorder="1" applyAlignment="1" applyProtection="1">
      <alignment vertical="center"/>
      <protection locked="0"/>
    </xf>
    <xf numFmtId="0" fontId="4" fillId="0" borderId="17" xfId="0" applyFont="1" applyBorder="1" applyAlignment="1">
      <alignment horizontal="center" vertical="center"/>
    </xf>
    <xf numFmtId="44" fontId="0" fillId="0" borderId="17" xfId="6" applyFont="1" applyFill="1" applyBorder="1" applyAlignment="1" applyProtection="1">
      <alignment vertical="center"/>
    </xf>
    <xf numFmtId="44" fontId="0" fillId="0" borderId="0" xfId="6" applyFont="1" applyFill="1" applyBorder="1" applyAlignment="1" applyProtection="1">
      <alignment vertical="center"/>
    </xf>
    <xf numFmtId="43" fontId="0" fillId="7" borderId="39" xfId="1" applyFont="1" applyFill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 shrinkToFit="1"/>
    </xf>
    <xf numFmtId="43" fontId="0" fillId="7" borderId="32" xfId="0" applyNumberFormat="1" applyFill="1" applyBorder="1" applyAlignment="1">
      <alignment vertical="center"/>
    </xf>
    <xf numFmtId="44" fontId="0" fillId="0" borderId="42" xfId="6" applyFont="1" applyFill="1" applyBorder="1" applyAlignment="1" applyProtection="1">
      <alignment vertical="center"/>
    </xf>
    <xf numFmtId="3" fontId="0" fillId="0" borderId="0" xfId="2" applyNumberFormat="1" applyFont="1" applyFill="1" applyBorder="1" applyAlignment="1" applyProtection="1">
      <alignment vertical="center" shrinkToFit="1"/>
    </xf>
    <xf numFmtId="44" fontId="0" fillId="0" borderId="0" xfId="2" applyFont="1" applyFill="1" applyBorder="1" applyAlignment="1" applyProtection="1">
      <alignment vertical="center" shrinkToFit="1"/>
    </xf>
    <xf numFmtId="3" fontId="27" fillId="0" borderId="0" xfId="0" applyNumberFormat="1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 shrinkToFit="1"/>
    </xf>
    <xf numFmtId="0" fontId="0" fillId="0" borderId="87" xfId="0" applyBorder="1" applyAlignment="1">
      <alignment wrapText="1"/>
    </xf>
    <xf numFmtId="0" fontId="0" fillId="0" borderId="88" xfId="0" applyBorder="1" applyAlignment="1">
      <alignment wrapText="1"/>
    </xf>
    <xf numFmtId="0" fontId="0" fillId="0" borderId="36" xfId="0" applyBorder="1" applyAlignment="1">
      <alignment wrapText="1"/>
    </xf>
    <xf numFmtId="0" fontId="31" fillId="0" borderId="89" xfId="0" applyFont="1" applyBorder="1" applyAlignment="1">
      <alignment wrapText="1"/>
    </xf>
    <xf numFmtId="0" fontId="31" fillId="0" borderId="88" xfId="0" applyFont="1" applyBorder="1" applyAlignment="1">
      <alignment wrapText="1"/>
    </xf>
    <xf numFmtId="0" fontId="31" fillId="0" borderId="40" xfId="0" applyFont="1" applyBorder="1" applyAlignment="1">
      <alignment wrapText="1"/>
    </xf>
    <xf numFmtId="0" fontId="5" fillId="0" borderId="89" xfId="0" applyFont="1" applyBorder="1" applyAlignment="1">
      <alignment wrapText="1"/>
    </xf>
    <xf numFmtId="0" fontId="5" fillId="0" borderId="0" xfId="0" applyFont="1" applyAlignment="1">
      <alignment wrapText="1"/>
    </xf>
    <xf numFmtId="0" fontId="31" fillId="0" borderId="90" xfId="0" applyFont="1" applyBorder="1" applyAlignment="1">
      <alignment wrapText="1"/>
    </xf>
    <xf numFmtId="0" fontId="31" fillId="0" borderId="42" xfId="0" applyFont="1" applyBorder="1" applyAlignment="1">
      <alignment wrapText="1"/>
    </xf>
    <xf numFmtId="0" fontId="0" fillId="0" borderId="90" xfId="0" applyBorder="1" applyAlignment="1">
      <alignment wrapText="1"/>
    </xf>
    <xf numFmtId="0" fontId="0" fillId="0" borderId="42" xfId="0" applyBorder="1" applyAlignment="1">
      <alignment wrapText="1"/>
    </xf>
    <xf numFmtId="0" fontId="32" fillId="0" borderId="91" xfId="0" applyFont="1" applyBorder="1" applyAlignment="1">
      <alignment wrapText="1"/>
    </xf>
    <xf numFmtId="0" fontId="0" fillId="0" borderId="86" xfId="0" applyBorder="1" applyAlignment="1">
      <alignment wrapText="1"/>
    </xf>
    <xf numFmtId="2" fontId="0" fillId="4" borderId="5" xfId="2" applyNumberFormat="1" applyFont="1" applyFill="1" applyBorder="1" applyProtection="1">
      <protection locked="0"/>
    </xf>
    <xf numFmtId="2" fontId="0" fillId="4" borderId="9" xfId="2" applyNumberFormat="1" applyFont="1" applyFill="1" applyBorder="1" applyProtection="1">
      <protection locked="0"/>
    </xf>
    <xf numFmtId="2" fontId="0" fillId="4" borderId="8" xfId="2" applyNumberFormat="1" applyFont="1" applyFill="1" applyBorder="1" applyProtection="1">
      <protection locked="0"/>
    </xf>
    <xf numFmtId="2" fontId="0" fillId="4" borderId="16" xfId="2" applyNumberFormat="1" applyFont="1" applyFill="1" applyBorder="1" applyProtection="1">
      <protection locked="0"/>
    </xf>
    <xf numFmtId="2" fontId="0" fillId="4" borderId="56" xfId="2" applyNumberFormat="1" applyFont="1" applyFill="1" applyBorder="1" applyProtection="1">
      <protection locked="0"/>
    </xf>
    <xf numFmtId="167" fontId="0" fillId="3" borderId="47" xfId="2" applyNumberFormat="1" applyFont="1" applyFill="1" applyBorder="1" applyAlignment="1" applyProtection="1">
      <alignment horizontal="right" vertical="center" shrinkToFit="1"/>
    </xf>
    <xf numFmtId="0" fontId="0" fillId="4" borderId="21" xfId="0" applyFill="1" applyBorder="1" applyProtection="1">
      <protection locked="0"/>
    </xf>
    <xf numFmtId="37" fontId="0" fillId="3" borderId="5" xfId="2" applyNumberFormat="1" applyFont="1" applyFill="1" applyBorder="1" applyAlignment="1" applyProtection="1">
      <alignment vertical="center" shrinkToFit="1"/>
    </xf>
    <xf numFmtId="0" fontId="0" fillId="0" borderId="92" xfId="0" applyBorder="1" applyAlignment="1">
      <alignment horizontal="center" wrapText="1"/>
    </xf>
    <xf numFmtId="0" fontId="0" fillId="0" borderId="93" xfId="0" applyBorder="1" applyAlignment="1">
      <alignment horizontal="center" wrapText="1"/>
    </xf>
    <xf numFmtId="0" fontId="0" fillId="0" borderId="94" xfId="0" applyBorder="1" applyAlignment="1">
      <alignment horizontal="center" wrapText="1"/>
    </xf>
    <xf numFmtId="0" fontId="5" fillId="4" borderId="27" xfId="0" applyFont="1" applyFill="1" applyBorder="1" applyAlignment="1" applyProtection="1">
      <alignment horizontal="center" vertical="center" wrapText="1"/>
      <protection locked="0"/>
    </xf>
    <xf numFmtId="44" fontId="5" fillId="0" borderId="0" xfId="2" applyFont="1" applyFill="1" applyBorder="1" applyAlignment="1">
      <alignment horizontal="center"/>
    </xf>
    <xf numFmtId="44" fontId="5" fillId="0" borderId="0" xfId="2" applyFont="1" applyFill="1" applyBorder="1" applyAlignment="1">
      <alignment horizontal="right"/>
    </xf>
    <xf numFmtId="0" fontId="5" fillId="9" borderId="0" xfId="0" applyFont="1" applyFill="1"/>
    <xf numFmtId="0" fontId="0" fillId="9" borderId="0" xfId="0" applyFill="1"/>
    <xf numFmtId="44" fontId="5" fillId="9" borderId="2" xfId="2" applyFont="1" applyFill="1" applyBorder="1" applyAlignment="1">
      <alignment horizontal="right"/>
    </xf>
    <xf numFmtId="0" fontId="38" fillId="0" borderId="0" xfId="4" applyFont="1" applyAlignment="1" applyProtection="1"/>
    <xf numFmtId="39" fontId="5" fillId="0" borderId="0" xfId="2" applyNumberFormat="1" applyFont="1" applyFill="1" applyBorder="1" applyAlignment="1">
      <alignment horizontal="right"/>
    </xf>
    <xf numFmtId="39" fontId="5" fillId="0" borderId="2" xfId="2" applyNumberFormat="1" applyFont="1" applyFill="1" applyBorder="1" applyAlignment="1">
      <alignment horizontal="right"/>
    </xf>
    <xf numFmtId="0" fontId="38" fillId="0" borderId="0" xfId="0" applyFont="1"/>
    <xf numFmtId="44" fontId="5" fillId="6" borderId="5" xfId="2" applyFont="1" applyFill="1" applyBorder="1" applyAlignment="1" applyProtection="1">
      <alignment horizontal="right" shrinkToFit="1"/>
      <protection locked="0"/>
    </xf>
    <xf numFmtId="167" fontId="5" fillId="6" borderId="5" xfId="2" applyNumberFormat="1" applyFont="1" applyFill="1" applyBorder="1" applyAlignment="1" applyProtection="1">
      <alignment horizontal="right" shrinkToFit="1"/>
      <protection locked="0"/>
    </xf>
    <xf numFmtId="169" fontId="5" fillId="3" borderId="5" xfId="3" applyNumberFormat="1" applyFont="1" applyFill="1" applyBorder="1" applyAlignment="1">
      <alignment horizontal="right" shrinkToFit="1"/>
    </xf>
    <xf numFmtId="0" fontId="33" fillId="0" borderId="0" xfId="0" applyFont="1" applyAlignment="1">
      <alignment horizontal="center"/>
    </xf>
    <xf numFmtId="44" fontId="38" fillId="0" borderId="0" xfId="0" applyNumberFormat="1" applyFont="1"/>
    <xf numFmtId="0" fontId="38" fillId="0" borderId="0" xfId="0" applyFont="1" applyAlignment="1">
      <alignment horizontal="center" vertical="center"/>
    </xf>
    <xf numFmtId="0" fontId="33" fillId="0" borderId="0" xfId="0" applyFont="1"/>
    <xf numFmtId="0" fontId="33" fillId="0" borderId="12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8" fillId="0" borderId="122" xfId="0" applyFont="1" applyBorder="1" applyAlignment="1">
      <alignment horizontal="center"/>
    </xf>
    <xf numFmtId="0" fontId="38" fillId="0" borderId="123" xfId="0" applyFont="1" applyBorder="1" applyAlignment="1">
      <alignment horizontal="center"/>
    </xf>
    <xf numFmtId="0" fontId="38" fillId="0" borderId="100" xfId="0" applyFont="1" applyBorder="1" applyAlignment="1">
      <alignment horizontal="center"/>
    </xf>
    <xf numFmtId="0" fontId="5" fillId="7" borderId="119" xfId="0" applyFont="1" applyFill="1" applyBorder="1" applyAlignment="1" applyProtection="1">
      <alignment horizontal="center" vertical="center" wrapText="1"/>
      <protection hidden="1"/>
    </xf>
    <xf numFmtId="169" fontId="5" fillId="7" borderId="134" xfId="0" applyNumberFormat="1" applyFont="1" applyFill="1" applyBorder="1" applyAlignment="1" applyProtection="1">
      <alignment horizontal="center" vertical="center"/>
      <protection hidden="1"/>
    </xf>
    <xf numFmtId="0" fontId="5" fillId="7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shrinkToFit="1"/>
      <protection hidden="1"/>
    </xf>
    <xf numFmtId="0" fontId="0" fillId="7" borderId="21" xfId="0" applyFill="1" applyBorder="1" applyAlignment="1" applyProtection="1">
      <alignment horizontal="center" vertical="center"/>
      <protection hidden="1"/>
    </xf>
    <xf numFmtId="44" fontId="0" fillId="7" borderId="16" xfId="0" applyNumberFormat="1" applyFill="1" applyBorder="1" applyProtection="1">
      <protection hidden="1"/>
    </xf>
    <xf numFmtId="169" fontId="0" fillId="7" borderId="37" xfId="0" applyNumberFormat="1" applyFill="1" applyBorder="1" applyProtection="1"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44" fontId="0" fillId="7" borderId="5" xfId="0" applyNumberFormat="1" applyFill="1" applyBorder="1" applyProtection="1">
      <protection hidden="1"/>
    </xf>
    <xf numFmtId="169" fontId="0" fillId="7" borderId="39" xfId="0" applyNumberFormat="1" applyFill="1" applyBorder="1" applyProtection="1">
      <protection hidden="1"/>
    </xf>
    <xf numFmtId="0" fontId="0" fillId="7" borderId="135" xfId="0" applyFill="1" applyBorder="1" applyAlignment="1" applyProtection="1">
      <alignment horizontal="center" vertical="center"/>
      <protection hidden="1"/>
    </xf>
    <xf numFmtId="44" fontId="0" fillId="7" borderId="35" xfId="0" applyNumberFormat="1" applyFill="1" applyBorder="1" applyProtection="1">
      <protection hidden="1"/>
    </xf>
    <xf numFmtId="169" fontId="0" fillId="7" borderId="136" xfId="0" applyNumberFormat="1" applyFill="1" applyBorder="1" applyProtection="1">
      <protection hidden="1"/>
    </xf>
    <xf numFmtId="44" fontId="0" fillId="5" borderId="5" xfId="0" applyNumberFormat="1" applyFill="1" applyBorder="1"/>
    <xf numFmtId="7" fontId="0" fillId="0" borderId="36" xfId="0" applyNumberFormat="1" applyBorder="1"/>
    <xf numFmtId="7" fontId="0" fillId="0" borderId="0" xfId="0" applyNumberFormat="1"/>
    <xf numFmtId="43" fontId="0" fillId="5" borderId="5" xfId="1" applyFont="1" applyFill="1" applyBorder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3" fontId="0" fillId="0" borderId="0" xfId="1" applyFont="1" applyFill="1" applyBorder="1" applyProtection="1"/>
    <xf numFmtId="44" fontId="0" fillId="5" borderId="5" xfId="2" applyFont="1" applyFill="1" applyBorder="1" applyProtection="1"/>
    <xf numFmtId="1" fontId="0" fillId="5" borderId="5" xfId="1" applyNumberFormat="1" applyFont="1" applyFill="1" applyBorder="1" applyProtection="1"/>
    <xf numFmtId="1" fontId="24" fillId="0" borderId="0" xfId="0" applyNumberFormat="1" applyFont="1"/>
    <xf numFmtId="3" fontId="24" fillId="0" borderId="0" xfId="0" applyNumberFormat="1" applyFont="1"/>
    <xf numFmtId="0" fontId="0" fillId="0" borderId="42" xfId="0" applyBorder="1"/>
    <xf numFmtId="1" fontId="0" fillId="0" borderId="0" xfId="1" applyNumberFormat="1" applyFont="1" applyFill="1" applyBorder="1" applyProtection="1"/>
    <xf numFmtId="172" fontId="0" fillId="7" borderId="5" xfId="0" applyNumberFormat="1" applyFill="1" applyBorder="1" applyAlignment="1">
      <alignment shrinkToFit="1"/>
    </xf>
    <xf numFmtId="172" fontId="0" fillId="7" borderId="79" xfId="0" applyNumberFormat="1" applyFill="1" applyBorder="1" applyAlignment="1">
      <alignment shrinkToFit="1"/>
    </xf>
    <xf numFmtId="172" fontId="0" fillId="7" borderId="56" xfId="0" applyNumberFormat="1" applyFill="1" applyBorder="1" applyAlignment="1">
      <alignment shrinkToFit="1"/>
    </xf>
    <xf numFmtId="172" fontId="0" fillId="7" borderId="80" xfId="0" applyNumberFormat="1" applyFill="1" applyBorder="1" applyAlignment="1">
      <alignment shrinkToFit="1"/>
    </xf>
    <xf numFmtId="0" fontId="20" fillId="0" borderId="97" xfId="0" applyFont="1" applyBorder="1"/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20" fillId="0" borderId="122" xfId="0" applyFont="1" applyBorder="1"/>
    <xf numFmtId="3" fontId="0" fillId="0" borderId="0" xfId="0" applyNumberFormat="1" applyProtection="1">
      <protection hidden="1"/>
    </xf>
    <xf numFmtId="0" fontId="10" fillId="0" borderId="12" xfId="0" applyFont="1" applyBorder="1"/>
    <xf numFmtId="0" fontId="0" fillId="0" borderId="19" xfId="0" applyBorder="1"/>
    <xf numFmtId="0" fontId="0" fillId="0" borderId="13" xfId="0" applyBorder="1"/>
    <xf numFmtId="0" fontId="11" fillId="0" borderId="17" xfId="0" applyFont="1" applyBorder="1"/>
    <xf numFmtId="0" fontId="36" fillId="0" borderId="0" xfId="0" applyFont="1"/>
    <xf numFmtId="0" fontId="36" fillId="0" borderId="18" xfId="0" applyFont="1" applyBorder="1"/>
    <xf numFmtId="0" fontId="19" fillId="0" borderId="14" xfId="0" applyFont="1" applyBorder="1" applyAlignment="1">
      <alignment vertical="top"/>
    </xf>
    <xf numFmtId="0" fontId="36" fillId="0" borderId="4" xfId="0" applyFont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171" fontId="0" fillId="6" borderId="0" xfId="2" applyNumberFormat="1" applyFont="1" applyFill="1" applyAlignment="1" applyProtection="1">
      <alignment horizontal="center" vertical="center"/>
      <protection locked="0"/>
    </xf>
    <xf numFmtId="0" fontId="5" fillId="4" borderId="3" xfId="7" applyFill="1" applyBorder="1" applyAlignment="1" applyProtection="1">
      <alignment shrinkToFit="1"/>
      <protection locked="0"/>
    </xf>
    <xf numFmtId="8" fontId="5" fillId="4" borderId="3" xfId="7" applyNumberFormat="1" applyFill="1" applyBorder="1" applyAlignment="1" applyProtection="1">
      <alignment shrinkToFit="1"/>
      <protection locked="0"/>
    </xf>
    <xf numFmtId="0" fontId="0" fillId="7" borderId="8" xfId="0" applyFill="1" applyBorder="1" applyAlignment="1">
      <alignment horizontal="center" vertical="center" wrapText="1" shrinkToFit="1"/>
    </xf>
    <xf numFmtId="0" fontId="0" fillId="7" borderId="5" xfId="0" applyFill="1" applyBorder="1" applyAlignment="1">
      <alignment horizontal="center" vertical="center" wrapText="1" shrinkToFit="1"/>
    </xf>
    <xf numFmtId="0" fontId="0" fillId="7" borderId="56" xfId="0" applyFill="1" applyBorder="1" applyAlignment="1">
      <alignment horizontal="center" vertical="center" wrapText="1" shrinkToFit="1"/>
    </xf>
    <xf numFmtId="0" fontId="41" fillId="0" borderId="0" xfId="0" applyFont="1" applyAlignment="1">
      <alignment vertical="center"/>
    </xf>
    <xf numFmtId="0" fontId="37" fillId="0" borderId="0" xfId="0" applyFont="1"/>
    <xf numFmtId="0" fontId="42" fillId="0" borderId="0" xfId="0" applyFont="1" applyAlignment="1">
      <alignment horizontal="center" wrapText="1"/>
    </xf>
    <xf numFmtId="0" fontId="41" fillId="0" borderId="0" xfId="0" applyFont="1"/>
    <xf numFmtId="0" fontId="41" fillId="0" borderId="0" xfId="0" applyFont="1" applyAlignment="1">
      <alignment shrinkToFit="1"/>
    </xf>
    <xf numFmtId="0" fontId="43" fillId="0" borderId="0" xfId="0" applyFont="1"/>
    <xf numFmtId="0" fontId="1" fillId="0" borderId="110" xfId="0" applyFont="1" applyBorder="1" applyAlignment="1">
      <alignment horizontal="center" vertical="center" wrapText="1"/>
    </xf>
    <xf numFmtId="44" fontId="1" fillId="0" borderId="38" xfId="0" applyNumberFormat="1" applyFont="1" applyBorder="1" applyAlignment="1">
      <alignment horizontal="center" vertical="center" wrapText="1"/>
    </xf>
    <xf numFmtId="44" fontId="1" fillId="0" borderId="37" xfId="0" applyNumberFormat="1" applyFont="1" applyBorder="1" applyAlignment="1">
      <alignment horizontal="center" vertical="center" wrapText="1"/>
    </xf>
    <xf numFmtId="37" fontId="1" fillId="0" borderId="38" xfId="0" applyNumberFormat="1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44" fontId="1" fillId="0" borderId="27" xfId="0" applyNumberFormat="1" applyFont="1" applyBorder="1" applyAlignment="1">
      <alignment horizontal="center" vertical="center" wrapText="1"/>
    </xf>
    <xf numFmtId="44" fontId="1" fillId="0" borderId="39" xfId="0" applyNumberFormat="1" applyFont="1" applyBorder="1" applyAlignment="1">
      <alignment horizontal="center" vertical="center" wrapText="1"/>
    </xf>
    <xf numFmtId="37" fontId="1" fillId="0" borderId="27" xfId="0" applyNumberFormat="1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44" fontId="1" fillId="0" borderId="131" xfId="0" applyNumberFormat="1" applyFont="1" applyBorder="1" applyAlignment="1">
      <alignment horizontal="center" vertical="center" wrapText="1"/>
    </xf>
    <xf numFmtId="44" fontId="1" fillId="0" borderId="132" xfId="0" applyNumberFormat="1" applyFont="1" applyBorder="1" applyAlignment="1">
      <alignment horizontal="center" vertical="center" wrapText="1"/>
    </xf>
    <xf numFmtId="37" fontId="1" fillId="0" borderId="131" xfId="0" applyNumberFormat="1" applyFont="1" applyBorder="1" applyAlignment="1">
      <alignment horizontal="center" vertical="center" wrapText="1"/>
    </xf>
    <xf numFmtId="0" fontId="1" fillId="0" borderId="133" xfId="0" applyFont="1" applyBorder="1" applyAlignment="1">
      <alignment horizontal="center" vertical="center" wrapText="1"/>
    </xf>
    <xf numFmtId="44" fontId="1" fillId="0" borderId="137" xfId="0" applyNumberFormat="1" applyFont="1" applyBorder="1" applyAlignment="1">
      <alignment horizontal="center" vertical="center" wrapText="1"/>
    </xf>
    <xf numFmtId="44" fontId="1" fillId="0" borderId="138" xfId="0" applyNumberFormat="1" applyFont="1" applyBorder="1" applyAlignment="1">
      <alignment horizontal="center" vertical="center" wrapText="1"/>
    </xf>
    <xf numFmtId="44" fontId="1" fillId="8" borderId="137" xfId="0" applyNumberFormat="1" applyFont="1" applyFill="1" applyBorder="1" applyAlignment="1">
      <alignment horizontal="center" vertical="center" wrapText="1"/>
    </xf>
    <xf numFmtId="44" fontId="1" fillId="8" borderId="138" xfId="0" applyNumberFormat="1" applyFont="1" applyFill="1" applyBorder="1" applyAlignment="1">
      <alignment horizontal="center" vertical="center" wrapText="1"/>
    </xf>
    <xf numFmtId="37" fontId="1" fillId="8" borderId="137" xfId="0" applyNumberFormat="1" applyFont="1" applyFill="1" applyBorder="1" applyAlignment="1">
      <alignment horizontal="center" vertical="center" wrapText="1"/>
    </xf>
    <xf numFmtId="0" fontId="1" fillId="8" borderId="139" xfId="0" applyFont="1" applyFill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44" fontId="1" fillId="0" borderId="141" xfId="0" applyNumberFormat="1" applyFont="1" applyBorder="1" applyAlignment="1">
      <alignment horizontal="center" vertical="center" wrapText="1"/>
    </xf>
    <xf numFmtId="44" fontId="1" fillId="0" borderId="142" xfId="0" applyNumberFormat="1" applyFont="1" applyBorder="1" applyAlignment="1">
      <alignment horizontal="center" vertical="center" wrapText="1"/>
    </xf>
    <xf numFmtId="44" fontId="1" fillId="8" borderId="141" xfId="0" applyNumberFormat="1" applyFont="1" applyFill="1" applyBorder="1" applyAlignment="1">
      <alignment horizontal="center" vertical="center" wrapText="1"/>
    </xf>
    <xf numFmtId="44" fontId="1" fillId="8" borderId="142" xfId="0" applyNumberFormat="1" applyFont="1" applyFill="1" applyBorder="1" applyAlignment="1">
      <alignment horizontal="center" vertical="center" wrapText="1"/>
    </xf>
    <xf numFmtId="37" fontId="1" fillId="8" borderId="141" xfId="0" applyNumberFormat="1" applyFont="1" applyFill="1" applyBorder="1" applyAlignment="1">
      <alignment horizontal="center" vertical="center" wrapText="1"/>
    </xf>
    <xf numFmtId="0" fontId="1" fillId="8" borderId="143" xfId="0" applyFont="1" applyFill="1" applyBorder="1" applyAlignment="1">
      <alignment horizontal="center" vertical="center" wrapText="1"/>
    </xf>
    <xf numFmtId="0" fontId="31" fillId="6" borderId="105" xfId="0" applyFont="1" applyFill="1" applyBorder="1" applyAlignment="1" applyProtection="1">
      <alignment vertical="center" wrapText="1"/>
      <protection locked="0"/>
    </xf>
    <xf numFmtId="44" fontId="31" fillId="6" borderId="102" xfId="6" applyFont="1" applyFill="1" applyBorder="1" applyAlignment="1" applyProtection="1">
      <alignment vertical="center" wrapText="1"/>
      <protection locked="0"/>
    </xf>
    <xf numFmtId="0" fontId="31" fillId="6" borderId="53" xfId="0" applyFont="1" applyFill="1" applyBorder="1" applyAlignment="1" applyProtection="1">
      <alignment vertical="center" wrapText="1"/>
      <protection locked="0"/>
    </xf>
    <xf numFmtId="44" fontId="31" fillId="6" borderId="52" xfId="6" applyFont="1" applyFill="1" applyBorder="1" applyAlignment="1" applyProtection="1">
      <alignment vertical="center" wrapText="1"/>
      <protection locked="0"/>
    </xf>
    <xf numFmtId="0" fontId="5" fillId="6" borderId="106" xfId="0" applyFont="1" applyFill="1" applyBorder="1" applyAlignment="1" applyProtection="1">
      <alignment vertical="center" wrapText="1"/>
      <protection locked="0"/>
    </xf>
    <xf numFmtId="44" fontId="31" fillId="6" borderId="107" xfId="6" applyFont="1" applyFill="1" applyBorder="1" applyAlignment="1" applyProtection="1">
      <alignment vertical="center" wrapText="1"/>
      <protection locked="0"/>
    </xf>
    <xf numFmtId="0" fontId="5" fillId="6" borderId="105" xfId="0" applyFont="1" applyFill="1" applyBorder="1" applyAlignment="1" applyProtection="1">
      <alignment vertical="center" wrapText="1"/>
      <protection locked="0"/>
    </xf>
    <xf numFmtId="44" fontId="5" fillId="6" borderId="107" xfId="0" applyNumberFormat="1" applyFont="1" applyFill="1" applyBorder="1" applyAlignment="1" applyProtection="1">
      <alignment vertical="center" wrapText="1"/>
      <protection locked="0"/>
    </xf>
    <xf numFmtId="44" fontId="5" fillId="6" borderId="102" xfId="0" applyNumberFormat="1" applyFont="1" applyFill="1" applyBorder="1" applyAlignment="1" applyProtection="1">
      <alignment vertical="center" wrapText="1"/>
      <protection locked="0"/>
    </xf>
    <xf numFmtId="0" fontId="5" fillId="6" borderId="53" xfId="0" applyFont="1" applyFill="1" applyBorder="1" applyAlignment="1" applyProtection="1">
      <alignment vertical="center" wrapText="1"/>
      <protection locked="0"/>
    </xf>
    <xf numFmtId="0" fontId="17" fillId="6" borderId="53" xfId="0" applyFont="1" applyFill="1" applyBorder="1" applyAlignment="1" applyProtection="1">
      <alignment vertical="center" wrapText="1"/>
      <protection locked="0"/>
    </xf>
    <xf numFmtId="0" fontId="31" fillId="6" borderId="106" xfId="0" applyFont="1" applyFill="1" applyBorder="1" applyAlignment="1" applyProtection="1">
      <alignment vertical="center" wrapText="1"/>
      <protection locked="0"/>
    </xf>
    <xf numFmtId="0" fontId="17" fillId="6" borderId="106" xfId="0" applyFont="1" applyFill="1" applyBorder="1" applyAlignment="1" applyProtection="1">
      <alignment vertical="center" wrapText="1"/>
      <protection locked="0"/>
    </xf>
    <xf numFmtId="0" fontId="17" fillId="6" borderId="105" xfId="0" applyFont="1" applyFill="1" applyBorder="1" applyAlignment="1" applyProtection="1">
      <alignment vertical="center" wrapText="1"/>
      <protection locked="0"/>
    </xf>
    <xf numFmtId="44" fontId="31" fillId="6" borderId="52" xfId="2" applyFont="1" applyFill="1" applyBorder="1" applyAlignment="1" applyProtection="1">
      <alignment vertical="center" wrapText="1"/>
      <protection locked="0"/>
    </xf>
    <xf numFmtId="44" fontId="31" fillId="6" borderId="107" xfId="2" applyFont="1" applyFill="1" applyBorder="1" applyAlignment="1" applyProtection="1">
      <alignment vertical="center" wrapText="1"/>
      <protection locked="0"/>
    </xf>
    <xf numFmtId="44" fontId="31" fillId="6" borderId="102" xfId="2" applyFont="1" applyFill="1" applyBorder="1" applyAlignment="1" applyProtection="1">
      <alignment vertical="center" wrapText="1"/>
      <protection locked="0"/>
    </xf>
    <xf numFmtId="0" fontId="5" fillId="4" borderId="59" xfId="0" applyFont="1" applyFill="1" applyBorder="1" applyAlignment="1" applyProtection="1">
      <alignment vertical="center" wrapText="1"/>
      <protection locked="0"/>
    </xf>
    <xf numFmtId="44" fontId="0" fillId="4" borderId="8" xfId="6" applyFont="1" applyFill="1" applyBorder="1" applyAlignment="1" applyProtection="1">
      <alignment horizontal="center" vertical="center" wrapText="1"/>
      <protection locked="0"/>
    </xf>
    <xf numFmtId="14" fontId="0" fillId="4" borderId="8" xfId="6" applyNumberFormat="1" applyFont="1" applyFill="1" applyBorder="1" applyAlignment="1" applyProtection="1">
      <alignment horizontal="center" vertical="center" wrapText="1"/>
      <protection locked="0"/>
    </xf>
    <xf numFmtId="166" fontId="0" fillId="4" borderId="8" xfId="8" applyNumberFormat="1" applyFont="1" applyFill="1" applyBorder="1" applyAlignment="1" applyProtection="1">
      <alignment horizontal="center" vertical="center" wrapText="1"/>
      <protection locked="0"/>
    </xf>
    <xf numFmtId="0" fontId="0" fillId="4" borderId="53" xfId="0" applyFill="1" applyBorder="1" applyAlignment="1" applyProtection="1">
      <alignment vertical="center" wrapText="1"/>
      <protection locked="0"/>
    </xf>
    <xf numFmtId="44" fontId="0" fillId="4" borderId="5" xfId="6" applyFont="1" applyFill="1" applyBorder="1" applyAlignment="1" applyProtection="1">
      <alignment horizontal="center" vertical="center" wrapText="1"/>
      <protection locked="0"/>
    </xf>
    <xf numFmtId="14" fontId="0" fillId="4" borderId="5" xfId="6" applyNumberFormat="1" applyFont="1" applyFill="1" applyBorder="1" applyAlignment="1" applyProtection="1">
      <alignment horizontal="center" vertical="center" wrapText="1"/>
      <protection locked="0"/>
    </xf>
    <xf numFmtId="166" fontId="0" fillId="4" borderId="5" xfId="8" applyNumberFormat="1" applyFont="1" applyFill="1" applyBorder="1" applyAlignment="1" applyProtection="1">
      <alignment horizontal="center" vertical="center" wrapText="1"/>
      <protection locked="0"/>
    </xf>
    <xf numFmtId="0" fontId="5" fillId="4" borderId="53" xfId="0" applyFont="1" applyFill="1" applyBorder="1" applyAlignment="1" applyProtection="1">
      <alignment vertical="center" wrapText="1"/>
      <protection locked="0"/>
    </xf>
    <xf numFmtId="0" fontId="17" fillId="4" borderId="53" xfId="0" applyFont="1" applyFill="1" applyBorder="1" applyAlignment="1" applyProtection="1">
      <alignment vertical="center" wrapText="1"/>
      <protection locked="0"/>
    </xf>
    <xf numFmtId="0" fontId="5" fillId="4" borderId="61" xfId="0" applyFont="1" applyFill="1" applyBorder="1" applyAlignment="1" applyProtection="1">
      <alignment vertical="center" wrapText="1"/>
      <protection locked="0"/>
    </xf>
    <xf numFmtId="44" fontId="0" fillId="4" borderId="62" xfId="6" applyFont="1" applyFill="1" applyBorder="1" applyAlignment="1" applyProtection="1">
      <alignment horizontal="center" vertical="center" wrapText="1"/>
      <protection locked="0"/>
    </xf>
    <xf numFmtId="14" fontId="0" fillId="4" borderId="62" xfId="6" applyNumberFormat="1" applyFont="1" applyFill="1" applyBorder="1" applyAlignment="1" applyProtection="1">
      <alignment horizontal="center" vertical="center" wrapText="1"/>
      <protection locked="0"/>
    </xf>
    <xf numFmtId="166" fontId="0" fillId="4" borderId="62" xfId="8" applyNumberFormat="1" applyFont="1" applyFill="1" applyBorder="1" applyAlignment="1" applyProtection="1">
      <alignment horizontal="center" vertical="center" wrapText="1"/>
      <protection locked="0"/>
    </xf>
    <xf numFmtId="0" fontId="0" fillId="4" borderId="59" xfId="0" applyFill="1" applyBorder="1" applyAlignment="1" applyProtection="1">
      <alignment vertical="center" wrapText="1"/>
      <protection locked="0"/>
    </xf>
    <xf numFmtId="0" fontId="17" fillId="4" borderId="61" xfId="0" applyFont="1" applyFill="1" applyBorder="1" applyAlignment="1" applyProtection="1">
      <alignment vertical="center" wrapText="1"/>
      <protection locked="0"/>
    </xf>
    <xf numFmtId="0" fontId="0" fillId="4" borderId="61" xfId="0" applyFill="1" applyBorder="1" applyAlignment="1" applyProtection="1">
      <alignment vertical="center" wrapText="1"/>
      <protection locked="0"/>
    </xf>
    <xf numFmtId="0" fontId="17" fillId="4" borderId="59" xfId="0" applyFont="1" applyFill="1" applyBorder="1" applyAlignment="1" applyProtection="1">
      <alignment vertical="center" wrapText="1"/>
      <protection locked="0"/>
    </xf>
    <xf numFmtId="44" fontId="0" fillId="4" borderId="5" xfId="2" applyFont="1" applyFill="1" applyBorder="1" applyAlignment="1" applyProtection="1">
      <alignment horizontal="center" vertical="center" wrapText="1"/>
      <protection locked="0"/>
    </xf>
    <xf numFmtId="14" fontId="0" fillId="4" borderId="5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5" xfId="1" applyNumberFormat="1" applyFont="1" applyFill="1" applyBorder="1" applyAlignment="1" applyProtection="1">
      <alignment horizontal="center" vertical="center" wrapText="1"/>
      <protection locked="0"/>
    </xf>
    <xf numFmtId="44" fontId="0" fillId="4" borderId="62" xfId="2" applyFont="1" applyFill="1" applyBorder="1" applyAlignment="1" applyProtection="1">
      <alignment horizontal="center" vertical="center" wrapText="1"/>
      <protection locked="0"/>
    </xf>
    <xf numFmtId="14" fontId="0" fillId="4" borderId="62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62" xfId="1" applyNumberFormat="1" applyFont="1" applyFill="1" applyBorder="1" applyAlignment="1" applyProtection="1">
      <alignment horizontal="center" vertical="center" wrapText="1"/>
      <protection locked="0"/>
    </xf>
    <xf numFmtId="44" fontId="0" fillId="4" borderId="8" xfId="2" applyFont="1" applyFill="1" applyBorder="1" applyAlignment="1" applyProtection="1">
      <alignment horizontal="center" vertical="center" wrapText="1"/>
      <protection locked="0"/>
    </xf>
    <xf numFmtId="14" fontId="0" fillId="4" borderId="8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81" xfId="0" applyFill="1" applyBorder="1" applyAlignment="1" applyProtection="1">
      <alignment vertical="center" wrapText="1"/>
      <protection locked="0"/>
    </xf>
    <xf numFmtId="0" fontId="0" fillId="4" borderId="54" xfId="0" applyFill="1" applyBorder="1" applyAlignment="1" applyProtection="1">
      <alignment vertical="center" wrapText="1"/>
      <protection locked="0"/>
    </xf>
    <xf numFmtId="44" fontId="0" fillId="4" borderId="56" xfId="2" applyFont="1" applyFill="1" applyBorder="1" applyAlignment="1" applyProtection="1">
      <alignment horizontal="center" vertical="center" wrapText="1"/>
      <protection locked="0"/>
    </xf>
    <xf numFmtId="14" fontId="0" fillId="4" borderId="56" xfId="2" applyNumberFormat="1" applyFont="1" applyFill="1" applyBorder="1" applyAlignment="1" applyProtection="1">
      <alignment horizontal="center" vertical="center" wrapText="1"/>
      <protection locked="0"/>
    </xf>
    <xf numFmtId="166" fontId="0" fillId="4" borderId="5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/>
    </xf>
    <xf numFmtId="44" fontId="0" fillId="3" borderId="144" xfId="2" applyFont="1" applyFill="1" applyBorder="1" applyAlignment="1" applyProtection="1">
      <alignment horizontal="left" vertical="center" shrinkToFit="1"/>
    </xf>
    <xf numFmtId="169" fontId="0" fillId="7" borderId="145" xfId="0" applyNumberFormat="1" applyFill="1" applyBorder="1"/>
    <xf numFmtId="44" fontId="0" fillId="10" borderId="26" xfId="2" applyFont="1" applyFill="1" applyBorder="1" applyAlignment="1" applyProtection="1">
      <alignment vertical="center" shrinkToFit="1"/>
    </xf>
    <xf numFmtId="44" fontId="0" fillId="10" borderId="34" xfId="2" applyFont="1" applyFill="1" applyBorder="1" applyAlignment="1" applyProtection="1">
      <alignment vertical="center" shrinkToFit="1"/>
    </xf>
    <xf numFmtId="3" fontId="0" fillId="0" borderId="45" xfId="0" applyNumberFormat="1" applyBorder="1" applyAlignment="1" applyProtection="1">
      <alignment horizontal="center"/>
      <protection locked="0"/>
    </xf>
    <xf numFmtId="3" fontId="40" fillId="0" borderId="0" xfId="0" applyNumberFormat="1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5" borderId="5" xfId="0" applyNumberFormat="1" applyFon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2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19" fillId="0" borderId="17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18" xfId="0" applyFont="1" applyBorder="1" applyAlignment="1">
      <alignment vertical="top" wrapText="1"/>
    </xf>
    <xf numFmtId="0" fontId="9" fillId="0" borderId="26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1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38" fillId="5" borderId="3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0" fillId="0" borderId="82" xfId="7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83" xfId="0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/>
    <xf numFmtId="3" fontId="0" fillId="3" borderId="1" xfId="2" applyNumberFormat="1" applyFont="1" applyFill="1" applyBorder="1" applyAlignment="1" applyProtection="1"/>
    <xf numFmtId="0" fontId="0" fillId="0" borderId="3" xfId="0" applyBorder="1"/>
    <xf numFmtId="44" fontId="0" fillId="3" borderId="1" xfId="2" applyFont="1" applyFill="1" applyBorder="1" applyAlignment="1" applyProtection="1"/>
    <xf numFmtId="0" fontId="0" fillId="7" borderId="1" xfId="0" applyFill="1" applyBorder="1"/>
    <xf numFmtId="0" fontId="0" fillId="7" borderId="3" xfId="0" applyFill="1" applyBorder="1"/>
    <xf numFmtId="0" fontId="0" fillId="0" borderId="0" xfId="0" applyAlignment="1">
      <alignment horizontal="right"/>
    </xf>
    <xf numFmtId="10" fontId="0" fillId="7" borderId="16" xfId="3" applyNumberFormat="1" applyFont="1" applyFill="1" applyBorder="1" applyAlignment="1" applyProtection="1"/>
    <xf numFmtId="0" fontId="0" fillId="7" borderId="16" xfId="0" applyFill="1" applyBorder="1"/>
    <xf numFmtId="10" fontId="0" fillId="7" borderId="1" xfId="3" applyNumberFormat="1" applyFont="1" applyFill="1" applyBorder="1" applyAlignment="1" applyProtection="1"/>
    <xf numFmtId="10" fontId="0" fillId="7" borderId="3" xfId="3" applyNumberFormat="1" applyFont="1" applyFill="1" applyBorder="1" applyAlignment="1" applyProtection="1"/>
    <xf numFmtId="0" fontId="4" fillId="0" borderId="97" xfId="0" applyFont="1" applyBorder="1" applyAlignment="1">
      <alignment horizontal="center"/>
    </xf>
    <xf numFmtId="0" fontId="0" fillId="0" borderId="98" xfId="0" applyBorder="1" applyAlignment="1">
      <alignment horizontal="center"/>
    </xf>
    <xf numFmtId="10" fontId="0" fillId="7" borderId="11" xfId="3" applyNumberFormat="1" applyFont="1" applyFill="1" applyBorder="1" applyAlignment="1" applyProtection="1"/>
    <xf numFmtId="0" fontId="0" fillId="7" borderId="41" xfId="0" applyFill="1" applyBorder="1"/>
    <xf numFmtId="10" fontId="0" fillId="7" borderId="57" xfId="3" applyNumberFormat="1" applyFont="1" applyFill="1" applyBorder="1" applyAlignment="1" applyProtection="1"/>
    <xf numFmtId="0" fontId="0" fillId="7" borderId="85" xfId="0" applyFill="1" applyBorder="1"/>
    <xf numFmtId="10" fontId="0" fillId="7" borderId="41" xfId="3" applyNumberFormat="1" applyFont="1" applyFill="1" applyBorder="1" applyAlignment="1" applyProtection="1"/>
    <xf numFmtId="10" fontId="0" fillId="7" borderId="20" xfId="3" applyNumberFormat="1" applyFont="1" applyFill="1" applyBorder="1" applyAlignment="1" applyProtection="1"/>
    <xf numFmtId="10" fontId="0" fillId="7" borderId="21" xfId="3" applyNumberFormat="1" applyFont="1" applyFill="1" applyBorder="1" applyAlignment="1" applyProtection="1"/>
    <xf numFmtId="0" fontId="4" fillId="0" borderId="10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4" fillId="0" borderId="99" xfId="0" applyFont="1" applyBorder="1" applyAlignment="1">
      <alignment horizontal="center"/>
    </xf>
    <xf numFmtId="0" fontId="0" fillId="0" borderId="99" xfId="0" applyBorder="1"/>
    <xf numFmtId="0" fontId="4" fillId="0" borderId="4" xfId="0" applyFont="1" applyBorder="1" applyAlignment="1">
      <alignment horizontal="center"/>
    </xf>
    <xf numFmtId="0" fontId="0" fillId="0" borderId="4" xfId="0" applyBorder="1"/>
    <xf numFmtId="0" fontId="4" fillId="0" borderId="97" xfId="0" applyFont="1" applyBorder="1" applyAlignment="1">
      <alignment horizontal="center" vertical="center"/>
    </xf>
    <xf numFmtId="0" fontId="0" fillId="0" borderId="98" xfId="0" applyBorder="1"/>
    <xf numFmtId="0" fontId="0" fillId="0" borderId="15" xfId="0" applyBorder="1"/>
    <xf numFmtId="166" fontId="0" fillId="4" borderId="101" xfId="1" applyNumberFormat="1" applyFont="1" applyFill="1" applyBorder="1" applyAlignment="1" applyProtection="1">
      <alignment wrapText="1"/>
      <protection locked="0"/>
    </xf>
    <xf numFmtId="166" fontId="0" fillId="4" borderId="21" xfId="1" applyNumberFormat="1" applyFont="1" applyFill="1" applyBorder="1" applyAlignment="1" applyProtection="1">
      <alignment wrapText="1"/>
      <protection locked="0"/>
    </xf>
    <xf numFmtId="166" fontId="0" fillId="4" borderId="84" xfId="1" applyNumberFormat="1" applyFont="1" applyFill="1" applyBorder="1" applyAlignment="1" applyProtection="1">
      <alignment wrapText="1"/>
      <protection locked="0"/>
    </xf>
    <xf numFmtId="166" fontId="0" fillId="4" borderId="3" xfId="1" applyNumberFormat="1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166" fontId="0" fillId="4" borderId="117" xfId="1" applyNumberFormat="1" applyFont="1" applyFill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4" borderId="101" xfId="0" applyFill="1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4" borderId="84" xfId="0" applyFill="1" applyBorder="1" applyAlignment="1" applyProtection="1">
      <alignment wrapText="1"/>
      <protection locked="0"/>
    </xf>
    <xf numFmtId="0" fontId="0" fillId="6" borderId="95" xfId="0" applyFill="1" applyBorder="1" applyAlignment="1" applyProtection="1">
      <alignment vertical="center" shrinkToFit="1"/>
      <protection locked="0"/>
    </xf>
    <xf numFmtId="0" fontId="0" fillId="0" borderId="85" xfId="0" applyBorder="1" applyAlignment="1" applyProtection="1">
      <alignment vertical="center" shrinkToFit="1"/>
      <protection locked="0"/>
    </xf>
    <xf numFmtId="0" fontId="4" fillId="0" borderId="103" xfId="7" applyFont="1" applyBorder="1" applyAlignment="1">
      <alignment horizontal="center" vertical="center" wrapText="1"/>
    </xf>
    <xf numFmtId="0" fontId="0" fillId="0" borderId="25" xfId="0" applyBorder="1"/>
    <xf numFmtId="0" fontId="33" fillId="0" borderId="103" xfId="0" applyFont="1" applyBorder="1" applyAlignment="1">
      <alignment horizontal="center" vertical="center" wrapText="1"/>
    </xf>
    <xf numFmtId="0" fontId="0" fillId="4" borderId="95" xfId="0" applyFill="1" applyBorder="1" applyAlignment="1" applyProtection="1">
      <alignment wrapText="1"/>
      <protection locked="0"/>
    </xf>
    <xf numFmtId="0" fontId="0" fillId="0" borderId="85" xfId="0" applyBorder="1" applyAlignment="1" applyProtection="1">
      <alignment wrapText="1"/>
      <protection locked="0"/>
    </xf>
    <xf numFmtId="0" fontId="4" fillId="0" borderId="97" xfId="7" applyFont="1" applyBorder="1" applyAlignment="1">
      <alignment horizontal="center" vertical="center" shrinkToFit="1"/>
    </xf>
    <xf numFmtId="0" fontId="0" fillId="0" borderId="118" xfId="0" applyBorder="1"/>
    <xf numFmtId="0" fontId="0" fillId="0" borderId="100" xfId="0" applyBorder="1"/>
    <xf numFmtId="0" fontId="0" fillId="0" borderId="119" xfId="0" applyBorder="1"/>
    <xf numFmtId="0" fontId="0" fillId="4" borderId="101" xfId="0" applyFill="1" applyBorder="1" applyAlignment="1" applyProtection="1">
      <alignment horizontal="left" vertical="center"/>
      <protection locked="0"/>
    </xf>
    <xf numFmtId="0" fontId="0" fillId="0" borderId="21" xfId="0" applyBorder="1" applyProtection="1">
      <protection locked="0"/>
    </xf>
    <xf numFmtId="0" fontId="0" fillId="4" borderId="84" xfId="0" applyFill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4" borderId="95" xfId="0" applyFill="1" applyBorder="1" applyAlignment="1" applyProtection="1">
      <alignment horizontal="left" vertical="center"/>
      <protection locked="0"/>
    </xf>
    <xf numFmtId="0" fontId="0" fillId="0" borderId="85" xfId="0" applyBorder="1" applyProtection="1">
      <protection locked="0"/>
    </xf>
    <xf numFmtId="0" fontId="3" fillId="0" borderId="71" xfId="0" applyFont="1" applyBorder="1" applyAlignment="1">
      <alignment horizontal="center" vertical="center"/>
    </xf>
    <xf numFmtId="0" fontId="0" fillId="0" borderId="73" xfId="0" applyBorder="1"/>
    <xf numFmtId="0" fontId="0" fillId="6" borderId="101" xfId="0" applyFill="1" applyBorder="1" applyAlignment="1" applyProtection="1">
      <alignment vertical="center" shrinkToFit="1"/>
      <protection locked="0"/>
    </xf>
    <xf numFmtId="0" fontId="0" fillId="0" borderId="21" xfId="0" applyBorder="1" applyAlignment="1" applyProtection="1">
      <alignment vertical="center" shrinkToFit="1"/>
      <protection locked="0"/>
    </xf>
    <xf numFmtId="0" fontId="0" fillId="6" borderId="84" xfId="0" applyFill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vertical="center" shrinkToFit="1"/>
      <protection locked="0"/>
    </xf>
    <xf numFmtId="0" fontId="0" fillId="4" borderId="117" xfId="0" applyFill="1" applyBorder="1" applyAlignment="1" applyProtection="1">
      <alignment wrapText="1"/>
      <protection locked="0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0" fontId="0" fillId="7" borderId="11" xfId="3" applyNumberFormat="1" applyFont="1" applyFill="1" applyBorder="1" applyAlignment="1" applyProtection="1">
      <alignment vertical="center"/>
    </xf>
    <xf numFmtId="10" fontId="0" fillId="7" borderId="41" xfId="3" applyNumberFormat="1" applyFont="1" applyFill="1" applyBorder="1" applyAlignment="1" applyProtection="1">
      <alignment vertical="center"/>
    </xf>
    <xf numFmtId="0" fontId="25" fillId="8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0" fillId="7" borderId="20" xfId="3" applyNumberFormat="1" applyFont="1" applyFill="1" applyBorder="1" applyAlignment="1" applyProtection="1">
      <alignment vertical="center"/>
    </xf>
    <xf numFmtId="10" fontId="0" fillId="7" borderId="21" xfId="3" applyNumberFormat="1" applyFont="1" applyFill="1" applyBorder="1" applyAlignment="1" applyProtection="1">
      <alignment vertical="center"/>
    </xf>
    <xf numFmtId="10" fontId="0" fillId="7" borderId="1" xfId="3" applyNumberFormat="1" applyFont="1" applyFill="1" applyBorder="1" applyAlignment="1" applyProtection="1">
      <alignment vertical="center"/>
    </xf>
    <xf numFmtId="10" fontId="0" fillId="7" borderId="3" xfId="3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40" xfId="0" applyBorder="1" applyAlignment="1">
      <alignment vertical="center"/>
    </xf>
    <xf numFmtId="0" fontId="35" fillId="8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4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4" fillId="0" borderId="0" xfId="0" applyFont="1" applyAlignment="1">
      <alignment horizontal="right" vertical="center"/>
    </xf>
    <xf numFmtId="10" fontId="4" fillId="0" borderId="19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24" fillId="0" borderId="0" xfId="0" applyNumberFormat="1" applyFont="1"/>
    <xf numFmtId="0" fontId="24" fillId="0" borderId="0" xfId="0" applyFont="1"/>
    <xf numFmtId="44" fontId="24" fillId="11" borderId="0" xfId="0" applyNumberFormat="1" applyFont="1" applyFill="1"/>
    <xf numFmtId="0" fontId="0" fillId="11" borderId="0" xfId="0" applyFill="1"/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113" xfId="0" applyFont="1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7" xfId="0" applyBorder="1" applyAlignment="1">
      <alignment wrapText="1"/>
    </xf>
    <xf numFmtId="0" fontId="0" fillId="0" borderId="92" xfId="0" applyBorder="1" applyAlignment="1">
      <alignment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16" xfId="0" applyBorder="1" applyAlignment="1">
      <alignment wrapText="1"/>
    </xf>
    <xf numFmtId="0" fontId="0" fillId="0" borderId="1" xfId="0" applyBorder="1" applyAlignment="1">
      <alignment wrapText="1"/>
    </xf>
    <xf numFmtId="0" fontId="4" fillId="0" borderId="89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93" xfId="0" applyBorder="1" applyAlignment="1">
      <alignment wrapText="1"/>
    </xf>
    <xf numFmtId="0" fontId="0" fillId="0" borderId="89" xfId="0" applyBorder="1" applyAlignment="1">
      <alignment wrapText="1"/>
    </xf>
    <xf numFmtId="0" fontId="4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wrapText="1"/>
    </xf>
    <xf numFmtId="0" fontId="5" fillId="0" borderId="46" xfId="0" applyFont="1" applyBorder="1" applyAlignment="1">
      <alignment horizontal="left" vertical="center" wrapText="1"/>
    </xf>
    <xf numFmtId="0" fontId="0" fillId="0" borderId="46" xfId="0" applyBorder="1" applyAlignment="1">
      <alignment wrapText="1"/>
    </xf>
    <xf numFmtId="0" fontId="5" fillId="0" borderId="46" xfId="0" applyFont="1" applyBorder="1" applyAlignment="1">
      <alignment horizontal="left" wrapText="1"/>
    </xf>
  </cellXfs>
  <cellStyles count="10">
    <cellStyle name="Comma" xfId="1" builtinId="3"/>
    <cellStyle name="Comma 2" xfId="8" xr:uid="{A70F05BD-D4FE-4D02-87B3-D6B55FF1616B}"/>
    <cellStyle name="Currency" xfId="2" builtinId="4"/>
    <cellStyle name="Currency 2" xfId="9" xr:uid="{64E78C07-05A6-4808-A50A-E476629E8243}"/>
    <cellStyle name="Currency 4" xfId="6" xr:uid="{CC6A6285-A96D-4936-9D97-803354702D43}"/>
    <cellStyle name="Hyperlink" xfId="4" builtinId="8"/>
    <cellStyle name="Normal" xfId="0" builtinId="0"/>
    <cellStyle name="Normal 2" xfId="7" xr:uid="{97C4D6CA-6E25-433E-8296-3C41F2A2FB39}"/>
    <cellStyle name="Percent" xfId="3" builtinId="5"/>
    <cellStyle name="Percent 4" xfId="5" xr:uid="{514CBC47-5E7D-4DDD-BD41-A480A6B25CF5}"/>
  </cellStyles>
  <dxfs count="74"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24994659260841701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theme="0" tint="-0.34998626667073579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ont>
        <color rgb="FFFFFF00"/>
      </font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0.0%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CC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rgb="FFCCFFCC"/>
        </patternFill>
      </fill>
      <protection locked="1" hidden="1"/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protection locked="1" hidden="1"/>
    </dxf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colors>
    <mruColors>
      <color rgb="FFFFCCFF"/>
      <color rgb="FFCCFFCC"/>
      <color rgb="FFCC3300"/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5A9FCDE-5A93-462C-9CA3-EEC6C418905B}" name="Table2" displayName="Table2" ref="C41:C43" totalsRowShown="0" headerRowDxfId="73" dataDxfId="72">
  <autoFilter ref="C41:C43" xr:uid="{85A9FCDE-5A93-462C-9CA3-EEC6C418905B}"/>
  <tableColumns count="1">
    <tableColumn id="1" xr3:uid="{F6657FEE-0575-4E83-83A7-89A9CBC76793}" name="Column1" dataDxfId="7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7421AD-E044-4DE4-BAC1-B471088D7FEB}" name="WageBeneTable5" displayName="WageBeneTable5" ref="B63:D78" headerRowDxfId="70" dataDxfId="68" totalsRowDxfId="66" headerRowBorderDxfId="69" tableBorderDxfId="67">
  <tableColumns count="3">
    <tableColumn id="1" xr3:uid="{E35B7EB7-2D75-442B-9110-18B9066C3344}" name="Worker Title" totalsRowFunction="custom" dataDxfId="65">
      <totalsRowFormula>B49</totalsRowFormula>
    </tableColumn>
    <tableColumn id="2" xr3:uid="{9CBAD8B0-45AD-4E50-B3F6-B8EEEF4E650A}" name="wage" totalsRowFunction="custom" dataDxfId="64">
      <calculatedColumnFormula>G16</calculatedColumnFormula>
      <totalsRowFormula>C50</totalsRowFormula>
    </tableColumn>
    <tableColumn id="4" xr3:uid="{8ADF316B-CF1A-47D4-9977-8CA534F3913E}" name="benefits" totalsRowFunction="custom" dataDxfId="63">
      <totalsRowFormula>SUM(C52:C61)</totalsRow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sa.gov/travel?topnav=trave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29D8-5458-42A8-B4EF-1930C0D5B5E7}">
  <dimension ref="A1:L43"/>
  <sheetViews>
    <sheetView showGridLines="0" showZeros="0" zoomScaleNormal="100" workbookViewId="0">
      <pane xSplit="2" ySplit="12" topLeftCell="C13" activePane="bottomRight" state="frozen"/>
      <selection activeCell="N19" sqref="N19"/>
      <selection pane="topRight" activeCell="N19" sqref="N19"/>
      <selection pane="bottomLeft" activeCell="N19" sqref="N19"/>
      <selection pane="bottomRight" activeCell="C5" sqref="C5:D5"/>
    </sheetView>
  </sheetViews>
  <sheetFormatPr defaultRowHeight="14.4" x14ac:dyDescent="0.3"/>
  <cols>
    <col min="1" max="1" width="2.5546875" customWidth="1"/>
    <col min="2" max="2" width="28.21875" customWidth="1"/>
    <col min="3" max="3" width="21.44140625" customWidth="1"/>
    <col min="4" max="4" width="25.5546875" customWidth="1"/>
    <col min="5" max="5" width="16.5546875" style="69" customWidth="1"/>
    <col min="6" max="6" width="7.21875" customWidth="1"/>
    <col min="8" max="8" width="10.21875" customWidth="1"/>
    <col min="11" max="11" width="15.77734375" customWidth="1"/>
    <col min="12" max="12" width="23.44140625" customWidth="1"/>
  </cols>
  <sheetData>
    <row r="1" spans="1:12" ht="30" customHeight="1" x14ac:dyDescent="0.3">
      <c r="B1" s="668" t="s">
        <v>276</v>
      </c>
      <c r="C1" s="669"/>
      <c r="D1" s="669"/>
      <c r="E1" s="669"/>
      <c r="F1" s="669"/>
      <c r="G1" s="669"/>
      <c r="H1" s="669"/>
      <c r="I1" s="669"/>
      <c r="J1" s="669"/>
      <c r="K1" s="20" t="s">
        <v>124</v>
      </c>
      <c r="L1" s="56" t="s">
        <v>125</v>
      </c>
    </row>
    <row r="2" spans="1:12" x14ac:dyDescent="0.3">
      <c r="L2" s="56" t="s">
        <v>219</v>
      </c>
    </row>
    <row r="3" spans="1:12" x14ac:dyDescent="0.3">
      <c r="B3" t="s">
        <v>102</v>
      </c>
      <c r="C3" s="673"/>
      <c r="D3" s="674"/>
      <c r="F3" t="s">
        <v>194</v>
      </c>
      <c r="H3" s="670"/>
      <c r="I3" s="671"/>
      <c r="J3" s="672"/>
      <c r="L3" s="56" t="s">
        <v>220</v>
      </c>
    </row>
    <row r="4" spans="1:12" x14ac:dyDescent="0.3">
      <c r="C4" s="98"/>
      <c r="D4" s="98"/>
      <c r="L4" s="56" t="s">
        <v>73</v>
      </c>
    </row>
    <row r="5" spans="1:12" x14ac:dyDescent="0.3">
      <c r="B5" t="s">
        <v>103</v>
      </c>
      <c r="C5" s="673"/>
      <c r="D5" s="674"/>
      <c r="L5" s="56" t="s">
        <v>10</v>
      </c>
    </row>
    <row r="6" spans="1:12" x14ac:dyDescent="0.3">
      <c r="C6" s="98"/>
      <c r="D6" s="98"/>
      <c r="L6" s="56" t="s">
        <v>173</v>
      </c>
    </row>
    <row r="7" spans="1:12" x14ac:dyDescent="0.3">
      <c r="B7" t="s">
        <v>126</v>
      </c>
      <c r="C7" s="673"/>
      <c r="D7" s="674"/>
      <c r="L7" s="56" t="s">
        <v>82</v>
      </c>
    </row>
    <row r="8" spans="1:12" x14ac:dyDescent="0.3">
      <c r="L8" s="56" t="s">
        <v>259</v>
      </c>
    </row>
    <row r="9" spans="1:12" x14ac:dyDescent="0.3">
      <c r="B9" s="2" t="s">
        <v>112</v>
      </c>
      <c r="L9" s="56" t="s">
        <v>177</v>
      </c>
    </row>
    <row r="10" spans="1:12" x14ac:dyDescent="0.3">
      <c r="B10" s="2"/>
      <c r="L10" s="56" t="s">
        <v>268</v>
      </c>
    </row>
    <row r="11" spans="1:12" s="218" customFormat="1" x14ac:dyDescent="0.3">
      <c r="A11"/>
      <c r="B11" s="2"/>
      <c r="C11" s="7" t="s">
        <v>222</v>
      </c>
      <c r="D11" s="7" t="s">
        <v>224</v>
      </c>
      <c r="E11" s="265" t="s">
        <v>77</v>
      </c>
      <c r="F11"/>
      <c r="G11" s="7" t="s">
        <v>77</v>
      </c>
      <c r="H11"/>
      <c r="I11"/>
      <c r="J11"/>
      <c r="K11"/>
      <c r="L11" s="56" t="s">
        <v>221</v>
      </c>
    </row>
    <row r="12" spans="1:12" x14ac:dyDescent="0.3">
      <c r="A12" s="218"/>
      <c r="B12" s="577" t="s">
        <v>257</v>
      </c>
      <c r="C12" s="219" t="s">
        <v>225</v>
      </c>
      <c r="D12" s="219" t="s">
        <v>223</v>
      </c>
      <c r="E12" s="220" t="s">
        <v>229</v>
      </c>
      <c r="F12" s="218"/>
      <c r="G12" s="218" t="s">
        <v>119</v>
      </c>
      <c r="H12" s="218"/>
      <c r="I12" s="218"/>
      <c r="J12" s="218"/>
      <c r="K12" s="218"/>
      <c r="L12" s="56" t="s">
        <v>193</v>
      </c>
    </row>
    <row r="13" spans="1:12" x14ac:dyDescent="0.3">
      <c r="B13" s="56" t="s">
        <v>259</v>
      </c>
      <c r="C13" s="234"/>
      <c r="D13" s="234"/>
      <c r="E13" s="284"/>
      <c r="F13" s="98" t="s">
        <v>110</v>
      </c>
      <c r="G13" s="234"/>
      <c r="H13" s="98" t="s">
        <v>120</v>
      </c>
      <c r="I13" s="98"/>
      <c r="L13" s="218"/>
    </row>
    <row r="14" spans="1:12" ht="5.0999999999999996" customHeight="1" x14ac:dyDescent="0.3">
      <c r="B14" s="2"/>
      <c r="C14" s="98"/>
      <c r="D14" s="98"/>
      <c r="E14" s="221"/>
      <c r="F14" s="98"/>
      <c r="G14" s="98"/>
      <c r="H14" s="98"/>
      <c r="I14" s="98"/>
    </row>
    <row r="15" spans="1:12" x14ac:dyDescent="0.3">
      <c r="B15" s="100" t="s">
        <v>278</v>
      </c>
      <c r="C15" s="234"/>
      <c r="D15" s="98"/>
      <c r="E15" s="221"/>
      <c r="F15" s="98"/>
      <c r="G15" s="98"/>
      <c r="H15" s="98"/>
      <c r="I15" s="98"/>
    </row>
    <row r="16" spans="1:12" ht="5.0999999999999996" customHeight="1" x14ac:dyDescent="0.3">
      <c r="B16" s="56"/>
      <c r="C16" s="98"/>
      <c r="D16" s="98"/>
      <c r="E16" s="221"/>
      <c r="F16" s="98"/>
      <c r="G16" s="98"/>
      <c r="H16" s="98"/>
      <c r="I16" s="98"/>
    </row>
    <row r="17" spans="2:9" x14ac:dyDescent="0.3">
      <c r="B17" s="56" t="s">
        <v>2</v>
      </c>
      <c r="C17" s="234"/>
      <c r="D17" s="98"/>
      <c r="E17" s="221"/>
      <c r="F17" s="98"/>
      <c r="G17" s="98"/>
      <c r="H17" s="98"/>
      <c r="I17" s="98"/>
    </row>
    <row r="18" spans="2:9" ht="5.0999999999999996" customHeight="1" x14ac:dyDescent="0.3">
      <c r="B18" s="49"/>
      <c r="C18" s="235"/>
      <c r="D18" s="98"/>
      <c r="E18" s="221"/>
      <c r="F18" s="98"/>
      <c r="G18" s="98"/>
      <c r="H18" s="98"/>
      <c r="I18" s="98"/>
    </row>
    <row r="19" spans="2:9" x14ac:dyDescent="0.3">
      <c r="B19" s="56" t="s">
        <v>111</v>
      </c>
      <c r="C19" s="234"/>
      <c r="D19" s="98"/>
      <c r="E19" s="666"/>
      <c r="F19" s="98"/>
      <c r="G19" s="98"/>
      <c r="H19" s="98"/>
      <c r="I19" s="98"/>
    </row>
    <row r="20" spans="2:9" ht="5.0999999999999996" customHeight="1" x14ac:dyDescent="0.3">
      <c r="B20" s="2"/>
      <c r="C20" s="98"/>
      <c r="D20" s="98"/>
      <c r="E20" s="667"/>
      <c r="F20" s="98"/>
      <c r="G20" s="98"/>
      <c r="H20" s="98"/>
      <c r="I20" s="98"/>
    </row>
    <row r="21" spans="2:9" ht="5.0999999999999996" customHeight="1" x14ac:dyDescent="0.3">
      <c r="B21" s="271"/>
      <c r="C21" s="98"/>
      <c r="D21" s="98"/>
      <c r="E21" s="98"/>
      <c r="F21" s="98"/>
      <c r="G21" s="98"/>
      <c r="H21" s="98"/>
      <c r="I21" s="98"/>
    </row>
    <row r="22" spans="2:9" ht="17.399999999999999" x14ac:dyDescent="0.3">
      <c r="B22" s="158" t="s">
        <v>177</v>
      </c>
      <c r="C22" s="98"/>
      <c r="D22" s="98"/>
      <c r="E22" s="221"/>
      <c r="F22" s="98"/>
      <c r="G22" s="98"/>
      <c r="H22" s="98"/>
      <c r="I22" s="98"/>
    </row>
    <row r="23" spans="2:9" ht="5.0999999999999996" customHeight="1" x14ac:dyDescent="0.3">
      <c r="B23" s="2"/>
      <c r="C23" s="98"/>
      <c r="D23" s="98"/>
      <c r="E23" s="221"/>
      <c r="F23" s="98"/>
      <c r="G23" s="98"/>
      <c r="H23" s="98"/>
      <c r="I23" s="98"/>
    </row>
    <row r="24" spans="2:9" x14ac:dyDescent="0.3">
      <c r="B24" s="56" t="s">
        <v>260</v>
      </c>
      <c r="C24" s="234"/>
      <c r="D24" s="234"/>
      <c r="E24" s="284"/>
      <c r="F24" s="98" t="s">
        <v>110</v>
      </c>
      <c r="G24" s="234"/>
      <c r="H24" s="98" t="s">
        <v>120</v>
      </c>
      <c r="I24" s="98"/>
    </row>
    <row r="25" spans="2:9" ht="5.0999999999999996" customHeight="1" x14ac:dyDescent="0.3">
      <c r="B25" s="2"/>
      <c r="C25" s="98"/>
      <c r="D25" s="98"/>
      <c r="E25" s="221"/>
      <c r="F25" s="98"/>
      <c r="G25" s="98"/>
      <c r="H25" s="98"/>
      <c r="I25" s="98"/>
    </row>
    <row r="26" spans="2:9" x14ac:dyDescent="0.3">
      <c r="B26" s="56" t="s">
        <v>261</v>
      </c>
      <c r="C26" s="234"/>
      <c r="D26" s="234"/>
      <c r="E26" s="284"/>
      <c r="F26" s="98" t="s">
        <v>110</v>
      </c>
      <c r="G26" s="234"/>
      <c r="H26" s="98" t="s">
        <v>120</v>
      </c>
      <c r="I26" s="98"/>
    </row>
    <row r="27" spans="2:9" ht="5.0999999999999996" customHeight="1" x14ac:dyDescent="0.3">
      <c r="B27" s="2"/>
      <c r="C27" s="98"/>
      <c r="D27" s="98"/>
      <c r="E27" s="221"/>
      <c r="F27" s="98"/>
      <c r="G27" s="98"/>
      <c r="H27" s="98"/>
      <c r="I27" s="98"/>
    </row>
    <row r="28" spans="2:9" x14ac:dyDescent="0.3">
      <c r="B28" s="56" t="s">
        <v>262</v>
      </c>
      <c r="C28" s="234"/>
      <c r="D28" s="234"/>
      <c r="E28" s="284"/>
      <c r="F28" s="98" t="s">
        <v>110</v>
      </c>
      <c r="G28" s="234"/>
      <c r="H28" s="98" t="s">
        <v>120</v>
      </c>
      <c r="I28" s="98"/>
    </row>
    <row r="29" spans="2:9" ht="5.0999999999999996" customHeight="1" x14ac:dyDescent="0.3">
      <c r="B29" s="2"/>
      <c r="C29" s="235"/>
      <c r="D29" s="235"/>
      <c r="E29" s="221"/>
      <c r="F29" s="98"/>
      <c r="G29" s="98"/>
      <c r="H29" s="98"/>
      <c r="I29" s="98"/>
    </row>
    <row r="30" spans="2:9" x14ac:dyDescent="0.3">
      <c r="B30" s="56" t="s">
        <v>263</v>
      </c>
      <c r="C30" s="234"/>
      <c r="D30" s="234"/>
      <c r="E30" s="284"/>
      <c r="F30" s="98" t="s">
        <v>110</v>
      </c>
      <c r="G30" s="234"/>
      <c r="H30" s="98" t="s">
        <v>120</v>
      </c>
      <c r="I30" s="98"/>
    </row>
    <row r="31" spans="2:9" ht="5.0999999999999996" customHeight="1" x14ac:dyDescent="0.3">
      <c r="B31" s="2"/>
      <c r="C31" s="98"/>
      <c r="D31" s="98"/>
      <c r="E31" s="221"/>
      <c r="F31" s="98"/>
      <c r="G31" s="98"/>
      <c r="H31" s="98"/>
      <c r="I31" s="98"/>
    </row>
    <row r="32" spans="2:9" x14ac:dyDescent="0.3">
      <c r="B32" s="56" t="s">
        <v>264</v>
      </c>
      <c r="C32" s="234"/>
      <c r="D32" s="234"/>
      <c r="E32" s="284"/>
      <c r="F32" s="98"/>
      <c r="G32" s="234"/>
      <c r="H32" s="98" t="s">
        <v>120</v>
      </c>
      <c r="I32" s="98"/>
    </row>
    <row r="33" spans="2:9" ht="5.0999999999999996" customHeight="1" x14ac:dyDescent="0.3">
      <c r="B33" s="2"/>
      <c r="C33" s="98"/>
      <c r="D33" s="98"/>
      <c r="E33" s="665"/>
      <c r="F33" s="98"/>
      <c r="G33" s="98"/>
      <c r="H33" s="98"/>
      <c r="I33" s="98"/>
    </row>
    <row r="34" spans="2:9" x14ac:dyDescent="0.3">
      <c r="B34" s="56" t="s">
        <v>265</v>
      </c>
      <c r="C34" s="234"/>
      <c r="D34" s="234"/>
      <c r="E34" s="234"/>
      <c r="F34" s="98"/>
      <c r="G34" s="234"/>
      <c r="H34" s="98" t="s">
        <v>120</v>
      </c>
      <c r="I34" s="98"/>
    </row>
    <row r="35" spans="2:9" ht="5.0999999999999996" customHeight="1" x14ac:dyDescent="0.3">
      <c r="B35" s="2"/>
      <c r="C35" s="98"/>
      <c r="D35" s="98"/>
      <c r="E35" s="221"/>
      <c r="F35" s="98"/>
      <c r="G35" s="98"/>
      <c r="H35" s="98"/>
      <c r="I35" s="98"/>
    </row>
    <row r="36" spans="2:9" x14ac:dyDescent="0.3">
      <c r="B36" s="56" t="s">
        <v>266</v>
      </c>
      <c r="C36" s="234"/>
      <c r="D36" s="234"/>
      <c r="E36" s="284"/>
      <c r="F36" s="98"/>
      <c r="G36" s="234"/>
      <c r="H36" s="98" t="s">
        <v>120</v>
      </c>
      <c r="I36" s="98"/>
    </row>
    <row r="37" spans="2:9" ht="5.0999999999999996" customHeight="1" x14ac:dyDescent="0.3">
      <c r="B37" s="2"/>
      <c r="C37" s="98"/>
      <c r="D37" s="98"/>
      <c r="E37" s="221"/>
      <c r="F37" s="98"/>
      <c r="G37" s="98"/>
      <c r="H37" s="98"/>
      <c r="I37" s="98"/>
    </row>
    <row r="41" spans="2:9" s="68" customFormat="1" hidden="1" x14ac:dyDescent="0.3">
      <c r="C41" s="68" t="s">
        <v>109</v>
      </c>
      <c r="E41" s="561"/>
    </row>
    <row r="42" spans="2:9" s="68" customFormat="1" hidden="1" x14ac:dyDescent="0.3">
      <c r="C42" s="68" t="s">
        <v>113</v>
      </c>
      <c r="E42" s="561"/>
    </row>
    <row r="43" spans="2:9" s="68" customFormat="1" hidden="1" x14ac:dyDescent="0.3">
      <c r="C43" s="68" t="s">
        <v>114</v>
      </c>
      <c r="E43" s="561"/>
    </row>
  </sheetData>
  <sheetProtection algorithmName="SHA-512" hashValue="wrn6ytZyLxNwk2HQho7xmD5OC6KKs6sUKyNcpUQpKMO6+MRTzavPTAVN0lIMW6aXjbA45Btt3WMZU5oaXc+YQQ==" saltValue="HTihmWQ/qo5ZXxyyHYMFRw==" spinCount="100000" sheet="1" objects="1" scenarios="1"/>
  <mergeCells count="6">
    <mergeCell ref="E19:E20"/>
    <mergeCell ref="B1:J1"/>
    <mergeCell ref="H3:J3"/>
    <mergeCell ref="C3:D3"/>
    <mergeCell ref="C5:D5"/>
    <mergeCell ref="C7:D7"/>
  </mergeCells>
  <conditionalFormatting sqref="C3">
    <cfRule type="cellIs" dxfId="62" priority="35" operator="greaterThan">
      <formula>0</formula>
    </cfRule>
  </conditionalFormatting>
  <conditionalFormatting sqref="C5 C21:E21 G21 I21">
    <cfRule type="cellIs" dxfId="61" priority="30" operator="greaterThan">
      <formula>0</formula>
    </cfRule>
  </conditionalFormatting>
  <conditionalFormatting sqref="C7">
    <cfRule type="cellIs" dxfId="60" priority="32" operator="greaterThan">
      <formula>0</formula>
    </cfRule>
  </conditionalFormatting>
  <conditionalFormatting sqref="C15 C17 C19">
    <cfRule type="cellIs" dxfId="59" priority="11" operator="greaterThan">
      <formula>0</formula>
    </cfRule>
  </conditionalFormatting>
  <conditionalFormatting sqref="C13:E13 G13:G15 C24:E24 G24 C26:E26 G26 C28:E28 G28 C30:E30 G30 C32:E32 G32 C34:E34 G34 C36:E36 G36">
    <cfRule type="cellIs" dxfId="58" priority="8" operator="greaterThan">
      <formula>0</formula>
    </cfRule>
  </conditionalFormatting>
  <conditionalFormatting sqref="H3:J3">
    <cfRule type="cellIs" dxfId="57" priority="15" operator="greaterThan">
      <formula>0</formula>
    </cfRule>
  </conditionalFormatting>
  <conditionalFormatting sqref="I13:I15 E14:E15">
    <cfRule type="cellIs" dxfId="56" priority="14" operator="greaterThan">
      <formula>0</formula>
    </cfRule>
  </conditionalFormatting>
  <dataValidations xWindow="1467" yWindow="834" count="3">
    <dataValidation type="list" allowBlank="1" showInputMessage="1" showErrorMessage="1" sqref="D21 C36:D36 C17 C15 C30:D30 C34:D34 C32:D32 C26:D26 C24:D24 C13:D13 C28:D28 C19" xr:uid="{581C98CA-665D-42A1-8299-0A4E6EC15403}">
      <formula1>$C$42:$C$43</formula1>
    </dataValidation>
    <dataValidation type="list" allowBlank="1" showInputMessage="1" showErrorMessage="1" promptTitle="Hard Floor Care" prompt="Does the contract include this as part of the monthly charge?" sqref="D30" xr:uid="{FF0FCDF6-6199-4062-B206-33DF44BDF21E}">
      <formula1>$C$42:$C$43</formula1>
    </dataValidation>
    <dataValidation type="list" allowBlank="1" showInputMessage="1" showErrorMessage="1" promptTitle="Hard Floor Care" prompt="Does the Contract require Hard Floor Care?" sqref="C30" xr:uid="{96EA3F8E-57D6-4BE4-B2DF-85634E4688F9}">
      <formula1>$C$42:$C$43</formula1>
    </dataValidation>
  </dataValidations>
  <hyperlinks>
    <hyperlink ref="B13" location="'Monthly Janitorial'!B20" display="Monthly Janitorial" xr:uid="{B6C8508A-183C-4BB5-9886-CEF126A71BDF}"/>
    <hyperlink ref="L1" location="'kt info'!C3" display="Contract Information" xr:uid="{4EEBB77D-7DE8-4944-9DEE-FD3877D8D0F8}"/>
    <hyperlink ref="L2" location="'Overhead &amp; Margin'!D10" display="Overhead &amp; Margin" xr:uid="{0E8C996F-BDB1-46C8-A1B5-42EF511C1C9E}"/>
    <hyperlink ref="L8" location="'Grounds Maintenance'!A1" display="Grounds Maintenance" xr:uid="{EA2A2C55-9569-4648-84A4-BDA6FE0B0B23}"/>
    <hyperlink ref="L9" location="Periodics!B22" display="Periodical Services" xr:uid="{3E17F28D-B0EF-4668-9248-BDBD4FB8B5D3}"/>
    <hyperlink ref="L10" location="'Additional-Except &amp; Emerg'!A1" display="Additional/Exceptional Services and Emergency Services" xr:uid="{F03228F2-39C6-4FB8-B569-8DA797113F9A}"/>
    <hyperlink ref="L4" location="Supplies!B13" display="Supplies" xr:uid="{DB75C712-AF72-4B07-B3F1-698871C5FB92}"/>
    <hyperlink ref="L5" location="'Equipment List'!B12" display="Equipment" xr:uid="{A40943DD-60D5-4FEC-9176-BECC4F254003}"/>
    <hyperlink ref="L12" location="'Price Approval'!A1" display="Price Approval" xr:uid="{FE83C0D7-076C-475B-BF5F-278F6EF257DB}"/>
    <hyperlink ref="L6" location="Subcontractors!B15" display="Subcontractors" xr:uid="{8711E450-862A-4DD3-9441-CB2D53D7755A}"/>
    <hyperlink ref="L3" location="'Pay &amp; Benefits'!C10" display="Wages and Benefits (includes Unemployment and Worker's Compensation" xr:uid="{2382F2DD-8676-474A-9D0B-D5D9873A5DE9}"/>
    <hyperlink ref="L7" location="Transportation!B6" display="Transportation" xr:uid="{1F9F9E33-F594-435A-9081-BDE386738106}"/>
    <hyperlink ref="L11" location="'Summary-pricing'!A1" display="Summary-Pricing" xr:uid="{94F90B6C-33C4-4D8C-BEEC-C6268B901D80}"/>
    <hyperlink ref="B19" location="Subcontractors!B15" display="Subcontractors will be utilized" xr:uid="{64D18BA6-F6D0-43F1-A6F5-6872BC83E207}"/>
    <hyperlink ref="B36" location="Periodics!B357" display="High Dusting" xr:uid="{ED34013B-D3FD-4AC5-B404-4B51FBC1F29C}"/>
    <hyperlink ref="B34" location="Periodics!B299" display="Clean Chairs" xr:uid="{83C65453-28B3-4B4A-B77A-F0365E3AEF10}"/>
    <hyperlink ref="B30" location="Periodics!B183" display="Hard Floor Scrub and Seal" xr:uid="{9CDEE6B6-5CC4-4FA8-96D5-707024BD3708}"/>
    <hyperlink ref="B32" location="Periodics!B241" display="Window Washing" xr:uid="{0C2691F2-B311-459D-BD4B-4BFA79F181AD}"/>
    <hyperlink ref="B28" location="Periodics!B125" display="Hard Floor Strip and Wax" xr:uid="{F7E34B50-F820-4FC6-B593-0878E9F3689A}"/>
    <hyperlink ref="B26" location="Periodics!B67" display="High Traffic Carpet" xr:uid="{F1909996-4805-46BD-98A1-3A2AF6517E2E}"/>
    <hyperlink ref="B24" location="Periodics!B10" display="All Carpets" xr:uid="{9A5246AA-2A56-41A9-BE0B-C3715AADD685}"/>
    <hyperlink ref="B17" location="'Except,Emer&amp;Day Porter'!B21" display="Emergency Services" xr:uid="{1E785450-E38B-4215-9D89-053E0E81341A}"/>
    <hyperlink ref="B15" location="'Except,Emer&amp;Day Porter'!B9" display="Exeptional-Additional Services" xr:uid="{9D36F35B-7897-42F5-B81C-6795D220B4B1}"/>
  </hyperlinks>
  <pageMargins left="0.7" right="0.7" top="0.75" bottom="0.75" header="0.3" footer="0.3"/>
  <pageSetup orientation="portrait" r:id="rId1"/>
  <headerFooter>
    <oddHeader>&amp;C&amp;14Services required by Contract</oddHead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F74F-28B3-421F-8FE9-6609BB1DFF18}">
  <dimension ref="A1:O38"/>
  <sheetViews>
    <sheetView showGridLines="0" showZeros="0" zoomScaleNormal="100" workbookViewId="0">
      <pane ySplit="1" topLeftCell="A2" activePane="bottomLeft" state="frozen"/>
      <selection activeCell="B8" sqref="B8"/>
      <selection pane="bottomLeft" activeCell="C18" sqref="C18"/>
    </sheetView>
  </sheetViews>
  <sheetFormatPr defaultRowHeight="14.4" x14ac:dyDescent="0.3"/>
  <cols>
    <col min="1" max="1" width="5.44140625" customWidth="1"/>
    <col min="2" max="2" width="27" customWidth="1"/>
    <col min="3" max="3" width="20" customWidth="1"/>
    <col min="4" max="4" width="12.5546875" customWidth="1"/>
    <col min="5" max="5" width="17.44140625" customWidth="1"/>
    <col min="6" max="6" width="18.21875" customWidth="1"/>
    <col min="7" max="7" width="14.5546875" customWidth="1"/>
    <col min="8" max="9" width="15.5546875" customWidth="1"/>
    <col min="10" max="10" width="12.77734375" customWidth="1"/>
  </cols>
  <sheetData>
    <row r="1" spans="1:15" ht="30.75" customHeight="1" x14ac:dyDescent="0.3">
      <c r="A1" s="581"/>
      <c r="B1" s="668" t="s">
        <v>258</v>
      </c>
      <c r="C1" s="668"/>
      <c r="D1" s="668"/>
      <c r="E1" s="668"/>
      <c r="F1" s="668"/>
      <c r="G1" s="668"/>
      <c r="H1" s="668"/>
      <c r="I1" s="668"/>
      <c r="J1" s="668"/>
    </row>
    <row r="3" spans="1:15" x14ac:dyDescent="0.3">
      <c r="B3" t="s">
        <v>102</v>
      </c>
      <c r="C3" s="695">
        <f>'kt info'!$C$3</f>
        <v>0</v>
      </c>
      <c r="D3" s="695"/>
      <c r="E3" s="696"/>
      <c r="F3" s="697"/>
      <c r="G3" s="20"/>
      <c r="H3" s="96"/>
      <c r="I3" s="20"/>
      <c r="J3" s="56"/>
      <c r="L3" s="20" t="s">
        <v>124</v>
      </c>
      <c r="M3" s="56" t="s">
        <v>125</v>
      </c>
      <c r="O3" s="218"/>
    </row>
    <row r="4" spans="1:15" x14ac:dyDescent="0.3">
      <c r="C4" s="98"/>
      <c r="D4" s="98"/>
      <c r="E4" s="98"/>
      <c r="F4" s="98"/>
      <c r="H4" s="56"/>
      <c r="I4" s="56"/>
      <c r="J4" s="56"/>
      <c r="M4" s="56" t="s">
        <v>219</v>
      </c>
      <c r="O4" s="218"/>
    </row>
    <row r="5" spans="1:15" x14ac:dyDescent="0.3">
      <c r="B5" t="s">
        <v>103</v>
      </c>
      <c r="C5" s="695">
        <f>'kt info'!$C$5</f>
        <v>0</v>
      </c>
      <c r="D5" s="695"/>
      <c r="E5" s="697"/>
      <c r="F5" s="697"/>
      <c r="I5" s="56"/>
      <c r="J5" s="56"/>
      <c r="M5" s="56" t="s">
        <v>220</v>
      </c>
      <c r="O5" s="218"/>
    </row>
    <row r="6" spans="1:15" x14ac:dyDescent="0.3">
      <c r="C6" s="98"/>
      <c r="D6" s="98"/>
      <c r="E6" s="98"/>
      <c r="F6" s="98"/>
      <c r="I6" s="56"/>
      <c r="J6" s="56"/>
      <c r="M6" s="56" t="s">
        <v>73</v>
      </c>
      <c r="O6" s="218"/>
    </row>
    <row r="7" spans="1:15" x14ac:dyDescent="0.3">
      <c r="B7" t="s">
        <v>126</v>
      </c>
      <c r="C7" s="695">
        <f>'kt info'!$C$7</f>
        <v>0</v>
      </c>
      <c r="D7" s="695"/>
      <c r="E7" s="697"/>
      <c r="F7" s="697"/>
      <c r="I7" s="56"/>
      <c r="J7" s="56"/>
      <c r="M7" s="56" t="s">
        <v>10</v>
      </c>
      <c r="O7" s="318"/>
    </row>
    <row r="8" spans="1:15" ht="15" thickBot="1" x14ac:dyDescent="0.35">
      <c r="H8" s="56"/>
      <c r="I8" s="577" t="str">
        <f>'kt info'!$B$12</f>
        <v>Form date: 2/20/26</v>
      </c>
      <c r="J8" s="56"/>
      <c r="M8" s="56" t="s">
        <v>173</v>
      </c>
      <c r="O8" s="218"/>
    </row>
    <row r="9" spans="1:15" ht="15" thickTop="1" x14ac:dyDescent="0.3">
      <c r="B9" s="554" t="s">
        <v>267</v>
      </c>
      <c r="C9" s="282"/>
      <c r="D9" s="282"/>
      <c r="E9" s="282"/>
      <c r="F9" s="282"/>
      <c r="G9" s="282"/>
      <c r="H9" s="293"/>
      <c r="I9" s="293"/>
      <c r="J9" s="282"/>
      <c r="K9" s="294"/>
      <c r="M9" s="56" t="s">
        <v>82</v>
      </c>
      <c r="O9" s="218"/>
    </row>
    <row r="10" spans="1:15" x14ac:dyDescent="0.3">
      <c r="B10" s="295"/>
      <c r="C10" s="555" t="s">
        <v>133</v>
      </c>
      <c r="D10" s="7"/>
      <c r="E10" s="556"/>
      <c r="F10" s="557" t="s">
        <v>134</v>
      </c>
      <c r="G10" s="558"/>
      <c r="H10" s="7"/>
      <c r="I10" s="7"/>
      <c r="K10" s="296"/>
      <c r="M10" s="56" t="s">
        <v>259</v>
      </c>
      <c r="O10" s="218"/>
    </row>
    <row r="11" spans="1:15" x14ac:dyDescent="0.3">
      <c r="B11" s="295"/>
      <c r="C11" s="559" t="s">
        <v>135</v>
      </c>
      <c r="D11" s="81">
        <f>IF(J18=0,0,J18)</f>
        <v>0</v>
      </c>
      <c r="F11" s="81">
        <f>IF(J18=" ",0,D11+D12+D13+D14)</f>
        <v>0</v>
      </c>
      <c r="G11" s="557" t="str">
        <f>IF(F11=0," ","per hour")</f>
        <v xml:space="preserve"> </v>
      </c>
      <c r="H11" s="7"/>
      <c r="I11" s="7"/>
      <c r="K11" s="296"/>
      <c r="M11" s="56" t="s">
        <v>177</v>
      </c>
      <c r="O11" s="218"/>
    </row>
    <row r="12" spans="1:15" x14ac:dyDescent="0.3">
      <c r="B12" s="295"/>
      <c r="C12" s="559" t="s">
        <v>136</v>
      </c>
      <c r="D12" s="81">
        <f>IF(D11=0,0,D11*0.1)</f>
        <v>0</v>
      </c>
      <c r="F12" s="558"/>
      <c r="G12" s="558"/>
      <c r="H12" s="7"/>
      <c r="I12" s="7"/>
      <c r="K12" s="296"/>
      <c r="M12" s="56" t="s">
        <v>268</v>
      </c>
      <c r="O12" s="218"/>
    </row>
    <row r="13" spans="1:15" ht="15.6" customHeight="1" x14ac:dyDescent="0.3">
      <c r="A13" s="17"/>
      <c r="B13" s="295"/>
      <c r="C13" s="559" t="s">
        <v>80</v>
      </c>
      <c r="D13" s="81">
        <f>($D$11+$D$12)*'Overhead &amp; Margin'!$D$10/(1-('Overhead &amp; Margin'!$D$10))</f>
        <v>0</v>
      </c>
      <c r="F13" s="558"/>
      <c r="G13" s="558"/>
      <c r="H13" s="7"/>
      <c r="I13" s="7"/>
      <c r="K13" s="296"/>
      <c r="M13" s="56" t="s">
        <v>221</v>
      </c>
      <c r="N13" s="218"/>
      <c r="O13" s="218"/>
    </row>
    <row r="14" spans="1:15" ht="15" x14ac:dyDescent="0.3">
      <c r="A14" s="17"/>
      <c r="B14" s="295"/>
      <c r="C14" s="559" t="s">
        <v>81</v>
      </c>
      <c r="D14" s="81">
        <f>($D$11+$D$12+$D$13)*'Overhead &amp; Margin'!$G$10/(1-('Overhead &amp; Margin'!$G$10))</f>
        <v>0</v>
      </c>
      <c r="F14" s="558"/>
      <c r="G14" s="558"/>
      <c r="H14" s="7"/>
      <c r="I14" s="7"/>
      <c r="K14" s="296"/>
      <c r="L14" s="218"/>
      <c r="M14" s="56" t="s">
        <v>193</v>
      </c>
      <c r="O14" s="218"/>
    </row>
    <row r="15" spans="1:15" ht="15.6" thickBot="1" x14ac:dyDescent="0.35">
      <c r="A15" s="18"/>
      <c r="B15" s="295"/>
      <c r="C15" s="23" t="s">
        <v>137</v>
      </c>
      <c r="E15" s="82"/>
      <c r="F15" s="558"/>
      <c r="G15" s="558"/>
      <c r="H15" s="7"/>
      <c r="I15" s="7"/>
      <c r="J15" s="7"/>
      <c r="K15" s="296"/>
    </row>
    <row r="16" spans="1:15" ht="15" x14ac:dyDescent="0.3">
      <c r="A16" s="18"/>
      <c r="B16" s="295"/>
      <c r="C16" s="83" t="s">
        <v>138</v>
      </c>
      <c r="D16" s="21" t="s">
        <v>15</v>
      </c>
      <c r="E16" s="21" t="s">
        <v>139</v>
      </c>
      <c r="F16" s="21" t="s">
        <v>14</v>
      </c>
      <c r="G16" s="21" t="s">
        <v>17</v>
      </c>
      <c r="H16" s="21" t="s">
        <v>18</v>
      </c>
      <c r="I16" s="796" t="s">
        <v>16</v>
      </c>
      <c r="J16" s="50" t="s">
        <v>140</v>
      </c>
      <c r="K16" s="297"/>
    </row>
    <row r="17" spans="1:11" ht="15.6" thickBot="1" x14ac:dyDescent="0.35">
      <c r="A17" s="18"/>
      <c r="B17" s="295"/>
      <c r="C17" s="84"/>
      <c r="D17" s="36" t="s">
        <v>24</v>
      </c>
      <c r="E17" s="36" t="s">
        <v>27</v>
      </c>
      <c r="F17" s="36" t="s">
        <v>23</v>
      </c>
      <c r="G17" s="36" t="s">
        <v>25</v>
      </c>
      <c r="H17" s="36" t="s">
        <v>26</v>
      </c>
      <c r="I17" s="669"/>
      <c r="J17" s="133" t="s">
        <v>32</v>
      </c>
      <c r="K17" s="297"/>
    </row>
    <row r="18" spans="1:11" ht="15.6" thickBot="1" x14ac:dyDescent="0.35">
      <c r="A18" s="18"/>
      <c r="B18" s="295"/>
      <c r="C18" s="144"/>
      <c r="D18" s="230">
        <f>IF(C18=0,0,VLOOKUP($C18,WageBeneTable5[#All],2,FALSE))</f>
        <v>0</v>
      </c>
      <c r="E18" s="135">
        <f>IF(D18=0,0,VLOOKUP($C18,WageBeneTable5[#All],3,FALSE))</f>
        <v>0</v>
      </c>
      <c r="F18" s="134">
        <f>IF(D18=0,0,1)</f>
        <v>0</v>
      </c>
      <c r="G18" s="135" t="str">
        <f>IF($D18=0," ",'Pay &amp; Benefits'!$C$10)</f>
        <v xml:space="preserve"> </v>
      </c>
      <c r="H18" s="135" t="str">
        <f>IF($D18=0," ",'Pay &amp; Benefits'!$C$11)</f>
        <v xml:space="preserve"> </v>
      </c>
      <c r="I18" s="136">
        <f>IF(D18=0,0,0.0765)</f>
        <v>0</v>
      </c>
      <c r="J18" s="137">
        <f>IF($E18=0,0,$D18*F18*(1+$E18+$G18+$H18+$I18))</f>
        <v>0</v>
      </c>
      <c r="K18" s="298"/>
    </row>
    <row r="19" spans="1:11" ht="5.0999999999999996" customHeight="1" x14ac:dyDescent="0.3">
      <c r="B19" s="299"/>
      <c r="D19" s="85"/>
      <c r="E19" s="86"/>
      <c r="F19" s="87"/>
      <c r="G19" s="87"/>
      <c r="H19" s="88"/>
      <c r="I19" s="87"/>
      <c r="J19" s="89"/>
      <c r="K19" s="300"/>
    </row>
    <row r="20" spans="1:11" ht="15" thickBot="1" x14ac:dyDescent="0.35">
      <c r="B20" s="301"/>
      <c r="C20" s="90"/>
      <c r="D20" s="91"/>
      <c r="E20" s="92"/>
      <c r="F20" s="93"/>
      <c r="G20" s="93"/>
      <c r="H20" s="92"/>
      <c r="I20" s="94"/>
      <c r="J20" s="94"/>
      <c r="K20" s="302"/>
    </row>
    <row r="21" spans="1:11" x14ac:dyDescent="0.3">
      <c r="B21" s="560" t="s">
        <v>2</v>
      </c>
      <c r="D21" s="28"/>
      <c r="E21" s="28"/>
      <c r="F21" s="95"/>
      <c r="G21" s="95"/>
      <c r="H21" s="21"/>
      <c r="I21" s="28"/>
      <c r="J21" s="28"/>
      <c r="K21" s="303"/>
    </row>
    <row r="22" spans="1:11" x14ac:dyDescent="0.3">
      <c r="B22" s="295"/>
      <c r="C22" s="555" t="s">
        <v>133</v>
      </c>
      <c r="D22" s="7"/>
      <c r="E22" s="556"/>
      <c r="F22" s="557" t="s">
        <v>141</v>
      </c>
      <c r="G22" s="558"/>
      <c r="H22" s="7"/>
      <c r="I22" s="7"/>
      <c r="K22" s="297"/>
    </row>
    <row r="23" spans="1:11" ht="15" x14ac:dyDescent="0.3">
      <c r="A23" s="17"/>
      <c r="B23" s="295"/>
      <c r="C23" s="559" t="s">
        <v>135</v>
      </c>
      <c r="D23" s="81">
        <f>IF(J30=0,0,J30)</f>
        <v>0</v>
      </c>
      <c r="F23" s="81">
        <f>IF(J30=" ",0,D23+D24+D25+D26)</f>
        <v>0</v>
      </c>
      <c r="G23" s="557" t="str">
        <f>IF(F23=0," ","per hour")</f>
        <v xml:space="preserve"> </v>
      </c>
      <c r="H23" s="7"/>
      <c r="I23" s="7"/>
      <c r="K23" s="297"/>
    </row>
    <row r="24" spans="1:11" ht="15" x14ac:dyDescent="0.3">
      <c r="A24" s="17"/>
      <c r="B24" s="295"/>
      <c r="C24" s="559" t="s">
        <v>136</v>
      </c>
      <c r="D24" s="81">
        <f>IF(D23=0,0,D23*0.1)</f>
        <v>0</v>
      </c>
      <c r="F24" s="558"/>
      <c r="G24" s="558"/>
      <c r="H24" s="7"/>
      <c r="I24" s="7"/>
      <c r="K24" s="297"/>
    </row>
    <row r="25" spans="1:11" ht="15" x14ac:dyDescent="0.3">
      <c r="A25" s="18"/>
      <c r="B25" s="295"/>
      <c r="C25" s="559" t="s">
        <v>80</v>
      </c>
      <c r="D25" s="81">
        <f>($D$23+$D$24)*'Overhead &amp; Margin'!$D$10/(1-('Overhead &amp; Margin'!$D$10))</f>
        <v>0</v>
      </c>
      <c r="F25" s="558"/>
      <c r="G25" s="558"/>
      <c r="H25" s="7"/>
      <c r="I25" s="7"/>
      <c r="K25" s="297"/>
    </row>
    <row r="26" spans="1:11" ht="15" x14ac:dyDescent="0.3">
      <c r="A26" s="18"/>
      <c r="B26" s="295"/>
      <c r="C26" s="559" t="s">
        <v>81</v>
      </c>
      <c r="D26" s="81">
        <f>($D$23+$D$24+$D$25)*'Overhead &amp; Margin'!$G$10/(1-('Overhead &amp; Margin'!$G$10))</f>
        <v>0</v>
      </c>
      <c r="F26" s="558"/>
      <c r="G26" s="558"/>
      <c r="H26" s="7"/>
      <c r="I26" s="7"/>
      <c r="K26" s="297"/>
    </row>
    <row r="27" spans="1:11" ht="15.6" thickBot="1" x14ac:dyDescent="0.35">
      <c r="A27" s="18"/>
      <c r="B27" s="295"/>
      <c r="C27" s="23" t="s">
        <v>137</v>
      </c>
      <c r="E27" s="82"/>
      <c r="F27" s="558"/>
      <c r="G27" s="558"/>
      <c r="H27" s="7"/>
      <c r="I27" s="7"/>
      <c r="J27" s="7"/>
      <c r="K27" s="297"/>
    </row>
    <row r="28" spans="1:11" ht="15" x14ac:dyDescent="0.3">
      <c r="A28" s="18"/>
      <c r="B28" s="304"/>
      <c r="C28" s="83" t="s">
        <v>138</v>
      </c>
      <c r="D28" s="21" t="s">
        <v>15</v>
      </c>
      <c r="E28" s="21" t="s">
        <v>139</v>
      </c>
      <c r="F28" s="21" t="s">
        <v>14</v>
      </c>
      <c r="G28" s="21" t="s">
        <v>17</v>
      </c>
      <c r="H28" s="21" t="s">
        <v>18</v>
      </c>
      <c r="I28" s="796" t="s">
        <v>16</v>
      </c>
      <c r="J28" s="50" t="s">
        <v>140</v>
      </c>
      <c r="K28" s="305"/>
    </row>
    <row r="29" spans="1:11" ht="15.6" thickBot="1" x14ac:dyDescent="0.35">
      <c r="A29" s="18"/>
      <c r="B29" s="304"/>
      <c r="C29" s="84"/>
      <c r="D29" s="36" t="s">
        <v>24</v>
      </c>
      <c r="E29" s="36" t="s">
        <v>27</v>
      </c>
      <c r="F29" s="36" t="s">
        <v>23</v>
      </c>
      <c r="G29" s="36" t="s">
        <v>25</v>
      </c>
      <c r="H29" s="36" t="s">
        <v>26</v>
      </c>
      <c r="I29" s="669"/>
      <c r="J29" s="133" t="s">
        <v>32</v>
      </c>
      <c r="K29" s="305"/>
    </row>
    <row r="30" spans="1:11" ht="15" thickBot="1" x14ac:dyDescent="0.35">
      <c r="B30" s="295"/>
      <c r="C30" s="144"/>
      <c r="D30" s="230">
        <f>IF(C30=0,0,VLOOKUP($C30,WageBeneTable5[#All],2,FALSE))</f>
        <v>0</v>
      </c>
      <c r="E30" s="135">
        <f>IF(D30=0,0,VLOOKUP($C30,WageBeneTable5[#All],3,FALSE))</f>
        <v>0</v>
      </c>
      <c r="F30" s="134">
        <f>IF(D30=0,0,1)</f>
        <v>0</v>
      </c>
      <c r="G30" s="135" t="str">
        <f>IF($D30=0," ",'Pay &amp; Benefits'!$C$10)</f>
        <v xml:space="preserve"> </v>
      </c>
      <c r="H30" s="135" t="str">
        <f>IF($D30=0," ",'Pay &amp; Benefits'!$C$11)</f>
        <v xml:space="preserve"> </v>
      </c>
      <c r="I30" s="136">
        <f>IF(D30=0,0,0.0765)</f>
        <v>0</v>
      </c>
      <c r="J30" s="137">
        <f>IF($E30=0,0,$D30*F30*(1+$E30+$G30+$H30+$I30))</f>
        <v>0</v>
      </c>
      <c r="K30" s="298"/>
    </row>
    <row r="31" spans="1:11" ht="5.0999999999999996" customHeight="1" thickBot="1" x14ac:dyDescent="0.35">
      <c r="B31" s="283"/>
      <c r="C31" s="76"/>
      <c r="D31" s="76"/>
      <c r="E31" s="76"/>
      <c r="F31" s="76"/>
      <c r="G31" s="76"/>
      <c r="H31" s="76"/>
      <c r="I31" s="76"/>
      <c r="J31" s="76"/>
      <c r="K31" s="306"/>
    </row>
    <row r="32" spans="1:11" ht="5.0999999999999996" customHeight="1" thickBot="1" x14ac:dyDescent="0.35">
      <c r="B32" s="307"/>
      <c r="C32" s="308"/>
      <c r="D32" s="308"/>
      <c r="E32" s="308"/>
      <c r="F32" s="308"/>
      <c r="G32" s="308"/>
      <c r="H32" s="308"/>
      <c r="I32" s="309"/>
      <c r="J32" s="308"/>
      <c r="K32" s="310"/>
    </row>
    <row r="33" spans="9:9" ht="15" customHeight="1" thickTop="1" x14ac:dyDescent="0.3">
      <c r="I33" s="70"/>
    </row>
    <row r="34" spans="9:9" x14ac:dyDescent="0.3">
      <c r="I34" s="70"/>
    </row>
    <row r="35" spans="9:9" x14ac:dyDescent="0.3">
      <c r="I35" s="70"/>
    </row>
    <row r="36" spans="9:9" x14ac:dyDescent="0.3">
      <c r="I36" s="70"/>
    </row>
    <row r="37" spans="9:9" x14ac:dyDescent="0.3">
      <c r="I37" s="70"/>
    </row>
    <row r="38" spans="9:9" x14ac:dyDescent="0.3">
      <c r="I38" s="70"/>
    </row>
  </sheetData>
  <sheetProtection algorithmName="SHA-512" hashValue="7K8m+afa5PY8xKnjlCHuKxQjUQjnggbpLs9UlnyV+kHsbCR357HnT04gzk2ra8C+Z+Xi/pZzWCjjRXcp4gRUaQ==" saltValue="amlO/enSGqx0kTBxPAItRA==" spinCount="100000" sheet="1" objects="1" scenarios="1"/>
  <mergeCells count="6">
    <mergeCell ref="I28:I29"/>
    <mergeCell ref="B1:J1"/>
    <mergeCell ref="C3:F3"/>
    <mergeCell ref="C5:F5"/>
    <mergeCell ref="C7:F7"/>
    <mergeCell ref="I16:I17"/>
  </mergeCells>
  <conditionalFormatting sqref="C18">
    <cfRule type="cellIs" dxfId="19" priority="1" operator="greaterThan">
      <formula>0</formula>
    </cfRule>
  </conditionalFormatting>
  <conditionalFormatting sqref="C30 C521">
    <cfRule type="cellIs" dxfId="18" priority="3" operator="greaterThan">
      <formula>0</formula>
    </cfRule>
  </conditionalFormatting>
  <hyperlinks>
    <hyperlink ref="M3" location="'kt info'!C3" display="Contract Information" xr:uid="{F1D8FE79-D416-4C8C-9B18-36C9FD418EB0}"/>
    <hyperlink ref="M4" location="'Overhead &amp; Margin'!D10" display="Overhead &amp; Margin" xr:uid="{D47FC717-D6CB-4963-B00B-3A662DAF1EA8}"/>
    <hyperlink ref="M10" location="'Grounds Maintenance'!A1" display="Grounds Maintenance" xr:uid="{1642AAB4-031B-4B1E-9B2D-6489881D2DDF}"/>
    <hyperlink ref="M11" location="Periodics!B22" display="Periodical Services" xr:uid="{94673EE7-121D-47C5-A94E-2063CB96A16E}"/>
    <hyperlink ref="M12" location="'Additional-Except &amp; Emerg'!A1" display="Additional/Exceptional Services and Emergency Services" xr:uid="{87018D1B-4713-498C-BB6C-CF617306CBEC}"/>
    <hyperlink ref="M6" location="Supplies!B13" display="Supplies" xr:uid="{5160C949-FE35-4AA3-BF3A-630475FB1358}"/>
    <hyperlink ref="M7" location="'Equipment List'!B12" display="Equipment" xr:uid="{03B831B1-714A-4059-B53D-BF9F2FDA6054}"/>
    <hyperlink ref="M14" location="'Price Approval'!A1" display="Price Approval" xr:uid="{37A6BA6D-A440-4EF3-A0B2-D813DADF966E}"/>
    <hyperlink ref="M8" location="Subcontractors!B15" display="Subcontractors" xr:uid="{17E3C380-73B4-45B1-91AE-808E89175A6C}"/>
    <hyperlink ref="M5" location="'Pay &amp; Benefits'!C10" display="Wages and Benefits (includes Unemployment and Worker's Compensation" xr:uid="{620B9257-75FD-4D01-BA65-1405181BCF05}"/>
    <hyperlink ref="M9" location="Transportation!B6" display="Transportation" xr:uid="{67CD9144-6C8B-4623-BBBC-65EB5B8616AA}"/>
    <hyperlink ref="M13" location="'Summary-pricing'!A1" display="Summary-Pricing" xr:uid="{BEF31BC3-2977-45B5-A4F5-13D12CE1CF59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554E1B-377A-4440-80E2-F4DF9908FB5C}">
          <x14:formula1>
            <xm:f>'Pay &amp; Benefits'!$B$64:$B$78</xm:f>
          </x14:formula1>
          <xm:sqref>C18 C30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E65E-BCA8-4D15-AE9F-FE005DA406F5}">
  <dimension ref="A1:M35"/>
  <sheetViews>
    <sheetView showGridLines="0" showZeros="0" zoomScaleNormal="100" workbookViewId="0">
      <selection activeCell="C23" sqref="C23"/>
    </sheetView>
  </sheetViews>
  <sheetFormatPr defaultRowHeight="14.4" x14ac:dyDescent="0.3"/>
  <cols>
    <col min="2" max="2" width="41.77734375" customWidth="1"/>
    <col min="3" max="3" width="18.77734375" customWidth="1"/>
    <col min="4" max="4" width="17.44140625" customWidth="1"/>
    <col min="5" max="5" width="15.5546875" customWidth="1"/>
    <col min="6" max="6" width="11.44140625" customWidth="1"/>
    <col min="7" max="7" width="14.77734375" customWidth="1"/>
    <col min="8" max="8" width="17.77734375" customWidth="1"/>
    <col min="9" max="9" width="6.44140625" customWidth="1"/>
  </cols>
  <sheetData>
    <row r="1" spans="1:13" ht="30.75" customHeight="1" x14ac:dyDescent="0.3">
      <c r="B1" s="668" t="s">
        <v>275</v>
      </c>
      <c r="C1" s="669"/>
      <c r="D1" s="669"/>
      <c r="E1" s="669"/>
      <c r="F1" s="669"/>
      <c r="G1" s="669"/>
      <c r="H1" s="20"/>
      <c r="I1" s="20" t="s">
        <v>124</v>
      </c>
      <c r="J1" s="56" t="s">
        <v>125</v>
      </c>
    </row>
    <row r="2" spans="1:13" x14ac:dyDescent="0.3">
      <c r="F2" s="20"/>
      <c r="G2" s="577" t="str">
        <f>'kt info'!$B$12</f>
        <v>Form date: 2/20/26</v>
      </c>
      <c r="J2" s="56" t="s">
        <v>219</v>
      </c>
    </row>
    <row r="3" spans="1:13" x14ac:dyDescent="0.3">
      <c r="B3" t="s">
        <v>102</v>
      </c>
      <c r="C3" s="797">
        <f>IF('kt info'!C3="Fill in Name of OFC"," ",'kt info'!C3)</f>
        <v>0</v>
      </c>
      <c r="D3" s="703"/>
      <c r="G3" s="56"/>
      <c r="J3" s="56" t="s">
        <v>220</v>
      </c>
    </row>
    <row r="4" spans="1:13" x14ac:dyDescent="0.3">
      <c r="C4" s="98"/>
      <c r="D4" s="98"/>
      <c r="G4" s="56"/>
      <c r="J4" s="56" t="s">
        <v>73</v>
      </c>
    </row>
    <row r="5" spans="1:13" x14ac:dyDescent="0.3">
      <c r="B5" t="s">
        <v>103</v>
      </c>
      <c r="C5" s="797">
        <f>IF('kt info'!C5="Contract Name or Number"," ",'kt info'!C5)</f>
        <v>0</v>
      </c>
      <c r="D5" s="703"/>
      <c r="G5" s="56"/>
      <c r="J5" s="56" t="s">
        <v>10</v>
      </c>
    </row>
    <row r="6" spans="1:13" x14ac:dyDescent="0.3">
      <c r="C6" s="98"/>
      <c r="D6" s="98"/>
      <c r="G6" s="56"/>
      <c r="J6" s="56" t="s">
        <v>173</v>
      </c>
    </row>
    <row r="7" spans="1:13" x14ac:dyDescent="0.3">
      <c r="B7" t="s">
        <v>126</v>
      </c>
      <c r="C7" s="797">
        <f>IF('kt info'!C7="Fill in Public Agency Name"," ",'kt info'!C7)</f>
        <v>0</v>
      </c>
      <c r="D7" s="703"/>
      <c r="G7" s="56"/>
      <c r="J7" s="56" t="s">
        <v>82</v>
      </c>
    </row>
    <row r="8" spans="1:13" x14ac:dyDescent="0.3">
      <c r="G8" s="56"/>
      <c r="J8" s="56" t="s">
        <v>259</v>
      </c>
    </row>
    <row r="9" spans="1:13" ht="18" x14ac:dyDescent="0.35">
      <c r="A9" s="3" t="s">
        <v>3</v>
      </c>
      <c r="G9" s="56"/>
      <c r="J9" s="56" t="s">
        <v>177</v>
      </c>
    </row>
    <row r="10" spans="1:13" x14ac:dyDescent="0.3">
      <c r="G10" s="56"/>
      <c r="J10" s="56" t="s">
        <v>268</v>
      </c>
    </row>
    <row r="11" spans="1:13" x14ac:dyDescent="0.3">
      <c r="B11" s="56" t="str">
        <f>'kt info'!B13</f>
        <v>Grounds Maintenance</v>
      </c>
      <c r="C11" s="536">
        <f>IF('Grounds Maintenance'!C14=0,0,'Grounds Maintenance'!C14)</f>
        <v>0</v>
      </c>
      <c r="D11" s="537" t="s">
        <v>230</v>
      </c>
      <c r="E11" s="536">
        <f>'Grounds Maintenance'!C16</f>
        <v>0</v>
      </c>
      <c r="F11" s="538" t="s">
        <v>121</v>
      </c>
      <c r="G11" s="539">
        <f>IF('Grounds Maintenance'!$H$10=0,0,('Grounds Maintenance'!$C$12/('Grounds Maintenance'!$H$10/(('kt info'!$G$13)))))</f>
        <v>0</v>
      </c>
      <c r="H11" t="s">
        <v>231</v>
      </c>
      <c r="J11" s="56" t="s">
        <v>221</v>
      </c>
      <c r="K11" s="218"/>
    </row>
    <row r="12" spans="1:13" s="540" customFormat="1" ht="5.0999999999999996" customHeight="1" x14ac:dyDescent="0.3">
      <c r="D12" s="541"/>
      <c r="E12" s="542"/>
      <c r="H12" s="218"/>
      <c r="I12" s="218"/>
      <c r="J12" s="56"/>
      <c r="K12"/>
    </row>
    <row r="13" spans="1:13" x14ac:dyDescent="0.3">
      <c r="B13" t="s">
        <v>255</v>
      </c>
      <c r="C13" s="536">
        <f>'Grounds Maintenance'!C14
+IF('kt info'!D24="Yes",('Summary-pricing'!C18*'kt info'!G24)/12,0)
+IF('kt info'!D26="Yes",('Summary-pricing'!C20*'kt info'!G26)/12,0)
+IF('kt info'!D28="Yes",('Summary-pricing'!C22*'kt info'!G28)/12,0)
+IF('kt info'!D30="Yes",('Summary-pricing'!C24*'kt info'!G30)/12,0)
+IF('kt info'!D32="Yes",('Summary-pricing'!C26*'kt info'!G32)/12,0)
+IF('kt info'!D34="Yes",('Summary-pricing'!C28*'kt info'!G34)/12,0)
+IF('kt info'!D36="Yes",('Summary-pricing'!C30*'kt info'!G36)/12,0)</f>
        <v>0</v>
      </c>
      <c r="D13" s="537" t="s">
        <v>207</v>
      </c>
      <c r="E13" s="536">
        <f>IF(OR(C13=0,'Grounds Maintenance'!C12=0,),0,C13/'Grounds Maintenance'!C12)</f>
        <v>0</v>
      </c>
      <c r="F13" s="538" t="s">
        <v>121</v>
      </c>
      <c r="G13" s="543"/>
      <c r="I13" s="56"/>
      <c r="J13" s="56" t="s">
        <v>193</v>
      </c>
    </row>
    <row r="14" spans="1:13" ht="15" customHeight="1" x14ac:dyDescent="0.3">
      <c r="B14" s="800" t="s">
        <v>254</v>
      </c>
      <c r="C14" s="801"/>
      <c r="D14" s="578"/>
      <c r="E14" s="578"/>
      <c r="F14" s="578"/>
    </row>
    <row r="15" spans="1:13" ht="5.0999999999999996" customHeight="1" x14ac:dyDescent="0.3">
      <c r="B15" s="56"/>
      <c r="C15" s="1"/>
      <c r="D15" s="538"/>
      <c r="E15" s="1"/>
      <c r="F15" s="538"/>
    </row>
    <row r="16" spans="1:13" ht="17.399999999999999" x14ac:dyDescent="0.3">
      <c r="B16" s="158" t="s">
        <v>177</v>
      </c>
      <c r="C16" s="798"/>
      <c r="D16" s="799"/>
      <c r="E16" s="799"/>
      <c r="F16" s="799"/>
      <c r="G16" s="799"/>
      <c r="H16" s="111"/>
      <c r="I16" s="111"/>
      <c r="J16" s="111"/>
      <c r="K16" s="111"/>
      <c r="L16" s="111"/>
      <c r="M16" s="111"/>
    </row>
    <row r="17" spans="2:13" ht="5.0999999999999996" customHeight="1" x14ac:dyDescent="0.3">
      <c r="B17" s="2"/>
      <c r="G17" s="111"/>
      <c r="H17" s="111"/>
      <c r="I17" s="111"/>
      <c r="J17" s="111"/>
      <c r="K17" s="111"/>
      <c r="L17" s="111"/>
      <c r="M17" s="111"/>
    </row>
    <row r="18" spans="2:13" x14ac:dyDescent="0.3">
      <c r="B18" s="56" t="str">
        <f>'kt info'!B24</f>
        <v>Periodical Service 1</v>
      </c>
      <c r="C18" s="544">
        <f>IF('kt info'!C24="Yes",Periodics!C15,0)</f>
        <v>0</v>
      </c>
      <c r="D18" t="s">
        <v>123</v>
      </c>
      <c r="E18" s="536">
        <f>Periodics!C17</f>
        <v>0</v>
      </c>
      <c r="F18" t="s">
        <v>121</v>
      </c>
      <c r="G18" s="545">
        <f>IF(Periodics!C15=0,0,((Periodics!C13)/(Periodics!I11/'kt info'!G24)))</f>
        <v>0</v>
      </c>
      <c r="H18" t="s">
        <v>231</v>
      </c>
      <c r="I18" s="111"/>
      <c r="J18" s="111"/>
      <c r="K18" s="111"/>
      <c r="L18" s="111"/>
      <c r="M18" s="111"/>
    </row>
    <row r="19" spans="2:13" ht="5.0999999999999996" customHeight="1" x14ac:dyDescent="0.3">
      <c r="B19" s="2"/>
      <c r="G19" s="546"/>
      <c r="H19" s="111"/>
      <c r="I19" s="111"/>
      <c r="J19" s="111"/>
      <c r="K19" s="111"/>
      <c r="L19" s="111"/>
      <c r="M19" s="111"/>
    </row>
    <row r="20" spans="2:13" x14ac:dyDescent="0.3">
      <c r="B20" s="56" t="str">
        <f>'kt info'!B26</f>
        <v>Periodical Service 2</v>
      </c>
      <c r="C20" s="536">
        <f>IF('kt info'!C26="Yes",Periodics!C72,0)</f>
        <v>0</v>
      </c>
      <c r="D20" t="s">
        <v>123</v>
      </c>
      <c r="E20" s="536">
        <f>Periodics!C74</f>
        <v>0</v>
      </c>
      <c r="F20" t="s">
        <v>121</v>
      </c>
      <c r="G20" s="545">
        <f>IF(Periodics!C72=0,0,((Periodics!C70)/(Periodics!I68/'kt info'!G26)))</f>
        <v>0</v>
      </c>
      <c r="H20" t="s">
        <v>231</v>
      </c>
      <c r="I20" s="111"/>
      <c r="J20" s="111"/>
      <c r="K20" s="111"/>
      <c r="L20" s="111"/>
      <c r="M20" s="111"/>
    </row>
    <row r="21" spans="2:13" ht="5.0999999999999996" customHeight="1" x14ac:dyDescent="0.3">
      <c r="B21" s="2"/>
      <c r="G21" s="546"/>
      <c r="H21" s="111"/>
      <c r="I21" s="111"/>
      <c r="J21" s="111"/>
      <c r="K21" s="111"/>
      <c r="L21" s="547"/>
      <c r="M21" s="111"/>
    </row>
    <row r="22" spans="2:13" x14ac:dyDescent="0.3">
      <c r="B22" s="56" t="str">
        <f>'kt info'!B28</f>
        <v>Periodical Service 3</v>
      </c>
      <c r="C22" s="536">
        <f>IF('kt info'!C28="Yes",Periodics!C130,0)</f>
        <v>0</v>
      </c>
      <c r="D22" t="s">
        <v>123</v>
      </c>
      <c r="E22" s="536">
        <f>Periodics!C132</f>
        <v>0</v>
      </c>
      <c r="F22" t="s">
        <v>121</v>
      </c>
      <c r="G22" s="545">
        <f>IF(Periodics!C130=0,0,((Periodics!C128)/Periodics!I126/'kt info'!G28))</f>
        <v>0</v>
      </c>
      <c r="H22" t="s">
        <v>231</v>
      </c>
      <c r="I22" s="111"/>
      <c r="J22" s="111"/>
      <c r="K22" s="111"/>
      <c r="L22" s="111"/>
      <c r="M22" s="111"/>
    </row>
    <row r="23" spans="2:13" ht="5.0999999999999996" customHeight="1" x14ac:dyDescent="0.3">
      <c r="B23" s="2"/>
      <c r="G23" s="546"/>
      <c r="H23" s="111"/>
      <c r="I23" s="111"/>
      <c r="J23" s="111"/>
      <c r="K23" s="111"/>
      <c r="L23" s="111"/>
      <c r="M23" s="111"/>
    </row>
    <row r="24" spans="2:13" x14ac:dyDescent="0.3">
      <c r="B24" s="56" t="str">
        <f>'kt info'!B30</f>
        <v>Periodical Service 4</v>
      </c>
      <c r="C24" s="536">
        <f>Periodics!$C$188</f>
        <v>0</v>
      </c>
      <c r="D24" s="548" t="s">
        <v>123</v>
      </c>
      <c r="E24" s="536">
        <f>Periodics!C190</f>
        <v>0</v>
      </c>
      <c r="F24" t="s">
        <v>121</v>
      </c>
      <c r="G24" s="545">
        <f>IF(Periodics!C188=0,0,((Periodics!C186)/(Periodics!I184/'kt info'!G30)))</f>
        <v>0</v>
      </c>
      <c r="H24" t="s">
        <v>231</v>
      </c>
      <c r="I24" s="111"/>
      <c r="J24" s="111"/>
      <c r="K24" s="111"/>
      <c r="L24" s="111"/>
      <c r="M24" s="111"/>
    </row>
    <row r="25" spans="2:13" ht="5.0999999999999996" customHeight="1" x14ac:dyDescent="0.3">
      <c r="B25" s="2"/>
      <c r="G25" s="111"/>
      <c r="H25" s="111"/>
      <c r="I25" s="111"/>
      <c r="J25" s="111"/>
      <c r="K25" s="111"/>
      <c r="L25" s="111"/>
      <c r="M25" s="111"/>
    </row>
    <row r="26" spans="2:13" x14ac:dyDescent="0.3">
      <c r="B26" s="56" t="str">
        <f>'kt info'!B32</f>
        <v>Periodical Service 5</v>
      </c>
      <c r="C26" s="536">
        <f>IF('kt info'!C32="Yes",Periodics!C246,0)</f>
        <v>0</v>
      </c>
      <c r="D26" s="548" t="s">
        <v>123</v>
      </c>
      <c r="G26" s="111"/>
      <c r="H26" s="111"/>
      <c r="I26" s="111"/>
      <c r="J26" s="111"/>
      <c r="K26" s="111"/>
      <c r="L26" s="111"/>
      <c r="M26" s="111"/>
    </row>
    <row r="27" spans="2:13" ht="5.0999999999999996" customHeight="1" x14ac:dyDescent="0.3">
      <c r="B27" s="2"/>
    </row>
    <row r="28" spans="2:13" x14ac:dyDescent="0.3">
      <c r="B28" s="56" t="str">
        <f>'kt info'!B34</f>
        <v>Periodical Service 6</v>
      </c>
      <c r="C28" s="536">
        <f>Periodics!C304</f>
        <v>0</v>
      </c>
      <c r="D28" t="s">
        <v>123</v>
      </c>
      <c r="E28" s="536" t="str">
        <f>Periodics!C306</f>
        <v xml:space="preserve"> </v>
      </c>
      <c r="F28" t="s">
        <v>228</v>
      </c>
    </row>
    <row r="29" spans="2:13" ht="5.0999999999999996" customHeight="1" x14ac:dyDescent="0.3">
      <c r="B29" s="2"/>
    </row>
    <row r="30" spans="2:13" x14ac:dyDescent="0.3">
      <c r="B30" s="56" t="str">
        <f>'kt info'!B36</f>
        <v>Periodical Service 7</v>
      </c>
      <c r="C30" s="536">
        <f>Periodics!C362</f>
        <v>0</v>
      </c>
      <c r="D30" t="s">
        <v>123</v>
      </c>
    </row>
    <row r="31" spans="2:13" ht="5.0999999999999996" customHeight="1" x14ac:dyDescent="0.3">
      <c r="B31" s="2"/>
    </row>
    <row r="32" spans="2:13" ht="5.0999999999999996" customHeight="1" x14ac:dyDescent="0.3">
      <c r="B32" s="2"/>
      <c r="G32" s="546"/>
      <c r="H32" s="111"/>
    </row>
    <row r="33" spans="2:8" x14ac:dyDescent="0.3">
      <c r="B33" s="100" t="s">
        <v>278</v>
      </c>
      <c r="C33" s="536">
        <f>'Additional-Except &amp; Emerg'!F11</f>
        <v>0</v>
      </c>
      <c r="D33" t="s">
        <v>122</v>
      </c>
      <c r="E33" s="1"/>
      <c r="G33" s="549"/>
    </row>
    <row r="34" spans="2:8" ht="5.0999999999999996" customHeight="1" x14ac:dyDescent="0.3">
      <c r="B34" s="2"/>
      <c r="G34" s="546"/>
      <c r="H34" s="111"/>
    </row>
    <row r="35" spans="2:8" x14ac:dyDescent="0.3">
      <c r="B35" s="56" t="s">
        <v>2</v>
      </c>
      <c r="C35" s="536">
        <f>'Additional-Except &amp; Emerg'!F23</f>
        <v>0</v>
      </c>
      <c r="D35" t="s">
        <v>122</v>
      </c>
      <c r="E35" s="1"/>
      <c r="G35" s="549"/>
    </row>
  </sheetData>
  <sheetProtection algorithmName="SHA-512" hashValue="lTSNpgyAYcU51LBzQVUHmdEvJHrsHkpzZrX1qWB+hODlhKVei+rfYZWD9TJ9LXYmWWlmwvaaKCWDt/CmSbAmQQ==" saltValue="MdWop+uL53YNm1Fn0fR5Fg==" spinCount="100000" sheet="1" objects="1" scenarios="1"/>
  <mergeCells count="6">
    <mergeCell ref="C3:D3"/>
    <mergeCell ref="C5:D5"/>
    <mergeCell ref="C7:D7"/>
    <mergeCell ref="B1:G1"/>
    <mergeCell ref="C16:G16"/>
    <mergeCell ref="B14:C14"/>
  </mergeCells>
  <conditionalFormatting sqref="J16">
    <cfRule type="cellIs" dxfId="10" priority="34" operator="equal">
      <formula>"High Traffic Carpet"</formula>
    </cfRule>
  </conditionalFormatting>
  <conditionalFormatting sqref="J19">
    <cfRule type="cellIs" dxfId="9" priority="25" operator="equal">
      <formula>"Window Washing"</formula>
    </cfRule>
  </conditionalFormatting>
  <conditionalFormatting sqref="J21:J25">
    <cfRule type="cellIs" dxfId="8" priority="23" operator="notEqual">
      <formula>"""Does not include"""</formula>
    </cfRule>
  </conditionalFormatting>
  <conditionalFormatting sqref="J26">
    <cfRule type="cellIs" dxfId="7" priority="32" operator="equal">
      <formula>"Day Porter"</formula>
    </cfRule>
  </conditionalFormatting>
  <hyperlinks>
    <hyperlink ref="B33" location="'Additional-Except &amp; Emerg'!A1" display="Additional-Exceptional Services" xr:uid="{11733C38-EB9D-4636-9D70-699A45057E13}"/>
    <hyperlink ref="B35" location="'Except,Emer&amp;Day Porter'!C40" display="Emergency Services" xr:uid="{6013EE96-F161-4B90-A3E2-FDB8AFB2A6BC}"/>
    <hyperlink ref="B18" location="Periodics!B10" display="Carpet Cleaning, All Carpets" xr:uid="{AE6C0795-7D7E-4983-916F-D5DBFB08A1A7}"/>
    <hyperlink ref="B20" location="Periodics!B67" display="Carpet Cleaning, High Traffic " xr:uid="{BAE2C27E-8542-430D-B9B5-F04FF33CE88F}"/>
    <hyperlink ref="B22" location="Periodics!B125" display="Hard Floor Strip and Wax" xr:uid="{BC669BC9-C02B-4FD3-8267-11895E4AAD2B}"/>
    <hyperlink ref="B26" location="Periodics!B241" display="Window Washing" xr:uid="{CC277082-AD37-4719-8E5F-0354AC64DF52}"/>
    <hyperlink ref="B24" location="Periodics!B183" display="Hard Floor Scrub and Seal" xr:uid="{B89C81F6-7E9A-4FA0-AF97-493C903DF15A}"/>
    <hyperlink ref="B28" location="Periodics!B299" display="Clean Upholstered Chairs" xr:uid="{9C1797B5-51BD-43E4-86F0-E76365F9AA05}"/>
    <hyperlink ref="B30" location="Periodics!B357" display="High Dusting" xr:uid="{52695FB4-EB3B-426B-AB18-7E246028092A}"/>
    <hyperlink ref="B11" location="'Monthly Janitorial'!B21" display="Monthly Janitorial" xr:uid="{5F0C7E2B-B43E-470A-AD36-1E93B5FF3945}"/>
    <hyperlink ref="J1" location="'kt info'!C3" display="Contract Information" xr:uid="{ED0ECE45-1563-4236-898E-D9096D32D8D1}"/>
    <hyperlink ref="J2" location="'Overhead &amp; Margin'!D10" display="Overhead &amp; Margin" xr:uid="{EEA04693-7101-409F-9B84-61BA4BE160A1}"/>
    <hyperlink ref="J8" location="'Grounds Maintenance'!A1" display="Grounds Maintenance" xr:uid="{D5F021B6-3C94-4194-A1B0-C719A349A93F}"/>
    <hyperlink ref="J9" location="Periodics!B22" display="Periodical Services" xr:uid="{2B99391E-B575-452C-99EE-F076DB4F7ADA}"/>
    <hyperlink ref="J10" location="'Additional-Except &amp; Emerg'!A1" display="Additional/Exceptional Services and Emergency Services" xr:uid="{F7B7213E-EB7B-4B27-A0B2-9595ABA8398E}"/>
    <hyperlink ref="J4" location="Supplies!B13" display="Supplies" xr:uid="{5BB5890B-5F73-4C28-A595-B7EA8080936F}"/>
    <hyperlink ref="J5" location="'Equipment List'!B12" display="Equipment" xr:uid="{AB0CF02C-AA22-4C57-909B-715F10A22A1E}"/>
    <hyperlink ref="J6" location="Subcontractors!B15" display="Subcontractors" xr:uid="{00312972-0D7F-4F31-9138-7437B9F138BF}"/>
    <hyperlink ref="J3" location="'Pay &amp; Benefits'!C10" display="Wages and Benefits (includes Unemployment and Worker's Compensation" xr:uid="{C7911CCF-976C-4817-9459-3306329BCD72}"/>
    <hyperlink ref="J7" location="Transportation!B6" display="Transportation" xr:uid="{CCB56715-BE2B-49BC-8670-B4AA98DE3210}"/>
    <hyperlink ref="J11" location="'Summary-pricing'!A1" display="Summary-Pricing" xr:uid="{C33ABEA9-7D0C-42C1-B27B-273E16355690}"/>
    <hyperlink ref="J13" location="'Price Approval'!A1" display="Price Approval" xr:uid="{AD1A6A85-6F69-47D3-80CC-40A58F2F4264}"/>
  </hyperlink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27EC14A2-3E8F-4836-BF58-2104E9773C9B}">
            <xm:f>'kt info'!$D$24="Yes"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0" id="{E1D4C7D1-B8F6-46CC-8E68-52A6CFC7EBD1}">
            <xm:f>'kt info'!$D$26="Yes"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B20</xm:sqref>
        </x14:conditionalFormatting>
        <x14:conditionalFormatting xmlns:xm="http://schemas.microsoft.com/office/excel/2006/main">
          <x14:cfRule type="expression" priority="19" id="{F12034D9-7104-4194-B1B0-FCE0CCC10A42}">
            <xm:f>'kt info'!$D$28="Yes"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B22</xm:sqref>
        </x14:conditionalFormatting>
        <x14:conditionalFormatting xmlns:xm="http://schemas.microsoft.com/office/excel/2006/main">
          <x14:cfRule type="expression" priority="18" id="{22FC9B38-D28E-429B-8B1B-FD78311B4413}">
            <xm:f>'kt info'!$D$30="Yes"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B24</xm:sqref>
        </x14:conditionalFormatting>
        <x14:conditionalFormatting xmlns:xm="http://schemas.microsoft.com/office/excel/2006/main">
          <x14:cfRule type="expression" priority="17" id="{FDCC15AC-076E-4F78-93C4-98A8901A1B81}">
            <xm:f>'kt info'!$D$32="Yes"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expression" priority="16" id="{2332BEED-404C-45DA-A2A9-8C3B46E1BA85}">
            <xm:f>'kt info'!$D$34="Yes"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15" id="{56D20897-EE25-43CE-A17F-6C6D72591BB6}">
            <xm:f>'kt info'!$D$36="Yes"</xm:f>
            <x14:dxf>
              <font>
                <color rgb="FFFFFF00"/>
              </font>
              <fill>
                <patternFill>
                  <bgColor rgb="FF00B050"/>
                </patternFill>
              </fill>
            </x14:dxf>
          </x14:cfRule>
          <xm:sqref>B30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AC53-6A43-4165-809B-47452DBD3E25}">
  <sheetPr>
    <pageSetUpPr fitToPage="1"/>
  </sheetPr>
  <dimension ref="A1:K42"/>
  <sheetViews>
    <sheetView showGridLines="0" workbookViewId="0">
      <selection activeCell="J21" sqref="J21"/>
    </sheetView>
  </sheetViews>
  <sheetFormatPr defaultRowHeight="14.4" x14ac:dyDescent="0.3"/>
  <cols>
    <col min="1" max="1" width="28.77734375" customWidth="1"/>
    <col min="2" max="2" width="41.5546875" style="44" customWidth="1"/>
    <col min="3" max="3" width="19.5546875" style="44" customWidth="1"/>
    <col min="4" max="4" width="12.21875" style="44" customWidth="1"/>
    <col min="5" max="5" width="19.77734375" style="44" customWidth="1"/>
    <col min="6" max="6" width="10.5546875" style="44" customWidth="1"/>
    <col min="7" max="7" width="10.44140625" style="44" customWidth="1"/>
    <col min="8" max="8" width="14" style="474" customWidth="1"/>
    <col min="9" max="9" width="13.44140625" customWidth="1"/>
    <col min="10" max="10" width="74" customWidth="1"/>
    <col min="257" max="257" width="44.5546875" customWidth="1"/>
    <col min="258" max="258" width="21.77734375" customWidth="1"/>
    <col min="259" max="259" width="22.21875" customWidth="1"/>
    <col min="260" max="260" width="14.5546875" customWidth="1"/>
    <col min="261" max="261" width="28.44140625" customWidth="1"/>
    <col min="513" max="513" width="44.5546875" customWidth="1"/>
    <col min="514" max="514" width="21.77734375" customWidth="1"/>
    <col min="515" max="515" width="22.21875" customWidth="1"/>
    <col min="516" max="516" width="14.5546875" customWidth="1"/>
    <col min="517" max="517" width="28.44140625" customWidth="1"/>
    <col min="769" max="769" width="44.5546875" customWidth="1"/>
    <col min="770" max="770" width="21.77734375" customWidth="1"/>
    <col min="771" max="771" width="22.21875" customWidth="1"/>
    <col min="772" max="772" width="14.5546875" customWidth="1"/>
    <col min="773" max="773" width="28.44140625" customWidth="1"/>
    <col min="1025" max="1025" width="44.5546875" customWidth="1"/>
    <col min="1026" max="1026" width="21.77734375" customWidth="1"/>
    <col min="1027" max="1027" width="22.21875" customWidth="1"/>
    <col min="1028" max="1028" width="14.5546875" customWidth="1"/>
    <col min="1029" max="1029" width="28.44140625" customWidth="1"/>
    <col min="1281" max="1281" width="44.5546875" customWidth="1"/>
    <col min="1282" max="1282" width="21.77734375" customWidth="1"/>
    <col min="1283" max="1283" width="22.21875" customWidth="1"/>
    <col min="1284" max="1284" width="14.5546875" customWidth="1"/>
    <col min="1285" max="1285" width="28.44140625" customWidth="1"/>
    <col min="1537" max="1537" width="44.5546875" customWidth="1"/>
    <col min="1538" max="1538" width="21.77734375" customWidth="1"/>
    <col min="1539" max="1539" width="22.21875" customWidth="1"/>
    <col min="1540" max="1540" width="14.5546875" customWidth="1"/>
    <col min="1541" max="1541" width="28.44140625" customWidth="1"/>
    <col min="1793" max="1793" width="44.5546875" customWidth="1"/>
    <col min="1794" max="1794" width="21.77734375" customWidth="1"/>
    <col min="1795" max="1795" width="22.21875" customWidth="1"/>
    <col min="1796" max="1796" width="14.5546875" customWidth="1"/>
    <col min="1797" max="1797" width="28.44140625" customWidth="1"/>
    <col min="2049" max="2049" width="44.5546875" customWidth="1"/>
    <col min="2050" max="2050" width="21.77734375" customWidth="1"/>
    <col min="2051" max="2051" width="22.21875" customWidth="1"/>
    <col min="2052" max="2052" width="14.5546875" customWidth="1"/>
    <col min="2053" max="2053" width="28.44140625" customWidth="1"/>
    <col min="2305" max="2305" width="44.5546875" customWidth="1"/>
    <col min="2306" max="2306" width="21.77734375" customWidth="1"/>
    <col min="2307" max="2307" width="22.21875" customWidth="1"/>
    <col min="2308" max="2308" width="14.5546875" customWidth="1"/>
    <col min="2309" max="2309" width="28.44140625" customWidth="1"/>
    <col min="2561" max="2561" width="44.5546875" customWidth="1"/>
    <col min="2562" max="2562" width="21.77734375" customWidth="1"/>
    <col min="2563" max="2563" width="22.21875" customWidth="1"/>
    <col min="2564" max="2564" width="14.5546875" customWidth="1"/>
    <col min="2565" max="2565" width="28.44140625" customWidth="1"/>
    <col min="2817" max="2817" width="44.5546875" customWidth="1"/>
    <col min="2818" max="2818" width="21.77734375" customWidth="1"/>
    <col min="2819" max="2819" width="22.21875" customWidth="1"/>
    <col min="2820" max="2820" width="14.5546875" customWidth="1"/>
    <col min="2821" max="2821" width="28.44140625" customWidth="1"/>
    <col min="3073" max="3073" width="44.5546875" customWidth="1"/>
    <col min="3074" max="3074" width="21.77734375" customWidth="1"/>
    <col min="3075" max="3075" width="22.21875" customWidth="1"/>
    <col min="3076" max="3076" width="14.5546875" customWidth="1"/>
    <col min="3077" max="3077" width="28.44140625" customWidth="1"/>
    <col min="3329" max="3329" width="44.5546875" customWidth="1"/>
    <col min="3330" max="3330" width="21.77734375" customWidth="1"/>
    <col min="3331" max="3331" width="22.21875" customWidth="1"/>
    <col min="3332" max="3332" width="14.5546875" customWidth="1"/>
    <col min="3333" max="3333" width="28.44140625" customWidth="1"/>
    <col min="3585" max="3585" width="44.5546875" customWidth="1"/>
    <col min="3586" max="3586" width="21.77734375" customWidth="1"/>
    <col min="3587" max="3587" width="22.21875" customWidth="1"/>
    <col min="3588" max="3588" width="14.5546875" customWidth="1"/>
    <col min="3589" max="3589" width="28.44140625" customWidth="1"/>
    <col min="3841" max="3841" width="44.5546875" customWidth="1"/>
    <col min="3842" max="3842" width="21.77734375" customWidth="1"/>
    <col min="3843" max="3843" width="22.21875" customWidth="1"/>
    <col min="3844" max="3844" width="14.5546875" customWidth="1"/>
    <col min="3845" max="3845" width="28.44140625" customWidth="1"/>
    <col min="4097" max="4097" width="44.5546875" customWidth="1"/>
    <col min="4098" max="4098" width="21.77734375" customWidth="1"/>
    <col min="4099" max="4099" width="22.21875" customWidth="1"/>
    <col min="4100" max="4100" width="14.5546875" customWidth="1"/>
    <col min="4101" max="4101" width="28.44140625" customWidth="1"/>
    <col min="4353" max="4353" width="44.5546875" customWidth="1"/>
    <col min="4354" max="4354" width="21.77734375" customWidth="1"/>
    <col min="4355" max="4355" width="22.21875" customWidth="1"/>
    <col min="4356" max="4356" width="14.5546875" customWidth="1"/>
    <col min="4357" max="4357" width="28.44140625" customWidth="1"/>
    <col min="4609" max="4609" width="44.5546875" customWidth="1"/>
    <col min="4610" max="4610" width="21.77734375" customWidth="1"/>
    <col min="4611" max="4611" width="22.21875" customWidth="1"/>
    <col min="4612" max="4612" width="14.5546875" customWidth="1"/>
    <col min="4613" max="4613" width="28.44140625" customWidth="1"/>
    <col min="4865" max="4865" width="44.5546875" customWidth="1"/>
    <col min="4866" max="4866" width="21.77734375" customWidth="1"/>
    <col min="4867" max="4867" width="22.21875" customWidth="1"/>
    <col min="4868" max="4868" width="14.5546875" customWidth="1"/>
    <col min="4869" max="4869" width="28.44140625" customWidth="1"/>
    <col min="5121" max="5121" width="44.5546875" customWidth="1"/>
    <col min="5122" max="5122" width="21.77734375" customWidth="1"/>
    <col min="5123" max="5123" width="22.21875" customWidth="1"/>
    <col min="5124" max="5124" width="14.5546875" customWidth="1"/>
    <col min="5125" max="5125" width="28.44140625" customWidth="1"/>
    <col min="5377" max="5377" width="44.5546875" customWidth="1"/>
    <col min="5378" max="5378" width="21.77734375" customWidth="1"/>
    <col min="5379" max="5379" width="22.21875" customWidth="1"/>
    <col min="5380" max="5380" width="14.5546875" customWidth="1"/>
    <col min="5381" max="5381" width="28.44140625" customWidth="1"/>
    <col min="5633" max="5633" width="44.5546875" customWidth="1"/>
    <col min="5634" max="5634" width="21.77734375" customWidth="1"/>
    <col min="5635" max="5635" width="22.21875" customWidth="1"/>
    <col min="5636" max="5636" width="14.5546875" customWidth="1"/>
    <col min="5637" max="5637" width="28.44140625" customWidth="1"/>
    <col min="5889" max="5889" width="44.5546875" customWidth="1"/>
    <col min="5890" max="5890" width="21.77734375" customWidth="1"/>
    <col min="5891" max="5891" width="22.21875" customWidth="1"/>
    <col min="5892" max="5892" width="14.5546875" customWidth="1"/>
    <col min="5893" max="5893" width="28.44140625" customWidth="1"/>
    <col min="6145" max="6145" width="44.5546875" customWidth="1"/>
    <col min="6146" max="6146" width="21.77734375" customWidth="1"/>
    <col min="6147" max="6147" width="22.21875" customWidth="1"/>
    <col min="6148" max="6148" width="14.5546875" customWidth="1"/>
    <col min="6149" max="6149" width="28.44140625" customWidth="1"/>
    <col min="6401" max="6401" width="44.5546875" customWidth="1"/>
    <col min="6402" max="6402" width="21.77734375" customWidth="1"/>
    <col min="6403" max="6403" width="22.21875" customWidth="1"/>
    <col min="6404" max="6404" width="14.5546875" customWidth="1"/>
    <col min="6405" max="6405" width="28.44140625" customWidth="1"/>
    <col min="6657" max="6657" width="44.5546875" customWidth="1"/>
    <col min="6658" max="6658" width="21.77734375" customWidth="1"/>
    <col min="6659" max="6659" width="22.21875" customWidth="1"/>
    <col min="6660" max="6660" width="14.5546875" customWidth="1"/>
    <col min="6661" max="6661" width="28.44140625" customWidth="1"/>
    <col min="6913" max="6913" width="44.5546875" customWidth="1"/>
    <col min="6914" max="6914" width="21.77734375" customWidth="1"/>
    <col min="6915" max="6915" width="22.21875" customWidth="1"/>
    <col min="6916" max="6916" width="14.5546875" customWidth="1"/>
    <col min="6917" max="6917" width="28.44140625" customWidth="1"/>
    <col min="7169" max="7169" width="44.5546875" customWidth="1"/>
    <col min="7170" max="7170" width="21.77734375" customWidth="1"/>
    <col min="7171" max="7171" width="22.21875" customWidth="1"/>
    <col min="7172" max="7172" width="14.5546875" customWidth="1"/>
    <col min="7173" max="7173" width="28.44140625" customWidth="1"/>
    <col min="7425" max="7425" width="44.5546875" customWidth="1"/>
    <col min="7426" max="7426" width="21.77734375" customWidth="1"/>
    <col min="7427" max="7427" width="22.21875" customWidth="1"/>
    <col min="7428" max="7428" width="14.5546875" customWidth="1"/>
    <col min="7429" max="7429" width="28.44140625" customWidth="1"/>
    <col min="7681" max="7681" width="44.5546875" customWidth="1"/>
    <col min="7682" max="7682" width="21.77734375" customWidth="1"/>
    <col min="7683" max="7683" width="22.21875" customWidth="1"/>
    <col min="7684" max="7684" width="14.5546875" customWidth="1"/>
    <col min="7685" max="7685" width="28.44140625" customWidth="1"/>
    <col min="7937" max="7937" width="44.5546875" customWidth="1"/>
    <col min="7938" max="7938" width="21.77734375" customWidth="1"/>
    <col min="7939" max="7939" width="22.21875" customWidth="1"/>
    <col min="7940" max="7940" width="14.5546875" customWidth="1"/>
    <col min="7941" max="7941" width="28.44140625" customWidth="1"/>
    <col min="8193" max="8193" width="44.5546875" customWidth="1"/>
    <col min="8194" max="8194" width="21.77734375" customWidth="1"/>
    <col min="8195" max="8195" width="22.21875" customWidth="1"/>
    <col min="8196" max="8196" width="14.5546875" customWidth="1"/>
    <col min="8197" max="8197" width="28.44140625" customWidth="1"/>
    <col min="8449" max="8449" width="44.5546875" customWidth="1"/>
    <col min="8450" max="8450" width="21.77734375" customWidth="1"/>
    <col min="8451" max="8451" width="22.21875" customWidth="1"/>
    <col min="8452" max="8452" width="14.5546875" customWidth="1"/>
    <col min="8453" max="8453" width="28.44140625" customWidth="1"/>
    <col min="8705" max="8705" width="44.5546875" customWidth="1"/>
    <col min="8706" max="8706" width="21.77734375" customWidth="1"/>
    <col min="8707" max="8707" width="22.21875" customWidth="1"/>
    <col min="8708" max="8708" width="14.5546875" customWidth="1"/>
    <col min="8709" max="8709" width="28.44140625" customWidth="1"/>
    <col min="8961" max="8961" width="44.5546875" customWidth="1"/>
    <col min="8962" max="8962" width="21.77734375" customWidth="1"/>
    <col min="8963" max="8963" width="22.21875" customWidth="1"/>
    <col min="8964" max="8964" width="14.5546875" customWidth="1"/>
    <col min="8965" max="8965" width="28.44140625" customWidth="1"/>
    <col min="9217" max="9217" width="44.5546875" customWidth="1"/>
    <col min="9218" max="9218" width="21.77734375" customWidth="1"/>
    <col min="9219" max="9219" width="22.21875" customWidth="1"/>
    <col min="9220" max="9220" width="14.5546875" customWidth="1"/>
    <col min="9221" max="9221" width="28.44140625" customWidth="1"/>
    <col min="9473" max="9473" width="44.5546875" customWidth="1"/>
    <col min="9474" max="9474" width="21.77734375" customWidth="1"/>
    <col min="9475" max="9475" width="22.21875" customWidth="1"/>
    <col min="9476" max="9476" width="14.5546875" customWidth="1"/>
    <col min="9477" max="9477" width="28.44140625" customWidth="1"/>
    <col min="9729" max="9729" width="44.5546875" customWidth="1"/>
    <col min="9730" max="9730" width="21.77734375" customWidth="1"/>
    <col min="9731" max="9731" width="22.21875" customWidth="1"/>
    <col min="9732" max="9732" width="14.5546875" customWidth="1"/>
    <col min="9733" max="9733" width="28.44140625" customWidth="1"/>
    <col min="9985" max="9985" width="44.5546875" customWidth="1"/>
    <col min="9986" max="9986" width="21.77734375" customWidth="1"/>
    <col min="9987" max="9987" width="22.21875" customWidth="1"/>
    <col min="9988" max="9988" width="14.5546875" customWidth="1"/>
    <col min="9989" max="9989" width="28.44140625" customWidth="1"/>
    <col min="10241" max="10241" width="44.5546875" customWidth="1"/>
    <col min="10242" max="10242" width="21.77734375" customWidth="1"/>
    <col min="10243" max="10243" width="22.21875" customWidth="1"/>
    <col min="10244" max="10244" width="14.5546875" customWidth="1"/>
    <col min="10245" max="10245" width="28.44140625" customWidth="1"/>
    <col min="10497" max="10497" width="44.5546875" customWidth="1"/>
    <col min="10498" max="10498" width="21.77734375" customWidth="1"/>
    <col min="10499" max="10499" width="22.21875" customWidth="1"/>
    <col min="10500" max="10500" width="14.5546875" customWidth="1"/>
    <col min="10501" max="10501" width="28.44140625" customWidth="1"/>
    <col min="10753" max="10753" width="44.5546875" customWidth="1"/>
    <col min="10754" max="10754" width="21.77734375" customWidth="1"/>
    <col min="10755" max="10755" width="22.21875" customWidth="1"/>
    <col min="10756" max="10756" width="14.5546875" customWidth="1"/>
    <col min="10757" max="10757" width="28.44140625" customWidth="1"/>
    <col min="11009" max="11009" width="44.5546875" customWidth="1"/>
    <col min="11010" max="11010" width="21.77734375" customWidth="1"/>
    <col min="11011" max="11011" width="22.21875" customWidth="1"/>
    <col min="11012" max="11012" width="14.5546875" customWidth="1"/>
    <col min="11013" max="11013" width="28.44140625" customWidth="1"/>
    <col min="11265" max="11265" width="44.5546875" customWidth="1"/>
    <col min="11266" max="11266" width="21.77734375" customWidth="1"/>
    <col min="11267" max="11267" width="22.21875" customWidth="1"/>
    <col min="11268" max="11268" width="14.5546875" customWidth="1"/>
    <col min="11269" max="11269" width="28.44140625" customWidth="1"/>
    <col min="11521" max="11521" width="44.5546875" customWidth="1"/>
    <col min="11522" max="11522" width="21.77734375" customWidth="1"/>
    <col min="11523" max="11523" width="22.21875" customWidth="1"/>
    <col min="11524" max="11524" width="14.5546875" customWidth="1"/>
    <col min="11525" max="11525" width="28.44140625" customWidth="1"/>
    <col min="11777" max="11777" width="44.5546875" customWidth="1"/>
    <col min="11778" max="11778" width="21.77734375" customWidth="1"/>
    <col min="11779" max="11779" width="22.21875" customWidth="1"/>
    <col min="11780" max="11780" width="14.5546875" customWidth="1"/>
    <col min="11781" max="11781" width="28.44140625" customWidth="1"/>
    <col min="12033" max="12033" width="44.5546875" customWidth="1"/>
    <col min="12034" max="12034" width="21.77734375" customWidth="1"/>
    <col min="12035" max="12035" width="22.21875" customWidth="1"/>
    <col min="12036" max="12036" width="14.5546875" customWidth="1"/>
    <col min="12037" max="12037" width="28.44140625" customWidth="1"/>
    <col min="12289" max="12289" width="44.5546875" customWidth="1"/>
    <col min="12290" max="12290" width="21.77734375" customWidth="1"/>
    <col min="12291" max="12291" width="22.21875" customWidth="1"/>
    <col min="12292" max="12292" width="14.5546875" customWidth="1"/>
    <col min="12293" max="12293" width="28.44140625" customWidth="1"/>
    <col min="12545" max="12545" width="44.5546875" customWidth="1"/>
    <col min="12546" max="12546" width="21.77734375" customWidth="1"/>
    <col min="12547" max="12547" width="22.21875" customWidth="1"/>
    <col min="12548" max="12548" width="14.5546875" customWidth="1"/>
    <col min="12549" max="12549" width="28.44140625" customWidth="1"/>
    <col min="12801" max="12801" width="44.5546875" customWidth="1"/>
    <col min="12802" max="12802" width="21.77734375" customWidth="1"/>
    <col min="12803" max="12803" width="22.21875" customWidth="1"/>
    <col min="12804" max="12804" width="14.5546875" customWidth="1"/>
    <col min="12805" max="12805" width="28.44140625" customWidth="1"/>
    <col min="13057" max="13057" width="44.5546875" customWidth="1"/>
    <col min="13058" max="13058" width="21.77734375" customWidth="1"/>
    <col min="13059" max="13059" width="22.21875" customWidth="1"/>
    <col min="13060" max="13060" width="14.5546875" customWidth="1"/>
    <col min="13061" max="13061" width="28.44140625" customWidth="1"/>
    <col min="13313" max="13313" width="44.5546875" customWidth="1"/>
    <col min="13314" max="13314" width="21.77734375" customWidth="1"/>
    <col min="13315" max="13315" width="22.21875" customWidth="1"/>
    <col min="13316" max="13316" width="14.5546875" customWidth="1"/>
    <col min="13317" max="13317" width="28.44140625" customWidth="1"/>
    <col min="13569" max="13569" width="44.5546875" customWidth="1"/>
    <col min="13570" max="13570" width="21.77734375" customWidth="1"/>
    <col min="13571" max="13571" width="22.21875" customWidth="1"/>
    <col min="13572" max="13572" width="14.5546875" customWidth="1"/>
    <col min="13573" max="13573" width="28.44140625" customWidth="1"/>
    <col min="13825" max="13825" width="44.5546875" customWidth="1"/>
    <col min="13826" max="13826" width="21.77734375" customWidth="1"/>
    <col min="13827" max="13827" width="22.21875" customWidth="1"/>
    <col min="13828" max="13828" width="14.5546875" customWidth="1"/>
    <col min="13829" max="13829" width="28.44140625" customWidth="1"/>
    <col min="14081" max="14081" width="44.5546875" customWidth="1"/>
    <col min="14082" max="14082" width="21.77734375" customWidth="1"/>
    <col min="14083" max="14083" width="22.21875" customWidth="1"/>
    <col min="14084" max="14084" width="14.5546875" customWidth="1"/>
    <col min="14085" max="14085" width="28.44140625" customWidth="1"/>
    <col min="14337" max="14337" width="44.5546875" customWidth="1"/>
    <col min="14338" max="14338" width="21.77734375" customWidth="1"/>
    <col min="14339" max="14339" width="22.21875" customWidth="1"/>
    <col min="14340" max="14340" width="14.5546875" customWidth="1"/>
    <col min="14341" max="14341" width="28.44140625" customWidth="1"/>
    <col min="14593" max="14593" width="44.5546875" customWidth="1"/>
    <col min="14594" max="14594" width="21.77734375" customWidth="1"/>
    <col min="14595" max="14595" width="22.21875" customWidth="1"/>
    <col min="14596" max="14596" width="14.5546875" customWidth="1"/>
    <col min="14597" max="14597" width="28.44140625" customWidth="1"/>
    <col min="14849" max="14849" width="44.5546875" customWidth="1"/>
    <col min="14850" max="14850" width="21.77734375" customWidth="1"/>
    <col min="14851" max="14851" width="22.21875" customWidth="1"/>
    <col min="14852" max="14852" width="14.5546875" customWidth="1"/>
    <col min="14853" max="14853" width="28.44140625" customWidth="1"/>
    <col min="15105" max="15105" width="44.5546875" customWidth="1"/>
    <col min="15106" max="15106" width="21.77734375" customWidth="1"/>
    <col min="15107" max="15107" width="22.21875" customWidth="1"/>
    <col min="15108" max="15108" width="14.5546875" customWidth="1"/>
    <col min="15109" max="15109" width="28.44140625" customWidth="1"/>
    <col min="15361" max="15361" width="44.5546875" customWidth="1"/>
    <col min="15362" max="15362" width="21.77734375" customWidth="1"/>
    <col min="15363" max="15363" width="22.21875" customWidth="1"/>
    <col min="15364" max="15364" width="14.5546875" customWidth="1"/>
    <col min="15365" max="15365" width="28.44140625" customWidth="1"/>
    <col min="15617" max="15617" width="44.5546875" customWidth="1"/>
    <col min="15618" max="15618" width="21.77734375" customWidth="1"/>
    <col min="15619" max="15619" width="22.21875" customWidth="1"/>
    <col min="15620" max="15620" width="14.5546875" customWidth="1"/>
    <col min="15621" max="15621" width="28.44140625" customWidth="1"/>
    <col min="15873" max="15873" width="44.5546875" customWidth="1"/>
    <col min="15874" max="15874" width="21.77734375" customWidth="1"/>
    <col min="15875" max="15875" width="22.21875" customWidth="1"/>
    <col min="15876" max="15876" width="14.5546875" customWidth="1"/>
    <col min="15877" max="15877" width="28.44140625" customWidth="1"/>
    <col min="16129" max="16129" width="44.5546875" customWidth="1"/>
    <col min="16130" max="16130" width="21.77734375" customWidth="1"/>
    <col min="16131" max="16131" width="22.21875" customWidth="1"/>
    <col min="16132" max="16132" width="14.5546875" customWidth="1"/>
    <col min="16133" max="16133" width="28.44140625" customWidth="1"/>
  </cols>
  <sheetData>
    <row r="1" spans="1:11" ht="10.050000000000001" customHeight="1" x14ac:dyDescent="0.3"/>
    <row r="2" spans="1:11" ht="20.100000000000001" customHeight="1" x14ac:dyDescent="0.3">
      <c r="B2" s="808" t="s">
        <v>178</v>
      </c>
      <c r="C2" s="808"/>
      <c r="D2" s="809"/>
      <c r="E2" s="809"/>
      <c r="F2" s="809"/>
      <c r="G2" s="809"/>
      <c r="H2" s="809"/>
      <c r="I2" s="20" t="s">
        <v>124</v>
      </c>
      <c r="J2" s="56" t="s">
        <v>125</v>
      </c>
    </row>
    <row r="3" spans="1:11" ht="14.55" customHeight="1" x14ac:dyDescent="0.3">
      <c r="B3" s="808" t="s">
        <v>179</v>
      </c>
      <c r="C3" s="808"/>
      <c r="D3" s="809"/>
      <c r="E3" s="809"/>
      <c r="F3" s="809"/>
      <c r="G3" s="809"/>
      <c r="H3" s="809"/>
      <c r="J3" s="56" t="s">
        <v>219</v>
      </c>
    </row>
    <row r="4" spans="1:11" ht="14.55" customHeight="1" x14ac:dyDescent="0.3">
      <c r="B4" s="808" t="s">
        <v>180</v>
      </c>
      <c r="C4" s="808"/>
      <c r="D4" s="809"/>
      <c r="E4" s="809"/>
      <c r="F4" s="809"/>
      <c r="G4" s="809"/>
      <c r="H4" s="809"/>
      <c r="J4" s="56" t="s">
        <v>220</v>
      </c>
    </row>
    <row r="5" spans="1:11" ht="14.55" customHeight="1" x14ac:dyDescent="0.3">
      <c r="J5" s="56" t="s">
        <v>73</v>
      </c>
    </row>
    <row r="6" spans="1:11" ht="15.6" x14ac:dyDescent="0.3">
      <c r="B6" s="471" t="s">
        <v>181</v>
      </c>
      <c r="C6" s="802" t="str">
        <f>IF('kt info'!C7=0," ",'kt info'!C7)</f>
        <v xml:space="preserve"> </v>
      </c>
      <c r="D6" s="802"/>
      <c r="E6" s="803"/>
      <c r="F6" s="803"/>
      <c r="G6" s="472"/>
      <c r="H6" s="219"/>
      <c r="J6" s="56" t="s">
        <v>10</v>
      </c>
    </row>
    <row r="7" spans="1:11" ht="15.6" x14ac:dyDescent="0.3">
      <c r="B7" s="471" t="s">
        <v>182</v>
      </c>
      <c r="C7" s="802" t="str">
        <f>IF('kt info'!C5=0," ",'kt info'!C3)</f>
        <v xml:space="preserve"> </v>
      </c>
      <c r="D7" s="802"/>
      <c r="E7" s="803"/>
      <c r="F7" s="803"/>
      <c r="G7" s="472"/>
      <c r="H7" s="219"/>
      <c r="J7" s="56" t="s">
        <v>173</v>
      </c>
    </row>
    <row r="8" spans="1:11" ht="15.6" x14ac:dyDescent="0.3">
      <c r="B8" s="471" t="s">
        <v>183</v>
      </c>
      <c r="C8" s="802" t="s">
        <v>259</v>
      </c>
      <c r="D8" s="802"/>
      <c r="E8" s="803"/>
      <c r="F8" s="803"/>
      <c r="G8" s="803"/>
      <c r="H8" s="803"/>
      <c r="J8" s="56" t="s">
        <v>82</v>
      </c>
    </row>
    <row r="9" spans="1:11" ht="15.6" x14ac:dyDescent="0.3">
      <c r="B9" s="473" t="s">
        <v>202</v>
      </c>
      <c r="C9" s="802" t="str">
        <f>IF('kt info'!C5=0," ",'kt info'!C5)</f>
        <v xml:space="preserve"> </v>
      </c>
      <c r="D9" s="802"/>
      <c r="E9" s="803"/>
      <c r="F9" s="803"/>
      <c r="G9" s="472"/>
      <c r="H9" s="219"/>
      <c r="J9" s="56" t="s">
        <v>259</v>
      </c>
    </row>
    <row r="10" spans="1:11" ht="15" customHeight="1" x14ac:dyDescent="0.3">
      <c r="B10" s="819" t="s">
        <v>184</v>
      </c>
      <c r="C10" s="820"/>
      <c r="D10" s="821"/>
      <c r="E10" s="816"/>
      <c r="F10" s="816"/>
      <c r="J10" s="56" t="s">
        <v>177</v>
      </c>
    </row>
    <row r="11" spans="1:11" ht="13.5" customHeight="1" thickBot="1" x14ac:dyDescent="0.35">
      <c r="B11" s="579" t="str">
        <f>'kt info'!B12</f>
        <v>Form date: 2/20/26</v>
      </c>
      <c r="C11" s="475" t="s">
        <v>185</v>
      </c>
      <c r="J11" s="56" t="s">
        <v>268</v>
      </c>
    </row>
    <row r="12" spans="1:11" ht="22.5" customHeight="1" thickTop="1" thickBot="1" x14ac:dyDescent="0.35">
      <c r="B12" s="232" t="s">
        <v>183</v>
      </c>
      <c r="C12" s="804" t="s">
        <v>252</v>
      </c>
      <c r="D12" s="805"/>
      <c r="E12" s="805"/>
      <c r="F12" s="806"/>
      <c r="G12" s="806"/>
      <c r="H12" s="807"/>
      <c r="J12" s="56" t="s">
        <v>221</v>
      </c>
      <c r="K12" s="218"/>
    </row>
    <row r="13" spans="1:11" s="218" customFormat="1" ht="15" x14ac:dyDescent="0.3">
      <c r="A13" s="218" t="str">
        <f>'kt info'!B13</f>
        <v>Grounds Maintenance</v>
      </c>
      <c r="B13" s="583" t="str">
        <f>IF('Summary-pricing'!C13=0," ","Grounds Maintenance")</f>
        <v xml:space="preserve"> </v>
      </c>
      <c r="C13" s="584" t="str">
        <f>IF('Summary-pricing'!C13=0," ",'Summary-pricing'!C13)</f>
        <v xml:space="preserve"> </v>
      </c>
      <c r="D13" s="585" t="str">
        <f>IF($C$13=" "," ","per month")</f>
        <v xml:space="preserve"> </v>
      </c>
      <c r="E13" s="584" t="str">
        <f>IF('Summary-pricing'!C13=0," ",'Summary-pricing'!C13*12)</f>
        <v xml:space="preserve"> </v>
      </c>
      <c r="F13" s="585" t="str">
        <f>IF($C$13=" "," ","per year")</f>
        <v xml:space="preserve"> </v>
      </c>
      <c r="G13" s="586" t="str">
        <f>IF('kt info'!G13=0," ",('kt info'!G13))</f>
        <v xml:space="preserve"> </v>
      </c>
      <c r="H13" s="587" t="str">
        <f>IF(G13=" "," ","service events/yr")</f>
        <v xml:space="preserve"> </v>
      </c>
      <c r="J13" s="56" t="s">
        <v>193</v>
      </c>
      <c r="K13"/>
    </row>
    <row r="14" spans="1:11" s="218" customFormat="1" ht="15" x14ac:dyDescent="0.3">
      <c r="A14" s="218" t="str">
        <f>'kt info'!B24</f>
        <v>Periodical Service 1</v>
      </c>
      <c r="B14" s="588" t="str">
        <f>IF('Summary-pricing'!C18=0," ",IF('kt info'!D24="Yes",A14,'Summary-pricing'!B18))</f>
        <v xml:space="preserve"> </v>
      </c>
      <c r="C14" s="589" t="str">
        <f>IF($B$14=" "," ",IF('kt info'!$D$24="Yes","Included",'Summary-pricing'!$C$18))</f>
        <v xml:space="preserve"> </v>
      </c>
      <c r="D14" s="590" t="str">
        <f>IF($C$14=" "," ",IF($C$14="Included in Monthly Price"," ","per service"))</f>
        <v xml:space="preserve"> </v>
      </c>
      <c r="E14" s="589" t="str">
        <f>IF($B$14=" "," ",IF('kt info'!$D$24="Yes","Included",'Summary-pricing'!$C$18*G14))</f>
        <v xml:space="preserve"> </v>
      </c>
      <c r="F14" s="590" t="str">
        <f>IF($C$14=" "," ",IF($C$14="Included in Monthly Price"," ","per year"))</f>
        <v xml:space="preserve"> </v>
      </c>
      <c r="G14" s="591" t="str">
        <f>IF(C14=" "," ",'kt info'!G24)</f>
        <v xml:space="preserve"> </v>
      </c>
      <c r="H14" s="592" t="str">
        <f>IF(G14=" "," ","service events/yr")</f>
        <v xml:space="preserve"> </v>
      </c>
    </row>
    <row r="15" spans="1:11" s="218" customFormat="1" ht="15" x14ac:dyDescent="0.3">
      <c r="A15" s="218" t="str">
        <f>'kt info'!B26</f>
        <v>Periodical Service 2</v>
      </c>
      <c r="B15" s="588" t="str">
        <f>IF('Summary-pricing'!C20=0," ",IF('kt info'!D26="Yes",A15,'Summary-pricing'!B20))</f>
        <v xml:space="preserve"> </v>
      </c>
      <c r="C15" s="589" t="str">
        <f>IF($B$15=" "," ",IF('kt info'!$D$26="Yes","Included",'Summary-pricing'!$C$20))</f>
        <v xml:space="preserve"> </v>
      </c>
      <c r="D15" s="590" t="str">
        <f>IF($B$15=" "," ",IF(C15="Included in Monthly Price"," ","per service"))</f>
        <v xml:space="preserve"> </v>
      </c>
      <c r="E15" s="589" t="str">
        <f>IF($B$15=" "," ",IF('kt info'!$D$26="Yes","Included in Monthly Price",'Summary-pricing'!$C$20*G15))</f>
        <v xml:space="preserve"> </v>
      </c>
      <c r="F15" s="590" t="str">
        <f>IF($B$15=" "," ",IF(E15="Included in Monthly Price"," ","per year"))</f>
        <v xml:space="preserve"> </v>
      </c>
      <c r="G15" s="591" t="str">
        <f>IF(C15=" "," ",'kt info'!G26)</f>
        <v xml:space="preserve"> </v>
      </c>
      <c r="H15" s="592" t="str">
        <f>IF(G15=" "," ","service events/yr")</f>
        <v xml:space="preserve"> </v>
      </c>
    </row>
    <row r="16" spans="1:11" s="218" customFormat="1" ht="15" x14ac:dyDescent="0.3">
      <c r="A16" s="218" t="str">
        <f>'kt info'!B28</f>
        <v>Periodical Service 3</v>
      </c>
      <c r="B16" s="588" t="str">
        <f>IF('Summary-pricing'!C22=0," ",IF('kt info'!D28="Yes",A16,'Summary-pricing'!B22))</f>
        <v xml:space="preserve"> </v>
      </c>
      <c r="C16" s="589" t="str">
        <f>IF($B$16=" "," ",IF('kt info'!D28="Yes","Included",'Summary-pricing'!C22))</f>
        <v xml:space="preserve"> </v>
      </c>
      <c r="D16" s="590" t="str">
        <f t="shared" ref="D16:D20" si="0">IF(B16=" "," ",IF(C16="Included in Monthly Price"," ","per service"))</f>
        <v xml:space="preserve"> </v>
      </c>
      <c r="E16" s="589" t="str">
        <f>IF(C16=" "," ",IF('kt info'!D28="Yes","Included in Monthly Price",'Summary-pricing'!C22*G16))</f>
        <v xml:space="preserve"> </v>
      </c>
      <c r="F16" s="590" t="str">
        <f>IF(D16=" "," ",IF(E16=0," ","per year"))</f>
        <v xml:space="preserve"> </v>
      </c>
      <c r="G16" s="591" t="str">
        <f>IF(C16=" "," ",'kt info'!G28)</f>
        <v xml:space="preserve"> </v>
      </c>
      <c r="H16" s="592" t="str">
        <f>IF(G16=" "," ","service events/yr")</f>
        <v xml:space="preserve"> </v>
      </c>
    </row>
    <row r="17" spans="1:8" s="218" customFormat="1" ht="15.6" thickBot="1" x14ac:dyDescent="0.35">
      <c r="A17" s="218" t="str">
        <f>'kt info'!B30</f>
        <v>Periodical Service 4</v>
      </c>
      <c r="B17" s="593" t="str">
        <f>IF('Summary-pricing'!C24=0," ",IF('kt info'!D30="Yes",A17,'Summary-pricing'!B24))</f>
        <v xml:space="preserve"> </v>
      </c>
      <c r="C17" s="594" t="str">
        <f>IF(B17=" "," ",IF('kt info'!D30="Yes","Included",'Summary-pricing'!C24))</f>
        <v xml:space="preserve"> </v>
      </c>
      <c r="D17" s="595" t="str">
        <f t="shared" si="0"/>
        <v xml:space="preserve"> </v>
      </c>
      <c r="E17" s="594" t="str">
        <f>IF(C17=" "," ",IF(C17="Included in Monthly Price","Included in Monthly Price",'Summary-pricing'!C24*G17))</f>
        <v xml:space="preserve"> </v>
      </c>
      <c r="F17" s="595" t="str">
        <f>IF(D17=" "," ",IF(E17=0," ","per year"))</f>
        <v xml:space="preserve"> </v>
      </c>
      <c r="G17" s="596" t="str">
        <f>IF(C17=" "," ",'kt info'!G30)</f>
        <v xml:space="preserve"> </v>
      </c>
      <c r="H17" s="597" t="str">
        <f t="shared" ref="H17:H20" si="1">IF(G17=" "," ","service events/yr")</f>
        <v xml:space="preserve"> </v>
      </c>
    </row>
    <row r="18" spans="1:8" s="218" customFormat="1" ht="15.6" thickBot="1" x14ac:dyDescent="0.35">
      <c r="A18" s="218" t="str">
        <f>'kt info'!B32</f>
        <v>Periodical Service 5</v>
      </c>
      <c r="B18" s="583" t="str">
        <f>IF('Summary-pricing'!C26=0," ",IF('kt info'!D32="Yes",A18,'Summary-pricing'!B26))</f>
        <v xml:space="preserve"> </v>
      </c>
      <c r="C18" s="584" t="str">
        <f>IF(B18=" "," ",IF('kt info'!D32="Yes","Included",'Summary-pricing'!C26))</f>
        <v xml:space="preserve"> </v>
      </c>
      <c r="D18" s="585" t="str">
        <f t="shared" si="0"/>
        <v xml:space="preserve"> </v>
      </c>
      <c r="E18" s="584" t="str">
        <f>IF(C18=" "," ",IF(C18="Included in Monthly Price","Included in Monthly Price",'Summary-pricing'!C26*'kt info'!G32))</f>
        <v xml:space="preserve"> </v>
      </c>
      <c r="F18" s="585" t="str">
        <f>IF(D18=" "," ",IF(E18=0," ","per year"))</f>
        <v xml:space="preserve"> </v>
      </c>
      <c r="G18" s="586" t="str">
        <f>IF(C18=" "," ",'kt info'!G32)</f>
        <v xml:space="preserve"> </v>
      </c>
      <c r="H18" s="587" t="str">
        <f t="shared" si="1"/>
        <v xml:space="preserve"> </v>
      </c>
    </row>
    <row r="19" spans="1:8" s="218" customFormat="1" ht="15" x14ac:dyDescent="0.3">
      <c r="A19" s="316" t="str">
        <f>'kt info'!B34</f>
        <v>Periodical Service 6</v>
      </c>
      <c r="B19" s="588" t="str">
        <f>IF('Summary-pricing'!C28=0," ",IF('kt info'!D34="Yes",A19,'Summary-pricing'!B28))</f>
        <v xml:space="preserve"> </v>
      </c>
      <c r="C19" s="589" t="str">
        <f>IF(B19=" "," ",IF('kt info'!D34="Yes","Included",'Summary-pricing'!C28))</f>
        <v xml:space="preserve"> </v>
      </c>
      <c r="D19" s="590" t="str">
        <f t="shared" si="0"/>
        <v xml:space="preserve"> </v>
      </c>
      <c r="E19" s="589" t="str">
        <f>IF(C19=" "," ",IF(C19="Included in Monthly Price","Included in Monthly Price",'Summary-pricing'!E28*G19))</f>
        <v xml:space="preserve"> </v>
      </c>
      <c r="F19" s="585" t="str">
        <f>IF(D19=" "," ",IF(E19=0," ","per year"))</f>
        <v xml:space="preserve"> </v>
      </c>
      <c r="G19" s="591" t="str">
        <f>IF(C19=" "," ",'kt info'!G34)</f>
        <v xml:space="preserve"> </v>
      </c>
      <c r="H19" s="592" t="str">
        <f t="shared" si="1"/>
        <v xml:space="preserve"> </v>
      </c>
    </row>
    <row r="20" spans="1:8" s="218" customFormat="1" ht="15" x14ac:dyDescent="0.3">
      <c r="A20" s="218" t="str">
        <f>'kt info'!B36</f>
        <v>Periodical Service 7</v>
      </c>
      <c r="B20" s="588" t="str">
        <f>IF('Summary-pricing'!C30=0," ",IF('kt info'!C36="Yes",A20,'Summary-pricing'!B30))</f>
        <v xml:space="preserve"> </v>
      </c>
      <c r="C20" s="589" t="str">
        <f>IF(B20=" "," ",IF('kt info'!D36="Yes","Included",'Summary-pricing'!C30))</f>
        <v xml:space="preserve"> </v>
      </c>
      <c r="D20" s="590" t="str">
        <f t="shared" si="0"/>
        <v xml:space="preserve"> </v>
      </c>
      <c r="E20" s="589" t="str">
        <f>IF(C20=" "," ",IF(C20="Included in Monthly Price","Included in Monthly Price",'Summary-pricing'!C30*'kt info'!G36))</f>
        <v xml:space="preserve"> </v>
      </c>
      <c r="F20" s="590" t="str">
        <f t="shared" ref="F20" si="2">IF(D20=" "," ",IF(E20=0," ","per year"))</f>
        <v xml:space="preserve"> </v>
      </c>
      <c r="G20" s="591" t="str">
        <f>IF(C20=" "," ",'kt info'!G36)</f>
        <v xml:space="preserve"> </v>
      </c>
      <c r="H20" s="592" t="str">
        <f t="shared" si="1"/>
        <v xml:space="preserve"> </v>
      </c>
    </row>
    <row r="21" spans="1:8" s="218" customFormat="1" ht="15" x14ac:dyDescent="0.3">
      <c r="A21" s="218" t="str">
        <f>'kt info'!B15</f>
        <v>Additional-Exceptional Services</v>
      </c>
      <c r="B21" s="588" t="str">
        <f>IF('Summary-pricing'!C33=0," ",'Summary-pricing'!B33)</f>
        <v xml:space="preserve"> </v>
      </c>
      <c r="C21" s="598" t="str">
        <f>IF(B21=" "," ",'Summary-pricing'!C33)</f>
        <v xml:space="preserve"> </v>
      </c>
      <c r="D21" s="599" t="str">
        <f>IF(B21=" "," ","per hour")</f>
        <v xml:space="preserve"> </v>
      </c>
      <c r="E21" s="600"/>
      <c r="F21" s="601"/>
      <c r="G21" s="602"/>
      <c r="H21" s="603"/>
    </row>
    <row r="22" spans="1:8" s="218" customFormat="1" ht="15.6" thickBot="1" x14ac:dyDescent="0.35">
      <c r="A22" s="218" t="str">
        <f>'kt info'!B17</f>
        <v>Emergency Services</v>
      </c>
      <c r="B22" s="604" t="str">
        <f>IF('Summary-pricing'!C35=0," ",'Summary-pricing'!B35)</f>
        <v xml:space="preserve"> </v>
      </c>
      <c r="C22" s="605" t="str">
        <f>IF(B22=" "," ",'Summary-pricing'!C35)</f>
        <v xml:space="preserve"> </v>
      </c>
      <c r="D22" s="606" t="str">
        <f>IF(B22=" "," ","per hour")</f>
        <v xml:space="preserve"> </v>
      </c>
      <c r="E22" s="607"/>
      <c r="F22" s="608"/>
      <c r="G22" s="609"/>
      <c r="H22" s="610"/>
    </row>
    <row r="23" spans="1:8" ht="15" customHeight="1" thickTop="1" x14ac:dyDescent="0.3">
      <c r="B23" s="285"/>
      <c r="G23" s="476"/>
      <c r="H23" s="498"/>
    </row>
    <row r="24" spans="1:8" ht="25.05" customHeight="1" x14ac:dyDescent="0.3">
      <c r="B24" s="477" t="s">
        <v>92</v>
      </c>
      <c r="C24" s="478"/>
      <c r="D24" s="813"/>
      <c r="E24" s="811"/>
      <c r="F24" s="811"/>
      <c r="G24" s="811"/>
      <c r="H24" s="812"/>
    </row>
    <row r="25" spans="1:8" ht="15" customHeight="1" x14ac:dyDescent="0.3">
      <c r="B25" s="479" t="s">
        <v>186</v>
      </c>
      <c r="C25" s="286"/>
      <c r="D25" s="286" t="s">
        <v>187</v>
      </c>
      <c r="H25" s="499"/>
    </row>
    <row r="26" spans="1:8" ht="6" customHeight="1" x14ac:dyDescent="0.3">
      <c r="B26" s="479"/>
      <c r="C26" s="286"/>
      <c r="D26" s="286"/>
      <c r="H26" s="499"/>
    </row>
    <row r="27" spans="1:8" ht="25.05" customHeight="1" x14ac:dyDescent="0.3">
      <c r="B27" s="480"/>
      <c r="C27" s="481"/>
      <c r="D27" s="810"/>
      <c r="E27" s="811"/>
      <c r="F27" s="811"/>
      <c r="G27" s="811"/>
      <c r="H27" s="812"/>
    </row>
    <row r="28" spans="1:8" ht="15" customHeight="1" x14ac:dyDescent="0.3">
      <c r="B28" s="482" t="s">
        <v>188</v>
      </c>
      <c r="C28" s="483"/>
      <c r="D28" s="824" t="s">
        <v>189</v>
      </c>
      <c r="E28" s="823"/>
      <c r="H28" s="499"/>
    </row>
    <row r="29" spans="1:8" ht="6" customHeight="1" x14ac:dyDescent="0.3">
      <c r="B29" s="479"/>
      <c r="C29" s="286"/>
      <c r="D29" s="286"/>
      <c r="H29" s="499"/>
    </row>
    <row r="30" spans="1:8" ht="25.05" customHeight="1" x14ac:dyDescent="0.3">
      <c r="B30" s="484"/>
      <c r="C30" s="485"/>
      <c r="D30" s="810"/>
      <c r="E30" s="811"/>
      <c r="F30" s="811"/>
      <c r="G30" s="811"/>
      <c r="H30" s="812"/>
    </row>
    <row r="31" spans="1:8" ht="15" customHeight="1" x14ac:dyDescent="0.3">
      <c r="B31" s="482" t="s">
        <v>190</v>
      </c>
      <c r="C31" s="286"/>
      <c r="D31" s="286" t="s">
        <v>187</v>
      </c>
      <c r="H31" s="499"/>
    </row>
    <row r="32" spans="1:8" ht="6" customHeight="1" x14ac:dyDescent="0.3">
      <c r="B32" s="479"/>
      <c r="C32" s="286"/>
      <c r="D32" s="286"/>
      <c r="H32" s="499"/>
    </row>
    <row r="33" spans="2:8" ht="25.05" customHeight="1" x14ac:dyDescent="0.3">
      <c r="B33" s="480"/>
      <c r="C33" s="286"/>
      <c r="D33" s="810"/>
      <c r="E33" s="811"/>
      <c r="F33" s="811"/>
      <c r="G33" s="811"/>
      <c r="H33" s="812"/>
    </row>
    <row r="34" spans="2:8" ht="15" customHeight="1" x14ac:dyDescent="0.3">
      <c r="B34" s="482" t="s">
        <v>188</v>
      </c>
      <c r="C34" s="286"/>
      <c r="D34" s="822" t="s">
        <v>189</v>
      </c>
      <c r="E34" s="823"/>
      <c r="H34" s="499"/>
    </row>
    <row r="35" spans="2:8" ht="15" customHeight="1" x14ac:dyDescent="0.3">
      <c r="B35" s="814" t="s">
        <v>191</v>
      </c>
      <c r="C35" s="815"/>
      <c r="D35" s="816"/>
      <c r="E35" s="816"/>
      <c r="F35" s="816"/>
      <c r="G35" s="816"/>
      <c r="H35" s="817"/>
    </row>
    <row r="36" spans="2:8" ht="11.55" customHeight="1" x14ac:dyDescent="0.3">
      <c r="B36" s="814"/>
      <c r="C36" s="815"/>
      <c r="D36" s="816"/>
      <c r="E36" s="816"/>
      <c r="F36" s="816"/>
      <c r="G36" s="816"/>
      <c r="H36" s="817"/>
    </row>
    <row r="37" spans="2:8" ht="7.5" customHeight="1" x14ac:dyDescent="0.3">
      <c r="B37" s="818"/>
      <c r="C37" s="816"/>
      <c r="D37" s="816"/>
      <c r="E37" s="816"/>
      <c r="F37" s="816"/>
      <c r="G37" s="816"/>
      <c r="H37" s="817"/>
    </row>
    <row r="38" spans="2:8" ht="12" customHeight="1" x14ac:dyDescent="0.3">
      <c r="B38" s="285"/>
      <c r="H38" s="499"/>
    </row>
    <row r="39" spans="2:8" ht="25.05" customHeight="1" x14ac:dyDescent="0.3">
      <c r="B39" s="486"/>
      <c r="C39" s="487"/>
      <c r="D39" s="813"/>
      <c r="E39" s="811"/>
      <c r="F39" s="811"/>
      <c r="G39" s="811"/>
      <c r="H39" s="812"/>
    </row>
    <row r="40" spans="2:8" ht="15" customHeight="1" x14ac:dyDescent="0.3">
      <c r="B40" s="482" t="s">
        <v>192</v>
      </c>
      <c r="C40" s="286"/>
      <c r="D40" s="286" t="s">
        <v>187</v>
      </c>
      <c r="H40" s="499"/>
    </row>
    <row r="41" spans="2:8" ht="15" customHeight="1" thickBot="1" x14ac:dyDescent="0.35">
      <c r="B41" s="488" t="s">
        <v>237</v>
      </c>
      <c r="C41" s="489"/>
      <c r="D41" s="489"/>
      <c r="E41" s="489"/>
      <c r="F41" s="489"/>
      <c r="G41" s="489"/>
      <c r="H41" s="500"/>
    </row>
    <row r="42" spans="2:8" ht="15" thickTop="1" x14ac:dyDescent="0.3"/>
  </sheetData>
  <sheetProtection algorithmName="SHA-512" hashValue="DamGo8fEw6TP5uLfDTbaZMljLs8Cvyl4uj+hqJg0g2/DM/sXTeMtWBqG8pgcggFpDorcUk4pCUOe4+to1PhFAg==" saltValue="+t4isY1tlEqO+tlhPgqfsA==" spinCount="100000" sheet="1" objects="1" scenarios="1"/>
  <mergeCells count="17">
    <mergeCell ref="D30:H30"/>
    <mergeCell ref="D33:H33"/>
    <mergeCell ref="D39:H39"/>
    <mergeCell ref="B35:H37"/>
    <mergeCell ref="C9:F9"/>
    <mergeCell ref="B10:F10"/>
    <mergeCell ref="D24:H24"/>
    <mergeCell ref="D27:H27"/>
    <mergeCell ref="D34:E34"/>
    <mergeCell ref="D28:E28"/>
    <mergeCell ref="C6:F6"/>
    <mergeCell ref="C7:F7"/>
    <mergeCell ref="C12:H12"/>
    <mergeCell ref="B2:H2"/>
    <mergeCell ref="B3:H3"/>
    <mergeCell ref="B4:H4"/>
    <mergeCell ref="C8:H8"/>
  </mergeCells>
  <conditionalFormatting sqref="B19:E19 G19:H19">
    <cfRule type="expression" dxfId="6" priority="13">
      <formula>$C$19="Included in Monthly Price"</formula>
    </cfRule>
  </conditionalFormatting>
  <conditionalFormatting sqref="B14:H14">
    <cfRule type="expression" dxfId="5" priority="19">
      <formula>$C$14="Included in Monthly Price"</formula>
    </cfRule>
  </conditionalFormatting>
  <conditionalFormatting sqref="B15:H15">
    <cfRule type="expression" dxfId="4" priority="18">
      <formula>$C$15="Included in Monthly Price"</formula>
    </cfRule>
  </conditionalFormatting>
  <conditionalFormatting sqref="B16:H16">
    <cfRule type="expression" dxfId="3" priority="16">
      <formula>$C$16="Included in Monthly Price"</formula>
    </cfRule>
  </conditionalFormatting>
  <conditionalFormatting sqref="B17:H17">
    <cfRule type="expression" dxfId="2" priority="15">
      <formula>$C$17="Included in Monthly Price"</formula>
    </cfRule>
  </conditionalFormatting>
  <conditionalFormatting sqref="B18:H18 F19">
    <cfRule type="expression" dxfId="1" priority="14">
      <formula>$C$18="Included in Monthly Price"</formula>
    </cfRule>
  </conditionalFormatting>
  <conditionalFormatting sqref="B20:H20">
    <cfRule type="expression" dxfId="0" priority="12">
      <formula>$C$20="Included in Monthly Price"</formula>
    </cfRule>
  </conditionalFormatting>
  <hyperlinks>
    <hyperlink ref="J2" location="'kt info'!C3" display="Contract Information" xr:uid="{5FFDD3A2-CCA9-43E1-834A-E745C0D7BD88}"/>
    <hyperlink ref="J3" location="'Overhead &amp; Margin'!D10" display="Overhead &amp; Margin" xr:uid="{C7D15A47-E3DF-4C21-9824-7F7ADED6473D}"/>
    <hyperlink ref="J9" location="'Grounds Maintenance'!A1" display="Grounds Maintenance" xr:uid="{66B8EC91-8513-4CFA-A899-A532C099120D}"/>
    <hyperlink ref="J10" location="Periodics!B22" display="Periodical Services" xr:uid="{EC74FA43-A423-48E1-8D6A-7C18E8C2D0C5}"/>
    <hyperlink ref="J11" location="'Additional-Except &amp; Emerg'!A1" display="Additional/Exceptional Services and Emergency Services" xr:uid="{6702CC4F-9A7F-444E-BCF6-7C56764F2A7D}"/>
    <hyperlink ref="J5" location="Supplies!B13" display="Supplies" xr:uid="{D683C604-FFF1-4B46-9488-F7E77BE11890}"/>
    <hyperlink ref="J6" location="'Equipment List'!B12" display="Equipment" xr:uid="{1D9F6426-4921-433C-A208-B42EFC8791C3}"/>
    <hyperlink ref="J13" location="'Price Approval'!A1" display="Price Approval" xr:uid="{45DE932C-02E5-4851-9D7D-9B1A37BA200B}"/>
    <hyperlink ref="J7" location="Subcontractors!B15" display="Subcontractors" xr:uid="{6ED91898-AEA1-40EC-B1EA-81C3C803908D}"/>
    <hyperlink ref="J4" location="'Pay &amp; Benefits'!C10" display="Wages and Benefits (includes Unemployment and Worker's Compensation" xr:uid="{F27EC437-501A-4542-8AB5-05489504FF2E}"/>
    <hyperlink ref="J8" location="Transportation!B6" display="Transportation" xr:uid="{88C38FA3-ED54-490C-B913-E198CB62D68B}"/>
    <hyperlink ref="J12" location="'Summary-pricing'!A1" display="Summary-Pricing" xr:uid="{7A6D3849-8864-4E68-80F5-ABB178DFBB83}"/>
  </hyperlinks>
  <printOptions horizontalCentered="1"/>
  <pageMargins left="0.25" right="0.25" top="0.75" bottom="0.75" header="0.3" footer="0.3"/>
  <pageSetup scale="80" orientation="portrait" r:id="rId1"/>
  <ignoredErrors>
    <ignoredError sqref="D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1510-9518-4001-A814-A43F882AF0C9}">
  <dimension ref="A1:M78"/>
  <sheetViews>
    <sheetView showGridLines="0" showZeros="0" workbookViewId="0">
      <selection activeCell="B20" sqref="B20"/>
    </sheetView>
  </sheetViews>
  <sheetFormatPr defaultRowHeight="14.4" x14ac:dyDescent="0.3"/>
  <cols>
    <col min="1" max="1" width="7.5546875" customWidth="1"/>
    <col min="2" max="2" width="24.44140625" customWidth="1"/>
    <col min="3" max="3" width="15" customWidth="1"/>
    <col min="4" max="4" width="20.5546875" customWidth="1"/>
    <col min="5" max="5" width="10.5546875" customWidth="1"/>
    <col min="6" max="6" width="20.5546875" customWidth="1"/>
    <col min="7" max="7" width="10.5546875" customWidth="1"/>
    <col min="8" max="8" width="20.5546875" customWidth="1"/>
    <col min="9" max="9" width="10.5546875" customWidth="1"/>
    <col min="10" max="10" width="20.5546875" customWidth="1"/>
    <col min="11" max="11" width="10.5546875" customWidth="1"/>
  </cols>
  <sheetData>
    <row r="1" spans="1:13" ht="30" customHeight="1" x14ac:dyDescent="0.3">
      <c r="A1" s="581"/>
      <c r="C1" s="668" t="s">
        <v>277</v>
      </c>
      <c r="D1" s="668"/>
      <c r="E1" s="668"/>
      <c r="F1" s="668"/>
      <c r="G1" s="668"/>
      <c r="H1" s="668"/>
      <c r="I1" s="668"/>
      <c r="J1" s="668"/>
    </row>
    <row r="2" spans="1:13" x14ac:dyDescent="0.3">
      <c r="F2" s="580" t="str">
        <f>'kt info'!B12</f>
        <v>Form date: 2/20/26</v>
      </c>
    </row>
    <row r="3" spans="1:13" x14ac:dyDescent="0.3">
      <c r="H3" s="20"/>
      <c r="I3" s="56"/>
      <c r="J3" s="20"/>
      <c r="K3" s="20" t="s">
        <v>124</v>
      </c>
      <c r="L3" s="56" t="s">
        <v>125</v>
      </c>
    </row>
    <row r="4" spans="1:13" x14ac:dyDescent="0.3">
      <c r="B4" s="99" t="s">
        <v>102</v>
      </c>
      <c r="C4" s="675">
        <f>'kt info'!$C$3</f>
        <v>0</v>
      </c>
      <c r="D4" s="675"/>
      <c r="E4" s="676"/>
      <c r="F4" s="677"/>
      <c r="G4" s="20"/>
      <c r="I4" s="56"/>
      <c r="L4" s="56" t="s">
        <v>219</v>
      </c>
    </row>
    <row r="5" spans="1:13" x14ac:dyDescent="0.3">
      <c r="C5" s="98"/>
      <c r="D5" s="98"/>
      <c r="E5" s="98"/>
      <c r="F5" s="98"/>
      <c r="I5" s="56"/>
      <c r="L5" s="56" t="s">
        <v>220</v>
      </c>
    </row>
    <row r="6" spans="1:13" x14ac:dyDescent="0.3">
      <c r="B6" t="s">
        <v>103</v>
      </c>
      <c r="C6" s="675">
        <f>'kt info'!$C$5</f>
        <v>0</v>
      </c>
      <c r="D6" s="675"/>
      <c r="E6" s="677"/>
      <c r="F6" s="677"/>
      <c r="I6" s="56"/>
      <c r="L6" s="56" t="s">
        <v>73</v>
      </c>
    </row>
    <row r="7" spans="1:13" x14ac:dyDescent="0.3">
      <c r="C7" s="98"/>
      <c r="D7" s="98"/>
      <c r="E7" s="98"/>
      <c r="F7" s="98"/>
      <c r="I7" s="56"/>
      <c r="L7" s="56" t="s">
        <v>10</v>
      </c>
    </row>
    <row r="8" spans="1:13" x14ac:dyDescent="0.3">
      <c r="B8" t="s">
        <v>126</v>
      </c>
      <c r="C8" s="675">
        <f>'kt info'!$C$7</f>
        <v>0</v>
      </c>
      <c r="D8" s="675"/>
      <c r="E8" s="677"/>
      <c r="F8" s="677"/>
      <c r="I8" s="56"/>
      <c r="L8" s="56" t="s">
        <v>173</v>
      </c>
    </row>
    <row r="9" spans="1:13" x14ac:dyDescent="0.3">
      <c r="I9" s="56"/>
      <c r="L9" s="56" t="s">
        <v>82</v>
      </c>
    </row>
    <row r="10" spans="1:13" x14ac:dyDescent="0.3">
      <c r="B10" t="s">
        <v>131</v>
      </c>
      <c r="C10" s="141"/>
      <c r="I10" s="56"/>
      <c r="L10" s="56" t="s">
        <v>259</v>
      </c>
    </row>
    <row r="11" spans="1:13" x14ac:dyDescent="0.3">
      <c r="B11" t="s">
        <v>132</v>
      </c>
      <c r="C11" s="141"/>
      <c r="I11" s="56"/>
      <c r="L11" s="56" t="s">
        <v>177</v>
      </c>
    </row>
    <row r="12" spans="1:13" x14ac:dyDescent="0.3">
      <c r="C12" s="142"/>
      <c r="I12" s="56"/>
      <c r="L12" s="56" t="s">
        <v>268</v>
      </c>
    </row>
    <row r="13" spans="1:13" x14ac:dyDescent="0.3">
      <c r="B13" s="19" t="s">
        <v>209</v>
      </c>
      <c r="D13" s="36"/>
      <c r="E13" s="36"/>
      <c r="F13" s="272" t="s">
        <v>208</v>
      </c>
      <c r="G13" s="36"/>
      <c r="L13" s="56" t="s">
        <v>221</v>
      </c>
      <c r="M13" s="218"/>
    </row>
    <row r="14" spans="1:13" x14ac:dyDescent="0.3">
      <c r="B14" s="19" t="s">
        <v>233</v>
      </c>
      <c r="C14" s="36"/>
      <c r="D14" s="36"/>
      <c r="E14" s="36"/>
      <c r="F14" s="273" t="s">
        <v>232</v>
      </c>
      <c r="G14" s="36"/>
      <c r="K14" s="218"/>
      <c r="L14" s="56" t="s">
        <v>193</v>
      </c>
    </row>
    <row r="15" spans="1:13" x14ac:dyDescent="0.3">
      <c r="B15" s="19" t="s">
        <v>234</v>
      </c>
      <c r="C15" s="36"/>
      <c r="D15" s="36"/>
      <c r="E15" s="36"/>
      <c r="F15" s="273"/>
      <c r="G15" s="36"/>
      <c r="K15" s="56"/>
    </row>
    <row r="16" spans="1:13" x14ac:dyDescent="0.3">
      <c r="B16" s="19" t="s">
        <v>29</v>
      </c>
      <c r="C16" s="36"/>
      <c r="D16" s="19" t="s">
        <v>30</v>
      </c>
      <c r="E16" s="36"/>
      <c r="F16" s="19" t="s">
        <v>31</v>
      </c>
      <c r="G16" s="36"/>
      <c r="H16" s="19" t="s">
        <v>100</v>
      </c>
      <c r="I16" s="36"/>
      <c r="J16" s="19" t="s">
        <v>101</v>
      </c>
      <c r="K16" s="36"/>
    </row>
    <row r="17" spans="2:11" ht="15" thickBot="1" x14ac:dyDescent="0.35">
      <c r="B17" s="247" t="s">
        <v>167</v>
      </c>
      <c r="D17" s="247" t="s">
        <v>167</v>
      </c>
      <c r="F17" s="247" t="s">
        <v>167</v>
      </c>
      <c r="H17" s="247" t="s">
        <v>167</v>
      </c>
      <c r="J17" s="247" t="s">
        <v>167</v>
      </c>
    </row>
    <row r="18" spans="2:11" x14ac:dyDescent="0.3">
      <c r="B18" s="274" t="s">
        <v>118</v>
      </c>
      <c r="C18" s="75"/>
      <c r="D18" s="274" t="s">
        <v>118</v>
      </c>
      <c r="E18" s="75"/>
      <c r="F18" s="274" t="s">
        <v>118</v>
      </c>
      <c r="G18" s="75"/>
      <c r="H18" s="274" t="s">
        <v>118</v>
      </c>
      <c r="I18" s="75"/>
      <c r="J18" s="274" t="s">
        <v>118</v>
      </c>
      <c r="K18" s="75"/>
    </row>
    <row r="19" spans="2:11" ht="15" thickBot="1" x14ac:dyDescent="0.35">
      <c r="B19" s="275" t="s">
        <v>128</v>
      </c>
      <c r="C19" s="276" t="s">
        <v>70</v>
      </c>
      <c r="D19" s="275" t="s">
        <v>128</v>
      </c>
      <c r="E19" s="276" t="s">
        <v>70</v>
      </c>
      <c r="F19" s="275" t="s">
        <v>128</v>
      </c>
      <c r="G19" s="276" t="s">
        <v>70</v>
      </c>
      <c r="H19" s="275" t="s">
        <v>128</v>
      </c>
      <c r="I19" s="276" t="s">
        <v>70</v>
      </c>
      <c r="J19" s="275" t="s">
        <v>128</v>
      </c>
      <c r="K19" s="276" t="s">
        <v>70</v>
      </c>
    </row>
    <row r="20" spans="2:11" x14ac:dyDescent="0.3">
      <c r="B20" s="277" t="str">
        <f>IF(B17="Worker Title"," ","Sick Leave Oregon")</f>
        <v xml:space="preserve"> </v>
      </c>
      <c r="C20" s="128" t="str">
        <f>IF(B17="Worker Title"," ",3.33%)</f>
        <v xml:space="preserve"> </v>
      </c>
      <c r="D20" s="277" t="str">
        <f>IF(D17="Worker Title"," ","Sick Leave Oregon")</f>
        <v xml:space="preserve"> </v>
      </c>
      <c r="E20" s="128" t="str">
        <f>IF(D17="Worker Title"," ",3.33%)</f>
        <v xml:space="preserve"> </v>
      </c>
      <c r="F20" s="277" t="str">
        <f>IF(F17="Worker Title"," ","Sick Leave Oregon")</f>
        <v xml:space="preserve"> </v>
      </c>
      <c r="G20" s="128" t="str">
        <f>IF(F17="Worker Title"," ",3.33%)</f>
        <v xml:space="preserve"> </v>
      </c>
      <c r="H20" s="277" t="str">
        <f>IF(H17="Worker Title"," ","Sick Leave Oregon")</f>
        <v xml:space="preserve"> </v>
      </c>
      <c r="I20" s="128" t="str">
        <f>IF(H17="Worker Title"," ",3.33%)</f>
        <v xml:space="preserve"> </v>
      </c>
      <c r="J20" s="277" t="str">
        <f>IF(J17="Worker Title"," ","Sick Leave Oregon")</f>
        <v xml:space="preserve"> </v>
      </c>
      <c r="K20" s="128" t="str">
        <f>IF(J17="Worker Title"," ",3.33%)</f>
        <v xml:space="preserve"> </v>
      </c>
    </row>
    <row r="21" spans="2:11" x14ac:dyDescent="0.3">
      <c r="B21" s="278" t="str">
        <f>IF(B17="Worker Title"," ","Paid Leave Oregon")</f>
        <v xml:space="preserve"> </v>
      </c>
      <c r="C21" s="143" t="str">
        <f>IF(B17="Worker Title"," ",0.004)</f>
        <v xml:space="preserve"> </v>
      </c>
      <c r="D21" s="278" t="str">
        <f>IF(D17="Worker Title"," ","Paid Leave Oregon")</f>
        <v xml:space="preserve"> </v>
      </c>
      <c r="E21" s="143" t="str">
        <f>IF(D17="Worker Title"," ",0.004)</f>
        <v xml:space="preserve"> </v>
      </c>
      <c r="F21" s="278" t="str">
        <f>IF(F17="Worker Title"," ","Paid Leave Oregon")</f>
        <v xml:space="preserve"> </v>
      </c>
      <c r="G21" s="143" t="str">
        <f>IF(F17="Worker Title"," ",0.004)</f>
        <v xml:space="preserve"> </v>
      </c>
      <c r="H21" s="278" t="str">
        <f>IF(H17="Worker Title"," ","Paid Leave Oregon")</f>
        <v xml:space="preserve"> </v>
      </c>
      <c r="I21" s="143" t="str">
        <f>IF(H17="Worker Title"," ",0.004)</f>
        <v xml:space="preserve"> </v>
      </c>
      <c r="J21" s="278" t="str">
        <f>IF(J17="Worker Title"," ","Paid Leave Oregon")</f>
        <v xml:space="preserve"> </v>
      </c>
      <c r="K21" s="143" t="str">
        <f>IF(J17="Worker Title"," ",0.004)</f>
        <v xml:space="preserve"> </v>
      </c>
    </row>
    <row r="22" spans="2:11" x14ac:dyDescent="0.3">
      <c r="B22" s="501"/>
      <c r="C22" s="126"/>
      <c r="D22" s="501"/>
      <c r="E22" s="126"/>
      <c r="F22" s="501"/>
      <c r="G22" s="126"/>
      <c r="H22" s="501"/>
      <c r="I22" s="126"/>
      <c r="J22" s="501"/>
      <c r="K22" s="126"/>
    </row>
    <row r="23" spans="2:11" x14ac:dyDescent="0.3">
      <c r="B23" s="501"/>
      <c r="C23" s="126"/>
      <c r="D23" s="501"/>
      <c r="E23" s="126"/>
      <c r="F23" s="501"/>
      <c r="G23" s="126"/>
      <c r="H23" s="501"/>
      <c r="I23" s="126"/>
      <c r="J23" s="501"/>
      <c r="K23" s="126"/>
    </row>
    <row r="24" spans="2:11" x14ac:dyDescent="0.3">
      <c r="B24" s="501"/>
      <c r="C24" s="126"/>
      <c r="D24" s="501"/>
      <c r="E24" s="126"/>
      <c r="F24" s="501"/>
      <c r="G24" s="126"/>
      <c r="H24" s="501"/>
      <c r="I24" s="126"/>
      <c r="J24" s="501"/>
      <c r="K24" s="126"/>
    </row>
    <row r="25" spans="2:11" x14ac:dyDescent="0.3">
      <c r="B25" s="501"/>
      <c r="C25" s="126"/>
      <c r="D25" s="501"/>
      <c r="E25" s="126"/>
      <c r="F25" s="501"/>
      <c r="G25" s="126"/>
      <c r="H25" s="501"/>
      <c r="I25" s="126"/>
      <c r="J25" s="501"/>
      <c r="K25" s="126"/>
    </row>
    <row r="26" spans="2:11" x14ac:dyDescent="0.3">
      <c r="B26" s="501"/>
      <c r="C26" s="126"/>
      <c r="D26" s="266"/>
      <c r="E26" s="267"/>
      <c r="F26" s="266"/>
      <c r="G26" s="267"/>
      <c r="H26" s="266"/>
      <c r="I26" s="267"/>
      <c r="J26" s="266"/>
      <c r="K26" s="267"/>
    </row>
    <row r="27" spans="2:11" x14ac:dyDescent="0.3">
      <c r="B27" s="501"/>
      <c r="C27" s="126"/>
      <c r="D27" s="266"/>
      <c r="E27" s="267"/>
      <c r="F27" s="266"/>
      <c r="G27" s="267"/>
      <c r="H27" s="266"/>
      <c r="I27" s="267"/>
      <c r="J27" s="266"/>
      <c r="K27" s="267"/>
    </row>
    <row r="28" spans="2:11" x14ac:dyDescent="0.3">
      <c r="B28" s="266"/>
      <c r="C28" s="126"/>
      <c r="D28" s="266"/>
      <c r="E28" s="267"/>
      <c r="F28" s="266"/>
      <c r="G28" s="267"/>
      <c r="H28" s="266"/>
      <c r="I28" s="267"/>
      <c r="J28" s="266"/>
      <c r="K28" s="267"/>
    </row>
    <row r="29" spans="2:11" ht="15" thickBot="1" x14ac:dyDescent="0.35">
      <c r="B29" s="268"/>
      <c r="C29" s="127"/>
      <c r="D29" s="268"/>
      <c r="E29" s="269"/>
      <c r="F29" s="268"/>
      <c r="G29" s="269"/>
      <c r="H29" s="268"/>
      <c r="I29" s="269"/>
      <c r="J29" s="268"/>
      <c r="K29" s="269"/>
    </row>
    <row r="30" spans="2:11" ht="5.0999999999999996" customHeight="1" x14ac:dyDescent="0.3">
      <c r="B30" s="279"/>
      <c r="C30" s="279"/>
      <c r="D30" s="279"/>
      <c r="E30" s="279"/>
      <c r="F30" s="279"/>
      <c r="G30" s="279"/>
      <c r="H30" s="279"/>
      <c r="I30" s="279"/>
      <c r="J30" s="279"/>
      <c r="K30" s="279"/>
    </row>
    <row r="31" spans="2:11" ht="5.0999999999999996" customHeight="1" x14ac:dyDescent="0.3"/>
    <row r="32" spans="2:11" x14ac:dyDescent="0.3">
      <c r="B32" s="19" t="s">
        <v>104</v>
      </c>
      <c r="C32" s="36"/>
      <c r="D32" s="19" t="s">
        <v>105</v>
      </c>
      <c r="E32" s="36"/>
      <c r="F32" s="19" t="s">
        <v>106</v>
      </c>
      <c r="G32" s="36"/>
      <c r="H32" s="19" t="s">
        <v>107</v>
      </c>
      <c r="I32" s="36"/>
      <c r="J32" s="19" t="s">
        <v>108</v>
      </c>
      <c r="K32" s="36"/>
    </row>
    <row r="33" spans="2:11" ht="15" thickBot="1" x14ac:dyDescent="0.35">
      <c r="B33" s="247" t="s">
        <v>167</v>
      </c>
      <c r="D33" s="247" t="s">
        <v>167</v>
      </c>
      <c r="F33" s="247" t="s">
        <v>167</v>
      </c>
      <c r="H33" s="247" t="s">
        <v>167</v>
      </c>
      <c r="J33" s="247" t="s">
        <v>167</v>
      </c>
    </row>
    <row r="34" spans="2:11" x14ac:dyDescent="0.3">
      <c r="B34" s="274" t="s">
        <v>118</v>
      </c>
      <c r="C34" s="75"/>
      <c r="D34" s="274" t="s">
        <v>118</v>
      </c>
      <c r="E34" s="75"/>
      <c r="F34" s="274" t="s">
        <v>118</v>
      </c>
      <c r="G34" s="75"/>
      <c r="H34" s="274" t="s">
        <v>118</v>
      </c>
      <c r="I34" s="75"/>
      <c r="J34" s="274" t="s">
        <v>118</v>
      </c>
      <c r="K34" s="75"/>
    </row>
    <row r="35" spans="2:11" ht="15" thickBot="1" x14ac:dyDescent="0.35">
      <c r="B35" s="275" t="s">
        <v>128</v>
      </c>
      <c r="C35" s="276" t="s">
        <v>70</v>
      </c>
      <c r="D35" s="275" t="s">
        <v>128</v>
      </c>
      <c r="E35" s="276" t="s">
        <v>70</v>
      </c>
      <c r="F35" s="275" t="s">
        <v>128</v>
      </c>
      <c r="G35" s="276" t="s">
        <v>70</v>
      </c>
      <c r="H35" s="275" t="s">
        <v>128</v>
      </c>
      <c r="I35" s="276" t="s">
        <v>70</v>
      </c>
      <c r="J35" s="275" t="s">
        <v>128</v>
      </c>
      <c r="K35" s="276" t="s">
        <v>70</v>
      </c>
    </row>
    <row r="36" spans="2:11" x14ac:dyDescent="0.3">
      <c r="B36" s="277" t="str">
        <f>IF(B33="Worker Title"," ","Sick Leave Oregon")</f>
        <v xml:space="preserve"> </v>
      </c>
      <c r="C36" s="128" t="str">
        <f>IF(B33="Worker Title"," ",3.33%)</f>
        <v xml:space="preserve"> </v>
      </c>
      <c r="D36" s="277" t="str">
        <f>IF(D33="Worker Title"," ","Sick Leave Oregon")</f>
        <v xml:space="preserve"> </v>
      </c>
      <c r="E36" s="128" t="str">
        <f>IF(D33="Worker Title"," ",3.33%)</f>
        <v xml:space="preserve"> </v>
      </c>
      <c r="F36" s="277" t="str">
        <f>IF(F33="Worker Title"," ","Sick Leave Oregon")</f>
        <v xml:space="preserve"> </v>
      </c>
      <c r="G36" s="128" t="str">
        <f>IF(F33="Worker Title"," ",3.33%)</f>
        <v xml:space="preserve"> </v>
      </c>
      <c r="H36" s="277" t="str">
        <f>IF(H33="Worker Title"," ","Sick Leave Oregon")</f>
        <v xml:space="preserve"> </v>
      </c>
      <c r="I36" s="128" t="str">
        <f>IF(H33="Worker Title"," ",3.33%)</f>
        <v xml:space="preserve"> </v>
      </c>
      <c r="J36" s="277" t="str">
        <f>IF(J33="Worker Title"," ","Sick Leave Oregon")</f>
        <v xml:space="preserve"> </v>
      </c>
      <c r="K36" s="128" t="str">
        <f>IF(J33="Worker Title"," ",3.33%)</f>
        <v xml:space="preserve"> </v>
      </c>
    </row>
    <row r="37" spans="2:11" x14ac:dyDescent="0.3">
      <c r="B37" s="278" t="str">
        <f>IF(B33="Worker Title"," ","Paid Leave Oregon")</f>
        <v xml:space="preserve"> </v>
      </c>
      <c r="C37" s="143" t="str">
        <f>IF(B33="Worker Title"," ",0.004)</f>
        <v xml:space="preserve"> </v>
      </c>
      <c r="D37" s="278" t="str">
        <f>IF(D33="Worker Title"," ","Paid Leave Oregon")</f>
        <v xml:space="preserve"> </v>
      </c>
      <c r="E37" s="143" t="str">
        <f>IF(D33="Worker Title"," ",0.004)</f>
        <v xml:space="preserve"> </v>
      </c>
      <c r="F37" s="278" t="str">
        <f>IF(F33="Worker Title"," ","Paid Leave Oregon")</f>
        <v xml:space="preserve"> </v>
      </c>
      <c r="G37" s="143" t="str">
        <f>IF(F33="Worker Title"," ",0.004)</f>
        <v xml:space="preserve"> </v>
      </c>
      <c r="H37" s="278" t="str">
        <f>IF(H33="Worker Title"," ","Paid Leave Oregon")</f>
        <v xml:space="preserve"> </v>
      </c>
      <c r="I37" s="143" t="str">
        <f>IF(H33="Worker Title"," ",0.004)</f>
        <v xml:space="preserve"> </v>
      </c>
      <c r="J37" s="278" t="str">
        <f>IF(J33="Worker Title"," ","Paid Leave Oregon")</f>
        <v xml:space="preserve"> </v>
      </c>
      <c r="K37" s="143" t="str">
        <f>IF(J33="Worker Title"," ",0.004)</f>
        <v xml:space="preserve"> </v>
      </c>
    </row>
    <row r="38" spans="2:11" x14ac:dyDescent="0.3">
      <c r="B38" s="266"/>
      <c r="C38" s="267"/>
      <c r="D38" s="266"/>
      <c r="E38" s="267"/>
      <c r="F38" s="266"/>
      <c r="G38" s="267"/>
      <c r="H38" s="266"/>
      <c r="I38" s="267"/>
      <c r="J38" s="266"/>
      <c r="K38" s="267"/>
    </row>
    <row r="39" spans="2:11" x14ac:dyDescent="0.3">
      <c r="B39" s="266"/>
      <c r="C39" s="267"/>
      <c r="D39" s="266"/>
      <c r="E39" s="267"/>
      <c r="F39" s="266"/>
      <c r="G39" s="267"/>
      <c r="H39" s="266"/>
      <c r="I39" s="267"/>
      <c r="J39" s="266"/>
      <c r="K39" s="267"/>
    </row>
    <row r="40" spans="2:11" x14ac:dyDescent="0.3">
      <c r="B40" s="266"/>
      <c r="C40" s="267"/>
      <c r="D40" s="266"/>
      <c r="E40" s="267"/>
      <c r="F40" s="266"/>
      <c r="G40" s="267"/>
      <c r="H40" s="266"/>
      <c r="I40" s="267"/>
      <c r="J40" s="266"/>
      <c r="K40" s="267"/>
    </row>
    <row r="41" spans="2:11" x14ac:dyDescent="0.3">
      <c r="B41" s="266"/>
      <c r="C41" s="267"/>
      <c r="D41" s="266"/>
      <c r="E41" s="267"/>
      <c r="F41" s="266"/>
      <c r="G41" s="267"/>
      <c r="H41" s="266"/>
      <c r="I41" s="267"/>
      <c r="J41" s="266"/>
      <c r="K41" s="267"/>
    </row>
    <row r="42" spans="2:11" x14ac:dyDescent="0.3">
      <c r="B42" s="266"/>
      <c r="C42" s="267"/>
      <c r="D42" s="266"/>
      <c r="E42" s="267"/>
      <c r="F42" s="266"/>
      <c r="G42" s="267"/>
      <c r="H42" s="266"/>
      <c r="I42" s="267"/>
      <c r="J42" s="266"/>
      <c r="K42" s="267"/>
    </row>
    <row r="43" spans="2:11" x14ac:dyDescent="0.3">
      <c r="B43" s="266"/>
      <c r="C43" s="267"/>
      <c r="D43" s="266"/>
      <c r="E43" s="267"/>
      <c r="F43" s="266"/>
      <c r="G43" s="267"/>
      <c r="H43" s="266"/>
      <c r="I43" s="267"/>
      <c r="J43" s="266"/>
      <c r="K43" s="267"/>
    </row>
    <row r="44" spans="2:11" x14ac:dyDescent="0.3">
      <c r="B44" s="266"/>
      <c r="C44" s="267"/>
      <c r="D44" s="266"/>
      <c r="E44" s="267"/>
      <c r="F44" s="266"/>
      <c r="G44" s="267"/>
      <c r="H44" s="266"/>
      <c r="I44" s="267"/>
      <c r="J44" s="266"/>
      <c r="K44" s="267"/>
    </row>
    <row r="45" spans="2:11" ht="15" thickBot="1" x14ac:dyDescent="0.35">
      <c r="B45" s="268"/>
      <c r="C45" s="269"/>
      <c r="D45" s="268"/>
      <c r="E45" s="269"/>
      <c r="F45" s="268"/>
      <c r="G45" s="269"/>
      <c r="H45" s="268"/>
      <c r="I45" s="269"/>
      <c r="J45" s="268"/>
      <c r="K45" s="269"/>
    </row>
    <row r="46" spans="2:11" ht="5.0999999999999996" customHeight="1" x14ac:dyDescent="0.3"/>
    <row r="47" spans="2:11" ht="5.0999999999999996" customHeight="1" x14ac:dyDescent="0.3"/>
    <row r="48" spans="2:11" x14ac:dyDescent="0.3">
      <c r="B48" s="19" t="s">
        <v>212</v>
      </c>
      <c r="C48" s="36"/>
      <c r="D48" s="19" t="s">
        <v>213</v>
      </c>
      <c r="E48" s="36"/>
      <c r="F48" s="19" t="s">
        <v>214</v>
      </c>
      <c r="G48" s="36"/>
      <c r="H48" s="19" t="s">
        <v>215</v>
      </c>
      <c r="I48" s="36"/>
      <c r="J48" s="19" t="s">
        <v>216</v>
      </c>
      <c r="K48" s="36"/>
    </row>
    <row r="49" spans="1:12" ht="15" thickBot="1" x14ac:dyDescent="0.35">
      <c r="B49" s="247" t="s">
        <v>167</v>
      </c>
      <c r="D49" s="247" t="s">
        <v>167</v>
      </c>
      <c r="F49" s="247" t="s">
        <v>167</v>
      </c>
      <c r="H49" s="247" t="s">
        <v>167</v>
      </c>
      <c r="J49" s="247" t="s">
        <v>167</v>
      </c>
    </row>
    <row r="50" spans="1:12" x14ac:dyDescent="0.3">
      <c r="B50" s="274" t="s">
        <v>118</v>
      </c>
      <c r="C50" s="75"/>
      <c r="D50" s="274" t="s">
        <v>118</v>
      </c>
      <c r="E50" s="75"/>
      <c r="F50" s="274" t="s">
        <v>118</v>
      </c>
      <c r="G50" s="75"/>
      <c r="H50" s="274" t="s">
        <v>118</v>
      </c>
      <c r="I50" s="75"/>
      <c r="J50" s="274" t="s">
        <v>118</v>
      </c>
      <c r="K50" s="75"/>
    </row>
    <row r="51" spans="1:12" ht="15" thickBot="1" x14ac:dyDescent="0.35">
      <c r="B51" s="275" t="s">
        <v>128</v>
      </c>
      <c r="C51" s="276" t="s">
        <v>70</v>
      </c>
      <c r="D51" s="275" t="s">
        <v>128</v>
      </c>
      <c r="E51" s="276" t="s">
        <v>70</v>
      </c>
      <c r="F51" s="275" t="s">
        <v>128</v>
      </c>
      <c r="G51" s="276" t="s">
        <v>70</v>
      </c>
      <c r="H51" s="275" t="s">
        <v>128</v>
      </c>
      <c r="I51" s="276" t="s">
        <v>70</v>
      </c>
      <c r="J51" s="275" t="s">
        <v>128</v>
      </c>
      <c r="K51" s="276" t="s">
        <v>70</v>
      </c>
    </row>
    <row r="52" spans="1:12" x14ac:dyDescent="0.3">
      <c r="B52" s="280" t="str">
        <f>IF(B49="Worker Title"," ","Sick Leave Oregon")</f>
        <v xml:space="preserve"> </v>
      </c>
      <c r="C52" s="128" t="str">
        <f>IF(B49="Worker Title"," ",3.33%)</f>
        <v xml:space="preserve"> </v>
      </c>
      <c r="D52" s="280" t="str">
        <f>IF(D49="Worker Title"," ","Sick Leave Oregon")</f>
        <v xml:space="preserve"> </v>
      </c>
      <c r="E52" s="128" t="str">
        <f>IF(D49="Worker Title"," ",3.33%)</f>
        <v xml:space="preserve"> </v>
      </c>
      <c r="F52" s="280" t="str">
        <f>IF(F49="Worker Title"," ","Sick Leave Oregon")</f>
        <v xml:space="preserve"> </v>
      </c>
      <c r="G52" s="128" t="str">
        <f>IF(F49="Worker Title"," ",3.33%)</f>
        <v xml:space="preserve"> </v>
      </c>
      <c r="H52" s="280" t="str">
        <f>IF(H49="Worker Title"," ","Sick Leave Oregon")</f>
        <v xml:space="preserve"> </v>
      </c>
      <c r="I52" s="128" t="str">
        <f>IF(H49="Worker Title"," ",3.33%)</f>
        <v xml:space="preserve"> </v>
      </c>
      <c r="J52" s="280" t="str">
        <f>IF(J49="Worker Title"," ","Sick Leave Oregon")</f>
        <v xml:space="preserve"> </v>
      </c>
      <c r="K52" s="128" t="str">
        <f>IF(J49="Worker Title"," ",3.33%)</f>
        <v xml:space="preserve"> </v>
      </c>
    </row>
    <row r="53" spans="1:12" x14ac:dyDescent="0.3">
      <c r="B53" s="281" t="str">
        <f>IF(B49="Worker Title"," ","Paid Leave Oregon")</f>
        <v xml:space="preserve"> </v>
      </c>
      <c r="C53" s="143" t="str">
        <f>IF(B49="Worker Title"," ",0.004)</f>
        <v xml:space="preserve"> </v>
      </c>
      <c r="D53" s="281" t="str">
        <f>IF(D49="Worker Title"," ","Paid Leave Oregon")</f>
        <v xml:space="preserve"> </v>
      </c>
      <c r="E53" s="143" t="str">
        <f>IF(D49="Worker Title"," ",0.004)</f>
        <v xml:space="preserve"> </v>
      </c>
      <c r="F53" s="281" t="str">
        <f>IF(F49="Worker Title"," ","Paid Leave Oregon")</f>
        <v xml:space="preserve"> </v>
      </c>
      <c r="G53" s="143" t="str">
        <f>IF(F49="Worker Title"," ",0.004)</f>
        <v xml:space="preserve"> </v>
      </c>
      <c r="H53" s="281" t="str">
        <f>IF(H49="Worker Title"," ","Paid Leave Oregon")</f>
        <v xml:space="preserve"> </v>
      </c>
      <c r="I53" s="143" t="str">
        <f>IF(H49="Worker Title"," ",0.004)</f>
        <v xml:space="preserve"> </v>
      </c>
      <c r="J53" s="281" t="str">
        <f>IF(J49="Worker Title"," ","Paid Leave Oregon")</f>
        <v xml:space="preserve"> </v>
      </c>
      <c r="K53" s="143" t="str">
        <f>IF(J49="Worker Title"," ",0.004)</f>
        <v xml:space="preserve"> </v>
      </c>
    </row>
    <row r="54" spans="1:12" x14ac:dyDescent="0.3">
      <c r="B54" s="266"/>
      <c r="C54" s="267"/>
      <c r="D54" s="266"/>
      <c r="E54" s="267"/>
      <c r="F54" s="266"/>
      <c r="G54" s="267"/>
      <c r="H54" s="266"/>
      <c r="I54" s="267"/>
      <c r="J54" s="266"/>
      <c r="K54" s="267"/>
    </row>
    <row r="55" spans="1:12" x14ac:dyDescent="0.3">
      <c r="B55" s="266"/>
      <c r="C55" s="267"/>
      <c r="D55" s="266"/>
      <c r="E55" s="267"/>
      <c r="F55" s="266"/>
      <c r="G55" s="267"/>
      <c r="H55" s="266"/>
      <c r="I55" s="267"/>
      <c r="J55" s="266"/>
      <c r="K55" s="267"/>
    </row>
    <row r="56" spans="1:12" x14ac:dyDescent="0.3">
      <c r="B56" s="266"/>
      <c r="C56" s="267"/>
      <c r="D56" s="266"/>
      <c r="E56" s="267"/>
      <c r="F56" s="266"/>
      <c r="G56" s="267"/>
      <c r="H56" s="266"/>
      <c r="I56" s="267"/>
      <c r="J56" s="266"/>
      <c r="K56" s="267"/>
    </row>
    <row r="57" spans="1:12" x14ac:dyDescent="0.3">
      <c r="B57" s="266"/>
      <c r="C57" s="267"/>
      <c r="D57" s="266"/>
      <c r="E57" s="267"/>
      <c r="F57" s="266"/>
      <c r="G57" s="267"/>
      <c r="H57" s="266"/>
      <c r="I57" s="267"/>
      <c r="J57" s="266"/>
      <c r="K57" s="267"/>
    </row>
    <row r="58" spans="1:12" x14ac:dyDescent="0.3">
      <c r="B58" s="266"/>
      <c r="C58" s="267"/>
      <c r="D58" s="266"/>
      <c r="E58" s="267"/>
      <c r="F58" s="266"/>
      <c r="G58" s="267"/>
      <c r="H58" s="266"/>
      <c r="I58" s="267"/>
      <c r="J58" s="266"/>
      <c r="K58" s="267"/>
    </row>
    <row r="59" spans="1:12" x14ac:dyDescent="0.3">
      <c r="B59" s="266"/>
      <c r="C59" s="267"/>
      <c r="D59" s="266"/>
      <c r="E59" s="267"/>
      <c r="F59" s="266"/>
      <c r="G59" s="267"/>
      <c r="H59" s="266"/>
      <c r="I59" s="267"/>
      <c r="J59" s="266"/>
      <c r="K59" s="267"/>
    </row>
    <row r="60" spans="1:12" x14ac:dyDescent="0.3">
      <c r="B60" s="266"/>
      <c r="C60" s="267"/>
      <c r="D60" s="270"/>
      <c r="E60" s="267"/>
      <c r="F60" s="266"/>
      <c r="G60" s="267"/>
      <c r="H60" s="266"/>
      <c r="I60" s="267"/>
      <c r="J60" s="266"/>
      <c r="K60" s="267"/>
    </row>
    <row r="61" spans="1:12" ht="15" thickBot="1" x14ac:dyDescent="0.35">
      <c r="B61" s="268"/>
      <c r="C61" s="269"/>
      <c r="D61" s="268"/>
      <c r="E61" s="269"/>
      <c r="F61" s="268"/>
      <c r="G61" s="269"/>
      <c r="H61" s="268"/>
      <c r="I61" s="269"/>
      <c r="J61" s="268"/>
      <c r="K61" s="269"/>
    </row>
    <row r="63" spans="1:12" ht="15" thickBot="1" x14ac:dyDescent="0.35">
      <c r="A63" s="68"/>
      <c r="B63" s="523" t="s">
        <v>167</v>
      </c>
      <c r="C63" s="524" t="s">
        <v>217</v>
      </c>
      <c r="D63" s="525" t="s">
        <v>218</v>
      </c>
    </row>
    <row r="64" spans="1:12" x14ac:dyDescent="0.3">
      <c r="A64" s="526" t="str">
        <f>B16</f>
        <v>Emp type 1</v>
      </c>
      <c r="B64" s="527" t="str">
        <f>B17</f>
        <v>Worker Title</v>
      </c>
      <c r="C64" s="528">
        <f>C18</f>
        <v>0</v>
      </c>
      <c r="D64" s="529">
        <f>SUM(C20:C29)</f>
        <v>0</v>
      </c>
      <c r="L64" t="s">
        <v>92</v>
      </c>
    </row>
    <row r="65" spans="1:4" x14ac:dyDescent="0.3">
      <c r="A65" s="526" t="str">
        <f>D16</f>
        <v>Emp type 2</v>
      </c>
      <c r="B65" s="530" t="str">
        <f>D17</f>
        <v>Worker Title</v>
      </c>
      <c r="C65" s="531">
        <f>E18</f>
        <v>0</v>
      </c>
      <c r="D65" s="532">
        <f>SUM(E20:E29)</f>
        <v>0</v>
      </c>
    </row>
    <row r="66" spans="1:4" x14ac:dyDescent="0.3">
      <c r="A66" s="526" t="str">
        <f>F16</f>
        <v>Emp type 3</v>
      </c>
      <c r="B66" s="530" t="str">
        <f>F17</f>
        <v>Worker Title</v>
      </c>
      <c r="C66" s="531">
        <f>G18</f>
        <v>0</v>
      </c>
      <c r="D66" s="532">
        <f>SUM(G20:G29)</f>
        <v>0</v>
      </c>
    </row>
    <row r="67" spans="1:4" x14ac:dyDescent="0.3">
      <c r="A67" s="526" t="str">
        <f>H16</f>
        <v>Emp type 4</v>
      </c>
      <c r="B67" s="530" t="str">
        <f>H17</f>
        <v>Worker Title</v>
      </c>
      <c r="C67" s="531">
        <f>I18</f>
        <v>0</v>
      </c>
      <c r="D67" s="532">
        <f>SUM(I20:I29)</f>
        <v>0</v>
      </c>
    </row>
    <row r="68" spans="1:4" x14ac:dyDescent="0.3">
      <c r="A68" s="526" t="str">
        <f>J16</f>
        <v>Emp type 5</v>
      </c>
      <c r="B68" s="530" t="str">
        <f>J17</f>
        <v>Worker Title</v>
      </c>
      <c r="C68" s="531">
        <f>K18</f>
        <v>0</v>
      </c>
      <c r="D68" s="532">
        <f>SUM(K20:K29)</f>
        <v>0</v>
      </c>
    </row>
    <row r="69" spans="1:4" x14ac:dyDescent="0.3">
      <c r="A69" s="526" t="str">
        <f>B32</f>
        <v>Emp type 6</v>
      </c>
      <c r="B69" s="530" t="str">
        <f>B33</f>
        <v>Worker Title</v>
      </c>
      <c r="C69" s="531">
        <f>C34</f>
        <v>0</v>
      </c>
      <c r="D69" s="532">
        <f>SUM(C36:C45)</f>
        <v>0</v>
      </c>
    </row>
    <row r="70" spans="1:4" x14ac:dyDescent="0.3">
      <c r="A70" s="526" t="str">
        <f>D32</f>
        <v>Emp type 7</v>
      </c>
      <c r="B70" s="530" t="str">
        <f>D33</f>
        <v>Worker Title</v>
      </c>
      <c r="C70" s="531">
        <f>E34</f>
        <v>0</v>
      </c>
      <c r="D70" s="532">
        <f>SUM(E36:E45)</f>
        <v>0</v>
      </c>
    </row>
    <row r="71" spans="1:4" x14ac:dyDescent="0.3">
      <c r="A71" s="526" t="str">
        <f>F32</f>
        <v>Emp type 8</v>
      </c>
      <c r="B71" s="530" t="str">
        <f>F33</f>
        <v>Worker Title</v>
      </c>
      <c r="C71" s="531">
        <f>G34</f>
        <v>0</v>
      </c>
      <c r="D71" s="532">
        <f>SUM(G36:G45)</f>
        <v>0</v>
      </c>
    </row>
    <row r="72" spans="1:4" x14ac:dyDescent="0.3">
      <c r="A72" s="526" t="str">
        <f>H32</f>
        <v>Emp type 9</v>
      </c>
      <c r="B72" s="530" t="str">
        <f>H33</f>
        <v>Worker Title</v>
      </c>
      <c r="C72" s="531">
        <f>I34</f>
        <v>0</v>
      </c>
      <c r="D72" s="532">
        <f>SUM(I36:I45)</f>
        <v>0</v>
      </c>
    </row>
    <row r="73" spans="1:4" x14ac:dyDescent="0.3">
      <c r="A73" s="526" t="str">
        <f>J32</f>
        <v>Emp type 10</v>
      </c>
      <c r="B73" s="533" t="str">
        <f>J33</f>
        <v>Worker Title</v>
      </c>
      <c r="C73" s="534">
        <f>K34</f>
        <v>0</v>
      </c>
      <c r="D73" s="535">
        <f>SUM(K36:K45)</f>
        <v>0</v>
      </c>
    </row>
    <row r="74" spans="1:4" x14ac:dyDescent="0.3">
      <c r="A74" s="526" t="str">
        <f>B48</f>
        <v>Emp type 11</v>
      </c>
      <c r="B74" s="530" t="str">
        <f>B49</f>
        <v>Worker Title</v>
      </c>
      <c r="C74" s="531">
        <f>C50</f>
        <v>0</v>
      </c>
      <c r="D74" s="532">
        <f>SUM(C52:C61)</f>
        <v>0</v>
      </c>
    </row>
    <row r="75" spans="1:4" x14ac:dyDescent="0.3">
      <c r="A75" s="526" t="str">
        <f>D48</f>
        <v>Emp type 12</v>
      </c>
      <c r="B75" s="530" t="str">
        <f>D49</f>
        <v>Worker Title</v>
      </c>
      <c r="C75" s="531">
        <f>E50</f>
        <v>0</v>
      </c>
      <c r="D75" s="532">
        <f>SUM(E52:E61)</f>
        <v>0</v>
      </c>
    </row>
    <row r="76" spans="1:4" x14ac:dyDescent="0.3">
      <c r="A76" s="526" t="str">
        <f>F48</f>
        <v>Emp type 13</v>
      </c>
      <c r="B76" s="530" t="str">
        <f>F49</f>
        <v>Worker Title</v>
      </c>
      <c r="C76" s="531">
        <f>G50</f>
        <v>0</v>
      </c>
      <c r="D76" s="532">
        <f>SUM(G52:G61)</f>
        <v>0</v>
      </c>
    </row>
    <row r="77" spans="1:4" x14ac:dyDescent="0.3">
      <c r="A77" s="526" t="str">
        <f>H48</f>
        <v>Emp type 14</v>
      </c>
      <c r="B77" s="530" t="str">
        <f>H49</f>
        <v>Worker Title</v>
      </c>
      <c r="C77" s="531">
        <f>I50</f>
        <v>0</v>
      </c>
      <c r="D77" s="532">
        <f>SUM(I52:I61)</f>
        <v>0</v>
      </c>
    </row>
    <row r="78" spans="1:4" x14ac:dyDescent="0.3">
      <c r="A78" s="526" t="str">
        <f>J48</f>
        <v>Emp type 15</v>
      </c>
      <c r="B78" s="533" t="str">
        <f>J49</f>
        <v>Worker Title</v>
      </c>
      <c r="C78" s="534">
        <f>K50</f>
        <v>0</v>
      </c>
      <c r="D78" s="535">
        <f>SUM(K52:K61)</f>
        <v>0</v>
      </c>
    </row>
  </sheetData>
  <sheetProtection algorithmName="SHA-512" hashValue="YkgdqyM3sR5nP+4YFWjQhZd3ig9roLxIgdqPnR83HbyIFSc6jX2GgZi9pU+7Gd55Grt/Gsoz+DKEucFyTySHGQ==" saltValue="Fpaibf4jALIFxuX6TBZHRQ==" spinCount="100000" sheet="1" objects="1" scenarios="1"/>
  <mergeCells count="4">
    <mergeCell ref="C1:J1"/>
    <mergeCell ref="C4:F4"/>
    <mergeCell ref="C6:F6"/>
    <mergeCell ref="C8:F8"/>
  </mergeCells>
  <conditionalFormatting sqref="B17 D17 F17 H17 J17 B33 D33 F33">
    <cfRule type="cellIs" dxfId="55" priority="1" operator="notEqual">
      <formula>"Worker Title"</formula>
    </cfRule>
  </conditionalFormatting>
  <conditionalFormatting sqref="B49 D49 F49 H49 J49">
    <cfRule type="cellIs" dxfId="54" priority="5" operator="notEqual">
      <formula>"Worker Title"</formula>
    </cfRule>
  </conditionalFormatting>
  <conditionalFormatting sqref="B22:K29 B38:K45">
    <cfRule type="cellIs" dxfId="53" priority="2" operator="notEqual">
      <formula>0</formula>
    </cfRule>
  </conditionalFormatting>
  <conditionalFormatting sqref="B54:K61">
    <cfRule type="cellIs" dxfId="52" priority="3" operator="notEqual">
      <formula>0</formula>
    </cfRule>
  </conditionalFormatting>
  <conditionalFormatting sqref="C10:C11">
    <cfRule type="cellIs" dxfId="51" priority="7" operator="notEqual">
      <formula>0</formula>
    </cfRule>
  </conditionalFormatting>
  <conditionalFormatting sqref="C18 E18 G18 I18 K18 C34 E34 G34 I34 K34">
    <cfRule type="cellIs" dxfId="50" priority="6" operator="notEqual">
      <formula>0</formula>
    </cfRule>
  </conditionalFormatting>
  <conditionalFormatting sqref="C50 E50 G50 I50 K50">
    <cfRule type="cellIs" dxfId="49" priority="4" operator="notEqual">
      <formula>0</formula>
    </cfRule>
  </conditionalFormatting>
  <conditionalFormatting sqref="H33 J33">
    <cfRule type="cellIs" dxfId="48" priority="8" operator="notEqual">
      <formula>"Worker Title"</formula>
    </cfRule>
  </conditionalFormatting>
  <hyperlinks>
    <hyperlink ref="L3" location="'kt info'!C3" display="Contract Information" xr:uid="{AD70FA45-7EB4-4BED-AEDD-411D425D2009}"/>
    <hyperlink ref="L4" location="'Overhead &amp; Margin'!D10" display="Overhead &amp; Margin" xr:uid="{EEDDA74B-401F-4413-9C00-2B6D45C7D7C9}"/>
    <hyperlink ref="L10" location="'Grounds Maintenance'!A1" display="Grounds Maintenance" xr:uid="{831E6BBA-3E30-4FD8-9F60-ED62FFDB649F}"/>
    <hyperlink ref="L11" location="Periodics!B22" display="Periodical Services" xr:uid="{9425FBE1-60B1-42A8-BA9F-20D28D09B9FD}"/>
    <hyperlink ref="L12" location="'Additional-Except &amp; Emerg'!A1" display="Additional/Exceptional Services and Emergency Services" xr:uid="{BB3CA073-0979-4359-BF54-9C4900C9EA78}"/>
    <hyperlink ref="L6" location="Supplies!B13" display="Supplies" xr:uid="{9ED6A4FD-029C-4ABC-A7DD-687626ED2262}"/>
    <hyperlink ref="L7" location="'Equipment List'!B12" display="Equipment" xr:uid="{80E7F079-D861-49D4-B12D-6DE9C95619DE}"/>
    <hyperlink ref="L14" location="'Price Approval'!A1" display="Price Approval" xr:uid="{5007922B-6510-4EB4-A39F-DE356F23F74D}"/>
    <hyperlink ref="L8" location="Subcontractors!B15" display="Subcontractors" xr:uid="{13725D11-8EE3-4394-92D4-14B3348C3B3B}"/>
    <hyperlink ref="L5" location="'Pay &amp; Benefits'!C10" display="Wages and Benefits (includes Unemployment and Worker's Compensation" xr:uid="{A47B3F90-7E0E-44B0-8C39-AD0F6CBCBE61}"/>
    <hyperlink ref="L9" location="Transportation!B6" display="Transportation" xr:uid="{E02117DB-5B3D-4F95-A086-036E26326945}"/>
    <hyperlink ref="L13" location="'Summary-pricing'!A1" display="Summary-Pricing" xr:uid="{D5B2ADFE-2988-4F62-8019-2E395435F9F7}"/>
  </hyperlinks>
  <pageMargins left="0.7" right="0.7" top="0.75" bottom="0.75" header="0.3" footer="0.3"/>
  <ignoredErrors>
    <ignoredError sqref="C21" formula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248C-2696-481C-A3DA-E7AF8B7FF60B}">
  <dimension ref="A1:M62"/>
  <sheetViews>
    <sheetView showGridLines="0" showZeros="0" workbookViewId="0">
      <pane ySplit="1" topLeftCell="A2" activePane="bottomLeft" state="frozen"/>
      <selection activeCell="B8" sqref="B8"/>
      <selection pane="bottomLeft" activeCell="D10" sqref="D10"/>
    </sheetView>
  </sheetViews>
  <sheetFormatPr defaultRowHeight="14.4" x14ac:dyDescent="0.3"/>
  <cols>
    <col min="2" max="2" width="41.21875" customWidth="1"/>
    <col min="3" max="3" width="15.21875" customWidth="1"/>
    <col min="4" max="4" width="15.44140625" customWidth="1"/>
    <col min="6" max="10" width="16.77734375" customWidth="1"/>
  </cols>
  <sheetData>
    <row r="1" spans="1:12" ht="29.25" customHeight="1" x14ac:dyDescent="0.3">
      <c r="A1" s="581"/>
      <c r="B1" s="668" t="s">
        <v>155</v>
      </c>
      <c r="C1" s="668"/>
      <c r="D1" s="668"/>
      <c r="E1" s="668"/>
      <c r="F1" s="668"/>
      <c r="G1" s="668"/>
      <c r="H1" s="668"/>
      <c r="I1" s="668"/>
    </row>
    <row r="2" spans="1:12" ht="13.5" customHeight="1" x14ac:dyDescent="0.3">
      <c r="D2" s="580" t="str">
        <f>'kt info'!B12</f>
        <v>Form date: 2/20/26</v>
      </c>
      <c r="J2" s="20"/>
      <c r="K2" s="56"/>
    </row>
    <row r="3" spans="1:12" x14ac:dyDescent="0.3">
      <c r="B3" t="s">
        <v>102</v>
      </c>
      <c r="C3" s="695">
        <f>'kt info'!$C$3</f>
        <v>0</v>
      </c>
      <c r="D3" s="695"/>
      <c r="E3" s="696"/>
      <c r="F3" s="697"/>
      <c r="G3" s="20"/>
      <c r="H3" s="20"/>
      <c r="I3" s="56"/>
      <c r="K3" s="56"/>
    </row>
    <row r="4" spans="1:12" ht="5.0999999999999996" customHeight="1" x14ac:dyDescent="0.3">
      <c r="C4" s="98"/>
      <c r="D4" s="98"/>
      <c r="E4" s="98"/>
      <c r="F4" s="98"/>
      <c r="I4" s="56"/>
      <c r="K4" s="56"/>
    </row>
    <row r="5" spans="1:12" x14ac:dyDescent="0.3">
      <c r="B5" t="s">
        <v>103</v>
      </c>
      <c r="C5" s="695">
        <f>'kt info'!$C$5</f>
        <v>0</v>
      </c>
      <c r="D5" s="695"/>
      <c r="E5" s="697"/>
      <c r="F5" s="697"/>
      <c r="I5" s="56"/>
      <c r="K5" s="56"/>
    </row>
    <row r="6" spans="1:12" ht="5.0999999999999996" customHeight="1" x14ac:dyDescent="0.3">
      <c r="C6" s="98"/>
      <c r="D6" s="98"/>
      <c r="E6" s="98"/>
      <c r="F6" s="98"/>
      <c r="I6" s="56"/>
      <c r="K6" s="56"/>
    </row>
    <row r="7" spans="1:12" x14ac:dyDescent="0.3">
      <c r="B7" t="s">
        <v>126</v>
      </c>
      <c r="C7" s="695">
        <f>'kt info'!$C$7</f>
        <v>0</v>
      </c>
      <c r="D7" s="695"/>
      <c r="E7" s="697"/>
      <c r="F7" s="697"/>
      <c r="I7" s="56"/>
      <c r="K7" s="56"/>
    </row>
    <row r="8" spans="1:12" ht="5.0999999999999996" customHeight="1" x14ac:dyDescent="0.3">
      <c r="I8" s="56"/>
      <c r="K8" s="56"/>
    </row>
    <row r="9" spans="1:12" x14ac:dyDescent="0.3">
      <c r="I9" s="56"/>
      <c r="K9" s="20" t="s">
        <v>124</v>
      </c>
      <c r="L9" s="56" t="s">
        <v>125</v>
      </c>
    </row>
    <row r="10" spans="1:12" ht="18" x14ac:dyDescent="0.35">
      <c r="B10" s="3" t="s">
        <v>248</v>
      </c>
      <c r="D10" s="233"/>
      <c r="F10" s="2" t="s">
        <v>83</v>
      </c>
      <c r="G10" s="233"/>
      <c r="I10" s="56"/>
      <c r="L10" s="56" t="s">
        <v>219</v>
      </c>
    </row>
    <row r="11" spans="1:12" x14ac:dyDescent="0.3">
      <c r="F11" t="s">
        <v>84</v>
      </c>
      <c r="I11" s="56"/>
      <c r="L11" s="56" t="s">
        <v>220</v>
      </c>
    </row>
    <row r="12" spans="1:12" x14ac:dyDescent="0.3">
      <c r="B12" t="str">
        <f>IF(D10=0," ",IF(D10&gt;20%,"Overhead exceeding 20% must be supported"," "))</f>
        <v xml:space="preserve"> </v>
      </c>
      <c r="F12" t="str">
        <f>IF(G10=0," ",IF(G10&gt;6%,"Margin exceeding 6% must be explained"," "))</f>
        <v xml:space="preserve"> </v>
      </c>
      <c r="I12" s="56"/>
      <c r="L12" s="56" t="s">
        <v>73</v>
      </c>
    </row>
    <row r="13" spans="1:12" ht="15" thickBot="1" x14ac:dyDescent="0.35">
      <c r="J13" s="218"/>
      <c r="L13" s="56" t="s">
        <v>10</v>
      </c>
    </row>
    <row r="14" spans="1:12" ht="30.6" thickBot="1" x14ac:dyDescent="0.55000000000000004">
      <c r="B14" s="690" t="s">
        <v>34</v>
      </c>
      <c r="C14" s="691"/>
      <c r="D14" s="692"/>
      <c r="F14" s="562" t="s">
        <v>35</v>
      </c>
      <c r="G14" s="563"/>
      <c r="H14" s="563"/>
      <c r="I14" s="563"/>
      <c r="J14" s="564"/>
      <c r="L14" s="56" t="s">
        <v>173</v>
      </c>
    </row>
    <row r="15" spans="1:12" ht="15.6" x14ac:dyDescent="0.3">
      <c r="B15" s="8"/>
      <c r="C15" s="693" t="s">
        <v>36</v>
      </c>
      <c r="D15" s="694"/>
      <c r="F15" s="565" t="s">
        <v>235</v>
      </c>
      <c r="G15" s="566"/>
      <c r="H15" s="566"/>
      <c r="I15" s="566"/>
      <c r="J15" s="567"/>
      <c r="L15" s="56" t="s">
        <v>82</v>
      </c>
    </row>
    <row r="16" spans="1:12" ht="15.6" x14ac:dyDescent="0.3">
      <c r="B16" s="9" t="s">
        <v>37</v>
      </c>
      <c r="C16" s="10" t="s">
        <v>38</v>
      </c>
      <c r="D16" s="10" t="s">
        <v>39</v>
      </c>
      <c r="F16" s="565" t="s">
        <v>236</v>
      </c>
      <c r="G16" s="566"/>
      <c r="H16" s="566"/>
      <c r="I16" s="566"/>
      <c r="J16" s="567"/>
      <c r="L16" s="56" t="s">
        <v>259</v>
      </c>
    </row>
    <row r="17" spans="2:13" ht="15.6" x14ac:dyDescent="0.3">
      <c r="B17" s="11" t="s">
        <v>40</v>
      </c>
      <c r="C17" s="45"/>
      <c r="D17" s="46"/>
      <c r="F17" s="687" t="s">
        <v>246</v>
      </c>
      <c r="G17" s="688"/>
      <c r="H17" s="688"/>
      <c r="I17" s="688"/>
      <c r="J17" s="689"/>
      <c r="L17" s="56" t="s">
        <v>177</v>
      </c>
    </row>
    <row r="18" spans="2:13" ht="16.2" thickBot="1" x14ac:dyDescent="0.35">
      <c r="B18" s="12" t="s">
        <v>41</v>
      </c>
      <c r="C18" s="46"/>
      <c r="D18" s="46"/>
      <c r="F18" s="568" t="s">
        <v>247</v>
      </c>
      <c r="G18" s="569"/>
      <c r="H18" s="569"/>
      <c r="I18" s="569"/>
      <c r="J18" s="570"/>
      <c r="L18" s="56" t="s">
        <v>268</v>
      </c>
    </row>
    <row r="19" spans="2:13" x14ac:dyDescent="0.3">
      <c r="B19" s="12" t="s">
        <v>42</v>
      </c>
      <c r="C19" s="46"/>
      <c r="D19" s="46"/>
      <c r="F19" s="678"/>
      <c r="G19" s="679"/>
      <c r="H19" s="679"/>
      <c r="I19" s="679"/>
      <c r="J19" s="680"/>
      <c r="L19" s="56" t="s">
        <v>221</v>
      </c>
      <c r="M19" s="218"/>
    </row>
    <row r="20" spans="2:13" x14ac:dyDescent="0.3">
      <c r="B20" s="12" t="s">
        <v>43</v>
      </c>
      <c r="C20" s="46"/>
      <c r="D20" s="46"/>
      <c r="F20" s="681"/>
      <c r="G20" s="682"/>
      <c r="H20" s="682"/>
      <c r="I20" s="682"/>
      <c r="J20" s="683"/>
      <c r="K20" s="218"/>
      <c r="L20" s="56" t="s">
        <v>193</v>
      </c>
    </row>
    <row r="21" spans="2:13" x14ac:dyDescent="0.3">
      <c r="B21" s="12" t="s">
        <v>44</v>
      </c>
      <c r="C21" s="46"/>
      <c r="D21" s="46"/>
      <c r="F21" s="681"/>
      <c r="G21" s="682"/>
      <c r="H21" s="682"/>
      <c r="I21" s="682"/>
      <c r="J21" s="683"/>
    </row>
    <row r="22" spans="2:13" x14ac:dyDescent="0.3">
      <c r="B22" s="12" t="s">
        <v>45</v>
      </c>
      <c r="C22" s="46"/>
      <c r="D22" s="46"/>
      <c r="F22" s="681"/>
      <c r="G22" s="682"/>
      <c r="H22" s="682"/>
      <c r="I22" s="682"/>
      <c r="J22" s="683"/>
    </row>
    <row r="23" spans="2:13" x14ac:dyDescent="0.3">
      <c r="B23" s="12" t="s">
        <v>46</v>
      </c>
      <c r="C23" s="46"/>
      <c r="D23" s="46"/>
      <c r="F23" s="681"/>
      <c r="G23" s="682"/>
      <c r="H23" s="682"/>
      <c r="I23" s="682"/>
      <c r="J23" s="683"/>
    </row>
    <row r="24" spans="2:13" x14ac:dyDescent="0.3">
      <c r="B24" s="12" t="s">
        <v>47</v>
      </c>
      <c r="C24" s="46"/>
      <c r="D24" s="46"/>
      <c r="F24" s="681"/>
      <c r="G24" s="682"/>
      <c r="H24" s="682"/>
      <c r="I24" s="682"/>
      <c r="J24" s="683"/>
    </row>
    <row r="25" spans="2:13" x14ac:dyDescent="0.3">
      <c r="B25" s="12" t="s">
        <v>48</v>
      </c>
      <c r="C25" s="46"/>
      <c r="D25" s="46"/>
      <c r="F25" s="681"/>
      <c r="G25" s="682"/>
      <c r="H25" s="682"/>
      <c r="I25" s="682"/>
      <c r="J25" s="683"/>
    </row>
    <row r="26" spans="2:13" x14ac:dyDescent="0.3">
      <c r="B26" s="12" t="s">
        <v>49</v>
      </c>
      <c r="C26" s="46"/>
      <c r="D26" s="46"/>
      <c r="F26" s="681"/>
      <c r="G26" s="682"/>
      <c r="H26" s="682"/>
      <c r="I26" s="682"/>
      <c r="J26" s="683"/>
    </row>
    <row r="27" spans="2:13" x14ac:dyDescent="0.3">
      <c r="B27" s="12" t="s">
        <v>50</v>
      </c>
      <c r="C27" s="46"/>
      <c r="D27" s="46"/>
      <c r="F27" s="681"/>
      <c r="G27" s="682"/>
      <c r="H27" s="682"/>
      <c r="I27" s="682"/>
      <c r="J27" s="683"/>
    </row>
    <row r="28" spans="2:13" x14ac:dyDescent="0.3">
      <c r="B28" s="12" t="s">
        <v>51</v>
      </c>
      <c r="C28" s="46"/>
      <c r="D28" s="46"/>
      <c r="F28" s="681"/>
      <c r="G28" s="682"/>
      <c r="H28" s="682"/>
      <c r="I28" s="682"/>
      <c r="J28" s="683"/>
    </row>
    <row r="29" spans="2:13" x14ac:dyDescent="0.3">
      <c r="B29" s="12" t="s">
        <v>52</v>
      </c>
      <c r="C29" s="46"/>
      <c r="D29" s="46"/>
      <c r="F29" s="681"/>
      <c r="G29" s="682"/>
      <c r="H29" s="682"/>
      <c r="I29" s="682"/>
      <c r="J29" s="683"/>
    </row>
    <row r="30" spans="2:13" x14ac:dyDescent="0.3">
      <c r="B30" s="12" t="s">
        <v>53</v>
      </c>
      <c r="C30" s="46"/>
      <c r="D30" s="46"/>
      <c r="F30" s="681"/>
      <c r="G30" s="682"/>
      <c r="H30" s="682"/>
      <c r="I30" s="682"/>
      <c r="J30" s="683"/>
    </row>
    <row r="31" spans="2:13" x14ac:dyDescent="0.3">
      <c r="B31" s="12" t="s">
        <v>54</v>
      </c>
      <c r="C31" s="46"/>
      <c r="D31" s="46"/>
      <c r="F31" s="681"/>
      <c r="G31" s="682"/>
      <c r="H31" s="682"/>
      <c r="I31" s="682"/>
      <c r="J31" s="683"/>
    </row>
    <row r="32" spans="2:13" x14ac:dyDescent="0.3">
      <c r="B32" s="12" t="s">
        <v>55</v>
      </c>
      <c r="C32" s="46"/>
      <c r="D32" s="46"/>
      <c r="F32" s="681"/>
      <c r="G32" s="682"/>
      <c r="H32" s="682"/>
      <c r="I32" s="682"/>
      <c r="J32" s="683"/>
    </row>
    <row r="33" spans="2:10" x14ac:dyDescent="0.3">
      <c r="B33" s="12" t="s">
        <v>56</v>
      </c>
      <c r="C33" s="46"/>
      <c r="D33" s="46"/>
      <c r="F33" s="681"/>
      <c r="G33" s="682"/>
      <c r="H33" s="682"/>
      <c r="I33" s="682"/>
      <c r="J33" s="683"/>
    </row>
    <row r="34" spans="2:10" x14ac:dyDescent="0.3">
      <c r="B34" s="12" t="s">
        <v>57</v>
      </c>
      <c r="C34" s="46"/>
      <c r="D34" s="46"/>
      <c r="F34" s="681"/>
      <c r="G34" s="682"/>
      <c r="H34" s="682"/>
      <c r="I34" s="682"/>
      <c r="J34" s="683"/>
    </row>
    <row r="35" spans="2:10" x14ac:dyDescent="0.3">
      <c r="B35" s="12" t="s">
        <v>58</v>
      </c>
      <c r="C35" s="46"/>
      <c r="D35" s="46"/>
      <c r="F35" s="681"/>
      <c r="G35" s="682"/>
      <c r="H35" s="682"/>
      <c r="I35" s="682"/>
      <c r="J35" s="683"/>
    </row>
    <row r="36" spans="2:10" x14ac:dyDescent="0.3">
      <c r="B36" s="12" t="s">
        <v>59</v>
      </c>
      <c r="C36" s="46"/>
      <c r="D36" s="46"/>
      <c r="F36" s="681"/>
      <c r="G36" s="682"/>
      <c r="H36" s="682"/>
      <c r="I36" s="682"/>
      <c r="J36" s="683"/>
    </row>
    <row r="37" spans="2:10" x14ac:dyDescent="0.3">
      <c r="B37" s="12" t="s">
        <v>60</v>
      </c>
      <c r="C37" s="46"/>
      <c r="D37" s="46"/>
      <c r="F37" s="681"/>
      <c r="G37" s="682"/>
      <c r="H37" s="682"/>
      <c r="I37" s="682"/>
      <c r="J37" s="683"/>
    </row>
    <row r="38" spans="2:10" x14ac:dyDescent="0.3">
      <c r="B38" s="12" t="s">
        <v>61</v>
      </c>
      <c r="C38" s="46"/>
      <c r="D38" s="46"/>
      <c r="F38" s="681"/>
      <c r="G38" s="682"/>
      <c r="H38" s="682"/>
      <c r="I38" s="682"/>
      <c r="J38" s="683"/>
    </row>
    <row r="39" spans="2:10" x14ac:dyDescent="0.3">
      <c r="B39" s="12" t="s">
        <v>62</v>
      </c>
      <c r="C39" s="46"/>
      <c r="D39" s="46"/>
      <c r="F39" s="681"/>
      <c r="G39" s="682"/>
      <c r="H39" s="682"/>
      <c r="I39" s="682"/>
      <c r="J39" s="683"/>
    </row>
    <row r="40" spans="2:10" x14ac:dyDescent="0.3">
      <c r="B40" s="12" t="s">
        <v>63</v>
      </c>
      <c r="C40" s="46"/>
      <c r="D40" s="46"/>
      <c r="F40" s="681"/>
      <c r="G40" s="682"/>
      <c r="H40" s="682"/>
      <c r="I40" s="682"/>
      <c r="J40" s="683"/>
    </row>
    <row r="41" spans="2:10" x14ac:dyDescent="0.3">
      <c r="B41" s="12" t="s">
        <v>64</v>
      </c>
      <c r="C41" s="46"/>
      <c r="D41" s="46"/>
      <c r="F41" s="681"/>
      <c r="G41" s="682"/>
      <c r="H41" s="682"/>
      <c r="I41" s="682"/>
      <c r="J41" s="683"/>
    </row>
    <row r="42" spans="2:10" x14ac:dyDescent="0.3">
      <c r="B42" s="12" t="s">
        <v>65</v>
      </c>
      <c r="C42" s="46"/>
      <c r="D42" s="46"/>
      <c r="F42" s="681"/>
      <c r="G42" s="682"/>
      <c r="H42" s="682"/>
      <c r="I42" s="682"/>
      <c r="J42" s="683"/>
    </row>
    <row r="43" spans="2:10" x14ac:dyDescent="0.3">
      <c r="B43" s="12" t="s">
        <v>66</v>
      </c>
      <c r="C43" s="46"/>
      <c r="D43" s="46"/>
      <c r="F43" s="681"/>
      <c r="G43" s="682"/>
      <c r="H43" s="682"/>
      <c r="I43" s="682"/>
      <c r="J43" s="683"/>
    </row>
    <row r="44" spans="2:10" x14ac:dyDescent="0.3">
      <c r="B44" s="12" t="s">
        <v>67</v>
      </c>
      <c r="C44" s="46"/>
      <c r="D44" s="46"/>
      <c r="F44" s="681"/>
      <c r="G44" s="682"/>
      <c r="H44" s="682"/>
      <c r="I44" s="682"/>
      <c r="J44" s="683"/>
    </row>
    <row r="45" spans="2:10" x14ac:dyDescent="0.3">
      <c r="B45" s="13" t="s">
        <v>68</v>
      </c>
      <c r="C45" s="46"/>
      <c r="D45" s="46"/>
      <c r="F45" s="681"/>
      <c r="G45" s="682"/>
      <c r="H45" s="682"/>
      <c r="I45" s="682"/>
      <c r="J45" s="683"/>
    </row>
    <row r="46" spans="2:10" x14ac:dyDescent="0.3">
      <c r="B46" s="13" t="s">
        <v>68</v>
      </c>
      <c r="C46" s="46"/>
      <c r="D46" s="46"/>
      <c r="F46" s="681"/>
      <c r="G46" s="682"/>
      <c r="H46" s="682"/>
      <c r="I46" s="682"/>
      <c r="J46" s="683"/>
    </row>
    <row r="47" spans="2:10" x14ac:dyDescent="0.3">
      <c r="B47" s="13" t="s">
        <v>68</v>
      </c>
      <c r="C47" s="46"/>
      <c r="D47" s="46"/>
      <c r="F47" s="681"/>
      <c r="G47" s="682"/>
      <c r="H47" s="682"/>
      <c r="I47" s="682"/>
      <c r="J47" s="683"/>
    </row>
    <row r="48" spans="2:10" x14ac:dyDescent="0.3">
      <c r="B48" s="14" t="s">
        <v>68</v>
      </c>
      <c r="C48" s="46"/>
      <c r="D48" s="46"/>
      <c r="F48" s="681"/>
      <c r="G48" s="682"/>
      <c r="H48" s="682"/>
      <c r="I48" s="682"/>
      <c r="J48" s="683"/>
    </row>
    <row r="49" spans="2:10" x14ac:dyDescent="0.3">
      <c r="B49" s="15" t="s">
        <v>69</v>
      </c>
      <c r="C49" s="16">
        <f>SUM(C17:C48)</f>
        <v>0</v>
      </c>
      <c r="D49" s="16">
        <f>SUM(D17:D48)</f>
        <v>0</v>
      </c>
      <c r="F49" s="681"/>
      <c r="G49" s="682"/>
      <c r="H49" s="682"/>
      <c r="I49" s="682"/>
      <c r="J49" s="683"/>
    </row>
    <row r="50" spans="2:10" x14ac:dyDescent="0.3">
      <c r="F50" s="681"/>
      <c r="G50" s="682"/>
      <c r="H50" s="682"/>
      <c r="I50" s="682"/>
      <c r="J50" s="683"/>
    </row>
    <row r="51" spans="2:10" x14ac:dyDescent="0.3">
      <c r="B51" s="15"/>
      <c r="C51" s="502" t="s">
        <v>244</v>
      </c>
      <c r="D51" s="502" t="s">
        <v>245</v>
      </c>
      <c r="F51" s="681"/>
      <c r="G51" s="682"/>
      <c r="H51" s="682"/>
      <c r="I51" s="682"/>
      <c r="J51" s="683"/>
    </row>
    <row r="52" spans="2:10" x14ac:dyDescent="0.3">
      <c r="B52" s="15" t="s">
        <v>238</v>
      </c>
      <c r="C52" s="511"/>
      <c r="D52" s="511"/>
      <c r="F52" s="681"/>
      <c r="G52" s="682"/>
      <c r="H52" s="682"/>
      <c r="I52" s="682"/>
      <c r="J52" s="683"/>
    </row>
    <row r="53" spans="2:10" ht="5.0999999999999996" customHeight="1" thickBot="1" x14ac:dyDescent="0.35">
      <c r="B53" s="15"/>
      <c r="C53" s="503"/>
      <c r="D53" s="503"/>
      <c r="F53" s="684"/>
      <c r="G53" s="685"/>
      <c r="H53" s="685"/>
      <c r="I53" s="685"/>
      <c r="J53" s="686"/>
    </row>
    <row r="54" spans="2:10" x14ac:dyDescent="0.3">
      <c r="B54" s="15" t="s">
        <v>239</v>
      </c>
      <c r="C54" s="511"/>
      <c r="D54" s="511"/>
    </row>
    <row r="55" spans="2:10" ht="5.0999999999999996" customHeight="1" x14ac:dyDescent="0.3">
      <c r="B55" s="504"/>
      <c r="C55" s="505"/>
      <c r="D55" s="506"/>
    </row>
    <row r="56" spans="2:10" x14ac:dyDescent="0.3">
      <c r="B56" s="507" t="s">
        <v>240</v>
      </c>
      <c r="C56" s="512"/>
      <c r="D56" s="512"/>
    </row>
    <row r="57" spans="2:10" ht="5.0999999999999996" customHeight="1" x14ac:dyDescent="0.3">
      <c r="B57" s="507"/>
      <c r="C57" s="508"/>
      <c r="D57" s="509"/>
    </row>
    <row r="58" spans="2:10" x14ac:dyDescent="0.3">
      <c r="B58" s="15" t="s">
        <v>241</v>
      </c>
      <c r="C58" s="503"/>
      <c r="D58" s="513" t="str">
        <f>IF(D52=0," ",(((D52/C52)*C49)+D49)/(D54))</f>
        <v xml:space="preserve"> </v>
      </c>
    </row>
    <row r="59" spans="2:10" ht="5.0999999999999996" customHeight="1" x14ac:dyDescent="0.3"/>
    <row r="60" spans="2:10" x14ac:dyDescent="0.3">
      <c r="B60" s="510" t="s">
        <v>242</v>
      </c>
      <c r="C60" s="510"/>
      <c r="D60" s="513" t="str">
        <f>IF(D54=0," ",(((D54/C54)*C49)+D49)/(D54))</f>
        <v xml:space="preserve"> </v>
      </c>
    </row>
    <row r="61" spans="2:10" ht="5.0999999999999996" customHeight="1" x14ac:dyDescent="0.3">
      <c r="B61" s="507"/>
      <c r="C61" s="510"/>
      <c r="D61" s="510"/>
    </row>
    <row r="62" spans="2:10" x14ac:dyDescent="0.3">
      <c r="B62" s="507" t="s">
        <v>243</v>
      </c>
      <c r="C62" s="510"/>
      <c r="D62" s="513" t="str">
        <f>IF(D56=0," ",(((D56/C56)*C49)+D49)/D54)</f>
        <v xml:space="preserve"> </v>
      </c>
    </row>
  </sheetData>
  <sheetProtection algorithmName="SHA-512" hashValue="+PGPFgFo4J7+rE+H+1XMKt+CfNht/ANFN2spaFXk6wl1iammb4aXuzr+jbLQhETMXwVmhCf8Sn5YO5cihhBvSQ==" saltValue="yHLYl4/OxMwOUs2F0jRnaA==" spinCount="100000" sheet="1" objects="1" scenarios="1"/>
  <mergeCells count="8">
    <mergeCell ref="F19:J53"/>
    <mergeCell ref="F17:J17"/>
    <mergeCell ref="B1:I1"/>
    <mergeCell ref="B14:D14"/>
    <mergeCell ref="C15:D15"/>
    <mergeCell ref="C3:F3"/>
    <mergeCell ref="C5:F5"/>
    <mergeCell ref="C7:F7"/>
  </mergeCells>
  <conditionalFormatting sqref="D10 G10 C17:D48">
    <cfRule type="cellIs" dxfId="47" priority="1" operator="greaterThan">
      <formula>0</formula>
    </cfRule>
  </conditionalFormatting>
  <hyperlinks>
    <hyperlink ref="L9" location="'kt info'!C3" display="Contract Information" xr:uid="{DF1BA586-3788-40B9-A315-29F393B27049}"/>
    <hyperlink ref="L10" location="'Overhead &amp; Margin'!D10" display="Overhead &amp; Margin" xr:uid="{95147295-440B-4187-98D1-AE42D0C1BF47}"/>
    <hyperlink ref="L16" location="'Grounds Maintenance'!A1" display="Grounds Maintenance" xr:uid="{1E7642BD-2818-413F-88A6-9D273F5D8D60}"/>
    <hyperlink ref="L17" location="Periodics!B22" display="Periodical Services" xr:uid="{E8EB6457-3AB9-4B87-AE5B-D17D4B927F8B}"/>
    <hyperlink ref="L18" location="'Additional-Except &amp; Emerg'!A1" display="Additional/Exceptional Services and Emergency Services" xr:uid="{E2DEA1D9-73C1-4C7A-BD28-CA742E90DC47}"/>
    <hyperlink ref="L12" location="Supplies!B13" display="Supplies" xr:uid="{26147A22-19EA-443B-9FC5-63F670A29ACB}"/>
    <hyperlink ref="L13" location="'Equipment List'!B12" display="Equipment" xr:uid="{EAE61857-D11C-42C2-AA5F-469F3E83F6EC}"/>
    <hyperlink ref="L20" location="'Price Approval'!A1" display="Price Approval" xr:uid="{FE950F50-2162-4B8F-AD39-855FEA0C9F75}"/>
    <hyperlink ref="L14" location="Subcontractors!B15" display="Subcontractors" xr:uid="{AEF18C6C-8D4C-47C2-8ADB-D7ED3093197D}"/>
    <hyperlink ref="L11" location="'Pay &amp; Benefits'!C10" display="Wages and Benefits (includes Unemployment and Worker's Compensation" xr:uid="{E9A647B7-7190-4F3F-8979-95C5CA54836A}"/>
    <hyperlink ref="L15" location="Transportation!B6" display="Transportation" xr:uid="{FAC940C9-738C-4FB3-BDEA-A65B04ED96FC}"/>
    <hyperlink ref="L19" location="'Summary-pricing'!A1" display="Summary-Pricing" xr:uid="{9BFF49DA-84E2-4173-9FBE-28DDB794F32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2EBA9-92A1-4E6F-902C-63C6B7C6BD4F}">
  <dimension ref="A1:K97"/>
  <sheetViews>
    <sheetView showGridLines="0" showZeros="0" zoomScaleNormal="100" workbookViewId="0">
      <pane xSplit="1" ySplit="12" topLeftCell="B13" activePane="bottomRight" state="frozen"/>
      <selection activeCell="B8" sqref="B8"/>
      <selection pane="topRight" activeCell="B8" sqref="B8"/>
      <selection pane="bottomLeft" activeCell="B8" sqref="B8"/>
      <selection pane="bottomRight" activeCell="B17" sqref="B17"/>
    </sheetView>
  </sheetViews>
  <sheetFormatPr defaultColWidth="9.21875" defaultRowHeight="13.8" x14ac:dyDescent="0.25"/>
  <cols>
    <col min="1" max="1" width="8.44140625" style="510" customWidth="1"/>
    <col min="2" max="2" width="39" style="510" customWidth="1"/>
    <col min="3" max="3" width="15.44140625" style="510" customWidth="1"/>
    <col min="4" max="4" width="32.5546875" style="510" customWidth="1"/>
    <col min="5" max="5" width="17.5546875" style="510" customWidth="1"/>
    <col min="6" max="6" width="9.21875" style="510"/>
    <col min="7" max="7" width="19.21875" style="510" customWidth="1"/>
    <col min="8" max="8" width="18.21875" style="510" customWidth="1"/>
    <col min="9" max="9" width="14.77734375" style="510" bestFit="1" customWidth="1"/>
    <col min="10" max="10" width="17.44140625" style="510" bestFit="1" customWidth="1"/>
    <col min="11" max="11" width="17.21875" style="510" bestFit="1" customWidth="1"/>
    <col min="12" max="12" width="13.77734375" style="510" bestFit="1" customWidth="1"/>
    <col min="13" max="13" width="17.5546875" style="510" bestFit="1" customWidth="1"/>
    <col min="14" max="14" width="9.5546875" style="510" bestFit="1" customWidth="1"/>
    <col min="15" max="15" width="15" style="510" bestFit="1" customWidth="1"/>
    <col min="16" max="16384" width="9.21875" style="510"/>
  </cols>
  <sheetData>
    <row r="1" spans="1:11" ht="30" customHeight="1" x14ac:dyDescent="0.25">
      <c r="A1" s="581"/>
      <c r="B1" s="700" t="s">
        <v>271</v>
      </c>
      <c r="C1" s="700"/>
      <c r="D1" s="700"/>
      <c r="E1" s="700"/>
    </row>
    <row r="2" spans="1:11" x14ac:dyDescent="0.25">
      <c r="C2" s="582" t="str">
        <f>'kt info'!B12</f>
        <v>Form date: 2/20/26</v>
      </c>
      <c r="I2" s="514"/>
    </row>
    <row r="3" spans="1:11" x14ac:dyDescent="0.25">
      <c r="B3" s="510" t="s">
        <v>102</v>
      </c>
      <c r="C3" s="698">
        <f>IF('kt info'!C3="Fill in Name of OFC"," ",'kt info'!C3)</f>
        <v>0</v>
      </c>
      <c r="D3" s="699"/>
      <c r="H3" s="56"/>
      <c r="I3" s="515"/>
    </row>
    <row r="4" spans="1:11" ht="5.0999999999999996" customHeight="1" x14ac:dyDescent="0.25">
      <c r="C4" s="516"/>
      <c r="D4" s="516"/>
      <c r="H4" s="56"/>
      <c r="I4" s="515"/>
    </row>
    <row r="5" spans="1:11" x14ac:dyDescent="0.25">
      <c r="B5" s="510" t="s">
        <v>103</v>
      </c>
      <c r="C5" s="698">
        <f>IF('kt info'!C5="Contract Name or Number"," ",'kt info'!C5)</f>
        <v>0</v>
      </c>
      <c r="D5" s="699"/>
      <c r="H5" s="56"/>
      <c r="I5" s="515"/>
    </row>
    <row r="6" spans="1:11" ht="5.0999999999999996" customHeight="1" x14ac:dyDescent="0.25">
      <c r="C6" s="516"/>
      <c r="D6" s="516"/>
      <c r="H6" s="56"/>
      <c r="I6" s="515"/>
    </row>
    <row r="7" spans="1:11" x14ac:dyDescent="0.25">
      <c r="B7" s="510" t="s">
        <v>126</v>
      </c>
      <c r="C7" s="698">
        <f>IF('kt info'!C7="Fill in Public Agency Name"," ",'kt info'!C7)</f>
        <v>0</v>
      </c>
      <c r="D7" s="699"/>
      <c r="H7" s="56"/>
      <c r="I7" s="515"/>
    </row>
    <row r="8" spans="1:11" ht="5.0999999999999996" customHeight="1" x14ac:dyDescent="0.25">
      <c r="H8" s="56"/>
      <c r="I8" s="515"/>
    </row>
    <row r="9" spans="1:11" ht="5.0999999999999996" customHeight="1" x14ac:dyDescent="0.25">
      <c r="H9" s="56"/>
      <c r="I9" s="515"/>
      <c r="K9" s="517"/>
    </row>
    <row r="10" spans="1:11" ht="14.4" thickBot="1" x14ac:dyDescent="0.3">
      <c r="B10" s="517" t="s">
        <v>211</v>
      </c>
      <c r="H10" s="56"/>
      <c r="I10" s="515"/>
      <c r="K10" s="56"/>
    </row>
    <row r="11" spans="1:11" ht="14.4" thickTop="1" x14ac:dyDescent="0.25">
      <c r="A11" s="518" t="s">
        <v>129</v>
      </c>
      <c r="B11" s="123" t="s">
        <v>115</v>
      </c>
      <c r="C11" s="124" t="s">
        <v>4</v>
      </c>
      <c r="E11" s="56"/>
    </row>
    <row r="12" spans="1:11" ht="14.4" thickBot="1" x14ac:dyDescent="0.3">
      <c r="A12" s="519" t="s">
        <v>130</v>
      </c>
      <c r="B12" s="248" t="s">
        <v>127</v>
      </c>
      <c r="C12" s="249" t="s">
        <v>5</v>
      </c>
      <c r="D12" s="56"/>
      <c r="E12" s="515"/>
    </row>
    <row r="13" spans="1:11" ht="14.4" x14ac:dyDescent="0.3">
      <c r="A13" s="520">
        <v>1</v>
      </c>
      <c r="B13" s="611"/>
      <c r="C13" s="612"/>
      <c r="D13" s="56"/>
      <c r="E13" s="20" t="s">
        <v>124</v>
      </c>
      <c r="F13" s="56" t="s">
        <v>125</v>
      </c>
      <c r="G13"/>
    </row>
    <row r="14" spans="1:11" ht="14.4" x14ac:dyDescent="0.3">
      <c r="A14" s="521">
        <v>2</v>
      </c>
      <c r="B14" s="613"/>
      <c r="C14" s="614"/>
      <c r="E14"/>
      <c r="F14" s="56" t="s">
        <v>219</v>
      </c>
      <c r="G14"/>
    </row>
    <row r="15" spans="1:11" ht="14.4" x14ac:dyDescent="0.3">
      <c r="A15" s="521">
        <v>3</v>
      </c>
      <c r="B15" s="613"/>
      <c r="C15" s="614"/>
      <c r="E15"/>
      <c r="F15" s="56" t="s">
        <v>220</v>
      </c>
      <c r="G15"/>
    </row>
    <row r="16" spans="1:11" ht="14.4" x14ac:dyDescent="0.3">
      <c r="A16" s="521">
        <v>4</v>
      </c>
      <c r="B16" s="613"/>
      <c r="C16" s="614"/>
      <c r="E16"/>
      <c r="F16" s="56" t="s">
        <v>73</v>
      </c>
      <c r="G16"/>
    </row>
    <row r="17" spans="1:7" ht="15" thickBot="1" x14ac:dyDescent="0.35">
      <c r="A17" s="522">
        <v>5</v>
      </c>
      <c r="B17" s="615"/>
      <c r="C17" s="616"/>
      <c r="E17"/>
      <c r="F17" s="56" t="s">
        <v>10</v>
      </c>
      <c r="G17"/>
    </row>
    <row r="18" spans="1:7" ht="14.4" x14ac:dyDescent="0.3">
      <c r="A18" s="520">
        <v>6</v>
      </c>
      <c r="B18" s="617"/>
      <c r="C18" s="612"/>
      <c r="E18"/>
      <c r="F18" s="56" t="s">
        <v>173</v>
      </c>
      <c r="G18"/>
    </row>
    <row r="19" spans="1:7" ht="14.4" x14ac:dyDescent="0.3">
      <c r="A19" s="521">
        <v>7</v>
      </c>
      <c r="B19" s="613"/>
      <c r="C19" s="614"/>
      <c r="E19"/>
      <c r="F19" s="56" t="s">
        <v>82</v>
      </c>
      <c r="G19"/>
    </row>
    <row r="20" spans="1:7" ht="14.4" x14ac:dyDescent="0.3">
      <c r="A20" s="521">
        <v>8</v>
      </c>
      <c r="B20" s="613"/>
      <c r="C20" s="614"/>
      <c r="E20"/>
      <c r="F20" s="56" t="s">
        <v>259</v>
      </c>
      <c r="G20"/>
    </row>
    <row r="21" spans="1:7" ht="14.4" x14ac:dyDescent="0.3">
      <c r="A21" s="521">
        <v>9</v>
      </c>
      <c r="B21" s="613"/>
      <c r="C21" s="614"/>
      <c r="E21"/>
      <c r="F21" s="56" t="s">
        <v>177</v>
      </c>
      <c r="G21"/>
    </row>
    <row r="22" spans="1:7" ht="15" thickBot="1" x14ac:dyDescent="0.35">
      <c r="A22" s="522">
        <v>10</v>
      </c>
      <c r="B22" s="615"/>
      <c r="C22" s="618"/>
      <c r="E22"/>
      <c r="F22" s="56" t="s">
        <v>268</v>
      </c>
      <c r="G22"/>
    </row>
    <row r="23" spans="1:7" ht="14.4" x14ac:dyDescent="0.3">
      <c r="A23" s="520">
        <v>11</v>
      </c>
      <c r="B23" s="617"/>
      <c r="C23" s="619"/>
      <c r="E23"/>
      <c r="F23" s="56" t="s">
        <v>221</v>
      </c>
      <c r="G23" s="218"/>
    </row>
    <row r="24" spans="1:7" ht="14.4" x14ac:dyDescent="0.3">
      <c r="A24" s="521">
        <v>12</v>
      </c>
      <c r="B24" s="620"/>
      <c r="C24" s="614"/>
      <c r="E24" s="218"/>
      <c r="F24" s="56" t="s">
        <v>193</v>
      </c>
      <c r="G24"/>
    </row>
    <row r="25" spans="1:7" x14ac:dyDescent="0.25">
      <c r="A25" s="521">
        <v>13</v>
      </c>
      <c r="B25" s="613"/>
      <c r="C25" s="614"/>
    </row>
    <row r="26" spans="1:7" x14ac:dyDescent="0.25">
      <c r="A26" s="521">
        <v>14</v>
      </c>
      <c r="B26" s="621"/>
      <c r="C26" s="614"/>
    </row>
    <row r="27" spans="1:7" ht="14.4" thickBot="1" x14ac:dyDescent="0.3">
      <c r="A27" s="522">
        <v>15</v>
      </c>
      <c r="B27" s="622"/>
      <c r="C27" s="616"/>
    </row>
    <row r="28" spans="1:7" x14ac:dyDescent="0.25">
      <c r="A28" s="520">
        <v>16</v>
      </c>
      <c r="B28" s="611"/>
      <c r="C28" s="612"/>
    </row>
    <row r="29" spans="1:7" x14ac:dyDescent="0.25">
      <c r="A29" s="521">
        <v>17</v>
      </c>
      <c r="B29" s="613"/>
      <c r="C29" s="614"/>
    </row>
    <row r="30" spans="1:7" x14ac:dyDescent="0.25">
      <c r="A30" s="521">
        <v>18</v>
      </c>
      <c r="B30" s="613"/>
      <c r="C30" s="614"/>
    </row>
    <row r="31" spans="1:7" x14ac:dyDescent="0.25">
      <c r="A31" s="521">
        <v>19</v>
      </c>
      <c r="B31" s="621"/>
      <c r="C31" s="614"/>
    </row>
    <row r="32" spans="1:7" ht="14.4" thickBot="1" x14ac:dyDescent="0.3">
      <c r="A32" s="522">
        <v>20</v>
      </c>
      <c r="B32" s="623"/>
      <c r="C32" s="616"/>
    </row>
    <row r="33" spans="1:3" x14ac:dyDescent="0.25">
      <c r="A33" s="520">
        <v>21</v>
      </c>
      <c r="B33" s="611"/>
      <c r="C33" s="612"/>
    </row>
    <row r="34" spans="1:3" x14ac:dyDescent="0.25">
      <c r="A34" s="521">
        <v>22</v>
      </c>
      <c r="B34" s="613"/>
      <c r="C34" s="614"/>
    </row>
    <row r="35" spans="1:3" x14ac:dyDescent="0.25">
      <c r="A35" s="521">
        <v>23</v>
      </c>
      <c r="B35" s="613"/>
      <c r="C35" s="614"/>
    </row>
    <row r="36" spans="1:3" x14ac:dyDescent="0.25">
      <c r="A36" s="521">
        <v>24</v>
      </c>
      <c r="B36" s="613"/>
      <c r="C36" s="614"/>
    </row>
    <row r="37" spans="1:3" ht="14.4" thickBot="1" x14ac:dyDescent="0.3">
      <c r="A37" s="522">
        <v>25</v>
      </c>
      <c r="B37" s="622"/>
      <c r="C37" s="616"/>
    </row>
    <row r="38" spans="1:3" x14ac:dyDescent="0.25">
      <c r="A38" s="520">
        <v>26</v>
      </c>
      <c r="B38" s="624"/>
      <c r="C38" s="612"/>
    </row>
    <row r="39" spans="1:3" x14ac:dyDescent="0.25">
      <c r="A39" s="521">
        <v>27</v>
      </c>
      <c r="B39" s="613"/>
      <c r="C39" s="614"/>
    </row>
    <row r="40" spans="1:3" x14ac:dyDescent="0.25">
      <c r="A40" s="521">
        <v>28</v>
      </c>
      <c r="B40" s="613"/>
      <c r="C40" s="614"/>
    </row>
    <row r="41" spans="1:3" x14ac:dyDescent="0.25">
      <c r="A41" s="521">
        <v>29</v>
      </c>
      <c r="B41" s="620"/>
      <c r="C41" s="614"/>
    </row>
    <row r="42" spans="1:3" ht="14.4" thickBot="1" x14ac:dyDescent="0.3">
      <c r="A42" s="522">
        <v>30</v>
      </c>
      <c r="B42" s="615"/>
      <c r="C42" s="616"/>
    </row>
    <row r="43" spans="1:3" x14ac:dyDescent="0.25">
      <c r="A43" s="520">
        <v>31</v>
      </c>
      <c r="B43" s="624"/>
      <c r="C43" s="612"/>
    </row>
    <row r="44" spans="1:3" x14ac:dyDescent="0.25">
      <c r="A44" s="521">
        <v>32</v>
      </c>
      <c r="B44" s="620"/>
      <c r="C44" s="614"/>
    </row>
    <row r="45" spans="1:3" x14ac:dyDescent="0.25">
      <c r="A45" s="521">
        <v>33</v>
      </c>
      <c r="B45" s="613"/>
      <c r="C45" s="614"/>
    </row>
    <row r="46" spans="1:3" x14ac:dyDescent="0.25">
      <c r="A46" s="521">
        <v>34</v>
      </c>
      <c r="B46" s="613"/>
      <c r="C46" s="614"/>
    </row>
    <row r="47" spans="1:3" ht="14.4" thickBot="1" x14ac:dyDescent="0.3">
      <c r="A47" s="522">
        <v>35</v>
      </c>
      <c r="B47" s="622"/>
      <c r="C47" s="616"/>
    </row>
    <row r="48" spans="1:3" x14ac:dyDescent="0.25">
      <c r="A48" s="520">
        <v>36</v>
      </c>
      <c r="B48" s="611"/>
      <c r="C48" s="612"/>
    </row>
    <row r="49" spans="1:3" x14ac:dyDescent="0.25">
      <c r="A49" s="521">
        <v>37</v>
      </c>
      <c r="B49" s="620"/>
      <c r="C49" s="614"/>
    </row>
    <row r="50" spans="1:3" x14ac:dyDescent="0.25">
      <c r="A50" s="521">
        <v>38</v>
      </c>
      <c r="B50" s="613"/>
      <c r="C50" s="614"/>
    </row>
    <row r="51" spans="1:3" x14ac:dyDescent="0.25">
      <c r="A51" s="521">
        <v>39</v>
      </c>
      <c r="B51" s="621"/>
      <c r="C51" s="614"/>
    </row>
    <row r="52" spans="1:3" ht="14.4" thickBot="1" x14ac:dyDescent="0.3">
      <c r="A52" s="522">
        <v>40</v>
      </c>
      <c r="B52" s="622"/>
      <c r="C52" s="616"/>
    </row>
    <row r="53" spans="1:3" x14ac:dyDescent="0.25">
      <c r="A53" s="520">
        <v>41</v>
      </c>
      <c r="B53" s="611"/>
      <c r="C53" s="612"/>
    </row>
    <row r="54" spans="1:3" x14ac:dyDescent="0.25">
      <c r="A54" s="521">
        <v>42</v>
      </c>
      <c r="B54" s="613"/>
      <c r="C54" s="614"/>
    </row>
    <row r="55" spans="1:3" x14ac:dyDescent="0.25">
      <c r="A55" s="521">
        <v>43</v>
      </c>
      <c r="B55" s="620"/>
      <c r="C55" s="614"/>
    </row>
    <row r="56" spans="1:3" x14ac:dyDescent="0.25">
      <c r="A56" s="521">
        <v>44</v>
      </c>
      <c r="B56" s="613"/>
      <c r="C56" s="625"/>
    </row>
    <row r="57" spans="1:3" ht="14.4" thickBot="1" x14ac:dyDescent="0.3">
      <c r="A57" s="522">
        <v>45</v>
      </c>
      <c r="B57" s="622"/>
      <c r="C57" s="626"/>
    </row>
    <row r="58" spans="1:3" x14ac:dyDescent="0.25">
      <c r="A58" s="520">
        <v>46</v>
      </c>
      <c r="B58" s="611"/>
      <c r="C58" s="627"/>
    </row>
    <row r="59" spans="1:3" x14ac:dyDescent="0.25">
      <c r="A59" s="521">
        <v>47</v>
      </c>
      <c r="B59" s="613"/>
      <c r="C59" s="625"/>
    </row>
    <row r="60" spans="1:3" x14ac:dyDescent="0.25">
      <c r="A60" s="521">
        <v>48</v>
      </c>
      <c r="B60" s="613"/>
      <c r="C60" s="625"/>
    </row>
    <row r="61" spans="1:3" x14ac:dyDescent="0.25">
      <c r="A61" s="521">
        <v>49</v>
      </c>
      <c r="B61" s="613"/>
      <c r="C61" s="625"/>
    </row>
    <row r="62" spans="1:3" ht="14.4" thickBot="1" x14ac:dyDescent="0.3">
      <c r="A62" s="522">
        <v>50</v>
      </c>
      <c r="B62" s="622"/>
      <c r="C62" s="626"/>
    </row>
    <row r="63" spans="1:3" x14ac:dyDescent="0.25">
      <c r="A63" s="520">
        <v>51</v>
      </c>
      <c r="B63" s="611"/>
      <c r="C63" s="627"/>
    </row>
    <row r="64" spans="1:3" x14ac:dyDescent="0.25">
      <c r="A64" s="521">
        <v>52</v>
      </c>
      <c r="B64" s="613"/>
      <c r="C64" s="625"/>
    </row>
    <row r="65" spans="1:3" x14ac:dyDescent="0.25">
      <c r="A65" s="521">
        <v>53</v>
      </c>
      <c r="B65" s="613"/>
      <c r="C65" s="625"/>
    </row>
    <row r="66" spans="1:3" x14ac:dyDescent="0.25">
      <c r="A66" s="521">
        <v>54</v>
      </c>
      <c r="B66" s="613"/>
      <c r="C66" s="625"/>
    </row>
    <row r="67" spans="1:3" ht="14.4" thickBot="1" x14ac:dyDescent="0.3">
      <c r="A67" s="522">
        <v>55</v>
      </c>
      <c r="B67" s="622"/>
      <c r="C67" s="626"/>
    </row>
    <row r="68" spans="1:3" x14ac:dyDescent="0.25">
      <c r="A68" s="520">
        <v>56</v>
      </c>
      <c r="B68" s="611"/>
      <c r="C68" s="627"/>
    </row>
    <row r="69" spans="1:3" x14ac:dyDescent="0.25">
      <c r="A69" s="521">
        <v>57</v>
      </c>
      <c r="B69" s="613"/>
      <c r="C69" s="625"/>
    </row>
    <row r="70" spans="1:3" x14ac:dyDescent="0.25">
      <c r="A70" s="521">
        <v>58</v>
      </c>
      <c r="B70" s="613"/>
      <c r="C70" s="625"/>
    </row>
    <row r="71" spans="1:3" x14ac:dyDescent="0.25">
      <c r="A71" s="521">
        <v>59</v>
      </c>
      <c r="B71" s="613"/>
      <c r="C71" s="625"/>
    </row>
    <row r="72" spans="1:3" ht="14.4" thickBot="1" x14ac:dyDescent="0.3">
      <c r="A72" s="522">
        <v>60</v>
      </c>
      <c r="B72" s="622"/>
      <c r="C72" s="626"/>
    </row>
    <row r="73" spans="1:3" x14ac:dyDescent="0.25">
      <c r="A73" s="520">
        <v>61</v>
      </c>
      <c r="B73" s="611"/>
      <c r="C73" s="627"/>
    </row>
    <row r="74" spans="1:3" x14ac:dyDescent="0.25">
      <c r="A74" s="521">
        <v>62</v>
      </c>
      <c r="B74" s="613"/>
      <c r="C74" s="625"/>
    </row>
    <row r="75" spans="1:3" x14ac:dyDescent="0.25">
      <c r="A75" s="521">
        <v>63</v>
      </c>
      <c r="B75" s="613"/>
      <c r="C75" s="625"/>
    </row>
    <row r="76" spans="1:3" x14ac:dyDescent="0.25">
      <c r="A76" s="521">
        <v>64</v>
      </c>
      <c r="B76" s="613"/>
      <c r="C76" s="625"/>
    </row>
    <row r="77" spans="1:3" ht="14.4" thickBot="1" x14ac:dyDescent="0.3">
      <c r="A77" s="522">
        <v>65</v>
      </c>
      <c r="B77" s="622"/>
      <c r="C77" s="626"/>
    </row>
    <row r="78" spans="1:3" x14ac:dyDescent="0.25">
      <c r="A78" s="520">
        <v>66</v>
      </c>
      <c r="B78" s="611"/>
      <c r="C78" s="627"/>
    </row>
    <row r="79" spans="1:3" x14ac:dyDescent="0.25">
      <c r="A79" s="521">
        <v>67</v>
      </c>
      <c r="B79" s="613"/>
      <c r="C79" s="625"/>
    </row>
    <row r="80" spans="1:3" x14ac:dyDescent="0.25">
      <c r="A80" s="521">
        <v>68</v>
      </c>
      <c r="B80" s="613"/>
      <c r="C80" s="625"/>
    </row>
    <row r="81" spans="1:3" x14ac:dyDescent="0.25">
      <c r="A81" s="521">
        <v>69</v>
      </c>
      <c r="B81" s="613"/>
      <c r="C81" s="625"/>
    </row>
    <row r="82" spans="1:3" ht="14.4" thickBot="1" x14ac:dyDescent="0.3">
      <c r="A82" s="522">
        <v>70</v>
      </c>
      <c r="B82" s="622"/>
      <c r="C82" s="626"/>
    </row>
    <row r="83" spans="1:3" x14ac:dyDescent="0.25">
      <c r="A83" s="520">
        <v>71</v>
      </c>
      <c r="B83" s="611"/>
      <c r="C83" s="627"/>
    </row>
    <row r="84" spans="1:3" x14ac:dyDescent="0.25">
      <c r="A84" s="521">
        <v>72</v>
      </c>
      <c r="B84" s="613"/>
      <c r="C84" s="625"/>
    </row>
    <row r="85" spans="1:3" x14ac:dyDescent="0.25">
      <c r="A85" s="521">
        <v>73</v>
      </c>
      <c r="B85" s="613"/>
      <c r="C85" s="625"/>
    </row>
    <row r="86" spans="1:3" x14ac:dyDescent="0.25">
      <c r="A86" s="521">
        <v>74</v>
      </c>
      <c r="B86" s="613"/>
      <c r="C86" s="625"/>
    </row>
    <row r="87" spans="1:3" ht="14.4" thickBot="1" x14ac:dyDescent="0.3">
      <c r="A87" s="522">
        <v>75</v>
      </c>
      <c r="B87" s="622"/>
      <c r="C87" s="626"/>
    </row>
    <row r="88" spans="1:3" x14ac:dyDescent="0.25">
      <c r="A88" s="520">
        <v>76</v>
      </c>
      <c r="B88" s="611"/>
      <c r="C88" s="627"/>
    </row>
    <row r="89" spans="1:3" x14ac:dyDescent="0.25">
      <c r="A89" s="521">
        <v>77</v>
      </c>
      <c r="B89" s="613"/>
      <c r="C89" s="625"/>
    </row>
    <row r="90" spans="1:3" x14ac:dyDescent="0.25">
      <c r="A90" s="521">
        <v>78</v>
      </c>
      <c r="B90" s="613"/>
      <c r="C90" s="625"/>
    </row>
    <row r="91" spans="1:3" x14ac:dyDescent="0.25">
      <c r="A91" s="521">
        <v>79</v>
      </c>
      <c r="B91" s="613"/>
      <c r="C91" s="625"/>
    </row>
    <row r="92" spans="1:3" ht="14.4" thickBot="1" x14ac:dyDescent="0.3">
      <c r="A92" s="522">
        <v>80</v>
      </c>
      <c r="B92" s="622"/>
      <c r="C92" s="626"/>
    </row>
    <row r="93" spans="1:3" x14ac:dyDescent="0.25">
      <c r="A93" s="520">
        <v>81</v>
      </c>
      <c r="B93" s="611"/>
      <c r="C93" s="627"/>
    </row>
    <row r="94" spans="1:3" x14ac:dyDescent="0.25">
      <c r="A94" s="521">
        <v>82</v>
      </c>
      <c r="B94" s="613"/>
      <c r="C94" s="625"/>
    </row>
    <row r="95" spans="1:3" x14ac:dyDescent="0.25">
      <c r="A95" s="521">
        <v>83</v>
      </c>
      <c r="B95" s="613"/>
      <c r="C95" s="625"/>
    </row>
    <row r="96" spans="1:3" x14ac:dyDescent="0.25">
      <c r="A96" s="521">
        <v>84</v>
      </c>
      <c r="B96" s="613"/>
      <c r="C96" s="625"/>
    </row>
    <row r="97" spans="1:3" ht="14.4" thickBot="1" x14ac:dyDescent="0.3">
      <c r="A97" s="522">
        <v>85</v>
      </c>
      <c r="B97" s="622"/>
      <c r="C97" s="626"/>
    </row>
  </sheetData>
  <sheetProtection algorithmName="SHA-512" hashValue="urBWbSVaeFbwvUwxPEoBi3ChlWjj2+nL3gHCU/8bhdJOodHXDKYQxezOXH6b3vdFuly2kRwN0QnV7QEXkDxqdA==" saltValue="Y7n3/FoIoa4SBps/bdTuGg==" spinCount="100000" sheet="1" objects="1" scenarios="1"/>
  <mergeCells count="4">
    <mergeCell ref="C3:D3"/>
    <mergeCell ref="C5:D5"/>
    <mergeCell ref="C7:D7"/>
    <mergeCell ref="B1:E1"/>
  </mergeCells>
  <conditionalFormatting sqref="B13:C97">
    <cfRule type="cellIs" dxfId="46" priority="3" operator="greaterThan">
      <formula>0</formula>
    </cfRule>
  </conditionalFormatting>
  <hyperlinks>
    <hyperlink ref="F13" location="'kt info'!C3" display="Contract Information" xr:uid="{591928DE-2A29-440C-8087-67ABECFA8D91}"/>
    <hyperlink ref="F14" location="'Overhead &amp; Margin'!D10" display="Overhead &amp; Margin" xr:uid="{DBFD5AA7-50A5-48A8-A5C4-C26A4DAD806B}"/>
    <hyperlink ref="F20" location="'Grounds Maintenance'!A1" display="Grounds Maintenance" xr:uid="{A47B7B06-6A93-48DE-8F9F-D04A19B5EC97}"/>
    <hyperlink ref="F21" location="Periodics!B22" display="Periodical Services" xr:uid="{795FD254-ADB7-4E0C-AE3B-4925AF308DE1}"/>
    <hyperlink ref="F22" location="'Additional-Except &amp; Emerg'!A1" display="Additional/Exceptional Services and Emergency Services" xr:uid="{ED5FD258-3F87-4613-819D-91691583790E}"/>
    <hyperlink ref="F16" location="Supplies!B13" display="Supplies" xr:uid="{9FBD1E86-C3F3-4398-A153-49D0AF117B48}"/>
    <hyperlink ref="F17" location="'Equipment List'!B12" display="Equipment" xr:uid="{AD1A4645-898C-4C5C-99AA-8CA0F946D350}"/>
    <hyperlink ref="F24" location="'Price Approval'!A1" display="Price Approval" xr:uid="{15EE5123-689E-42FD-B066-AEBBB5D16860}"/>
    <hyperlink ref="F18" location="Subcontractors!B15" display="Subcontractors" xr:uid="{37CA5D57-F8F5-4DBD-A974-BA6D706CF84E}"/>
    <hyperlink ref="F15" location="'Pay &amp; Benefits'!C10" display="Wages and Benefits (includes Unemployment and Worker's Compensation" xr:uid="{41162048-2966-41CB-AB7B-DE53048A0386}"/>
    <hyperlink ref="F19" location="Transportation!B6" display="Transportation" xr:uid="{4513B82C-3BCB-4ECA-B744-1A561B7C1445}"/>
    <hyperlink ref="F23" location="'Summary-pricing'!A1" display="Summary-Pricing" xr:uid="{36D2F37C-0A90-46D7-9472-9DFDCD29A5F3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4B1A-9BAB-4BFB-8BA1-E5DE65A73ED9}">
  <dimension ref="A1:L97"/>
  <sheetViews>
    <sheetView showGridLines="0" showZeros="0" zoomScaleNormal="100" workbookViewId="0">
      <pane xSplit="1" ySplit="11" topLeftCell="B29" activePane="bottomRight" state="frozen"/>
      <selection pane="topRight"/>
      <selection pane="bottomLeft"/>
      <selection pane="bottomRight" activeCell="C3" sqref="C3:D3"/>
    </sheetView>
  </sheetViews>
  <sheetFormatPr defaultRowHeight="14.4" x14ac:dyDescent="0.3"/>
  <cols>
    <col min="1" max="1" width="5.5546875" customWidth="1"/>
    <col min="2" max="2" width="28.77734375" bestFit="1" customWidth="1"/>
    <col min="3" max="3" width="16.21875" customWidth="1"/>
    <col min="4" max="4" width="16.44140625" customWidth="1"/>
    <col min="5" max="5" width="14.44140625" customWidth="1"/>
    <col min="6" max="6" width="20.77734375" customWidth="1"/>
    <col min="7" max="7" width="19.21875" customWidth="1"/>
    <col min="8" max="8" width="18.21875" customWidth="1"/>
    <col min="9" max="9" width="14.77734375" bestFit="1" customWidth="1"/>
    <col min="10" max="10" width="17.44140625" bestFit="1" customWidth="1"/>
    <col min="11" max="11" width="17.21875" bestFit="1" customWidth="1"/>
    <col min="12" max="12" width="13.77734375" bestFit="1" customWidth="1"/>
    <col min="13" max="13" width="17.5546875" bestFit="1" customWidth="1"/>
    <col min="14" max="14" width="9.5546875" bestFit="1" customWidth="1"/>
    <col min="15" max="15" width="15" bestFit="1" customWidth="1"/>
  </cols>
  <sheetData>
    <row r="1" spans="1:12" ht="30" customHeight="1" x14ac:dyDescent="0.3">
      <c r="A1" s="581"/>
      <c r="B1" s="668" t="s">
        <v>270</v>
      </c>
      <c r="C1" s="669"/>
      <c r="D1" s="669"/>
      <c r="E1" s="669"/>
      <c r="F1" s="669"/>
      <c r="G1" s="110"/>
    </row>
    <row r="2" spans="1:12" x14ac:dyDescent="0.3">
      <c r="C2" s="580" t="str">
        <f>'kt info'!B12</f>
        <v>Form date: 2/20/26</v>
      </c>
      <c r="G2" s="20" t="s">
        <v>124</v>
      </c>
      <c r="H2" s="56" t="s">
        <v>125</v>
      </c>
      <c r="L2" s="56" t="s">
        <v>221</v>
      </c>
    </row>
    <row r="3" spans="1:12" x14ac:dyDescent="0.3">
      <c r="B3" t="s">
        <v>102</v>
      </c>
      <c r="C3" s="701">
        <f>IF('kt info'!C3="Fill in Name of OFC"," ",'kt info'!C3)</f>
        <v>0</v>
      </c>
      <c r="D3" s="702"/>
      <c r="H3" s="56" t="s">
        <v>219</v>
      </c>
      <c r="L3" s="56" t="s">
        <v>193</v>
      </c>
    </row>
    <row r="4" spans="1:12" x14ac:dyDescent="0.3">
      <c r="C4" s="98"/>
      <c r="D4" s="98"/>
      <c r="F4" s="20"/>
      <c r="H4" s="56" t="s">
        <v>220</v>
      </c>
    </row>
    <row r="5" spans="1:12" x14ac:dyDescent="0.3">
      <c r="B5" t="s">
        <v>103</v>
      </c>
      <c r="C5" s="701">
        <f>IF('kt info'!C5="Contract Name or Number"," ",'kt info'!C5)</f>
        <v>0</v>
      </c>
      <c r="D5" s="702"/>
      <c r="H5" s="56" t="s">
        <v>73</v>
      </c>
    </row>
    <row r="6" spans="1:12" x14ac:dyDescent="0.3">
      <c r="C6" s="98"/>
      <c r="D6" s="98"/>
      <c r="H6" s="56" t="s">
        <v>10</v>
      </c>
    </row>
    <row r="7" spans="1:12" x14ac:dyDescent="0.3">
      <c r="B7" t="s">
        <v>126</v>
      </c>
      <c r="C7" s="701">
        <f>IF('kt info'!C7="Fill in Public Agency Name"," ",'kt info'!C7)</f>
        <v>0</v>
      </c>
      <c r="D7" s="702"/>
      <c r="H7" s="56" t="s">
        <v>173</v>
      </c>
    </row>
    <row r="8" spans="1:12" x14ac:dyDescent="0.3">
      <c r="H8" s="56" t="s">
        <v>82</v>
      </c>
    </row>
    <row r="9" spans="1:12" ht="15" thickBot="1" x14ac:dyDescent="0.35">
      <c r="B9" s="2" t="s">
        <v>210</v>
      </c>
      <c r="H9" s="56" t="s">
        <v>259</v>
      </c>
    </row>
    <row r="10" spans="1:12" ht="15" thickTop="1" x14ac:dyDescent="0.3">
      <c r="A10" s="116"/>
      <c r="B10" s="118" t="s">
        <v>156</v>
      </c>
      <c r="C10" s="119" t="s">
        <v>10</v>
      </c>
      <c r="D10" s="119" t="s">
        <v>10</v>
      </c>
      <c r="E10" s="119" t="s">
        <v>75</v>
      </c>
      <c r="F10" s="120" t="s">
        <v>76</v>
      </c>
      <c r="H10" s="56" t="s">
        <v>177</v>
      </c>
    </row>
    <row r="11" spans="1:12" ht="15" thickBot="1" x14ac:dyDescent="0.35">
      <c r="A11" s="117"/>
      <c r="B11" s="121" t="s">
        <v>157</v>
      </c>
      <c r="C11" s="35" t="s">
        <v>5</v>
      </c>
      <c r="D11" s="35" t="s">
        <v>158</v>
      </c>
      <c r="E11" s="35" t="s">
        <v>88</v>
      </c>
      <c r="F11" s="122" t="s">
        <v>153</v>
      </c>
      <c r="H11" s="56" t="s">
        <v>268</v>
      </c>
    </row>
    <row r="12" spans="1:12" x14ac:dyDescent="0.3">
      <c r="A12" s="7">
        <v>1</v>
      </c>
      <c r="B12" s="628"/>
      <c r="C12" s="629"/>
      <c r="D12" s="630"/>
      <c r="E12" s="631"/>
      <c r="F12" s="258" t="str">
        <f>IF(D12=0," ",IF(D12="Grant","Grant",IF(Transportation!$F$4-D12&gt;(E12*30),"Depreciated",(C12/E12)*12)))</f>
        <v xml:space="preserve"> </v>
      </c>
      <c r="H12" s="56" t="s">
        <v>221</v>
      </c>
      <c r="I12" s="218"/>
    </row>
    <row r="13" spans="1:12" x14ac:dyDescent="0.3">
      <c r="A13" s="7">
        <v>2</v>
      </c>
      <c r="B13" s="632"/>
      <c r="C13" s="633"/>
      <c r="D13" s="634"/>
      <c r="E13" s="635"/>
      <c r="F13" s="259" t="str">
        <f>IF(D13=0," ",IF(D13="Grant","Grant",IF(Transportation!$F$4-D13&gt;(E13*30),"Depreciated",(C13/E13)*12)))</f>
        <v xml:space="preserve"> </v>
      </c>
      <c r="G13" s="218"/>
      <c r="H13" s="56" t="s">
        <v>193</v>
      </c>
    </row>
    <row r="14" spans="1:12" x14ac:dyDescent="0.3">
      <c r="A14" s="7">
        <v>3</v>
      </c>
      <c r="B14" s="636"/>
      <c r="C14" s="633"/>
      <c r="D14" s="634"/>
      <c r="E14" s="635"/>
      <c r="F14" s="259" t="str">
        <f>IF(D14=0," ",IF(D14="Grant","Grant",IF(Transportation!$F$4-D14&gt;(E14*30),"Depreciated",(C14/E14)*12)))</f>
        <v xml:space="preserve"> </v>
      </c>
    </row>
    <row r="15" spans="1:12" x14ac:dyDescent="0.3">
      <c r="A15" s="7">
        <v>4</v>
      </c>
      <c r="B15" s="637"/>
      <c r="C15" s="633"/>
      <c r="D15" s="634"/>
      <c r="E15" s="635"/>
      <c r="F15" s="259" t="str">
        <f>IF(D15=0," ",IF(D15="Grant","Grant",IF(Transportation!$F$4-D15&gt;(E15*30),"Depreciated",(C15/E15)*12)))</f>
        <v xml:space="preserve"> </v>
      </c>
    </row>
    <row r="16" spans="1:12" ht="15" thickBot="1" x14ac:dyDescent="0.35">
      <c r="A16" s="7">
        <v>5</v>
      </c>
      <c r="B16" s="638"/>
      <c r="C16" s="639"/>
      <c r="D16" s="640"/>
      <c r="E16" s="641"/>
      <c r="F16" s="260" t="str">
        <f>IF(D16=0," ",IF(D16="Grant","Grant",IF(Transportation!$F$4-D16&gt;(E16*30),"Depreciated",(C16/E16)*12)))</f>
        <v xml:space="preserve"> </v>
      </c>
    </row>
    <row r="17" spans="1:6" ht="15" thickTop="1" x14ac:dyDescent="0.3">
      <c r="A17" s="7">
        <v>6</v>
      </c>
      <c r="B17" s="642"/>
      <c r="C17" s="629"/>
      <c r="D17" s="630"/>
      <c r="E17" s="631"/>
      <c r="F17" s="258" t="str">
        <f>IF(D17=0," ",IF(D17="Grant","Grant",IF(Transportation!$F$4-D17&gt;(E17*30),"Depreciated",(C17/E17)*12)))</f>
        <v xml:space="preserve"> </v>
      </c>
    </row>
    <row r="18" spans="1:6" x14ac:dyDescent="0.3">
      <c r="A18" s="7">
        <v>7</v>
      </c>
      <c r="B18" s="636"/>
      <c r="C18" s="633"/>
      <c r="D18" s="634"/>
      <c r="E18" s="635"/>
      <c r="F18" s="259" t="str">
        <f>IF(D18=0," ",IF(D18="Grant","Grant",IF(Transportation!$F$4-D18&gt;(E18*30),"Depreciated",(C18/E18)*12)))</f>
        <v xml:space="preserve"> </v>
      </c>
    </row>
    <row r="19" spans="1:6" x14ac:dyDescent="0.3">
      <c r="A19" s="7">
        <v>8</v>
      </c>
      <c r="B19" s="636"/>
      <c r="C19" s="633"/>
      <c r="D19" s="634"/>
      <c r="E19" s="635"/>
      <c r="F19" s="259" t="str">
        <f>IF(D19=0," ",IF(D19="Grant","Grant",IF(Transportation!$F$4-D19&gt;(E19*30),"Depreciated",(C19/E19)*12)))</f>
        <v xml:space="preserve"> </v>
      </c>
    </row>
    <row r="20" spans="1:6" x14ac:dyDescent="0.3">
      <c r="A20" s="7">
        <v>9</v>
      </c>
      <c r="B20" s="636"/>
      <c r="C20" s="633"/>
      <c r="D20" s="634"/>
      <c r="E20" s="635"/>
      <c r="F20" s="259" t="str">
        <f>IF(D20=0," ",IF(D20="Grant","Grant",IF(Transportation!$F$4-D20&gt;(E20*30),"Depreciated",(C20/E20)*12)))</f>
        <v xml:space="preserve"> </v>
      </c>
    </row>
    <row r="21" spans="1:6" ht="15" thickBot="1" x14ac:dyDescent="0.35">
      <c r="A21" s="7">
        <v>10</v>
      </c>
      <c r="B21" s="643"/>
      <c r="C21" s="639"/>
      <c r="D21" s="640"/>
      <c r="E21" s="641"/>
      <c r="F21" s="260" t="str">
        <f>IF(D21=0," ",IF(D21="Grant","Grant",IF(Transportation!$F$4-D21&gt;(E21*30),"Depreciated",(C21/E21)*12)))</f>
        <v xml:space="preserve"> </v>
      </c>
    </row>
    <row r="22" spans="1:6" ht="15" thickTop="1" x14ac:dyDescent="0.3">
      <c r="A22" s="7">
        <v>11</v>
      </c>
      <c r="B22" s="642"/>
      <c r="C22" s="629"/>
      <c r="D22" s="630"/>
      <c r="E22" s="631"/>
      <c r="F22" s="258" t="str">
        <f>IF(D22=0," ",IF(D22="Grant","Grant",IF(Transportation!$F$4-D22&gt;(E22*30),"Depreciated",(C22/E22)*12)))</f>
        <v xml:space="preserve"> </v>
      </c>
    </row>
    <row r="23" spans="1:6" x14ac:dyDescent="0.3">
      <c r="A23" s="7">
        <v>12</v>
      </c>
      <c r="B23" s="632"/>
      <c r="C23" s="633"/>
      <c r="D23" s="634"/>
      <c r="E23" s="635"/>
      <c r="F23" s="259" t="str">
        <f>IF(D23=0," ",IF(D23="Grant","Grant",IF(Transportation!$F$4-D23&gt;(E23*30),"Depreciated",(C23/E23)*12)))</f>
        <v xml:space="preserve"> </v>
      </c>
    </row>
    <row r="24" spans="1:6" x14ac:dyDescent="0.3">
      <c r="A24" s="7">
        <v>13</v>
      </c>
      <c r="B24" s="637"/>
      <c r="C24" s="633"/>
      <c r="D24" s="634"/>
      <c r="E24" s="635"/>
      <c r="F24" s="259" t="str">
        <f>IF(D24=0," ",IF(D24="Grant","Grant",IF(Transportation!$F$4-D24&gt;(E24*30),"Depreciated",(C24/E24)*12)))</f>
        <v xml:space="preserve"> </v>
      </c>
    </row>
    <row r="25" spans="1:6" x14ac:dyDescent="0.3">
      <c r="A25" s="7">
        <v>14</v>
      </c>
      <c r="B25" s="637"/>
      <c r="C25" s="633"/>
      <c r="D25" s="634"/>
      <c r="E25" s="635"/>
      <c r="F25" s="259" t="str">
        <f>IF(D25=0," ",IF(D25="Grant","Grant",IF(Transportation!$F$4-D25&gt;(E25*30),"Depreciated",(C25/E25)*12)))</f>
        <v xml:space="preserve"> </v>
      </c>
    </row>
    <row r="26" spans="1:6" ht="15" thickBot="1" x14ac:dyDescent="0.35">
      <c r="A26" s="7">
        <v>15</v>
      </c>
      <c r="B26" s="644"/>
      <c r="C26" s="639"/>
      <c r="D26" s="640"/>
      <c r="E26" s="641"/>
      <c r="F26" s="260" t="str">
        <f>IF(D26=0," ",IF(D26="Grant","Grant",IF(Transportation!$F$4-D26&gt;(E26*30),"Depreciated",(C26/E26)*12)))</f>
        <v xml:space="preserve"> </v>
      </c>
    </row>
    <row r="27" spans="1:6" ht="15" thickTop="1" x14ac:dyDescent="0.3">
      <c r="A27" s="7">
        <v>16</v>
      </c>
      <c r="B27" s="642"/>
      <c r="C27" s="629"/>
      <c r="D27" s="630"/>
      <c r="E27" s="631"/>
      <c r="F27" s="258" t="str">
        <f>IF(D27=0," ",IF(D27="Grant","Grant",IF(Transportation!$F$4-D27&gt;(E27*30),"Depreciated",(C27/E27)*12)))</f>
        <v xml:space="preserve"> </v>
      </c>
    </row>
    <row r="28" spans="1:6" x14ac:dyDescent="0.3">
      <c r="A28" s="7">
        <v>17</v>
      </c>
      <c r="B28" s="632"/>
      <c r="C28" s="633"/>
      <c r="D28" s="634"/>
      <c r="E28" s="635"/>
      <c r="F28" s="259" t="str">
        <f>IF(D28=0," ",IF(D28="Grant","Grant",IF(Transportation!$F$4-D28&gt;(E28*30),"Depreciated",(C28/E28)*12)))</f>
        <v xml:space="preserve"> </v>
      </c>
    </row>
    <row r="29" spans="1:6" x14ac:dyDescent="0.3">
      <c r="A29" s="7">
        <v>18</v>
      </c>
      <c r="B29" s="632"/>
      <c r="C29" s="633"/>
      <c r="D29" s="634"/>
      <c r="E29" s="635"/>
      <c r="F29" s="259" t="str">
        <f>IF(D29=0," ",IF(D29="Grant","Grant",IF(Transportation!$F$4-D29&gt;(E29*30),"Depreciated",(C29/E29)*12)))</f>
        <v xml:space="preserve"> </v>
      </c>
    </row>
    <row r="30" spans="1:6" x14ac:dyDescent="0.3">
      <c r="A30" s="7">
        <v>19</v>
      </c>
      <c r="B30" s="637"/>
      <c r="C30" s="633"/>
      <c r="D30" s="634"/>
      <c r="E30" s="635"/>
      <c r="F30" s="259" t="str">
        <f>IF(D30=0," ",IF(D30="Grant","Grant",IF(Transportation!$F$4-D30&gt;(E30*30),"Depreciated",(C30/E30)*12)))</f>
        <v xml:space="preserve"> </v>
      </c>
    </row>
    <row r="31" spans="1:6" ht="15" thickBot="1" x14ac:dyDescent="0.35">
      <c r="A31" s="7">
        <v>20</v>
      </c>
      <c r="B31" s="643"/>
      <c r="C31" s="639"/>
      <c r="D31" s="640"/>
      <c r="E31" s="641"/>
      <c r="F31" s="260" t="str">
        <f>IF(D31=0," ",IF(D31="Grant","Grant",IF(Transportation!$F$4-D31&gt;(E31*30),"Depreciated",(C31/E31)*12)))</f>
        <v xml:space="preserve"> </v>
      </c>
    </row>
    <row r="32" spans="1:6" ht="15" thickTop="1" x14ac:dyDescent="0.3">
      <c r="A32" s="7">
        <v>21</v>
      </c>
      <c r="B32" s="642"/>
      <c r="C32" s="629"/>
      <c r="D32" s="630"/>
      <c r="E32" s="631"/>
      <c r="F32" s="258" t="str">
        <f>IF(D32=0," ",IF(D32="Grant","Grant",IF(Transportation!$F$4-D32&gt;(E32*30),"Depreciated",(C32/E32)*12)))</f>
        <v xml:space="preserve"> </v>
      </c>
    </row>
    <row r="33" spans="1:6" x14ac:dyDescent="0.3">
      <c r="A33" s="7">
        <v>22</v>
      </c>
      <c r="B33" s="632"/>
      <c r="C33" s="633"/>
      <c r="D33" s="634"/>
      <c r="E33" s="635"/>
      <c r="F33" s="259" t="str">
        <f>IF(D33=0," ",IF(D33="Grant","Grant",IF(Transportation!$F$4-D33&gt;(E33*30),"Depreciated",(C33/E33)*12)))</f>
        <v xml:space="preserve"> </v>
      </c>
    </row>
    <row r="34" spans="1:6" x14ac:dyDescent="0.3">
      <c r="A34" s="7">
        <v>23</v>
      </c>
      <c r="B34" s="632"/>
      <c r="C34" s="633"/>
      <c r="D34" s="634"/>
      <c r="E34" s="635"/>
      <c r="F34" s="259" t="str">
        <f>IF(D34=0," ",IF(D34="Grant","Grant",IF(Transportation!$F$4-D34&gt;(E34*30),"Depreciated",(C34/E34)*12)))</f>
        <v xml:space="preserve"> </v>
      </c>
    </row>
    <row r="35" spans="1:6" x14ac:dyDescent="0.3">
      <c r="A35" s="7">
        <v>24</v>
      </c>
      <c r="B35" s="632"/>
      <c r="C35" s="633"/>
      <c r="D35" s="634"/>
      <c r="E35" s="635"/>
      <c r="F35" s="259" t="str">
        <f>IF(D35=0," ",IF(D35="Grant","Grant",IF(Transportation!$F$4-D35&gt;(E35*30),"Depreciated",(C35/E35)*12)))</f>
        <v xml:space="preserve"> </v>
      </c>
    </row>
    <row r="36" spans="1:6" ht="15" thickBot="1" x14ac:dyDescent="0.35">
      <c r="A36" s="7">
        <v>25</v>
      </c>
      <c r="B36" s="644"/>
      <c r="C36" s="639"/>
      <c r="D36" s="640"/>
      <c r="E36" s="641"/>
      <c r="F36" s="260" t="str">
        <f>IF(D36=0," ",IF(D36="Grant","Grant",IF(Transportation!$F$4-D36&gt;(E36*30),"Depreciated",(C36/E36)*12)))</f>
        <v xml:space="preserve"> </v>
      </c>
    </row>
    <row r="37" spans="1:6" ht="15" thickTop="1" x14ac:dyDescent="0.3">
      <c r="A37" s="7">
        <v>26</v>
      </c>
      <c r="B37" s="645"/>
      <c r="C37" s="629"/>
      <c r="D37" s="630"/>
      <c r="E37" s="631"/>
      <c r="F37" s="258" t="str">
        <f>IF(D37=0," ",IF(D37="Grant","Grant",IF(Transportation!$F$4-D37&gt;(E37*30),"Depreciated",(C37/E37)*12)))</f>
        <v xml:space="preserve"> </v>
      </c>
    </row>
    <row r="38" spans="1:6" x14ac:dyDescent="0.3">
      <c r="A38" s="7">
        <v>27</v>
      </c>
      <c r="B38" s="632"/>
      <c r="C38" s="633"/>
      <c r="D38" s="634"/>
      <c r="E38" s="635"/>
      <c r="F38" s="259" t="str">
        <f>IF(D38=0," ",IF(D38="Grant","Grant",IF(Transportation!$F$4-D38&gt;(E38*30),"Depreciated",(C38/E38)*12)))</f>
        <v xml:space="preserve"> </v>
      </c>
    </row>
    <row r="39" spans="1:6" x14ac:dyDescent="0.3">
      <c r="A39" s="7">
        <v>28</v>
      </c>
      <c r="B39" s="632"/>
      <c r="C39" s="633"/>
      <c r="D39" s="634"/>
      <c r="E39" s="635"/>
      <c r="F39" s="259" t="str">
        <f>IF(D39=0," ",IF(D39="Grant","Grant",IF(Transportation!$F$4-D39&gt;(E39*30),"Depreciated",(C39/E39)*12)))</f>
        <v xml:space="preserve"> </v>
      </c>
    </row>
    <row r="40" spans="1:6" x14ac:dyDescent="0.3">
      <c r="A40" s="7">
        <v>29</v>
      </c>
      <c r="B40" s="636"/>
      <c r="C40" s="633"/>
      <c r="D40" s="634"/>
      <c r="E40" s="635"/>
      <c r="F40" s="259" t="str">
        <f>IF(D40=0," ",IF(D40="Grant","Grant",IF(Transportation!$F$4-D40&gt;(E40*30),"Depreciated",(C40/E40)*12)))</f>
        <v xml:space="preserve"> </v>
      </c>
    </row>
    <row r="41" spans="1:6" ht="15" thickBot="1" x14ac:dyDescent="0.35">
      <c r="A41" s="7">
        <v>30</v>
      </c>
      <c r="B41" s="638"/>
      <c r="C41" s="639"/>
      <c r="D41" s="640"/>
      <c r="E41" s="641"/>
      <c r="F41" s="260" t="str">
        <f>IF(D41=0," ",IF(D41="Grant","Grant",IF(Transportation!$F$4-D41&gt;(E41*30),"Depreciated",(C41/E41)*12)))</f>
        <v xml:space="preserve"> </v>
      </c>
    </row>
    <row r="42" spans="1:6" ht="15" thickTop="1" x14ac:dyDescent="0.3">
      <c r="A42" s="7">
        <v>31</v>
      </c>
      <c r="B42" s="645"/>
      <c r="C42" s="629"/>
      <c r="D42" s="630"/>
      <c r="E42" s="631"/>
      <c r="F42" s="258" t="str">
        <f>IF(D42=0," ",IF(D42="Grant","Grant",IF(Transportation!$F$4-D42&gt;(E42*30),"Depreciated",(C42/E42)*12)))</f>
        <v xml:space="preserve"> </v>
      </c>
    </row>
    <row r="43" spans="1:6" x14ac:dyDescent="0.3">
      <c r="A43" s="7">
        <v>32</v>
      </c>
      <c r="B43" s="636"/>
      <c r="C43" s="633"/>
      <c r="D43" s="634"/>
      <c r="E43" s="635"/>
      <c r="F43" s="259" t="str">
        <f>IF(D43=0," ",IF(D43="Grant","Grant",IF(Transportation!$F$4-D43&gt;(E43*30),"Depreciated",(C43/E43)*12)))</f>
        <v xml:space="preserve"> </v>
      </c>
    </row>
    <row r="44" spans="1:6" x14ac:dyDescent="0.3">
      <c r="A44" s="7">
        <v>33</v>
      </c>
      <c r="B44" s="632"/>
      <c r="C44" s="633"/>
      <c r="D44" s="634"/>
      <c r="E44" s="635"/>
      <c r="F44" s="259" t="str">
        <f>IF(D44=0," ",IF(D44="Grant","Grant",IF(Transportation!$F$4-D44&gt;(E44*30),"Depreciated",(C44/E44)*12)))</f>
        <v xml:space="preserve"> </v>
      </c>
    </row>
    <row r="45" spans="1:6" x14ac:dyDescent="0.3">
      <c r="A45" s="7">
        <v>34</v>
      </c>
      <c r="B45" s="632"/>
      <c r="C45" s="633"/>
      <c r="D45" s="634"/>
      <c r="E45" s="635"/>
      <c r="F45" s="259" t="str">
        <f>IF(D45=0," ",IF(D45="Grant","Grant",IF(Transportation!$F$4-D45&gt;(E45*30),"Depreciated",(C45/E45)*12)))</f>
        <v xml:space="preserve"> </v>
      </c>
    </row>
    <row r="46" spans="1:6" ht="15" thickBot="1" x14ac:dyDescent="0.35">
      <c r="A46" s="7">
        <v>35</v>
      </c>
      <c r="B46" s="644"/>
      <c r="C46" s="639"/>
      <c r="D46" s="640"/>
      <c r="E46" s="641"/>
      <c r="F46" s="260" t="str">
        <f>IF(D46=0," ",IF(D46="Grant","Grant",IF(Transportation!$F$4-D46&gt;(E46*30),"Depreciated",(C46/E46)*12)))</f>
        <v xml:space="preserve"> </v>
      </c>
    </row>
    <row r="47" spans="1:6" ht="15" thickTop="1" x14ac:dyDescent="0.3">
      <c r="A47" s="7">
        <v>36</v>
      </c>
      <c r="B47" s="642"/>
      <c r="C47" s="629"/>
      <c r="D47" s="630"/>
      <c r="E47" s="631"/>
      <c r="F47" s="258" t="str">
        <f>IF(D47=0," ",IF(D47="Grant","Grant",IF(Transportation!$F$4-D47&gt;(E47*30),"Depreciated",(C47/E47)*12)))</f>
        <v xml:space="preserve"> </v>
      </c>
    </row>
    <row r="48" spans="1:6" x14ac:dyDescent="0.3">
      <c r="A48" s="7">
        <v>37</v>
      </c>
      <c r="B48" s="636"/>
      <c r="C48" s="633"/>
      <c r="D48" s="634"/>
      <c r="E48" s="635"/>
      <c r="F48" s="259" t="str">
        <f>IF(D48=0," ",IF(D48="Grant","Grant",IF(Transportation!$F$4-D48&gt;(E48*30),"Depreciated",(C48/E48)*12)))</f>
        <v xml:space="preserve"> </v>
      </c>
    </row>
    <row r="49" spans="1:6" x14ac:dyDescent="0.3">
      <c r="A49" s="7">
        <v>38</v>
      </c>
      <c r="B49" s="632"/>
      <c r="C49" s="633"/>
      <c r="D49" s="634"/>
      <c r="E49" s="635"/>
      <c r="F49" s="259" t="str">
        <f>IF(D49=0," ",IF(D49="Grant","Grant",IF(Transportation!$F$4-D49&gt;(E49*30),"Depreciated",(C49/E49)*12)))</f>
        <v xml:space="preserve"> </v>
      </c>
    </row>
    <row r="50" spans="1:6" x14ac:dyDescent="0.3">
      <c r="A50" s="7">
        <v>39</v>
      </c>
      <c r="B50" s="637"/>
      <c r="C50" s="633"/>
      <c r="D50" s="634"/>
      <c r="E50" s="635"/>
      <c r="F50" s="259" t="str">
        <f>IF(D50=0," ",IF(D50="Grant","Grant",IF(Transportation!$F$4-D50&gt;(E50*30),"Depreciated",(C50/E50)*12)))</f>
        <v xml:space="preserve"> </v>
      </c>
    </row>
    <row r="51" spans="1:6" ht="15" thickBot="1" x14ac:dyDescent="0.35">
      <c r="A51" s="7">
        <v>40</v>
      </c>
      <c r="B51" s="644"/>
      <c r="C51" s="639"/>
      <c r="D51" s="640"/>
      <c r="E51" s="641"/>
      <c r="F51" s="260" t="str">
        <f>IF(D51=0," ",IF(D51="Grant","Grant",IF(Transportation!$F$4-D51&gt;(E51*30),"Depreciated",(C51/E51)*12)))</f>
        <v xml:space="preserve"> </v>
      </c>
    </row>
    <row r="52" spans="1:6" ht="15" thickTop="1" x14ac:dyDescent="0.3">
      <c r="A52" s="7">
        <v>41</v>
      </c>
      <c r="B52" s="642"/>
      <c r="C52" s="629"/>
      <c r="D52" s="630"/>
      <c r="E52" s="631"/>
      <c r="F52" s="258" t="str">
        <f>IF(D52=0," ",IF(D52="Grant","Grant",IF(Transportation!$F$4-D52&gt;(E52*30),"Depreciated",(C52/E52)*12)))</f>
        <v xml:space="preserve"> </v>
      </c>
    </row>
    <row r="53" spans="1:6" x14ac:dyDescent="0.3">
      <c r="A53" s="7">
        <v>42</v>
      </c>
      <c r="B53" s="632"/>
      <c r="C53" s="633"/>
      <c r="D53" s="634"/>
      <c r="E53" s="635"/>
      <c r="F53" s="259" t="str">
        <f>IF(D53=0," ",IF(D53="Grant","Grant",IF(Transportation!$F$4-D53&gt;(E53*30),"Depreciated",(C53/E53)*12)))</f>
        <v xml:space="preserve"> </v>
      </c>
    </row>
    <row r="54" spans="1:6" x14ac:dyDescent="0.3">
      <c r="A54" s="7">
        <v>43</v>
      </c>
      <c r="B54" s="636"/>
      <c r="C54" s="633"/>
      <c r="D54" s="634"/>
      <c r="E54" s="635"/>
      <c r="F54" s="259" t="str">
        <f>IF(D54=0," ",IF(D54="Grant","Grant",IF(Transportation!$F$4-D54&gt;(E54*30),"Depreciated",(C54/E54)*12)))</f>
        <v xml:space="preserve"> </v>
      </c>
    </row>
    <row r="55" spans="1:6" x14ac:dyDescent="0.3">
      <c r="A55" s="7">
        <v>44</v>
      </c>
      <c r="B55" s="632"/>
      <c r="C55" s="646"/>
      <c r="D55" s="647"/>
      <c r="E55" s="648"/>
      <c r="F55" s="261" t="str">
        <f>IF(D55=0," ",IF(D55="Grant","Grant",IF(Transportation!$F$4-D55&gt;(E55*30),"Depreciated",(C55/E55)*12)))</f>
        <v xml:space="preserve"> </v>
      </c>
    </row>
    <row r="56" spans="1:6" ht="15" thickBot="1" x14ac:dyDescent="0.35">
      <c r="A56" s="7">
        <v>45</v>
      </c>
      <c r="B56" s="644"/>
      <c r="C56" s="649"/>
      <c r="D56" s="650"/>
      <c r="E56" s="651"/>
      <c r="F56" s="262" t="str">
        <f>IF(D56=0," ",IF(D56="Grant","Grant",IF(Transportation!$F$4-D56&gt;(E56*30),"Depreciated",(C56/E56)*12)))</f>
        <v xml:space="preserve"> </v>
      </c>
    </row>
    <row r="57" spans="1:6" ht="15" thickTop="1" x14ac:dyDescent="0.3">
      <c r="A57" s="7">
        <v>46</v>
      </c>
      <c r="B57" s="642"/>
      <c r="C57" s="652"/>
      <c r="D57" s="653"/>
      <c r="E57" s="654"/>
      <c r="F57" s="263" t="str">
        <f>IF(D57=0," ",IF(D57="Grant","Grant",IF(Transportation!$F$4-D57&gt;(E57*30),"Depreciated",(C57/E57)*12)))</f>
        <v xml:space="preserve"> </v>
      </c>
    </row>
    <row r="58" spans="1:6" x14ac:dyDescent="0.3">
      <c r="A58" s="7">
        <v>47</v>
      </c>
      <c r="B58" s="632"/>
      <c r="C58" s="646"/>
      <c r="D58" s="647"/>
      <c r="E58" s="648"/>
      <c r="F58" s="261" t="str">
        <f>IF(D58=0," ",IF(D58="Grant","Grant",IF(Transportation!$F$4-D58&gt;(E58*30),"Depreciated",(C58/E58)*12)))</f>
        <v xml:space="preserve"> </v>
      </c>
    </row>
    <row r="59" spans="1:6" x14ac:dyDescent="0.3">
      <c r="A59" s="7">
        <v>48</v>
      </c>
      <c r="B59" s="632"/>
      <c r="C59" s="646"/>
      <c r="D59" s="647"/>
      <c r="E59" s="648"/>
      <c r="F59" s="261" t="str">
        <f>IF(D59=0," ",IF(D59="Grant","Grant",IF(Transportation!$F$4-D59&gt;(E59*30),"Depreciated",(C59/E59)*12)))</f>
        <v xml:space="preserve"> </v>
      </c>
    </row>
    <row r="60" spans="1:6" x14ac:dyDescent="0.3">
      <c r="A60" s="7">
        <v>49</v>
      </c>
      <c r="B60" s="632"/>
      <c r="C60" s="646"/>
      <c r="D60" s="647"/>
      <c r="E60" s="648"/>
      <c r="F60" s="261" t="str">
        <f>IF(D60=0," ",IF(D60="Grant","Grant",IF(Transportation!$F$4-D60&gt;(E60*30),"Depreciated",(C60/E60)*12)))</f>
        <v xml:space="preserve"> </v>
      </c>
    </row>
    <row r="61" spans="1:6" ht="15" thickBot="1" x14ac:dyDescent="0.35">
      <c r="A61" s="7">
        <v>50</v>
      </c>
      <c r="B61" s="644"/>
      <c r="C61" s="649"/>
      <c r="D61" s="650"/>
      <c r="E61" s="651"/>
      <c r="F61" s="262" t="str">
        <f>IF(D61=0," ",IF(D61="Grant","Grant",IF(Transportation!$F$4-D61&gt;(E61*30),"Depreciated",(C61/E61)*12)))</f>
        <v xml:space="preserve"> </v>
      </c>
    </row>
    <row r="62" spans="1:6" ht="15" thickTop="1" x14ac:dyDescent="0.3">
      <c r="A62" s="7">
        <v>51</v>
      </c>
      <c r="B62" s="642"/>
      <c r="C62" s="652"/>
      <c r="D62" s="653"/>
      <c r="E62" s="654"/>
      <c r="F62" s="263" t="str">
        <f>IF(D62=0," ",IF(D62="Grant","Grant",IF(Transportation!$F$4-D62&gt;(E62*30),"Depreciated",(C62/E62)*12)))</f>
        <v xml:space="preserve"> </v>
      </c>
    </row>
    <row r="63" spans="1:6" x14ac:dyDescent="0.3">
      <c r="A63" s="7">
        <v>52</v>
      </c>
      <c r="B63" s="632"/>
      <c r="C63" s="646"/>
      <c r="D63" s="647"/>
      <c r="E63" s="648"/>
      <c r="F63" s="261" t="str">
        <f>IF(D63=0," ",IF(D63="Grant","Grant",IF(Transportation!$F$4-D63&gt;(E63*30),"Depreciated",(C63/E63)*12)))</f>
        <v xml:space="preserve"> </v>
      </c>
    </row>
    <row r="64" spans="1:6" x14ac:dyDescent="0.3">
      <c r="A64" s="7">
        <v>53</v>
      </c>
      <c r="B64" s="632"/>
      <c r="C64" s="646"/>
      <c r="D64" s="647"/>
      <c r="E64" s="648"/>
      <c r="F64" s="261" t="str">
        <f>IF(D64=0," ",IF(D64="Grant","Grant",IF(Transportation!$F$4-D64&gt;(E64*30),"Depreciated",(C64/E64)*12)))</f>
        <v xml:space="preserve"> </v>
      </c>
    </row>
    <row r="65" spans="1:6" x14ac:dyDescent="0.3">
      <c r="A65" s="7">
        <v>54</v>
      </c>
      <c r="B65" s="632"/>
      <c r="C65" s="646"/>
      <c r="D65" s="647"/>
      <c r="E65" s="648"/>
      <c r="F65" s="261" t="str">
        <f>IF(D65=0," ",IF(D65="Grant","Grant",IF(Transportation!$F$4-D65&gt;(E65*30),"Depreciated",(C65/E65)*12)))</f>
        <v xml:space="preserve"> </v>
      </c>
    </row>
    <row r="66" spans="1:6" ht="15" thickBot="1" x14ac:dyDescent="0.35">
      <c r="A66" s="7">
        <v>55</v>
      </c>
      <c r="B66" s="644"/>
      <c r="C66" s="649"/>
      <c r="D66" s="650"/>
      <c r="E66" s="651"/>
      <c r="F66" s="262" t="str">
        <f>IF(D66=0," ",IF(D66="Grant","Grant",IF(Transportation!$F$4-D66&gt;(E66*30),"Depreciated",(C66/E66)*12)))</f>
        <v xml:space="preserve"> </v>
      </c>
    </row>
    <row r="67" spans="1:6" ht="15" thickTop="1" x14ac:dyDescent="0.3">
      <c r="A67" s="7">
        <v>56</v>
      </c>
      <c r="B67" s="655"/>
      <c r="C67" s="652"/>
      <c r="D67" s="653"/>
      <c r="E67" s="654"/>
      <c r="F67" s="263" t="str">
        <f>IF(D67=0," ",IF(D67="Grant","Grant",IF(Transportation!$F$4-D67&gt;(E67*30),"Depreciated",(C67/E67)*12)))</f>
        <v xml:space="preserve"> </v>
      </c>
    </row>
    <row r="68" spans="1:6" x14ac:dyDescent="0.3">
      <c r="A68" s="7">
        <v>57</v>
      </c>
      <c r="B68" s="632"/>
      <c r="C68" s="646"/>
      <c r="D68" s="647"/>
      <c r="E68" s="648"/>
      <c r="F68" s="261" t="str">
        <f>IF(D68=0," ",IF(D68="Grant","Grant",IF(Transportation!$F$4-D68&gt;(E68*30),"Depreciated",(C68/E68)*12)))</f>
        <v xml:space="preserve"> </v>
      </c>
    </row>
    <row r="69" spans="1:6" x14ac:dyDescent="0.3">
      <c r="A69" s="7">
        <v>58</v>
      </c>
      <c r="B69" s="632"/>
      <c r="C69" s="646"/>
      <c r="D69" s="647"/>
      <c r="E69" s="648"/>
      <c r="F69" s="261" t="str">
        <f>IF(D69=0," ",IF(D69="Grant","Grant",IF(Transportation!$F$4-D69&gt;(E69*30),"Depreciated",(C69/E69)*12)))</f>
        <v xml:space="preserve"> </v>
      </c>
    </row>
    <row r="70" spans="1:6" x14ac:dyDescent="0.3">
      <c r="A70" s="7">
        <v>59</v>
      </c>
      <c r="B70" s="632"/>
      <c r="C70" s="646"/>
      <c r="D70" s="647"/>
      <c r="E70" s="648"/>
      <c r="F70" s="261" t="str">
        <f>IF(D70=0," ",IF(D70="Grant","Grant",IF(Transportation!$F$4-D70&gt;(E70*30),"Depreciated",(C70/E70)*12)))</f>
        <v xml:space="preserve"> </v>
      </c>
    </row>
    <row r="71" spans="1:6" ht="15" thickBot="1" x14ac:dyDescent="0.35">
      <c r="A71" s="7">
        <v>60</v>
      </c>
      <c r="B71" s="644"/>
      <c r="C71" s="649"/>
      <c r="D71" s="650"/>
      <c r="E71" s="651"/>
      <c r="F71" s="262" t="str">
        <f>IF(D71=0," ",IF(D71="Grant","Grant",IF(Transportation!$F$4-D71&gt;(E71*30),"Depreciated",(C71/E71)*12)))</f>
        <v xml:space="preserve"> </v>
      </c>
    </row>
    <row r="72" spans="1:6" ht="15" thickTop="1" x14ac:dyDescent="0.3">
      <c r="A72" s="7">
        <v>61</v>
      </c>
      <c r="B72" s="642"/>
      <c r="C72" s="652"/>
      <c r="D72" s="653"/>
      <c r="E72" s="654"/>
      <c r="F72" s="263" t="str">
        <f>IF(D72=0," ",IF(D72="Grant","Grant",IF(Transportation!$F$4-D72&gt;(E72*30),"Depreciated",(C72/E72)*12)))</f>
        <v xml:space="preserve"> </v>
      </c>
    </row>
    <row r="73" spans="1:6" x14ac:dyDescent="0.3">
      <c r="A73" s="7">
        <v>62</v>
      </c>
      <c r="B73" s="632"/>
      <c r="C73" s="646"/>
      <c r="D73" s="647"/>
      <c r="E73" s="648"/>
      <c r="F73" s="261" t="str">
        <f>IF(D73=0," ",IF(D73="Grant","Grant",IF(Transportation!$F$4-D73&gt;(E73*30),"Depreciated",(C73/E73)*12)))</f>
        <v xml:space="preserve"> </v>
      </c>
    </row>
    <row r="74" spans="1:6" x14ac:dyDescent="0.3">
      <c r="A74" s="7">
        <v>63</v>
      </c>
      <c r="B74" s="632"/>
      <c r="C74" s="646"/>
      <c r="D74" s="647"/>
      <c r="E74" s="648"/>
      <c r="F74" s="261" t="str">
        <f>IF(D74=0," ",IF(D74="Grant","Grant",IF(Transportation!$F$4-D74&gt;(E74*30),"Depreciated",(C74/E74)*12)))</f>
        <v xml:space="preserve"> </v>
      </c>
    </row>
    <row r="75" spans="1:6" x14ac:dyDescent="0.3">
      <c r="A75" s="7">
        <v>64</v>
      </c>
      <c r="B75" s="632"/>
      <c r="C75" s="646"/>
      <c r="D75" s="647"/>
      <c r="E75" s="648"/>
      <c r="F75" s="261" t="str">
        <f>IF(D75=0," ",IF(D75="Grant","Grant",IF(Transportation!$F$4-D75&gt;(E75*30),"Depreciated",(C75/E75)*12)))</f>
        <v xml:space="preserve"> </v>
      </c>
    </row>
    <row r="76" spans="1:6" ht="15" thickBot="1" x14ac:dyDescent="0.35">
      <c r="A76" s="7">
        <v>65</v>
      </c>
      <c r="B76" s="644"/>
      <c r="C76" s="649"/>
      <c r="D76" s="650"/>
      <c r="E76" s="651"/>
      <c r="F76" s="262" t="str">
        <f>IF(D76=0," ",IF(D76="Grant","Grant",IF(Transportation!$F$4-D76&gt;(E76*30),"Depreciated",(C76/E76)*12)))</f>
        <v xml:space="preserve"> </v>
      </c>
    </row>
    <row r="77" spans="1:6" ht="15" thickTop="1" x14ac:dyDescent="0.3">
      <c r="A77" s="7">
        <v>66</v>
      </c>
      <c r="B77" s="642"/>
      <c r="C77" s="652"/>
      <c r="D77" s="653"/>
      <c r="E77" s="654"/>
      <c r="F77" s="263" t="str">
        <f>IF(D77=0," ",IF(D77="Grant","Grant",IF(Transportation!$F$4-D77&gt;(E77*30),"Depreciated",(C77/E77)*12)))</f>
        <v xml:space="preserve"> </v>
      </c>
    </row>
    <row r="78" spans="1:6" x14ac:dyDescent="0.3">
      <c r="A78" s="7">
        <v>67</v>
      </c>
      <c r="B78" s="632"/>
      <c r="C78" s="646"/>
      <c r="D78" s="647"/>
      <c r="E78" s="648"/>
      <c r="F78" s="261" t="str">
        <f>IF(D78=0," ",IF(D78="Grant","Grant",IF(Transportation!$F$4-D78&gt;(E78*30),"Depreciated",(C78/E78)*12)))</f>
        <v xml:space="preserve"> </v>
      </c>
    </row>
    <row r="79" spans="1:6" x14ac:dyDescent="0.3">
      <c r="A79" s="7">
        <v>68</v>
      </c>
      <c r="B79" s="632"/>
      <c r="C79" s="646"/>
      <c r="D79" s="647"/>
      <c r="E79" s="648"/>
      <c r="F79" s="261" t="str">
        <f>IF(D79=0," ",IF(D79="Grant","Grant",IF(Transportation!$F$4-D79&gt;(E79*30),"Depreciated",(C79/E79)*12)))</f>
        <v xml:space="preserve"> </v>
      </c>
    </row>
    <row r="80" spans="1:6" x14ac:dyDescent="0.3">
      <c r="A80" s="7">
        <v>69</v>
      </c>
      <c r="B80" s="632"/>
      <c r="C80" s="646"/>
      <c r="D80" s="647"/>
      <c r="E80" s="648"/>
      <c r="F80" s="261" t="str">
        <f>IF(D80=0," ",IF(D80="Grant","Grant",IF(Transportation!$F$4-D80&gt;(E80*30),"Depreciated",(C80/E80)*12)))</f>
        <v xml:space="preserve"> </v>
      </c>
    </row>
    <row r="81" spans="1:6" ht="15" thickBot="1" x14ac:dyDescent="0.35">
      <c r="A81" s="7">
        <v>70</v>
      </c>
      <c r="B81" s="644"/>
      <c r="C81" s="649"/>
      <c r="D81" s="650"/>
      <c r="E81" s="651"/>
      <c r="F81" s="262" t="str">
        <f>IF(D81=0," ",IF(D81="Grant","Grant",IF(Transportation!$F$4-D81&gt;(E81*30),"Depreciated",(C81/E81)*12)))</f>
        <v xml:space="preserve"> </v>
      </c>
    </row>
    <row r="82" spans="1:6" ht="15" thickTop="1" x14ac:dyDescent="0.3">
      <c r="A82" s="7">
        <v>71</v>
      </c>
      <c r="B82" s="642"/>
      <c r="C82" s="652"/>
      <c r="D82" s="653"/>
      <c r="E82" s="654"/>
      <c r="F82" s="263" t="str">
        <f>IF(D82=0," ",IF(D82="Grant","Grant",IF(Transportation!$F$4-D82&gt;(E82*30),"Depreciated",(C82/E82)*12)))</f>
        <v xml:space="preserve"> </v>
      </c>
    </row>
    <row r="83" spans="1:6" x14ac:dyDescent="0.3">
      <c r="A83" s="7">
        <v>72</v>
      </c>
      <c r="B83" s="632"/>
      <c r="C83" s="646"/>
      <c r="D83" s="647"/>
      <c r="E83" s="648"/>
      <c r="F83" s="261" t="str">
        <f>IF(D83=0," ",IF(D83="Grant","Grant",IF(Transportation!$F$4-D83&gt;(E83*30),"Depreciated",(C83/E83)*12)))</f>
        <v xml:space="preserve"> </v>
      </c>
    </row>
    <row r="84" spans="1:6" x14ac:dyDescent="0.3">
      <c r="A84" s="7">
        <v>73</v>
      </c>
      <c r="B84" s="632"/>
      <c r="C84" s="646"/>
      <c r="D84" s="647"/>
      <c r="E84" s="648"/>
      <c r="F84" s="261" t="str">
        <f>IF(D84=0," ",IF(D84="Grant","Grant",IF(Transportation!$F$4-D84&gt;(E84*30),"Depreciated",(C84/E84)*12)))</f>
        <v xml:space="preserve"> </v>
      </c>
    </row>
    <row r="85" spans="1:6" x14ac:dyDescent="0.3">
      <c r="A85" s="7">
        <v>74</v>
      </c>
      <c r="B85" s="632"/>
      <c r="C85" s="646"/>
      <c r="D85" s="647"/>
      <c r="E85" s="648"/>
      <c r="F85" s="261" t="str">
        <f>IF(D85=0," ",IF(D85="Grant","Grant",IF(Transportation!$F$4-D85&gt;(E85*30),"Depreciated",(C85/E85)*12)))</f>
        <v xml:space="preserve"> </v>
      </c>
    </row>
    <row r="86" spans="1:6" ht="15" thickBot="1" x14ac:dyDescent="0.35">
      <c r="A86" s="7">
        <v>75</v>
      </c>
      <c r="B86" s="644"/>
      <c r="C86" s="649"/>
      <c r="D86" s="650"/>
      <c r="E86" s="651"/>
      <c r="F86" s="262" t="str">
        <f>IF(D86=0," ",IF(D86="Grant","Grant",IF(Transportation!$F$4-D86&gt;(E86*30),"Depreciated",(C86/E86)*12)))</f>
        <v xml:space="preserve"> </v>
      </c>
    </row>
    <row r="87" spans="1:6" ht="15" thickTop="1" x14ac:dyDescent="0.3">
      <c r="A87" s="7">
        <v>76</v>
      </c>
      <c r="B87" s="642"/>
      <c r="C87" s="652"/>
      <c r="D87" s="653"/>
      <c r="E87" s="654"/>
      <c r="F87" s="263" t="str">
        <f>IF(D87=0," ",IF(D87="Grant","Grant",IF(Transportation!$F$4-D87&gt;(E87*30),"Depreciated",(C87/E87)*12)))</f>
        <v xml:space="preserve"> </v>
      </c>
    </row>
    <row r="88" spans="1:6" x14ac:dyDescent="0.3">
      <c r="A88" s="7">
        <v>77</v>
      </c>
      <c r="B88" s="632"/>
      <c r="C88" s="646"/>
      <c r="D88" s="647"/>
      <c r="E88" s="648"/>
      <c r="F88" s="261" t="str">
        <f>IF(D88=0," ",IF(D88="Grant","Grant",IF(Transportation!$F$4-D88&gt;(E88*30),"Depreciated",(C88/E88)*12)))</f>
        <v xml:space="preserve"> </v>
      </c>
    </row>
    <row r="89" spans="1:6" x14ac:dyDescent="0.3">
      <c r="A89" s="7">
        <v>78</v>
      </c>
      <c r="B89" s="632"/>
      <c r="C89" s="646"/>
      <c r="D89" s="647"/>
      <c r="E89" s="648"/>
      <c r="F89" s="261" t="str">
        <f>IF(D89=0," ",IF(D89="Grant","Grant",IF(Transportation!$F$4-D89&gt;(E89*30),"Depreciated",(C89/E89)*12)))</f>
        <v xml:space="preserve"> </v>
      </c>
    </row>
    <row r="90" spans="1:6" x14ac:dyDescent="0.3">
      <c r="A90" s="7">
        <v>79</v>
      </c>
      <c r="B90" s="632"/>
      <c r="C90" s="646"/>
      <c r="D90" s="647"/>
      <c r="E90" s="648"/>
      <c r="F90" s="261" t="str">
        <f>IF(D90=0," ",IF(D90="Grant","Grant",IF(Transportation!$F$4-D90&gt;(E90*30),"Depreciated",(C90/E90)*12)))</f>
        <v xml:space="preserve"> </v>
      </c>
    </row>
    <row r="91" spans="1:6" ht="15" thickBot="1" x14ac:dyDescent="0.35">
      <c r="A91" s="7">
        <v>80</v>
      </c>
      <c r="B91" s="644"/>
      <c r="C91" s="649"/>
      <c r="D91" s="650"/>
      <c r="E91" s="651"/>
      <c r="F91" s="262" t="str">
        <f>IF(D91=0," ",IF(D91="Grant","Grant",IF(Transportation!$F$4-D91&gt;(E91*30),"Depreciated",(C91/E91)*12)))</f>
        <v xml:space="preserve"> </v>
      </c>
    </row>
    <row r="92" spans="1:6" ht="15" thickTop="1" x14ac:dyDescent="0.3">
      <c r="A92" s="7">
        <v>81</v>
      </c>
      <c r="B92" s="642"/>
      <c r="C92" s="652"/>
      <c r="D92" s="653"/>
      <c r="E92" s="654"/>
      <c r="F92" s="263" t="str">
        <f>IF(D92=0," ",IF(D92="Grant","Grant",IF(Transportation!$F$4-D92&gt;(E92*30),"Depreciated",(C92/E92)*12)))</f>
        <v xml:space="preserve"> </v>
      </c>
    </row>
    <row r="93" spans="1:6" x14ac:dyDescent="0.3">
      <c r="A93" s="7">
        <v>82</v>
      </c>
      <c r="B93" s="632"/>
      <c r="C93" s="646"/>
      <c r="D93" s="647"/>
      <c r="E93" s="648"/>
      <c r="F93" s="261" t="str">
        <f>IF(D93=0," ",IF(D93="Grant","Grant",IF(Transportation!$F$4-D93&gt;(E93*30),"Depreciated",(C93/E93)*12)))</f>
        <v xml:space="preserve"> </v>
      </c>
    </row>
    <row r="94" spans="1:6" x14ac:dyDescent="0.3">
      <c r="A94" s="7">
        <v>83</v>
      </c>
      <c r="B94" s="632"/>
      <c r="C94" s="646"/>
      <c r="D94" s="647"/>
      <c r="E94" s="648"/>
      <c r="F94" s="261" t="str">
        <f>IF(D94=0," ",IF(D94="Grant","Grant",IF(Transportation!$F$4-D94&gt;(E94*30),"Depreciated",(C94/E94)*12)))</f>
        <v xml:space="preserve"> </v>
      </c>
    </row>
    <row r="95" spans="1:6" x14ac:dyDescent="0.3">
      <c r="A95" s="7">
        <v>84</v>
      </c>
      <c r="B95" s="632"/>
      <c r="C95" s="646"/>
      <c r="D95" s="647"/>
      <c r="E95" s="648"/>
      <c r="F95" s="261" t="str">
        <f>IF(D95=0," ",IF(D95="Grant","Grant",IF(Transportation!$F$4-D95&gt;(E95*30),"Depreciated",(C95/E95)*12)))</f>
        <v xml:space="preserve"> </v>
      </c>
    </row>
    <row r="96" spans="1:6" ht="15" thickBot="1" x14ac:dyDescent="0.35">
      <c r="A96" s="7">
        <v>85</v>
      </c>
      <c r="B96" s="656"/>
      <c r="C96" s="657"/>
      <c r="D96" s="658"/>
      <c r="E96" s="659"/>
      <c r="F96" s="264" t="str">
        <f>IF(D96=0," ",IF(D96="Grant","Grant",IF(Transportation!$F$4-D96&gt;(E96*30),"Depreciated",(C96/E96)*12)))</f>
        <v xml:space="preserve"> </v>
      </c>
    </row>
    <row r="97" customFormat="1" ht="15" thickTop="1" x14ac:dyDescent="0.3"/>
  </sheetData>
  <sheetProtection algorithmName="SHA-512" hashValue="MxF3VJ0rwt7m8ejX2kmJDidYlnhhAlwyzaf1ZuO2TlgLlgrxJkLkRzb25WOu5wvZVX2Hzygkqwtfo3zp69iUag==" saltValue="Qpej8GQNaPF4v4kLxDcXNg==" spinCount="100000" sheet="1" objects="1" scenarios="1"/>
  <mergeCells count="4">
    <mergeCell ref="C7:D7"/>
    <mergeCell ref="C5:D5"/>
    <mergeCell ref="C3:D3"/>
    <mergeCell ref="B1:F1"/>
  </mergeCells>
  <conditionalFormatting sqref="B12:E96">
    <cfRule type="cellIs" dxfId="45" priority="3" operator="greaterThan">
      <formula>0</formula>
    </cfRule>
  </conditionalFormatting>
  <hyperlinks>
    <hyperlink ref="H2" location="'kt info'!C3" display="Contract Information" xr:uid="{D8B9C296-A66C-4BB4-B486-9FF5921659C2}"/>
    <hyperlink ref="H3" location="'Overhead &amp; Margin'!D10" display="Overhead &amp; Margin" xr:uid="{F2B01E54-772A-4DD3-8BD0-8B6823F8C752}"/>
    <hyperlink ref="H9" location="'Grounds Maintenance'!A1" display="Grounds Maintenance" xr:uid="{BB0FD7DF-40E3-419A-9777-BCDF89FEA1AA}"/>
    <hyperlink ref="H10" location="Periodics!B22" display="Periodical Services" xr:uid="{07748376-D8E1-47A3-820D-72E8F3F49AD0}"/>
    <hyperlink ref="H11" location="'Additional-Except &amp; Emerg'!A1" display="Additional/Exceptional Services and Emergency Services" xr:uid="{4274CF69-9926-418B-952E-D1D6C3471665}"/>
    <hyperlink ref="H5" location="Supplies!B13" display="Supplies" xr:uid="{8048B0E1-9828-466D-9A12-058651AB20E6}"/>
    <hyperlink ref="H6" location="'Equipment List'!B12" display="Equipment" xr:uid="{4777C2A5-45E1-40B5-B60F-052AEC8AC14B}"/>
    <hyperlink ref="H13" location="'Price Approval'!A1" display="Price Approval" xr:uid="{160FB5DE-5679-4CA1-B7F6-5E24D09DB24A}"/>
    <hyperlink ref="H7" location="Subcontractors!B15" display="Subcontractors" xr:uid="{353E9366-88A7-436E-940D-8A6D0ABA31BF}"/>
    <hyperlink ref="H4" location="'Pay &amp; Benefits'!C10" display="Wages and Benefits (includes Unemployment and Worker's Compensation" xr:uid="{50FAB6DB-6A6C-4F7F-BAAC-C18424F2F599}"/>
    <hyperlink ref="H8" location="Transportation!B6" display="Transportation" xr:uid="{498E92E4-CBE5-488F-BF0E-D27E1EFDBFB4}"/>
    <hyperlink ref="H12" location="'Summary-pricing'!A1" display="Summary-Pricing" xr:uid="{A0133211-1977-44ED-8C7C-6E7D452CC826}"/>
    <hyperlink ref="L3" location="'Price Approval'!A1" display="Price Approval" xr:uid="{B1F6C74F-94BB-41BD-8B39-AC6BA4D2BA17}"/>
    <hyperlink ref="L2" location="'Summary-pricing'!A1" display="Summary-Pricing" xr:uid="{CF1D3E56-DD38-4BA6-AF13-B6F1B6DEFD61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A6540-A03D-4770-880D-DA72A553AAA9}">
  <dimension ref="A1:I39"/>
  <sheetViews>
    <sheetView showGridLines="0" showZeros="0" workbookViewId="0">
      <selection activeCell="F7" sqref="F7"/>
    </sheetView>
  </sheetViews>
  <sheetFormatPr defaultRowHeight="14.4" x14ac:dyDescent="0.3"/>
  <cols>
    <col min="2" max="3" width="27.44140625" customWidth="1"/>
    <col min="4" max="4" width="24.5546875" customWidth="1"/>
    <col min="5" max="5" width="15.21875" customWidth="1"/>
    <col min="6" max="6" width="19.44140625" customWidth="1"/>
    <col min="7" max="7" width="17.21875" customWidth="1"/>
    <col min="8" max="8" width="15.44140625" customWidth="1"/>
  </cols>
  <sheetData>
    <row r="1" spans="1:9" ht="31.5" customHeight="1" x14ac:dyDescent="0.3">
      <c r="A1" s="581"/>
      <c r="B1" s="668" t="s">
        <v>272</v>
      </c>
      <c r="C1" s="668"/>
      <c r="D1" s="668"/>
      <c r="E1" s="668"/>
      <c r="F1" s="668"/>
      <c r="G1" s="668"/>
    </row>
    <row r="2" spans="1:9" x14ac:dyDescent="0.3">
      <c r="C2" s="580" t="str">
        <f>'kt info'!B12</f>
        <v>Form date: 2/20/26</v>
      </c>
      <c r="G2" s="20" t="s">
        <v>124</v>
      </c>
      <c r="H2" s="56" t="s">
        <v>125</v>
      </c>
    </row>
    <row r="3" spans="1:9" x14ac:dyDescent="0.3">
      <c r="B3" t="s">
        <v>102</v>
      </c>
      <c r="C3" s="701">
        <f>IF('kt info'!C3="Fill in Name of OFC"," ",'kt info'!C3)</f>
        <v>0</v>
      </c>
      <c r="D3" s="703"/>
      <c r="F3" s="20"/>
      <c r="H3" s="56" t="s">
        <v>219</v>
      </c>
    </row>
    <row r="4" spans="1:9" x14ac:dyDescent="0.3">
      <c r="C4" s="98"/>
      <c r="D4" s="98"/>
      <c r="H4" s="56" t="s">
        <v>220</v>
      </c>
    </row>
    <row r="5" spans="1:9" x14ac:dyDescent="0.3">
      <c r="B5" t="s">
        <v>103</v>
      </c>
      <c r="C5" s="701">
        <f>IF('kt info'!C5="Contract Name or Number"," ",'kt info'!C5)</f>
        <v>0</v>
      </c>
      <c r="D5" s="703"/>
      <c r="H5" s="56" t="s">
        <v>73</v>
      </c>
    </row>
    <row r="6" spans="1:9" x14ac:dyDescent="0.3">
      <c r="C6" s="98"/>
      <c r="D6" s="98"/>
      <c r="H6" s="56" t="s">
        <v>10</v>
      </c>
    </row>
    <row r="7" spans="1:9" x14ac:dyDescent="0.3">
      <c r="B7" t="s">
        <v>126</v>
      </c>
      <c r="C7" s="701">
        <f>IF('kt info'!C7="Fill in Public Agency Name"," ",'kt info'!C7)</f>
        <v>0</v>
      </c>
      <c r="D7" s="703"/>
      <c r="H7" s="56" t="s">
        <v>173</v>
      </c>
    </row>
    <row r="8" spans="1:9" x14ac:dyDescent="0.3">
      <c r="H8" s="56" t="s">
        <v>82</v>
      </c>
    </row>
    <row r="9" spans="1:9" x14ac:dyDescent="0.3">
      <c r="B9" s="56"/>
      <c r="H9" s="56" t="s">
        <v>259</v>
      </c>
    </row>
    <row r="10" spans="1:9" x14ac:dyDescent="0.3">
      <c r="H10" s="56" t="s">
        <v>177</v>
      </c>
    </row>
    <row r="11" spans="1:9" x14ac:dyDescent="0.3">
      <c r="H11" s="56" t="s">
        <v>268</v>
      </c>
    </row>
    <row r="12" spans="1:9" ht="15" thickBot="1" x14ac:dyDescent="0.35">
      <c r="H12" s="56" t="s">
        <v>221</v>
      </c>
      <c r="I12" s="218"/>
    </row>
    <row r="13" spans="1:9" ht="15" thickTop="1" x14ac:dyDescent="0.3">
      <c r="B13" s="704" t="s">
        <v>93</v>
      </c>
      <c r="C13" s="705"/>
      <c r="D13" s="705"/>
      <c r="E13" s="706"/>
      <c r="F13" s="7"/>
      <c r="G13" s="218"/>
      <c r="H13" s="56" t="s">
        <v>193</v>
      </c>
    </row>
    <row r="14" spans="1:9" ht="27" x14ac:dyDescent="0.3">
      <c r="B14" s="215" t="s">
        <v>95</v>
      </c>
      <c r="C14" s="216" t="s">
        <v>96</v>
      </c>
      <c r="D14" s="217" t="s">
        <v>168</v>
      </c>
      <c r="E14" s="151" t="s">
        <v>94</v>
      </c>
      <c r="G14" s="218"/>
      <c r="H14" s="56"/>
    </row>
    <row r="15" spans="1:9" x14ac:dyDescent="0.3">
      <c r="B15" s="152"/>
      <c r="C15" s="572"/>
      <c r="D15" s="47"/>
      <c r="E15" s="153"/>
    </row>
    <row r="16" spans="1:9" x14ac:dyDescent="0.3">
      <c r="B16" s="152"/>
      <c r="C16" s="572"/>
      <c r="D16" s="47"/>
      <c r="E16" s="153"/>
    </row>
    <row r="17" spans="2:8" x14ac:dyDescent="0.3">
      <c r="B17" s="154"/>
      <c r="C17" s="573"/>
      <c r="D17" s="48"/>
      <c r="E17" s="153"/>
    </row>
    <row r="18" spans="2:8" x14ac:dyDescent="0.3">
      <c r="B18" s="152"/>
      <c r="C18" s="572"/>
      <c r="D18" s="47"/>
      <c r="E18" s="153"/>
    </row>
    <row r="19" spans="2:8" x14ac:dyDescent="0.3">
      <c r="B19" s="152"/>
      <c r="C19" s="47"/>
      <c r="D19" s="47"/>
      <c r="E19" s="153"/>
    </row>
    <row r="20" spans="2:8" x14ac:dyDescent="0.3">
      <c r="B20" s="152"/>
      <c r="C20" s="47"/>
      <c r="D20" s="47"/>
      <c r="E20" s="153"/>
    </row>
    <row r="21" spans="2:8" x14ac:dyDescent="0.3">
      <c r="B21" s="152"/>
      <c r="C21" s="47"/>
      <c r="D21" s="47"/>
      <c r="E21" s="153"/>
    </row>
    <row r="22" spans="2:8" x14ac:dyDescent="0.3">
      <c r="B22" s="152"/>
      <c r="C22" s="47"/>
      <c r="D22" s="47"/>
      <c r="E22" s="153"/>
    </row>
    <row r="23" spans="2:8" x14ac:dyDescent="0.3">
      <c r="B23" s="152"/>
      <c r="C23" s="47"/>
      <c r="D23" s="47"/>
      <c r="E23" s="153"/>
    </row>
    <row r="24" spans="2:8" x14ac:dyDescent="0.3">
      <c r="B24" s="152"/>
      <c r="C24" s="47"/>
      <c r="D24" s="47"/>
      <c r="E24" s="153"/>
    </row>
    <row r="25" spans="2:8" ht="15" thickBot="1" x14ac:dyDescent="0.35">
      <c r="B25" s="155"/>
      <c r="C25" s="156"/>
      <c r="D25" s="156"/>
      <c r="E25" s="157"/>
    </row>
    <row r="26" spans="2:8" ht="15" thickTop="1" x14ac:dyDescent="0.3">
      <c r="B26" s="149"/>
      <c r="C26" s="149"/>
      <c r="D26" s="149"/>
      <c r="E26" s="149"/>
      <c r="F26" s="149"/>
      <c r="G26" s="149"/>
      <c r="H26" s="150"/>
    </row>
    <row r="38" spans="2:2" x14ac:dyDescent="0.3">
      <c r="B38" s="68" t="s">
        <v>113</v>
      </c>
    </row>
    <row r="39" spans="2:2" x14ac:dyDescent="0.3">
      <c r="B39" s="68" t="s">
        <v>114</v>
      </c>
    </row>
  </sheetData>
  <sheetProtection algorithmName="SHA-512" hashValue="mFl0YK3MFiOynkHHWM0QuOwzgZiiKN5TvVc1MzxTaBEfl0SFuoI9LjyPIr+SoPqwzVYLh0FuqlBPVSPfUesYmw==" saltValue="VIplLQ7EnwlpWfzbV3StCw==" spinCount="100000" sheet="1" objects="1" scenarios="1"/>
  <mergeCells count="5">
    <mergeCell ref="C3:D3"/>
    <mergeCell ref="C5:D5"/>
    <mergeCell ref="C7:D7"/>
    <mergeCell ref="B1:G1"/>
    <mergeCell ref="B13:E13"/>
  </mergeCells>
  <conditionalFormatting sqref="B15:E25">
    <cfRule type="cellIs" dxfId="44" priority="1" operator="greaterThan">
      <formula>0</formula>
    </cfRule>
  </conditionalFormatting>
  <dataValidations count="1">
    <dataValidation type="list" allowBlank="1" showInputMessage="1" showErrorMessage="1" sqref="D15:D25" xr:uid="{3BCE8356-D42E-41B1-A135-16DAD1E0B175}">
      <formula1>$B$38:$B$39</formula1>
    </dataValidation>
  </dataValidations>
  <hyperlinks>
    <hyperlink ref="H2" location="'kt info'!C3" display="Contract Information" xr:uid="{1CA91999-A4FB-4180-AE27-B325B603CA75}"/>
    <hyperlink ref="H3" location="'Overhead &amp; Margin'!D10" display="Overhead &amp; Margin" xr:uid="{06147D31-45AA-4869-A9C7-82C9676B7E8F}"/>
    <hyperlink ref="H9" location="'Grounds Maintenance'!A1" display="Grounds Maintenance" xr:uid="{5241D7EF-4BA1-4398-919C-871B80A6FB8B}"/>
    <hyperlink ref="H10" location="Periodics!B22" display="Periodical Services" xr:uid="{EB9F475C-2FD5-4FDB-9749-C33C707DE5BD}"/>
    <hyperlink ref="H11" location="'Additional-Except &amp; Emerg'!A1" display="Additional/Exceptional Services and Emergency Services" xr:uid="{7AE8A476-082F-4812-907B-BD480E5B0AFE}"/>
    <hyperlink ref="H5" location="Supplies!B13" display="Supplies" xr:uid="{1E29C30D-3FFC-49BD-B0D9-DA174DF32505}"/>
    <hyperlink ref="H6" location="'Equipment List'!B12" display="Equipment" xr:uid="{4168B0CE-A261-4FE8-AF56-0807863A1741}"/>
    <hyperlink ref="H13" location="'Price Approval'!A1" display="Price Approval" xr:uid="{E21BA8E2-3DC4-463D-9596-BA5D89928430}"/>
    <hyperlink ref="H7" location="Subcontractors!B15" display="Subcontractors" xr:uid="{E3E31D07-6A2C-4BA0-9696-5FBED77BE5DE}"/>
    <hyperlink ref="H4" location="'Pay &amp; Benefits'!C10" display="Wages and Benefits (includes Unemployment and Worker's Compensation" xr:uid="{51B2E008-5B50-41A8-8C9B-E6C8D41F6573}"/>
    <hyperlink ref="H8" location="Transportation!B6" display="Transportation" xr:uid="{8107A243-A608-48AE-A98A-EA9859377DEF}"/>
    <hyperlink ref="H12" location="'Summary-pricing'!A1" display="Summary-Pricing" xr:uid="{B118D3B5-C921-44EB-90F2-A6D5281AE76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AAE9-67B1-41B2-8415-CDBCB1B98DDC}">
  <dimension ref="A1:L29"/>
  <sheetViews>
    <sheetView showGridLines="0" tabSelected="1" zoomScaleNormal="100" workbookViewId="0">
      <selection activeCell="C4" sqref="C4"/>
    </sheetView>
  </sheetViews>
  <sheetFormatPr defaultRowHeight="14.4" x14ac:dyDescent="0.3"/>
  <cols>
    <col min="2" max="2" width="25" customWidth="1"/>
    <col min="3" max="3" width="18.21875" customWidth="1"/>
    <col min="4" max="4" width="18.5546875" customWidth="1"/>
    <col min="5" max="5" width="15.5546875" customWidth="1"/>
    <col min="6" max="6" width="14.44140625" customWidth="1"/>
    <col min="7" max="7" width="12.44140625" customWidth="1"/>
    <col min="8" max="8" width="13.44140625" customWidth="1"/>
    <col min="9" max="9" width="16.44140625" customWidth="1"/>
    <col min="10" max="10" width="21.77734375" customWidth="1"/>
    <col min="11" max="11" width="15" customWidth="1"/>
    <col min="12" max="12" width="13.5546875" customWidth="1"/>
  </cols>
  <sheetData>
    <row r="1" spans="1:12" ht="30" customHeight="1" x14ac:dyDescent="0.3">
      <c r="A1" s="581"/>
      <c r="B1" s="668" t="s">
        <v>273</v>
      </c>
      <c r="C1" s="668"/>
      <c r="D1" s="668"/>
      <c r="E1" s="668"/>
      <c r="F1" s="668"/>
      <c r="G1" s="668"/>
      <c r="H1" s="668"/>
      <c r="I1" s="668"/>
    </row>
    <row r="2" spans="1:12" x14ac:dyDescent="0.3">
      <c r="D2" s="580" t="str">
        <f>'kt info'!B12</f>
        <v>Form date: 2/20/26</v>
      </c>
    </row>
    <row r="3" spans="1:12" ht="15.6" x14ac:dyDescent="0.3">
      <c r="B3" s="97" t="s">
        <v>82</v>
      </c>
      <c r="D3" s="98" t="s">
        <v>142</v>
      </c>
      <c r="F3" s="98"/>
    </row>
    <row r="4" spans="1:12" ht="15" thickBot="1" x14ac:dyDescent="0.35">
      <c r="B4" s="100" t="s">
        <v>143</v>
      </c>
      <c r="C4" s="100"/>
      <c r="D4" s="571">
        <v>0.7</v>
      </c>
      <c r="E4" s="101" t="s">
        <v>144</v>
      </c>
      <c r="F4" s="102">
        <f ca="1">IF(D4&lt;&gt;D4, " ", TODAY())</f>
        <v>46100</v>
      </c>
    </row>
    <row r="5" spans="1:12" ht="40.200000000000003" thickTop="1" x14ac:dyDescent="0.3">
      <c r="B5" s="103" t="s">
        <v>145</v>
      </c>
      <c r="C5" s="104" t="s">
        <v>146</v>
      </c>
      <c r="D5" s="105" t="s">
        <v>147</v>
      </c>
      <c r="E5" s="105" t="s">
        <v>160</v>
      </c>
      <c r="F5" s="105" t="s">
        <v>169</v>
      </c>
      <c r="G5" s="105" t="s">
        <v>170</v>
      </c>
      <c r="H5" s="105" t="s">
        <v>206</v>
      </c>
      <c r="I5" s="106" t="s">
        <v>149</v>
      </c>
      <c r="J5" s="106" t="s">
        <v>150</v>
      </c>
      <c r="K5" s="105" t="s">
        <v>148</v>
      </c>
      <c r="L5" s="107" t="s">
        <v>151</v>
      </c>
    </row>
    <row r="6" spans="1:12" x14ac:dyDescent="0.3">
      <c r="B6" s="159"/>
      <c r="C6" s="160"/>
      <c r="D6" s="161"/>
      <c r="E6" s="162"/>
      <c r="F6" s="163"/>
      <c r="G6" s="163"/>
      <c r="H6" s="164"/>
      <c r="I6" s="165"/>
      <c r="J6" s="165"/>
      <c r="K6" s="550" t="str">
        <f>IF(B6=0," ",IF(G6="Yes","Grant",IF($F$4-F6&gt;H6*30,"Fully Depreciated",(E6/H6)*12)))</f>
        <v xml:space="preserve"> </v>
      </c>
      <c r="L6" s="551" t="str">
        <f t="shared" ref="L6" si="0">IF(B6=0," ",IF(K6="Grant",(I6+J6)/D6,IF(C6="Typical",$D$4,IF($F$4-F6&gt;H6*30,(I6+J6)/D6,(K6+I6+J6)/D6))))</f>
        <v xml:space="preserve"> </v>
      </c>
    </row>
    <row r="7" spans="1:12" x14ac:dyDescent="0.3">
      <c r="B7" s="159"/>
      <c r="C7" s="160"/>
      <c r="D7" s="161"/>
      <c r="E7" s="162"/>
      <c r="F7" s="163"/>
      <c r="G7" s="163"/>
      <c r="H7" s="164"/>
      <c r="I7" s="165"/>
      <c r="J7" s="165"/>
      <c r="K7" s="550" t="str">
        <f t="shared" ref="K7:K16" si="1">IF(B7=0," ",IF(G7="Yes","Grant",IF($F$4-F7&gt;H7*30,"Fully Depreciated",(E7/H7)*12)))</f>
        <v xml:space="preserve"> </v>
      </c>
      <c r="L7" s="551" t="str">
        <f>IF(B7=0," ",IF(K7="Grant",(I7+J7)/D7,IF(C7="Typical",$D$4,IF($F$4-F7&gt;H7*30,(I7+J7)/D7,(K7+I7+J7)/D7))))</f>
        <v xml:space="preserve"> </v>
      </c>
    </row>
    <row r="8" spans="1:12" x14ac:dyDescent="0.3">
      <c r="B8" s="159"/>
      <c r="C8" s="160"/>
      <c r="D8" s="161"/>
      <c r="E8" s="162"/>
      <c r="F8" s="163"/>
      <c r="G8" s="163"/>
      <c r="H8" s="164"/>
      <c r="I8" s="165"/>
      <c r="J8" s="165"/>
      <c r="K8" s="550" t="str">
        <f t="shared" si="1"/>
        <v xml:space="preserve"> </v>
      </c>
      <c r="L8" s="551" t="str">
        <f t="shared" ref="L8:L16" si="2">IF(B8=0," ",IF(K8="Grant",(I8+J8)/D8,IF(C8="Typical",$D$4,IF($F$4-F8&gt;H8*30,(I8+J8)/D8,(K8+I8+J8)/D8))))</f>
        <v xml:space="preserve"> </v>
      </c>
    </row>
    <row r="9" spans="1:12" x14ac:dyDescent="0.3">
      <c r="B9" s="159"/>
      <c r="C9" s="160"/>
      <c r="D9" s="161"/>
      <c r="E9" s="162"/>
      <c r="F9" s="163"/>
      <c r="G9" s="163"/>
      <c r="H9" s="164"/>
      <c r="I9" s="165"/>
      <c r="J9" s="165"/>
      <c r="K9" s="550" t="str">
        <f t="shared" si="1"/>
        <v xml:space="preserve"> </v>
      </c>
      <c r="L9" s="551" t="str">
        <f t="shared" si="2"/>
        <v xml:space="preserve"> </v>
      </c>
    </row>
    <row r="10" spans="1:12" x14ac:dyDescent="0.3">
      <c r="B10" s="159"/>
      <c r="C10" s="160"/>
      <c r="D10" s="161"/>
      <c r="E10" s="162"/>
      <c r="F10" s="163"/>
      <c r="G10" s="163"/>
      <c r="H10" s="164"/>
      <c r="I10" s="165"/>
      <c r="J10" s="165"/>
      <c r="K10" s="550" t="str">
        <f t="shared" si="1"/>
        <v xml:space="preserve"> </v>
      </c>
      <c r="L10" s="551" t="str">
        <f t="shared" si="2"/>
        <v xml:space="preserve"> </v>
      </c>
    </row>
    <row r="11" spans="1:12" x14ac:dyDescent="0.3">
      <c r="B11" s="159"/>
      <c r="C11" s="160"/>
      <c r="D11" s="161"/>
      <c r="E11" s="162"/>
      <c r="F11" s="163"/>
      <c r="G11" s="163"/>
      <c r="H11" s="164"/>
      <c r="I11" s="165"/>
      <c r="J11" s="165"/>
      <c r="K11" s="550" t="str">
        <f t="shared" si="1"/>
        <v xml:space="preserve"> </v>
      </c>
      <c r="L11" s="551" t="str">
        <f t="shared" si="2"/>
        <v xml:space="preserve"> </v>
      </c>
    </row>
    <row r="12" spans="1:12" x14ac:dyDescent="0.3">
      <c r="B12" s="159"/>
      <c r="C12" s="160"/>
      <c r="D12" s="161"/>
      <c r="E12" s="162"/>
      <c r="F12" s="163"/>
      <c r="G12" s="163"/>
      <c r="H12" s="164"/>
      <c r="I12" s="165"/>
      <c r="J12" s="165"/>
      <c r="K12" s="550" t="str">
        <f t="shared" si="1"/>
        <v xml:space="preserve"> </v>
      </c>
      <c r="L12" s="551" t="str">
        <f t="shared" si="2"/>
        <v xml:space="preserve"> </v>
      </c>
    </row>
    <row r="13" spans="1:12" x14ac:dyDescent="0.3">
      <c r="B13" s="159"/>
      <c r="C13" s="160"/>
      <c r="D13" s="161"/>
      <c r="E13" s="162"/>
      <c r="F13" s="163"/>
      <c r="G13" s="163"/>
      <c r="H13" s="164"/>
      <c r="I13" s="165"/>
      <c r="J13" s="165"/>
      <c r="K13" s="550" t="str">
        <f t="shared" si="1"/>
        <v xml:space="preserve"> </v>
      </c>
      <c r="L13" s="551" t="str">
        <f t="shared" si="2"/>
        <v xml:space="preserve"> </v>
      </c>
    </row>
    <row r="14" spans="1:12" x14ac:dyDescent="0.3">
      <c r="B14" s="159"/>
      <c r="C14" s="160"/>
      <c r="D14" s="161"/>
      <c r="E14" s="162"/>
      <c r="F14" s="163"/>
      <c r="G14" s="163"/>
      <c r="H14" s="164"/>
      <c r="I14" s="165"/>
      <c r="J14" s="165"/>
      <c r="K14" s="550" t="str">
        <f t="shared" si="1"/>
        <v xml:space="preserve"> </v>
      </c>
      <c r="L14" s="551" t="str">
        <f t="shared" si="2"/>
        <v xml:space="preserve"> </v>
      </c>
    </row>
    <row r="15" spans="1:12" x14ac:dyDescent="0.3">
      <c r="B15" s="159"/>
      <c r="C15" s="160"/>
      <c r="D15" s="161"/>
      <c r="E15" s="162"/>
      <c r="F15" s="163"/>
      <c r="G15" s="163"/>
      <c r="H15" s="164"/>
      <c r="I15" s="165"/>
      <c r="J15" s="165"/>
      <c r="K15" s="550" t="str">
        <f t="shared" si="1"/>
        <v xml:space="preserve"> </v>
      </c>
      <c r="L15" s="551" t="str">
        <f t="shared" si="2"/>
        <v xml:space="preserve"> </v>
      </c>
    </row>
    <row r="16" spans="1:12" ht="15" thickBot="1" x14ac:dyDescent="0.35">
      <c r="B16" s="166"/>
      <c r="C16" s="167"/>
      <c r="D16" s="168"/>
      <c r="E16" s="169"/>
      <c r="F16" s="170"/>
      <c r="G16" s="170"/>
      <c r="H16" s="171"/>
      <c r="I16" s="172"/>
      <c r="J16" s="172"/>
      <c r="K16" s="552" t="str">
        <f t="shared" si="1"/>
        <v xml:space="preserve"> </v>
      </c>
      <c r="L16" s="553" t="str">
        <f t="shared" si="2"/>
        <v xml:space="preserve"> </v>
      </c>
    </row>
    <row r="17" spans="2:4" ht="15" thickTop="1" x14ac:dyDescent="0.3"/>
    <row r="18" spans="2:4" x14ac:dyDescent="0.3">
      <c r="B18" s="20" t="s">
        <v>124</v>
      </c>
      <c r="C18" s="56" t="s">
        <v>125</v>
      </c>
    </row>
    <row r="19" spans="2:4" x14ac:dyDescent="0.3">
      <c r="C19" s="56" t="s">
        <v>219</v>
      </c>
    </row>
    <row r="20" spans="2:4" x14ac:dyDescent="0.3">
      <c r="C20" s="56" t="s">
        <v>220</v>
      </c>
    </row>
    <row r="21" spans="2:4" x14ac:dyDescent="0.3">
      <c r="C21" s="56" t="s">
        <v>73</v>
      </c>
    </row>
    <row r="22" spans="2:4" x14ac:dyDescent="0.3">
      <c r="C22" s="56" t="s">
        <v>10</v>
      </c>
    </row>
    <row r="23" spans="2:4" x14ac:dyDescent="0.3">
      <c r="C23" s="56" t="s">
        <v>173</v>
      </c>
    </row>
    <row r="24" spans="2:4" x14ac:dyDescent="0.3">
      <c r="C24" s="56" t="s">
        <v>82</v>
      </c>
    </row>
    <row r="25" spans="2:4" x14ac:dyDescent="0.3">
      <c r="C25" s="56" t="s">
        <v>259</v>
      </c>
    </row>
    <row r="26" spans="2:4" x14ac:dyDescent="0.3">
      <c r="C26" s="56" t="s">
        <v>177</v>
      </c>
    </row>
    <row r="27" spans="2:4" x14ac:dyDescent="0.3">
      <c r="C27" s="56" t="s">
        <v>268</v>
      </c>
    </row>
    <row r="28" spans="2:4" x14ac:dyDescent="0.3">
      <c r="C28" s="56" t="s">
        <v>221</v>
      </c>
      <c r="D28" s="218"/>
    </row>
    <row r="29" spans="2:4" x14ac:dyDescent="0.3">
      <c r="B29" s="218"/>
      <c r="C29" s="56" t="s">
        <v>193</v>
      </c>
    </row>
  </sheetData>
  <sheetProtection algorithmName="SHA-512" hashValue="z8dTJfkub9LsybLJLZhCKthInYUIUSikJygZT/s/6xxX/QttkfPaGUzQtEBnDqOB5HpI/o0O2KePOOoO7HB5xQ==" saltValue="VISeS2bxrPKJW0XJI7RwlA==" spinCount="100000" sheet="1" objects="1" scenarios="1"/>
  <dataConsolidate/>
  <mergeCells count="1">
    <mergeCell ref="B1:I1"/>
  </mergeCells>
  <conditionalFormatting sqref="B6:J16">
    <cfRule type="cellIs" dxfId="43" priority="3" operator="greaterThan">
      <formula>0</formula>
    </cfRule>
  </conditionalFormatting>
  <conditionalFormatting sqref="D4">
    <cfRule type="cellIs" dxfId="42" priority="15" operator="equal">
      <formula>0</formula>
    </cfRule>
  </conditionalFormatting>
  <conditionalFormatting sqref="D6:K6">
    <cfRule type="expression" dxfId="41" priority="14">
      <formula>$C6="Typical"</formula>
    </cfRule>
  </conditionalFormatting>
  <conditionalFormatting sqref="D7:K7">
    <cfRule type="expression" dxfId="40" priority="13">
      <formula>$C$7="Typical"</formula>
    </cfRule>
  </conditionalFormatting>
  <conditionalFormatting sqref="D8:K8">
    <cfRule type="expression" dxfId="39" priority="4">
      <formula>$C$8="Typical"</formula>
    </cfRule>
  </conditionalFormatting>
  <conditionalFormatting sqref="D9:K9">
    <cfRule type="expression" dxfId="38" priority="12">
      <formula>$C$9="Typical"</formula>
    </cfRule>
  </conditionalFormatting>
  <conditionalFormatting sqref="D10:K10">
    <cfRule type="expression" dxfId="37" priority="11">
      <formula>$C$10="Typical"</formula>
    </cfRule>
  </conditionalFormatting>
  <conditionalFormatting sqref="D11:K11">
    <cfRule type="expression" dxfId="36" priority="10">
      <formula>$C$11="Typical"</formula>
    </cfRule>
  </conditionalFormatting>
  <conditionalFormatting sqref="D12:K12">
    <cfRule type="expression" dxfId="35" priority="9">
      <formula>$C$12="Typical"</formula>
    </cfRule>
  </conditionalFormatting>
  <conditionalFormatting sqref="D13:K13">
    <cfRule type="expression" dxfId="34" priority="8">
      <formula>$C$13="Typical"</formula>
    </cfRule>
  </conditionalFormatting>
  <conditionalFormatting sqref="D14:K14">
    <cfRule type="expression" dxfId="33" priority="7">
      <formula>$C$14="Typical"</formula>
    </cfRule>
  </conditionalFormatting>
  <conditionalFormatting sqref="D15:K15">
    <cfRule type="expression" dxfId="32" priority="6">
      <formula>$C$15="Typical"</formula>
    </cfRule>
  </conditionalFormatting>
  <conditionalFormatting sqref="D16:K16">
    <cfRule type="expression" dxfId="31" priority="5">
      <formula>$C$16="Typical"</formula>
    </cfRule>
  </conditionalFormatting>
  <dataValidations count="1">
    <dataValidation type="list" allowBlank="1" showInputMessage="1" showErrorMessage="1" sqref="C6:C16 G6:G16" xr:uid="{BEE3394F-B58A-43DC-8D18-6E62E9CD3228}">
      <formula1>#REF!</formula1>
    </dataValidation>
  </dataValidations>
  <hyperlinks>
    <hyperlink ref="C18" location="'kt info'!C3" display="Contract Information" xr:uid="{FE6EEB38-0944-4782-96AA-A8975A7C42DC}"/>
    <hyperlink ref="C19" location="'Overhead &amp; Margin'!D10" display="Overhead &amp; Margin" xr:uid="{9F54CFB9-E21C-4E3B-B5E8-84D45C276053}"/>
    <hyperlink ref="C25" location="'Grounds Maintenance'!A1" display="Grounds Maintenance" xr:uid="{DBE0FC2D-D3D1-4E38-8DD3-2D0B1A5CBCC2}"/>
    <hyperlink ref="C26" location="Periodics!B22" display="Periodical Services" xr:uid="{4E0A8BD6-4A68-4956-B46F-625A79BC2E85}"/>
    <hyperlink ref="C27" location="'Additional-Except &amp; Emerg'!A1" display="Additional/Exceptional Services and Emergency Services" xr:uid="{E1C61AB8-7C04-4237-BCCD-5AF8F6BFDFA5}"/>
    <hyperlink ref="C21" location="Supplies!B13" display="Supplies" xr:uid="{5A526A2C-8F3F-4444-8633-69614825AA88}"/>
    <hyperlink ref="C22" location="'Equipment List'!B12" display="Equipment" xr:uid="{DCCFFFDA-B338-4DF0-AF4A-77966F4C22F0}"/>
    <hyperlink ref="C29" location="'Price Approval'!A1" display="Price Approval" xr:uid="{4AD6DBCB-EC1D-4DFD-96A9-E163AE80A1E7}"/>
    <hyperlink ref="C23" location="Subcontractors!B15" display="Subcontractors" xr:uid="{C9FDC077-AB9F-4311-A9ED-372CDE4B0005}"/>
    <hyperlink ref="C20" location="'Pay &amp; Benefits'!C10" display="Wages and Benefits (includes Unemployment and Worker's Compensation" xr:uid="{7C97ECDD-FAA6-434D-B6DC-5B7CB4CBD006}"/>
    <hyperlink ref="C24" location="Transportation!B6" display="Transportation" xr:uid="{B741561D-4162-47DD-93CB-87274A0F70B6}"/>
    <hyperlink ref="C28" location="'Summary-pricing'!A1" display="Summary-Pricing" xr:uid="{48964268-065D-4676-B4B3-4B94546ECFD8}"/>
    <hyperlink ref="B4" r:id="rId1" location="tab--pov-mileage" xr:uid="{7D9E43C1-7B11-4458-B702-66B91594E7D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DD2F-BF19-4595-B01E-E17ACE6E59F3}">
  <dimension ref="A1:R91"/>
  <sheetViews>
    <sheetView showGridLines="0" showZeros="0" topLeftCell="A8" zoomScaleNormal="100" workbookViewId="0">
      <selection activeCell="E25" sqref="E25"/>
    </sheetView>
  </sheetViews>
  <sheetFormatPr defaultRowHeight="14.4" x14ac:dyDescent="0.3"/>
  <cols>
    <col min="1" max="1" width="4.44140625" customWidth="1"/>
    <col min="2" max="2" width="35.77734375" customWidth="1"/>
    <col min="3" max="3" width="10.5546875" customWidth="1"/>
    <col min="4" max="4" width="13.5546875" customWidth="1"/>
    <col min="5" max="5" width="14.44140625" customWidth="1"/>
    <col min="6" max="6" width="10.77734375" customWidth="1"/>
    <col min="7" max="7" width="3.77734375" customWidth="1"/>
    <col min="8" max="8" width="13.5546875" customWidth="1"/>
    <col min="9" max="9" width="12.5546875" customWidth="1"/>
    <col min="10" max="11" width="13.44140625" bestFit="1" customWidth="1"/>
    <col min="12" max="12" width="13.5546875" customWidth="1"/>
    <col min="13" max="13" width="14.5546875" customWidth="1"/>
    <col min="14" max="14" width="14.44140625" customWidth="1"/>
    <col min="15" max="15" width="12.5546875" bestFit="1" customWidth="1"/>
  </cols>
  <sheetData>
    <row r="1" spans="1:13" ht="30" customHeight="1" x14ac:dyDescent="0.3">
      <c r="A1" s="581"/>
      <c r="B1" s="668" t="s">
        <v>274</v>
      </c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</row>
    <row r="2" spans="1:13" x14ac:dyDescent="0.3">
      <c r="D2" s="580" t="str">
        <f>'kt info'!B12</f>
        <v>Form date: 2/20/26</v>
      </c>
    </row>
    <row r="3" spans="1:13" x14ac:dyDescent="0.3">
      <c r="B3" t="s">
        <v>102</v>
      </c>
      <c r="C3" s="695">
        <f>'kt info'!$C$3</f>
        <v>0</v>
      </c>
      <c r="D3" s="695"/>
      <c r="E3" s="696"/>
      <c r="F3" s="697"/>
      <c r="H3" s="20"/>
      <c r="I3" s="96"/>
      <c r="J3" s="20" t="s">
        <v>124</v>
      </c>
      <c r="K3" s="56" t="s">
        <v>125</v>
      </c>
    </row>
    <row r="4" spans="1:13" x14ac:dyDescent="0.3">
      <c r="C4" s="98"/>
      <c r="D4" s="98"/>
      <c r="E4" s="98"/>
      <c r="F4" s="98"/>
      <c r="I4" s="56"/>
      <c r="K4" s="56" t="s">
        <v>219</v>
      </c>
    </row>
    <row r="5" spans="1:13" x14ac:dyDescent="0.3">
      <c r="B5" t="s">
        <v>103</v>
      </c>
      <c r="C5" s="695">
        <f>'kt info'!$C$5</f>
        <v>0</v>
      </c>
      <c r="D5" s="695"/>
      <c r="E5" s="697"/>
      <c r="F5" s="697"/>
      <c r="K5" s="56" t="s">
        <v>220</v>
      </c>
    </row>
    <row r="6" spans="1:13" x14ac:dyDescent="0.3">
      <c r="C6" s="98"/>
      <c r="D6" s="98"/>
      <c r="E6" s="98"/>
      <c r="F6" s="98"/>
      <c r="K6" s="56" t="s">
        <v>73</v>
      </c>
    </row>
    <row r="7" spans="1:13" x14ac:dyDescent="0.3">
      <c r="B7" t="s">
        <v>126</v>
      </c>
      <c r="C7" s="695">
        <f>'kt info'!$C$7</f>
        <v>0</v>
      </c>
      <c r="D7" s="695"/>
      <c r="E7" s="697"/>
      <c r="F7" s="697"/>
      <c r="K7" s="56" t="s">
        <v>10</v>
      </c>
    </row>
    <row r="8" spans="1:13" x14ac:dyDescent="0.3">
      <c r="K8" s="56" t="s">
        <v>173</v>
      </c>
    </row>
    <row r="9" spans="1:13" s="19" customFormat="1" ht="15" thickBot="1" x14ac:dyDescent="0.35">
      <c r="H9" s="241" t="s">
        <v>205</v>
      </c>
      <c r="I9" s="242" t="s">
        <v>204</v>
      </c>
      <c r="J9"/>
      <c r="K9" s="56" t="s">
        <v>82</v>
      </c>
      <c r="L9"/>
    </row>
    <row r="10" spans="1:13" ht="15" thickTop="1" x14ac:dyDescent="0.3">
      <c r="E10" s="707" t="s">
        <v>72</v>
      </c>
      <c r="F10" s="708"/>
      <c r="G10" s="708"/>
      <c r="H10" s="495">
        <f>IF(SUM(M22:M41)&gt;0,SUM(M22:M41),0)</f>
        <v>0</v>
      </c>
      <c r="I10" s="243"/>
      <c r="K10" s="56" t="s">
        <v>259</v>
      </c>
    </row>
    <row r="11" spans="1:13" x14ac:dyDescent="0.3">
      <c r="B11" s="242" t="s">
        <v>269</v>
      </c>
      <c r="E11" s="707" t="s">
        <v>32</v>
      </c>
      <c r="F11" s="708"/>
      <c r="G11" s="708"/>
      <c r="H11" s="245">
        <f>IF(SUM(L22:L41)&gt;0,SUM(L22:L41),0)</f>
        <v>0</v>
      </c>
      <c r="I11" s="244">
        <f>IF(SUM($H$11:$H$17)=0,0,H11/SUM($H$11:$H$17))</f>
        <v>0</v>
      </c>
      <c r="K11" s="56" t="s">
        <v>177</v>
      </c>
    </row>
    <row r="12" spans="1:13" x14ac:dyDescent="0.3">
      <c r="B12" s="20" t="s">
        <v>89</v>
      </c>
      <c r="C12" s="709">
        <f>'kt info'!E13</f>
        <v>0</v>
      </c>
      <c r="D12" s="710"/>
      <c r="E12" s="707" t="s">
        <v>73</v>
      </c>
      <c r="F12" s="708"/>
      <c r="G12" s="708"/>
      <c r="H12" s="245">
        <f>IF(SUM(E46:E85)&gt;0,SUM(E46:E85)*12,0)</f>
        <v>0</v>
      </c>
      <c r="I12" s="244">
        <f>IF(SUM($H$11:$H$17)=0,0,H12/SUM($H$11:$H$17))</f>
        <v>0</v>
      </c>
      <c r="K12" s="56" t="s">
        <v>268</v>
      </c>
    </row>
    <row r="13" spans="1:13" x14ac:dyDescent="0.3">
      <c r="E13" s="707" t="s">
        <v>74</v>
      </c>
      <c r="F13" s="708"/>
      <c r="G13" s="708"/>
      <c r="H13" s="245">
        <f>IF(SUM(L46:L65)&gt;0,SUM(L46:L65)*12,0)</f>
        <v>0</v>
      </c>
      <c r="I13" s="244">
        <f>IF(SUM($H$11:$H$17)=0,0,H13/SUM($H$11:$H$17))</f>
        <v>0</v>
      </c>
      <c r="K13" s="56" t="s">
        <v>221</v>
      </c>
      <c r="L13" s="218"/>
    </row>
    <row r="14" spans="1:13" x14ac:dyDescent="0.3">
      <c r="B14" s="20" t="s">
        <v>162</v>
      </c>
      <c r="C14" s="711">
        <f>ROUND(IF(SUM(H11:H17)&gt;0,SUM(H11:H17)/12,0),2)</f>
        <v>0</v>
      </c>
      <c r="D14" s="710"/>
      <c r="E14" s="707" t="s">
        <v>82</v>
      </c>
      <c r="F14" s="714"/>
      <c r="G14" s="714"/>
      <c r="H14" s="245">
        <f>IF(SUM(M70:M75)&gt;0,SUM(M70:M75),0)</f>
        <v>0</v>
      </c>
      <c r="I14" s="244">
        <f>IF(SUM($H$11:$H$17)=0,0,H14/SUM($H$11:$H$17))</f>
        <v>0</v>
      </c>
      <c r="J14" s="218"/>
      <c r="K14" s="56" t="s">
        <v>193</v>
      </c>
    </row>
    <row r="15" spans="1:13" x14ac:dyDescent="0.3">
      <c r="B15" s="173" t="s">
        <v>197</v>
      </c>
      <c r="C15" s="712" t="str">
        <f>IF('kt info'!G13=0," ",IF(SUM(M22:M41)=0," ",ROUND('kt info'!E13/(SUM(M22:M41)/('kt info'!G13)),0)))</f>
        <v xml:space="preserve"> </v>
      </c>
      <c r="D15" s="713"/>
      <c r="G15" s="174" t="s">
        <v>173</v>
      </c>
      <c r="H15" s="246">
        <f>IF(SUM(M80:M83)=0,0,SUM(M80:M83))</f>
        <v>0</v>
      </c>
      <c r="I15" s="244">
        <f>IF(SUM($H$11:$H$17)=0,0,H15/SUM($H$11:$H$17))</f>
        <v>0</v>
      </c>
    </row>
    <row r="16" spans="1:13" x14ac:dyDescent="0.3">
      <c r="B16" s="20" t="s">
        <v>90</v>
      </c>
      <c r="C16" s="711">
        <f>IF(C12&gt;0,C14/C12,0)</f>
        <v>0</v>
      </c>
      <c r="D16" s="710"/>
      <c r="E16" s="707" t="s">
        <v>80</v>
      </c>
      <c r="F16" s="708"/>
      <c r="G16" s="708"/>
      <c r="H16" s="245">
        <f>($H$11+$H$12+$H$13+$H$14+$H$15)*'Overhead &amp; Margin'!$D$10/(1-('Overhead &amp; Margin'!$D$10))</f>
        <v>0</v>
      </c>
      <c r="I16" s="244">
        <f>IF(SUM($H$11:$H$17)=0,0,IF(H16=" "," ",H16/SUM($H$11:$H$17)))</f>
        <v>0</v>
      </c>
    </row>
    <row r="17" spans="1:18" ht="15" thickBot="1" x14ac:dyDescent="0.35">
      <c r="E17" s="707" t="s">
        <v>81</v>
      </c>
      <c r="F17" s="714"/>
      <c r="G17" s="714"/>
      <c r="H17" s="661">
        <f>($H$12+$H$13+$H$14+$H$15+$H$16+$H$11)*'Overhead &amp; Margin'!$G$10/(1-('Overhead &amp; Margin'!$G$10))</f>
        <v>0</v>
      </c>
      <c r="I17" s="662">
        <f>IF(SUM($H$11:$H$17)=0,0,IF(H17=0," ",H17/SUM($H$11:$H$17)))</f>
        <v>0</v>
      </c>
    </row>
    <row r="18" spans="1:18" ht="15" thickBot="1" x14ac:dyDescent="0.35">
      <c r="E18" s="660"/>
      <c r="F18" s="714" t="s">
        <v>256</v>
      </c>
      <c r="G18" s="714"/>
      <c r="H18" s="663">
        <f>SUM(H11:H17)</f>
        <v>0</v>
      </c>
      <c r="I18" s="664"/>
    </row>
    <row r="19" spans="1:18" ht="15" thickBot="1" x14ac:dyDescent="0.35">
      <c r="B19" s="2" t="s">
        <v>97</v>
      </c>
    </row>
    <row r="20" spans="1:18" ht="15" thickTop="1" x14ac:dyDescent="0.3">
      <c r="B20" s="176" t="s">
        <v>13</v>
      </c>
      <c r="C20" s="178" t="s">
        <v>14</v>
      </c>
      <c r="D20" s="178" t="s">
        <v>20</v>
      </c>
      <c r="E20" s="178" t="s">
        <v>15</v>
      </c>
      <c r="F20" s="730" t="s">
        <v>17</v>
      </c>
      <c r="G20" s="731"/>
      <c r="H20" s="178" t="s">
        <v>18</v>
      </c>
      <c r="I20" s="178" t="s">
        <v>16</v>
      </c>
      <c r="J20" s="178" t="s">
        <v>19</v>
      </c>
      <c r="K20" s="178" t="s">
        <v>71</v>
      </c>
      <c r="L20" s="197" t="s">
        <v>21</v>
      </c>
      <c r="M20" s="177" t="s">
        <v>22</v>
      </c>
      <c r="N20" s="179" t="s">
        <v>117</v>
      </c>
      <c r="R20" t="s">
        <v>92</v>
      </c>
    </row>
    <row r="21" spans="1:18" ht="15" thickBot="1" x14ac:dyDescent="0.35">
      <c r="B21" s="180" t="s">
        <v>253</v>
      </c>
      <c r="C21" s="23" t="s">
        <v>23</v>
      </c>
      <c r="D21" s="23" t="s">
        <v>28</v>
      </c>
      <c r="E21" s="23" t="s">
        <v>24</v>
      </c>
      <c r="F21" s="732" t="s">
        <v>25</v>
      </c>
      <c r="G21" s="733"/>
      <c r="H21" s="23" t="s">
        <v>26</v>
      </c>
      <c r="I21" s="23"/>
      <c r="J21" s="23" t="s">
        <v>33</v>
      </c>
      <c r="K21" s="23" t="s">
        <v>32</v>
      </c>
      <c r="L21" s="51" t="s">
        <v>0</v>
      </c>
      <c r="M21" s="6" t="s">
        <v>0</v>
      </c>
      <c r="N21" s="181" t="s">
        <v>0</v>
      </c>
    </row>
    <row r="22" spans="1:18" x14ac:dyDescent="0.3">
      <c r="A22" s="7">
        <v>1</v>
      </c>
      <c r="B22" s="198"/>
      <c r="C22" s="496"/>
      <c r="D22" s="236"/>
      <c r="E22" s="59">
        <f>IF(B22=0,0,VLOOKUP(B22,WageBeneTable5[#All],2,FALSE))</f>
        <v>0</v>
      </c>
      <c r="F22" s="715">
        <f>IF($E22=0,0,'Pay &amp; Benefits'!$C$10)</f>
        <v>0</v>
      </c>
      <c r="G22" s="716"/>
      <c r="H22" s="77">
        <f>IF($E22=0,0,'Pay &amp; Benefits'!$C$11)</f>
        <v>0</v>
      </c>
      <c r="I22" s="71">
        <f t="shared" ref="I22:I37" si="0">IF(E22=0,0,0.0765)</f>
        <v>0</v>
      </c>
      <c r="J22" s="60">
        <f>IF(B22=0,0,VLOOKUP(B22,WageBeneTable5[],3,FALSE))</f>
        <v>0</v>
      </c>
      <c r="K22" s="59" t="str">
        <f>IF(E22=0," ",C22*E22*(1+I22+F22+H22+J22))</f>
        <v xml:space="preserve"> </v>
      </c>
      <c r="L22" s="59">
        <f t="shared" ref="L22:L37" si="1">IF(K22=" ",0,K22*D22)</f>
        <v>0</v>
      </c>
      <c r="M22" s="61" t="str">
        <f>IF(B22=0," ",C22*D22)</f>
        <v xml:space="preserve"> </v>
      </c>
      <c r="N22" s="192">
        <f t="shared" ref="N22:N37" si="2">L22/12</f>
        <v>0</v>
      </c>
    </row>
    <row r="23" spans="1:18" x14ac:dyDescent="0.3">
      <c r="A23" s="7">
        <v>2</v>
      </c>
      <c r="B23" s="112"/>
      <c r="C23" s="490"/>
      <c r="D23" s="237"/>
      <c r="E23" s="58">
        <f>IF(B23=0,0,VLOOKUP(B23,WageBeneTable5[#All],2,FALSE))</f>
        <v>0</v>
      </c>
      <c r="F23" s="717">
        <f>IF($E23=0,0,'Pay &amp; Benefits'!$C$10)</f>
        <v>0</v>
      </c>
      <c r="G23" s="718"/>
      <c r="H23" s="78">
        <f>IF($E23=0,0,'Pay &amp; Benefits'!$C$11)</f>
        <v>0</v>
      </c>
      <c r="I23" s="72">
        <f t="shared" si="0"/>
        <v>0</v>
      </c>
      <c r="J23" s="62">
        <f>IF(B23=0,0,VLOOKUP(B23,WageBeneTable5[],3,FALSE))</f>
        <v>0</v>
      </c>
      <c r="K23" s="58" t="str">
        <f t="shared" ref="K23:K41" si="3">IF(E23=0," ",C23*E23*(1+I23+F23+H23+J23))</f>
        <v xml:space="preserve"> </v>
      </c>
      <c r="L23" s="58">
        <f t="shared" si="1"/>
        <v>0</v>
      </c>
      <c r="M23" s="63" t="str">
        <f t="shared" ref="M23:M41" si="4">IF(B23=0," ",C23*D23)</f>
        <v xml:space="preserve"> </v>
      </c>
      <c r="N23" s="199">
        <f t="shared" si="2"/>
        <v>0</v>
      </c>
    </row>
    <row r="24" spans="1:18" x14ac:dyDescent="0.3">
      <c r="A24" s="7">
        <v>3</v>
      </c>
      <c r="B24" s="112"/>
      <c r="C24" s="490"/>
      <c r="D24" s="237"/>
      <c r="E24" s="58">
        <f>IF(B24=0,0,VLOOKUP(B24,WageBeneTable5[#All],2,FALSE))</f>
        <v>0</v>
      </c>
      <c r="F24" s="717">
        <f>IF($E24=0,0,'Pay &amp; Benefits'!$C$10)</f>
        <v>0</v>
      </c>
      <c r="G24" s="718"/>
      <c r="H24" s="78">
        <f>IF($E24=0,0,'Pay &amp; Benefits'!$C$11)</f>
        <v>0</v>
      </c>
      <c r="I24" s="72">
        <f t="shared" si="0"/>
        <v>0</v>
      </c>
      <c r="J24" s="62">
        <f>IF(B24=0,0,VLOOKUP(B24,WageBeneTable5[],3,FALSE))</f>
        <v>0</v>
      </c>
      <c r="K24" s="58" t="str">
        <f t="shared" si="3"/>
        <v xml:space="preserve"> </v>
      </c>
      <c r="L24" s="58">
        <f t="shared" si="1"/>
        <v>0</v>
      </c>
      <c r="M24" s="63" t="str">
        <f t="shared" si="4"/>
        <v xml:space="preserve"> </v>
      </c>
      <c r="N24" s="199">
        <f t="shared" si="2"/>
        <v>0</v>
      </c>
    </row>
    <row r="25" spans="1:18" x14ac:dyDescent="0.3">
      <c r="A25" s="7">
        <v>4</v>
      </c>
      <c r="B25" s="112"/>
      <c r="C25" s="490"/>
      <c r="D25" s="237"/>
      <c r="E25" s="58">
        <f>IF(B25=0,0,VLOOKUP(B25,WageBeneTable5[#All],2,FALSE))</f>
        <v>0</v>
      </c>
      <c r="F25" s="717">
        <f>IF($E25=0,0,'Pay &amp; Benefits'!$C$10)</f>
        <v>0</v>
      </c>
      <c r="G25" s="718"/>
      <c r="H25" s="78">
        <f>IF($E25=0,0,'Pay &amp; Benefits'!$C$11)</f>
        <v>0</v>
      </c>
      <c r="I25" s="72">
        <f t="shared" si="0"/>
        <v>0</v>
      </c>
      <c r="J25" s="62">
        <f>IF(B25=0,0,VLOOKUP(B25,WageBeneTable5[],3,FALSE))</f>
        <v>0</v>
      </c>
      <c r="K25" s="58" t="str">
        <f t="shared" si="3"/>
        <v xml:space="preserve"> </v>
      </c>
      <c r="L25" s="58">
        <f t="shared" si="1"/>
        <v>0</v>
      </c>
      <c r="M25" s="63" t="str">
        <f t="shared" si="4"/>
        <v xml:space="preserve"> </v>
      </c>
      <c r="N25" s="199">
        <f t="shared" si="2"/>
        <v>0</v>
      </c>
    </row>
    <row r="26" spans="1:18" ht="15" thickBot="1" x14ac:dyDescent="0.35">
      <c r="A26" s="7">
        <v>5</v>
      </c>
      <c r="B26" s="200"/>
      <c r="C26" s="491"/>
      <c r="D26" s="238"/>
      <c r="E26" s="26">
        <f>IF(B26=0,0,VLOOKUP(B26,WageBeneTable5[#All],2,FALSE))</f>
        <v>0</v>
      </c>
      <c r="F26" s="721">
        <f>IF($E26=0,0,'Pay &amp; Benefits'!$C$10)</f>
        <v>0</v>
      </c>
      <c r="G26" s="725"/>
      <c r="H26" s="79">
        <f>IF($E26=0,0,'Pay &amp; Benefits'!$C$11)</f>
        <v>0</v>
      </c>
      <c r="I26" s="73">
        <f t="shared" si="0"/>
        <v>0</v>
      </c>
      <c r="J26" s="54">
        <f>IF(B26=0,0,VLOOKUP(B26,WageBeneTable5[],3,FALSE))</f>
        <v>0</v>
      </c>
      <c r="K26" s="26" t="str">
        <f t="shared" si="3"/>
        <v xml:space="preserve"> </v>
      </c>
      <c r="L26" s="26">
        <f t="shared" si="1"/>
        <v>0</v>
      </c>
      <c r="M26" s="27" t="str">
        <f t="shared" si="4"/>
        <v xml:space="preserve"> </v>
      </c>
      <c r="N26" s="194">
        <f t="shared" si="2"/>
        <v>0</v>
      </c>
    </row>
    <row r="27" spans="1:18" x14ac:dyDescent="0.3">
      <c r="A27" s="7">
        <v>6</v>
      </c>
      <c r="B27" s="198"/>
      <c r="C27" s="492"/>
      <c r="D27" s="239"/>
      <c r="E27" s="24">
        <f>IF(B27=0,0,VLOOKUP(B27,WageBeneTable5[#All],2,FALSE))</f>
        <v>0</v>
      </c>
      <c r="F27" s="726">
        <f>IF($E27=0,0,'Pay &amp; Benefits'!$C$10)</f>
        <v>0</v>
      </c>
      <c r="G27" s="727"/>
      <c r="H27" s="80">
        <f>IF($E27=0,0,'Pay &amp; Benefits'!$C$11)</f>
        <v>0</v>
      </c>
      <c r="I27" s="74">
        <f t="shared" si="0"/>
        <v>0</v>
      </c>
      <c r="J27" s="53">
        <f>IF(B27=0,0,VLOOKUP(B27,WageBeneTable5[],3,FALSE))</f>
        <v>0</v>
      </c>
      <c r="K27" s="24" t="str">
        <f t="shared" si="3"/>
        <v xml:space="preserve"> </v>
      </c>
      <c r="L27" s="24">
        <f t="shared" si="1"/>
        <v>0</v>
      </c>
      <c r="M27" s="25" t="str">
        <f t="shared" si="4"/>
        <v xml:space="preserve"> </v>
      </c>
      <c r="N27" s="193">
        <f t="shared" si="2"/>
        <v>0</v>
      </c>
    </row>
    <row r="28" spans="1:18" x14ac:dyDescent="0.3">
      <c r="A28" s="7">
        <v>7</v>
      </c>
      <c r="B28" s="112"/>
      <c r="C28" s="490"/>
      <c r="D28" s="239"/>
      <c r="E28" s="24">
        <f>IF(B28=0,0,VLOOKUP(B28,WageBeneTable5[#All],2,FALSE))</f>
        <v>0</v>
      </c>
      <c r="F28" s="717">
        <f>IF($E28=0,0,'Pay &amp; Benefits'!$C$10)</f>
        <v>0</v>
      </c>
      <c r="G28" s="718"/>
      <c r="H28" s="80">
        <f>IF($E28=0,0,'Pay &amp; Benefits'!$C$11)</f>
        <v>0</v>
      </c>
      <c r="I28" s="74">
        <f t="shared" si="0"/>
        <v>0</v>
      </c>
      <c r="J28" s="53">
        <f>IF(B28=0,0,VLOOKUP(B28,WageBeneTable5[],3,FALSE))</f>
        <v>0</v>
      </c>
      <c r="K28" s="24" t="str">
        <f t="shared" si="3"/>
        <v xml:space="preserve"> </v>
      </c>
      <c r="L28" s="24">
        <f t="shared" si="1"/>
        <v>0</v>
      </c>
      <c r="M28" s="25" t="str">
        <f t="shared" si="4"/>
        <v xml:space="preserve"> </v>
      </c>
      <c r="N28" s="193">
        <f t="shared" si="2"/>
        <v>0</v>
      </c>
    </row>
    <row r="29" spans="1:18" x14ac:dyDescent="0.3">
      <c r="A29" s="7">
        <v>8</v>
      </c>
      <c r="B29" s="112"/>
      <c r="C29" s="490"/>
      <c r="D29" s="239"/>
      <c r="E29" s="24">
        <f>IF(B29=0,0,VLOOKUP(B29,WageBeneTable5[#All],2,FALSE))</f>
        <v>0</v>
      </c>
      <c r="F29" s="717">
        <f>IF($E29=0,0,'Pay &amp; Benefits'!$C$10)</f>
        <v>0</v>
      </c>
      <c r="G29" s="713"/>
      <c r="H29" s="80">
        <f>IF($E29=0,0,'Pay &amp; Benefits'!$C$11)</f>
        <v>0</v>
      </c>
      <c r="I29" s="74">
        <f t="shared" si="0"/>
        <v>0</v>
      </c>
      <c r="J29" s="53">
        <f>IF(B29=0,0,VLOOKUP(B29,WageBeneTable5[],3,FALSE))</f>
        <v>0</v>
      </c>
      <c r="K29" s="24" t="str">
        <f t="shared" si="3"/>
        <v xml:space="preserve"> </v>
      </c>
      <c r="L29" s="24">
        <f t="shared" si="1"/>
        <v>0</v>
      </c>
      <c r="M29" s="25" t="str">
        <f t="shared" si="4"/>
        <v xml:space="preserve"> </v>
      </c>
      <c r="N29" s="193">
        <f t="shared" si="2"/>
        <v>0</v>
      </c>
    </row>
    <row r="30" spans="1:18" x14ac:dyDescent="0.3">
      <c r="A30" s="7">
        <v>9</v>
      </c>
      <c r="B30" s="112"/>
      <c r="C30" s="490"/>
      <c r="D30" s="239"/>
      <c r="E30" s="24">
        <f>IF(B30=0,0,VLOOKUP(B30,WageBeneTable5[#All],2,FALSE))</f>
        <v>0</v>
      </c>
      <c r="F30" s="717">
        <f>IF($E30=0,0,'Pay &amp; Benefits'!$C$10)</f>
        <v>0</v>
      </c>
      <c r="G30" s="713"/>
      <c r="H30" s="80">
        <f>IF($E30=0,0,'Pay &amp; Benefits'!$C$11)</f>
        <v>0</v>
      </c>
      <c r="I30" s="74">
        <f t="shared" si="0"/>
        <v>0</v>
      </c>
      <c r="J30" s="53">
        <f>IF(B30=0,0,VLOOKUP(B30,WageBeneTable5[],3,FALSE))</f>
        <v>0</v>
      </c>
      <c r="K30" s="24" t="str">
        <f t="shared" si="3"/>
        <v xml:space="preserve"> </v>
      </c>
      <c r="L30" s="24">
        <f t="shared" si="1"/>
        <v>0</v>
      </c>
      <c r="M30" s="25" t="str">
        <f t="shared" si="4"/>
        <v xml:space="preserve"> </v>
      </c>
      <c r="N30" s="193">
        <f t="shared" si="2"/>
        <v>0</v>
      </c>
    </row>
    <row r="31" spans="1:18" ht="15" thickBot="1" x14ac:dyDescent="0.35">
      <c r="A31" s="7">
        <v>10</v>
      </c>
      <c r="B31" s="200"/>
      <c r="C31" s="491"/>
      <c r="D31" s="238"/>
      <c r="E31" s="26">
        <f>IF(B31=0,0,VLOOKUP(B31,WageBeneTable5[#All],2,FALSE))</f>
        <v>0</v>
      </c>
      <c r="F31" s="721">
        <f>IF($E31=0,0,'Pay &amp; Benefits'!$C$10)</f>
        <v>0</v>
      </c>
      <c r="G31" s="722"/>
      <c r="H31" s="79">
        <f>IF($E31=0,0,'Pay &amp; Benefits'!$C$11)</f>
        <v>0</v>
      </c>
      <c r="I31" s="73">
        <f t="shared" si="0"/>
        <v>0</v>
      </c>
      <c r="J31" s="54">
        <f>IF(B31=0,0,VLOOKUP(B31,WageBeneTable5[],3,FALSE))</f>
        <v>0</v>
      </c>
      <c r="K31" s="24" t="str">
        <f t="shared" si="3"/>
        <v xml:space="preserve"> </v>
      </c>
      <c r="L31" s="26">
        <f t="shared" si="1"/>
        <v>0</v>
      </c>
      <c r="M31" s="27" t="str">
        <f t="shared" si="4"/>
        <v xml:space="preserve"> </v>
      </c>
      <c r="N31" s="194">
        <f t="shared" si="2"/>
        <v>0</v>
      </c>
    </row>
    <row r="32" spans="1:18" x14ac:dyDescent="0.3">
      <c r="A32" s="7">
        <v>11</v>
      </c>
      <c r="B32" s="198"/>
      <c r="C32" s="493"/>
      <c r="D32" s="236"/>
      <c r="E32" s="59">
        <f>IF(B32=0,0,VLOOKUP(B32,WageBeneTable5[#All],2,FALSE))</f>
        <v>0</v>
      </c>
      <c r="F32" s="715">
        <f>IF($E32=0,0,'Pay &amp; Benefits'!$C$10)</f>
        <v>0</v>
      </c>
      <c r="G32" s="716"/>
      <c r="H32" s="77">
        <f>IF($E32=0,0,'Pay &amp; Benefits'!$C$11)</f>
        <v>0</v>
      </c>
      <c r="I32" s="71">
        <f t="shared" si="0"/>
        <v>0</v>
      </c>
      <c r="J32" s="60">
        <f>IF(B32=0,0,VLOOKUP(B32,WageBeneTable5[],3,FALSE))</f>
        <v>0</v>
      </c>
      <c r="K32" s="59" t="str">
        <f t="shared" si="3"/>
        <v xml:space="preserve"> </v>
      </c>
      <c r="L32" s="59">
        <f t="shared" si="1"/>
        <v>0</v>
      </c>
      <c r="M32" s="61" t="str">
        <f t="shared" si="4"/>
        <v xml:space="preserve"> </v>
      </c>
      <c r="N32" s="192">
        <f t="shared" si="2"/>
        <v>0</v>
      </c>
      <c r="O32" s="55"/>
    </row>
    <row r="33" spans="1:15" x14ac:dyDescent="0.3">
      <c r="A33" s="7">
        <v>12</v>
      </c>
      <c r="B33" s="112"/>
      <c r="C33" s="490"/>
      <c r="D33" s="237"/>
      <c r="E33" s="58">
        <f>IF(B33=0,0,VLOOKUP(B33,WageBeneTable5[#All],2,FALSE))</f>
        <v>0</v>
      </c>
      <c r="F33" s="717">
        <f>IF($E33=0,0,'Pay &amp; Benefits'!$C$10)</f>
        <v>0</v>
      </c>
      <c r="G33" s="718"/>
      <c r="H33" s="78">
        <f>IF($E33=0,0,'Pay &amp; Benefits'!$C$11)</f>
        <v>0</v>
      </c>
      <c r="I33" s="72">
        <f t="shared" si="0"/>
        <v>0</v>
      </c>
      <c r="J33" s="62">
        <f>IF(B33=0,0,VLOOKUP(B33,WageBeneTable5[],3,FALSE))</f>
        <v>0</v>
      </c>
      <c r="K33" s="58" t="str">
        <f t="shared" si="3"/>
        <v xml:space="preserve"> </v>
      </c>
      <c r="L33" s="58">
        <f t="shared" si="1"/>
        <v>0</v>
      </c>
      <c r="M33" s="63" t="str">
        <f t="shared" si="4"/>
        <v xml:space="preserve"> </v>
      </c>
      <c r="N33" s="199">
        <f t="shared" si="2"/>
        <v>0</v>
      </c>
      <c r="O33" s="55"/>
    </row>
    <row r="34" spans="1:15" x14ac:dyDescent="0.3">
      <c r="A34" s="7">
        <v>13</v>
      </c>
      <c r="B34" s="112"/>
      <c r="C34" s="490"/>
      <c r="D34" s="237"/>
      <c r="E34" s="58">
        <f>IF(B34=0,0,VLOOKUP(B34,WageBeneTable5[#All],2,FALSE))</f>
        <v>0</v>
      </c>
      <c r="F34" s="717">
        <f>IF($E34=0,0,'Pay &amp; Benefits'!$C$10)</f>
        <v>0</v>
      </c>
      <c r="G34" s="718"/>
      <c r="H34" s="78">
        <f>IF($E34=0,0,'Pay &amp; Benefits'!$C$11)</f>
        <v>0</v>
      </c>
      <c r="I34" s="72">
        <f t="shared" si="0"/>
        <v>0</v>
      </c>
      <c r="J34" s="62">
        <f>IF(B34=0,0,VLOOKUP(B34,WageBeneTable5[],3,FALSE))</f>
        <v>0</v>
      </c>
      <c r="K34" s="58" t="str">
        <f t="shared" si="3"/>
        <v xml:space="preserve"> </v>
      </c>
      <c r="L34" s="58">
        <f t="shared" si="1"/>
        <v>0</v>
      </c>
      <c r="M34" s="63" t="str">
        <f t="shared" si="4"/>
        <v xml:space="preserve"> </v>
      </c>
      <c r="N34" s="199">
        <f t="shared" si="2"/>
        <v>0</v>
      </c>
      <c r="O34" s="7"/>
    </row>
    <row r="35" spans="1:15" x14ac:dyDescent="0.3">
      <c r="A35" s="7">
        <v>14</v>
      </c>
      <c r="B35" s="112"/>
      <c r="C35" s="490"/>
      <c r="D35" s="237"/>
      <c r="E35" s="58">
        <f>IF(B35=0,0,VLOOKUP(B35,WageBeneTable5[#All],2,FALSE))</f>
        <v>0</v>
      </c>
      <c r="F35" s="717">
        <f>IF($E35=0,0,'Pay &amp; Benefits'!$C$10)</f>
        <v>0</v>
      </c>
      <c r="G35" s="718"/>
      <c r="H35" s="78">
        <f>IF($E35=0,0,'Pay &amp; Benefits'!$C$11)</f>
        <v>0</v>
      </c>
      <c r="I35" s="72">
        <f t="shared" si="0"/>
        <v>0</v>
      </c>
      <c r="J35" s="62">
        <f>IF(B35=0,0,VLOOKUP(B35,WageBeneTable5[],3,FALSE))</f>
        <v>0</v>
      </c>
      <c r="K35" s="58" t="str">
        <f t="shared" si="3"/>
        <v xml:space="preserve"> </v>
      </c>
      <c r="L35" s="58">
        <f t="shared" si="1"/>
        <v>0</v>
      </c>
      <c r="M35" s="63" t="str">
        <f t="shared" si="4"/>
        <v xml:space="preserve"> </v>
      </c>
      <c r="N35" s="199">
        <f t="shared" si="2"/>
        <v>0</v>
      </c>
      <c r="O35" s="44"/>
    </row>
    <row r="36" spans="1:15" ht="15" thickBot="1" x14ac:dyDescent="0.35">
      <c r="A36" s="7">
        <v>15</v>
      </c>
      <c r="B36" s="200"/>
      <c r="C36" s="491"/>
      <c r="D36" s="238"/>
      <c r="E36" s="26">
        <f>IF(B36=0,0,VLOOKUP(B36,WageBeneTable5[#All],2,FALSE))</f>
        <v>0</v>
      </c>
      <c r="F36" s="721">
        <f>IF($E36=0,0,'Pay &amp; Benefits'!$C$10)</f>
        <v>0</v>
      </c>
      <c r="G36" s="725"/>
      <c r="H36" s="79">
        <f>IF($E36=0,0,'Pay &amp; Benefits'!$C$11)</f>
        <v>0</v>
      </c>
      <c r="I36" s="73">
        <f t="shared" si="0"/>
        <v>0</v>
      </c>
      <c r="J36" s="54">
        <f>IF(B36=0,0,VLOOKUP(B36,WageBeneTable5[],3,FALSE))</f>
        <v>0</v>
      </c>
      <c r="K36" s="26" t="str">
        <f t="shared" si="3"/>
        <v xml:space="preserve"> </v>
      </c>
      <c r="L36" s="26">
        <f t="shared" si="1"/>
        <v>0</v>
      </c>
      <c r="M36" s="27" t="str">
        <f t="shared" si="4"/>
        <v xml:space="preserve"> </v>
      </c>
      <c r="N36" s="194">
        <f t="shared" si="2"/>
        <v>0</v>
      </c>
    </row>
    <row r="37" spans="1:15" x14ac:dyDescent="0.3">
      <c r="A37" s="7">
        <v>16</v>
      </c>
      <c r="B37" s="115"/>
      <c r="C37" s="492"/>
      <c r="D37" s="239"/>
      <c r="E37" s="24">
        <f>IF(B37=0,0,VLOOKUP(B37,WageBeneTable5[#All],2,FALSE))</f>
        <v>0</v>
      </c>
      <c r="F37" s="726">
        <f>IF($E37=0,0,'Pay &amp; Benefits'!$C$10)</f>
        <v>0</v>
      </c>
      <c r="G37" s="727"/>
      <c r="H37" s="80">
        <f>IF($E37=0,0,'Pay &amp; Benefits'!$C$11)</f>
        <v>0</v>
      </c>
      <c r="I37" s="74">
        <f t="shared" si="0"/>
        <v>0</v>
      </c>
      <c r="J37" s="53">
        <f>IF(B37=0,0,VLOOKUP(B37,WageBeneTable5[],3,FALSE))</f>
        <v>0</v>
      </c>
      <c r="K37" s="24" t="str">
        <f t="shared" si="3"/>
        <v xml:space="preserve"> </v>
      </c>
      <c r="L37" s="24">
        <f t="shared" si="1"/>
        <v>0</v>
      </c>
      <c r="M37" s="25" t="str">
        <f t="shared" si="4"/>
        <v xml:space="preserve"> </v>
      </c>
      <c r="N37" s="193">
        <f t="shared" si="2"/>
        <v>0</v>
      </c>
    </row>
    <row r="38" spans="1:15" x14ac:dyDescent="0.3">
      <c r="A38" s="7">
        <v>17</v>
      </c>
      <c r="B38" s="112"/>
      <c r="C38" s="490"/>
      <c r="D38" s="239"/>
      <c r="E38" s="24">
        <f>IF(B38=0,0,VLOOKUP(B38,WageBeneTable5[#All],2,FALSE))</f>
        <v>0</v>
      </c>
      <c r="F38" s="717">
        <f>IF($E38=0,0,'Pay &amp; Benefits'!$C$10)</f>
        <v>0</v>
      </c>
      <c r="G38" s="718"/>
      <c r="H38" s="80">
        <f>IF($E38=0,0,'Pay &amp; Benefits'!$C$11)</f>
        <v>0</v>
      </c>
      <c r="I38" s="74">
        <f t="shared" ref="I38" si="5">IF(E38=0,0,0.0765)</f>
        <v>0</v>
      </c>
      <c r="J38" s="53">
        <f>IF(B38=0,0,VLOOKUP(B38,WageBeneTable5[],3,FALSE))</f>
        <v>0</v>
      </c>
      <c r="K38" s="24" t="str">
        <f t="shared" si="3"/>
        <v xml:space="preserve"> </v>
      </c>
      <c r="L38" s="24">
        <f t="shared" ref="L38" si="6">IF(K38=" ",0,K38*D38)</f>
        <v>0</v>
      </c>
      <c r="M38" s="25" t="str">
        <f t="shared" si="4"/>
        <v xml:space="preserve"> </v>
      </c>
      <c r="N38" s="193">
        <f t="shared" ref="N38" si="7">L38/12</f>
        <v>0</v>
      </c>
    </row>
    <row r="39" spans="1:15" x14ac:dyDescent="0.3">
      <c r="A39" s="7">
        <v>18</v>
      </c>
      <c r="B39" s="112"/>
      <c r="C39" s="490"/>
      <c r="D39" s="239"/>
      <c r="E39" s="24">
        <f>IF(B39=0,0,VLOOKUP(B39,WageBeneTable5[#All],2,FALSE))</f>
        <v>0</v>
      </c>
      <c r="F39" s="717">
        <f>IF($E39=0,0,'Pay &amp; Benefits'!$C$10)</f>
        <v>0</v>
      </c>
      <c r="G39" s="713"/>
      <c r="H39" s="80">
        <f>IF($E39=0,0,'Pay &amp; Benefits'!$C$11)</f>
        <v>0</v>
      </c>
      <c r="I39" s="74">
        <f t="shared" ref="I39:I41" si="8">IF(E39=0,0,0.0765)</f>
        <v>0</v>
      </c>
      <c r="J39" s="53">
        <f>IF(B39=0,0,VLOOKUP(B39,WageBeneTable5[],3,FALSE))</f>
        <v>0</v>
      </c>
      <c r="K39" s="24" t="str">
        <f t="shared" si="3"/>
        <v xml:space="preserve"> </v>
      </c>
      <c r="L39" s="24">
        <f t="shared" ref="L39:L41" si="9">IF(K39=" ",0,K39*D39)</f>
        <v>0</v>
      </c>
      <c r="M39" s="25" t="str">
        <f t="shared" si="4"/>
        <v xml:space="preserve"> </v>
      </c>
      <c r="N39" s="193">
        <f t="shared" ref="N39:N41" si="10">L39/12</f>
        <v>0</v>
      </c>
    </row>
    <row r="40" spans="1:15" x14ac:dyDescent="0.3">
      <c r="A40" s="7">
        <v>19</v>
      </c>
      <c r="B40" s="112"/>
      <c r="C40" s="490"/>
      <c r="D40" s="239"/>
      <c r="E40" s="24">
        <f>IF(B40=0,0,VLOOKUP(B40,WageBeneTable5[#All],2,FALSE))</f>
        <v>0</v>
      </c>
      <c r="F40" s="717">
        <f>IF($E40=0,0,'Pay &amp; Benefits'!$C$10)</f>
        <v>0</v>
      </c>
      <c r="G40" s="713"/>
      <c r="H40" s="80">
        <f>IF($E40=0,0,'Pay &amp; Benefits'!$C$11)</f>
        <v>0</v>
      </c>
      <c r="I40" s="74">
        <f t="shared" si="8"/>
        <v>0</v>
      </c>
      <c r="J40" s="53">
        <f>IF(B40=0,0,VLOOKUP(B40,WageBeneTable5[],3,FALSE))</f>
        <v>0</v>
      </c>
      <c r="K40" s="24" t="str">
        <f t="shared" si="3"/>
        <v xml:space="preserve"> </v>
      </c>
      <c r="L40" s="24">
        <f t="shared" si="9"/>
        <v>0</v>
      </c>
      <c r="M40" s="25" t="str">
        <f t="shared" si="4"/>
        <v xml:space="preserve"> </v>
      </c>
      <c r="N40" s="193">
        <f t="shared" si="10"/>
        <v>0</v>
      </c>
    </row>
    <row r="41" spans="1:15" ht="15" thickBot="1" x14ac:dyDescent="0.35">
      <c r="A41" s="7">
        <v>20</v>
      </c>
      <c r="B41" s="113"/>
      <c r="C41" s="494"/>
      <c r="D41" s="240"/>
      <c r="E41" s="201">
        <f>IF(B41=0,0,VLOOKUP(B41,WageBeneTable5[#All],2,FALSE))</f>
        <v>0</v>
      </c>
      <c r="F41" s="723">
        <f>IF($E41=0,0,'Pay &amp; Benefits'!$C$10)</f>
        <v>0</v>
      </c>
      <c r="G41" s="724"/>
      <c r="H41" s="202">
        <f>IF($E41=0,0,'Pay &amp; Benefits'!$C$11)</f>
        <v>0</v>
      </c>
      <c r="I41" s="203">
        <f t="shared" si="8"/>
        <v>0</v>
      </c>
      <c r="J41" s="204">
        <f>IF(B41=0,0,VLOOKUP(B41,WageBeneTable5[],3,FALSE))</f>
        <v>0</v>
      </c>
      <c r="K41" s="201" t="str">
        <f t="shared" si="3"/>
        <v xml:space="preserve"> </v>
      </c>
      <c r="L41" s="201">
        <f t="shared" si="9"/>
        <v>0</v>
      </c>
      <c r="M41" s="205" t="str">
        <f t="shared" si="4"/>
        <v xml:space="preserve"> </v>
      </c>
      <c r="N41" s="196">
        <f t="shared" si="10"/>
        <v>0</v>
      </c>
    </row>
    <row r="42" spans="1:15" ht="15" thickTop="1" x14ac:dyDescent="0.3">
      <c r="K42" s="7"/>
      <c r="L42" s="29"/>
      <c r="M42" s="1"/>
    </row>
    <row r="43" spans="1:15" ht="15" thickBot="1" x14ac:dyDescent="0.35">
      <c r="B43" s="30" t="s">
        <v>98</v>
      </c>
      <c r="E43" s="31"/>
      <c r="H43" s="2" t="s">
        <v>99</v>
      </c>
    </row>
    <row r="44" spans="1:15" ht="15" thickTop="1" x14ac:dyDescent="0.3">
      <c r="B44" s="123" t="s">
        <v>115</v>
      </c>
      <c r="C44" s="188" t="s">
        <v>9</v>
      </c>
      <c r="D44" s="188" t="s">
        <v>4</v>
      </c>
      <c r="E44" s="189" t="s">
        <v>1</v>
      </c>
      <c r="H44" s="734" t="s">
        <v>10</v>
      </c>
      <c r="I44" s="735"/>
      <c r="J44" s="119" t="s">
        <v>78</v>
      </c>
      <c r="K44" s="119" t="s">
        <v>11</v>
      </c>
      <c r="L44" s="120" t="s">
        <v>76</v>
      </c>
    </row>
    <row r="45" spans="1:15" ht="15" thickBot="1" x14ac:dyDescent="0.35">
      <c r="B45" s="125" t="s">
        <v>116</v>
      </c>
      <c r="C45" s="34" t="s">
        <v>6</v>
      </c>
      <c r="D45" s="34" t="s">
        <v>5</v>
      </c>
      <c r="E45" s="190" t="s">
        <v>7</v>
      </c>
      <c r="H45" s="728" t="s">
        <v>8</v>
      </c>
      <c r="I45" s="736"/>
      <c r="J45" s="35" t="s">
        <v>79</v>
      </c>
      <c r="K45" s="35" t="s">
        <v>12</v>
      </c>
      <c r="L45" s="122" t="s">
        <v>159</v>
      </c>
    </row>
    <row r="46" spans="1:15" x14ac:dyDescent="0.3">
      <c r="A46" s="7">
        <v>1</v>
      </c>
      <c r="B46" s="253"/>
      <c r="C46" s="64"/>
      <c r="D46" s="226" t="str">
        <f>IF(B46=0," ",VLOOKUP(B46,Supplies!$B$13:$C$97,2,FALSE))</f>
        <v xml:space="preserve"> </v>
      </c>
      <c r="E46" s="222" t="str">
        <f t="shared" ref="E46:E85" si="11">IF(D46=" "," ",D46*C46)</f>
        <v xml:space="preserve"> </v>
      </c>
      <c r="G46" s="7">
        <v>1</v>
      </c>
      <c r="H46" s="737"/>
      <c r="I46" s="738"/>
      <c r="J46" s="129"/>
      <c r="K46" s="57"/>
      <c r="L46" s="192" t="str">
        <f>IF(K46=0," ",IF(VLOOKUP(H46,'Equipment List'!$B$12:$F$96,5,FALSE)="Grant",0,IF(VLOOKUP(H46,'Equipment List'!$B$12:$F$96,5,FALSE)="Depreciated",0,J46*K46*VLOOKUP(H46,'Equipment List'!$B$12:$F$96,5,FALSE)/12)))</f>
        <v xml:space="preserve"> </v>
      </c>
    </row>
    <row r="47" spans="1:15" x14ac:dyDescent="0.3">
      <c r="A47" s="7">
        <v>2</v>
      </c>
      <c r="B47" s="254"/>
      <c r="C47" s="65"/>
      <c r="D47" s="227" t="str">
        <f>IF(B47=0," ",VLOOKUP(B47,Supplies!$B$13:$C$97,2,FALSE))</f>
        <v xml:space="preserve"> </v>
      </c>
      <c r="E47" s="223" t="str">
        <f t="shared" si="11"/>
        <v xml:space="preserve"> </v>
      </c>
      <c r="G47" s="7">
        <v>2</v>
      </c>
      <c r="H47" s="739"/>
      <c r="I47" s="740"/>
      <c r="J47" s="130"/>
      <c r="K47" s="41"/>
      <c r="L47" s="193" t="str">
        <f>IF(K47=0," ",IF(VLOOKUP(H47,'Equipment List'!$B$12:$F$96,5,FALSE)="Grant",0,IF(VLOOKUP(H47,'Equipment List'!$B$12:$F$96,5,FALSE)="Depreciated",0,J47*K47*VLOOKUP(H47,'Equipment List'!$B$12:$F$96,5,FALSE)/12)))</f>
        <v xml:space="preserve"> </v>
      </c>
    </row>
    <row r="48" spans="1:15" x14ac:dyDescent="0.3">
      <c r="A48" s="7">
        <v>3</v>
      </c>
      <c r="B48" s="254"/>
      <c r="C48" s="65"/>
      <c r="D48" s="227" t="str">
        <f>IF(B48=0," ",VLOOKUP(B48,Supplies!$B$13:$C$97,2,FALSE))</f>
        <v xml:space="preserve"> </v>
      </c>
      <c r="E48" s="223" t="str">
        <f t="shared" si="11"/>
        <v xml:space="preserve"> </v>
      </c>
      <c r="G48" s="7">
        <v>3</v>
      </c>
      <c r="H48" s="739"/>
      <c r="I48" s="741"/>
      <c r="J48" s="130"/>
      <c r="K48" s="41"/>
      <c r="L48" s="193" t="str">
        <f>IF(K48=0," ",IF(VLOOKUP(H48,'Equipment List'!$B$12:$F$96,5,FALSE)="Grant",0,IF(VLOOKUP(H48,'Equipment List'!$B$12:$F$96,5,FALSE)="Depreciated",0,J48*K48*VLOOKUP(H48,'Equipment List'!$B$12:$F$96,5,FALSE)/12)))</f>
        <v xml:space="preserve"> </v>
      </c>
    </row>
    <row r="49" spans="1:12" x14ac:dyDescent="0.3">
      <c r="A49" s="7">
        <v>4</v>
      </c>
      <c r="B49" s="254"/>
      <c r="C49" s="65"/>
      <c r="D49" s="227" t="str">
        <f>IF(B49=0," ",VLOOKUP(B49,Supplies!$B$13:$C$97,2,FALSE))</f>
        <v xml:space="preserve"> </v>
      </c>
      <c r="E49" s="223" t="str">
        <f t="shared" si="11"/>
        <v xml:space="preserve"> </v>
      </c>
      <c r="G49" s="7">
        <v>4</v>
      </c>
      <c r="H49" s="739"/>
      <c r="I49" s="741"/>
      <c r="J49" s="130"/>
      <c r="K49" s="41"/>
      <c r="L49" s="193" t="str">
        <f>IF(K49=0," ",IF(VLOOKUP(H49,'Equipment List'!$B$12:$F$96,5,FALSE)="Grant",0,IF(VLOOKUP(H49,'Equipment List'!$B$12:$F$96,5,FALSE)="Depreciated",0,J49*K49*VLOOKUP(H49,'Equipment List'!$B$12:$F$96,5,FALSE)/12)))</f>
        <v xml:space="preserve"> </v>
      </c>
    </row>
    <row r="50" spans="1:12" ht="15" thickBot="1" x14ac:dyDescent="0.35">
      <c r="A50" s="7">
        <v>5</v>
      </c>
      <c r="B50" s="255"/>
      <c r="C50" s="66"/>
      <c r="D50" s="228" t="str">
        <f>IF(B50=0," ",VLOOKUP(B50,Supplies!$B$13:$C$97,2,FALSE))</f>
        <v xml:space="preserve"> </v>
      </c>
      <c r="E50" s="224" t="str">
        <f t="shared" si="11"/>
        <v xml:space="preserve"> </v>
      </c>
      <c r="G50" s="7">
        <v>5</v>
      </c>
      <c r="H50" s="742"/>
      <c r="I50" s="743"/>
      <c r="J50" s="131"/>
      <c r="K50" s="42"/>
      <c r="L50" s="194" t="str">
        <f>IF(K50=0," ",IF(VLOOKUP(H50,'Equipment List'!$B$12:$F$96,5,FALSE)="Grant",0,IF(VLOOKUP(H50,'Equipment List'!$B$12:$F$96,5,FALSE)="Depreciated",0,J50*K50*VLOOKUP(H50,'Equipment List'!$B$12:$F$96,5,FALSE)/12)))</f>
        <v xml:space="preserve"> </v>
      </c>
    </row>
    <row r="51" spans="1:12" x14ac:dyDescent="0.3">
      <c r="A51" s="7">
        <v>6</v>
      </c>
      <c r="B51" s="256"/>
      <c r="C51" s="67"/>
      <c r="D51" s="227" t="str">
        <f>IF(B51=0," ",VLOOKUP(B51,Supplies!$B$13:$C$97,2,FALSE))</f>
        <v xml:space="preserve"> </v>
      </c>
      <c r="E51" s="223" t="str">
        <f t="shared" si="11"/>
        <v xml:space="preserve"> </v>
      </c>
      <c r="G51" s="7">
        <v>6</v>
      </c>
      <c r="H51" s="744"/>
      <c r="I51" s="745"/>
      <c r="J51" s="132"/>
      <c r="K51" s="43"/>
      <c r="L51" s="193" t="str">
        <f>IF(K51=0," ",IF(VLOOKUP(H51,'Equipment List'!$B$12:$F$96,5,FALSE)="Grant",0,IF(VLOOKUP(H51,'Equipment List'!$B$12:$F$96,5,FALSE)="Depreciated",0,J51*K51*VLOOKUP(H51,'Equipment List'!$B$12:$F$96,5,FALSE)/12)))</f>
        <v xml:space="preserve"> </v>
      </c>
    </row>
    <row r="52" spans="1:12" x14ac:dyDescent="0.3">
      <c r="A52" s="7">
        <v>7</v>
      </c>
      <c r="B52" s="254"/>
      <c r="C52" s="65"/>
      <c r="D52" s="227" t="str">
        <f>IF(B52=0," ",VLOOKUP(B52,Supplies!$B$13:$C$97,2,FALSE))</f>
        <v xml:space="preserve"> </v>
      </c>
      <c r="E52" s="223" t="str">
        <f t="shared" si="11"/>
        <v xml:space="preserve"> </v>
      </c>
      <c r="G52" s="7">
        <v>7</v>
      </c>
      <c r="H52" s="746"/>
      <c r="I52" s="741"/>
      <c r="J52" s="130"/>
      <c r="K52" s="41"/>
      <c r="L52" s="193" t="str">
        <f>IF(K52=0," ",IF(VLOOKUP(H52,'Equipment List'!$B$12:$F$96,5,FALSE)="Grant",0,IF(VLOOKUP(H52,'Equipment List'!$B$12:$F$96,5,FALSE)="Depreciated",0,J52*K52*VLOOKUP(H52,'Equipment List'!$B$12:$F$96,5,FALSE)/12)))</f>
        <v xml:space="preserve"> </v>
      </c>
    </row>
    <row r="53" spans="1:12" x14ac:dyDescent="0.3">
      <c r="A53" s="7">
        <v>8</v>
      </c>
      <c r="B53" s="254"/>
      <c r="C53" s="65"/>
      <c r="D53" s="227" t="str">
        <f>IF(B53=0," ",VLOOKUP(B53,Supplies!$B$13:$C$97,2,FALSE))</f>
        <v xml:space="preserve"> </v>
      </c>
      <c r="E53" s="223" t="str">
        <f t="shared" si="11"/>
        <v xml:space="preserve"> </v>
      </c>
      <c r="G53" s="7">
        <v>8</v>
      </c>
      <c r="H53" s="746"/>
      <c r="I53" s="741"/>
      <c r="J53" s="130"/>
      <c r="K53" s="41"/>
      <c r="L53" s="193" t="str">
        <f>IF(K53=0," ",IF(VLOOKUP(H53,'Equipment List'!$B$12:$F$96,5,FALSE)="Grant",0,IF(VLOOKUP(H53,'Equipment List'!$B$12:$F$96,5,FALSE)="Depreciated",0,J53*K53*VLOOKUP(H53,'Equipment List'!$B$12:$F$96,5,FALSE)/12)))</f>
        <v xml:space="preserve"> </v>
      </c>
    </row>
    <row r="54" spans="1:12" x14ac:dyDescent="0.3">
      <c r="A54" s="7">
        <v>9</v>
      </c>
      <c r="B54" s="254"/>
      <c r="C54" s="65"/>
      <c r="D54" s="227" t="str">
        <f>IF(B54=0," ",VLOOKUP(B54,Supplies!$B$13:$C$97,2,FALSE))</f>
        <v xml:space="preserve"> </v>
      </c>
      <c r="E54" s="223" t="str">
        <f t="shared" si="11"/>
        <v xml:space="preserve"> </v>
      </c>
      <c r="G54" s="7">
        <v>9</v>
      </c>
      <c r="H54" s="746"/>
      <c r="I54" s="741"/>
      <c r="J54" s="130"/>
      <c r="K54" s="41"/>
      <c r="L54" s="193" t="str">
        <f>IF(K54=0," ",IF(VLOOKUP(H54,'Equipment List'!$B$12:$F$96,5,FALSE)="Grant",0,IF(VLOOKUP(H54,'Equipment List'!$B$12:$F$96,5,FALSE)="Depreciated",0,J54*K54*VLOOKUP(H54,'Equipment List'!$B$12:$F$96,5,FALSE)/12)))</f>
        <v xml:space="preserve"> </v>
      </c>
    </row>
    <row r="55" spans="1:12" ht="15" thickBot="1" x14ac:dyDescent="0.35">
      <c r="A55" s="7">
        <v>10</v>
      </c>
      <c r="B55" s="255"/>
      <c r="C55" s="66"/>
      <c r="D55" s="228" t="str">
        <f>IF(B55=0," ",VLOOKUP(B55,Supplies!$B$13:$C$97,2,FALSE))</f>
        <v xml:space="preserve"> </v>
      </c>
      <c r="E55" s="224" t="str">
        <f t="shared" si="11"/>
        <v xml:space="preserve"> </v>
      </c>
      <c r="G55" s="7">
        <v>10</v>
      </c>
      <c r="H55" s="770"/>
      <c r="I55" s="743"/>
      <c r="J55" s="131"/>
      <c r="K55" s="42"/>
      <c r="L55" s="194" t="str">
        <f>IF(K55=0," ",IF(VLOOKUP(H55,'Equipment List'!$B$12:$F$96,5,FALSE)="Grant",0,IF(VLOOKUP(H55,'Equipment List'!$B$12:$F$96,5,FALSE)="Depreciated",0,J55*K55*VLOOKUP(H55,'Equipment List'!$B$12:$F$96,5,FALSE)/12)))</f>
        <v xml:space="preserve"> </v>
      </c>
    </row>
    <row r="56" spans="1:12" x14ac:dyDescent="0.3">
      <c r="A56" s="7">
        <v>11</v>
      </c>
      <c r="B56" s="253"/>
      <c r="C56" s="64"/>
      <c r="D56" s="226" t="str">
        <f>IF(B56=0," ",VLOOKUP(B56,Supplies!$B$13:$C$97,2,FALSE))</f>
        <v xml:space="preserve"> </v>
      </c>
      <c r="E56" s="222" t="str">
        <f t="shared" si="11"/>
        <v xml:space="preserve"> </v>
      </c>
      <c r="G56" s="7">
        <v>11</v>
      </c>
      <c r="H56" s="737"/>
      <c r="I56" s="745"/>
      <c r="J56" s="129"/>
      <c r="K56" s="57"/>
      <c r="L56" s="192" t="str">
        <f>IF(K56=0," ",IF(VLOOKUP(H56,'Equipment List'!$B$12:$F$96,5,FALSE)="Grant",0,IF(VLOOKUP(H56,'Equipment List'!$B$12:$F$96,5,FALSE)="Depreciated",0,J56*K56*VLOOKUP(H56,'Equipment List'!$B$12:$F$96,5,FALSE)/12)))</f>
        <v xml:space="preserve"> </v>
      </c>
    </row>
    <row r="57" spans="1:12" x14ac:dyDescent="0.3">
      <c r="A57" s="7">
        <v>12</v>
      </c>
      <c r="B57" s="254"/>
      <c r="C57" s="65"/>
      <c r="D57" s="227" t="str">
        <f>IF(B57=0," ",VLOOKUP(B57,Supplies!$B$13:$C$97,2,FALSE))</f>
        <v xml:space="preserve"> </v>
      </c>
      <c r="E57" s="223" t="str">
        <f t="shared" si="11"/>
        <v xml:space="preserve"> </v>
      </c>
      <c r="G57" s="7">
        <v>12</v>
      </c>
      <c r="H57" s="739"/>
      <c r="I57" s="741"/>
      <c r="J57" s="130"/>
      <c r="K57" s="41"/>
      <c r="L57" s="193" t="str">
        <f>IF(K57=0," ",IF(VLOOKUP(H57,'Equipment List'!$B$12:$F$96,5,FALSE)="Grant",0,IF(VLOOKUP(H57,'Equipment List'!$B$12:$F$96,5,FALSE)="Depreciated",0,J57*K57*VLOOKUP(H57,'Equipment List'!$B$12:$F$96,5,FALSE)/12)))</f>
        <v xml:space="preserve"> </v>
      </c>
    </row>
    <row r="58" spans="1:12" x14ac:dyDescent="0.3">
      <c r="A58" s="7">
        <v>13</v>
      </c>
      <c r="B58" s="254"/>
      <c r="C58" s="65"/>
      <c r="D58" s="227" t="str">
        <f>IF(B58=0," ",VLOOKUP(B58,Supplies!$B$13:$C$97,2,FALSE))</f>
        <v xml:space="preserve"> </v>
      </c>
      <c r="E58" s="223" t="str">
        <f t="shared" si="11"/>
        <v xml:space="preserve"> </v>
      </c>
      <c r="G58" s="7">
        <v>13</v>
      </c>
      <c r="H58" s="739"/>
      <c r="I58" s="741"/>
      <c r="J58" s="130"/>
      <c r="K58" s="41"/>
      <c r="L58" s="193" t="str">
        <f>IF(K58=0," ",IF(VLOOKUP(H58,'Equipment List'!$B$12:$F$96,5,FALSE)="Grant",0,IF(VLOOKUP(H58,'Equipment List'!$B$12:$F$96,5,FALSE)="Depreciated",0,J58*K58*VLOOKUP(H58,'Equipment List'!$B$12:$F$96,5,FALSE)/12)))</f>
        <v xml:space="preserve"> </v>
      </c>
    </row>
    <row r="59" spans="1:12" x14ac:dyDescent="0.3">
      <c r="A59" s="7">
        <v>14</v>
      </c>
      <c r="B59" s="254"/>
      <c r="C59" s="65"/>
      <c r="D59" s="227" t="str">
        <f>IF(B59=0," ",VLOOKUP(B59,Supplies!$B$13:$C$97,2,FALSE))</f>
        <v xml:space="preserve"> </v>
      </c>
      <c r="E59" s="223" t="str">
        <f t="shared" si="11"/>
        <v xml:space="preserve"> </v>
      </c>
      <c r="G59" s="7">
        <v>14</v>
      </c>
      <c r="H59" s="739"/>
      <c r="I59" s="741"/>
      <c r="J59" s="130"/>
      <c r="K59" s="41"/>
      <c r="L59" s="193" t="str">
        <f>IF(K59=0," ",IF(VLOOKUP(H59,'Equipment List'!$B$12:$F$96,5,FALSE)="Grant",0,IF(VLOOKUP(H59,'Equipment List'!$B$12:$F$96,5,FALSE)="Depreciated",0,J59*K59*VLOOKUP(H59,'Equipment List'!$B$12:$F$96,5,FALSE)/12)))</f>
        <v xml:space="preserve"> </v>
      </c>
    </row>
    <row r="60" spans="1:12" ht="15" thickBot="1" x14ac:dyDescent="0.35">
      <c r="A60" s="7">
        <v>15</v>
      </c>
      <c r="B60" s="255"/>
      <c r="C60" s="66"/>
      <c r="D60" s="228" t="str">
        <f>IF(B60=0," ",VLOOKUP(B60,Supplies!$B$13:$C$97,2,FALSE))</f>
        <v xml:space="preserve"> </v>
      </c>
      <c r="E60" s="224" t="str">
        <f t="shared" si="11"/>
        <v xml:space="preserve"> </v>
      </c>
      <c r="G60" s="7">
        <v>15</v>
      </c>
      <c r="H60" s="742"/>
      <c r="I60" s="743"/>
      <c r="J60" s="131"/>
      <c r="K60" s="42"/>
      <c r="L60" s="194" t="str">
        <f>IF(K60=0," ",IF(VLOOKUP(H60,'Equipment List'!$B$12:$F$96,5,FALSE)="Grant",0,IF(VLOOKUP(H60,'Equipment List'!$B$12:$F$96,5,FALSE)="Depreciated",0,J60*K60*VLOOKUP(H60,'Equipment List'!$B$12:$F$96,5,FALSE)/12)))</f>
        <v xml:space="preserve"> </v>
      </c>
    </row>
    <row r="61" spans="1:12" x14ac:dyDescent="0.3">
      <c r="A61" s="7">
        <v>16</v>
      </c>
      <c r="B61" s="256"/>
      <c r="C61" s="67"/>
      <c r="D61" s="227" t="str">
        <f>IF(B61=0," ",VLOOKUP(B61,Supplies!$B$13:$C$97,2,FALSE))</f>
        <v xml:space="preserve"> </v>
      </c>
      <c r="E61" s="223" t="str">
        <f t="shared" si="11"/>
        <v xml:space="preserve"> </v>
      </c>
      <c r="G61" s="7">
        <v>16</v>
      </c>
      <c r="H61" s="744"/>
      <c r="I61" s="745"/>
      <c r="J61" s="132"/>
      <c r="K61" s="43"/>
      <c r="L61" s="193" t="str">
        <f>IF(K61=0," ",IF(VLOOKUP(H61,'Equipment List'!$B$12:$F$96,5,FALSE)="Grant",0,IF(VLOOKUP(H61,'Equipment List'!$B$12:$F$96,5,FALSE)="Depreciated",0,J61*K61*VLOOKUP(H61,'Equipment List'!$B$12:$F$96,5,FALSE)/12)))</f>
        <v xml:space="preserve"> </v>
      </c>
    </row>
    <row r="62" spans="1:12" x14ac:dyDescent="0.3">
      <c r="A62" s="7">
        <v>17</v>
      </c>
      <c r="B62" s="254"/>
      <c r="C62" s="65"/>
      <c r="D62" s="227" t="str">
        <f>IF(B62=0," ",VLOOKUP(B62,Supplies!$B$13:$C$97,2,FALSE))</f>
        <v xml:space="preserve"> </v>
      </c>
      <c r="E62" s="223" t="str">
        <f t="shared" si="11"/>
        <v xml:space="preserve"> </v>
      </c>
      <c r="G62" s="7">
        <v>17</v>
      </c>
      <c r="H62" s="746"/>
      <c r="I62" s="741"/>
      <c r="J62" s="130"/>
      <c r="K62" s="41"/>
      <c r="L62" s="193" t="str">
        <f>IF(K62=0," ",IF(VLOOKUP(H62,'Equipment List'!$B$12:$F$96,5,FALSE)="Grant",0,IF(VLOOKUP(H62,'Equipment List'!$B$12:$F$96,5,FALSE)="Depreciated",0,J62*K62*VLOOKUP(H62,'Equipment List'!$B$12:$F$96,5,FALSE)/12)))</f>
        <v xml:space="preserve"> </v>
      </c>
    </row>
    <row r="63" spans="1:12" x14ac:dyDescent="0.3">
      <c r="A63" s="7">
        <v>18</v>
      </c>
      <c r="B63" s="254"/>
      <c r="C63" s="65"/>
      <c r="D63" s="227" t="str">
        <f>IF(B63=0," ",VLOOKUP(B63,Supplies!$B$13:$C$97,2,FALSE))</f>
        <v xml:space="preserve"> </v>
      </c>
      <c r="E63" s="223" t="str">
        <f t="shared" si="11"/>
        <v xml:space="preserve"> </v>
      </c>
      <c r="G63" s="7">
        <v>18</v>
      </c>
      <c r="H63" s="746"/>
      <c r="I63" s="741"/>
      <c r="J63" s="130"/>
      <c r="K63" s="41"/>
      <c r="L63" s="193" t="str">
        <f>IF(K63=0," ",IF(VLOOKUP(H63,'Equipment List'!$B$12:$F$96,5,FALSE)="Grant",0,IF(VLOOKUP(H63,'Equipment List'!$B$12:$F$96,5,FALSE)="Depreciated",0,J63*K63*VLOOKUP(H63,'Equipment List'!$B$12:$F$96,5,FALSE)/12)))</f>
        <v xml:space="preserve"> </v>
      </c>
    </row>
    <row r="64" spans="1:12" x14ac:dyDescent="0.3">
      <c r="A64" s="7">
        <v>19</v>
      </c>
      <c r="B64" s="254"/>
      <c r="C64" s="65"/>
      <c r="D64" s="227" t="str">
        <f>IF(B64=0," ",VLOOKUP(B64,Supplies!$B$13:$C$97,2,FALSE))</f>
        <v xml:space="preserve"> </v>
      </c>
      <c r="E64" s="223" t="str">
        <f t="shared" si="11"/>
        <v xml:space="preserve"> </v>
      </c>
      <c r="G64" s="7">
        <v>19</v>
      </c>
      <c r="H64" s="746"/>
      <c r="I64" s="741"/>
      <c r="J64" s="130"/>
      <c r="K64" s="41"/>
      <c r="L64" s="193" t="str">
        <f>IF(K64=0," ",IF(VLOOKUP(H64,'Equipment List'!$B$12:$F$96,5,FALSE)="Grant",0,IF(VLOOKUP(H64,'Equipment List'!$B$12:$F$96,5,FALSE)="Depreciated",0,J64*K64*VLOOKUP(H64,'Equipment List'!$B$12:$F$96,5,FALSE)/12)))</f>
        <v xml:space="preserve"> </v>
      </c>
    </row>
    <row r="65" spans="1:13" ht="15" thickBot="1" x14ac:dyDescent="0.35">
      <c r="A65" s="7">
        <v>20</v>
      </c>
      <c r="B65" s="255"/>
      <c r="C65" s="66"/>
      <c r="D65" s="228" t="str">
        <f>IF(B65=0," ",VLOOKUP(B65,Supplies!$B$13:$C$97,2,FALSE))</f>
        <v xml:space="preserve"> </v>
      </c>
      <c r="E65" s="224" t="str">
        <f t="shared" si="11"/>
        <v xml:space="preserve"> </v>
      </c>
      <c r="G65" s="7">
        <v>20</v>
      </c>
      <c r="H65" s="752"/>
      <c r="I65" s="753"/>
      <c r="J65" s="195"/>
      <c r="K65" s="114"/>
      <c r="L65" s="196" t="str">
        <f>IF(K65=0," ",IF(VLOOKUP(H65,'Equipment List'!$B$12:$F$96,5,FALSE)="Grant",0,IF(VLOOKUP(H65,'Equipment List'!$B$12:$F$96,5,FALSE)="Depreciated",0,J65*K65*VLOOKUP(H65,'Equipment List'!$B$12:$F$96,5,FALSE)/12)))</f>
        <v xml:space="preserve"> </v>
      </c>
    </row>
    <row r="66" spans="1:13" x14ac:dyDescent="0.3">
      <c r="A66" s="7">
        <v>21</v>
      </c>
      <c r="B66" s="256"/>
      <c r="C66" s="67"/>
      <c r="D66" s="227" t="str">
        <f>IF(B66=0," ",VLOOKUP(B66,Supplies!$B$13:$C$97,2,FALSE))</f>
        <v xml:space="preserve"> </v>
      </c>
      <c r="E66" s="223" t="str">
        <f t="shared" si="11"/>
        <v xml:space="preserve"> </v>
      </c>
    </row>
    <row r="67" spans="1:13" ht="15" thickBot="1" x14ac:dyDescent="0.35">
      <c r="A67" s="7">
        <v>22</v>
      </c>
      <c r="B67" s="254"/>
      <c r="C67" s="65"/>
      <c r="D67" s="227" t="str">
        <f>IF(B67=0," ",VLOOKUP(B67,Supplies!$B$13:$C$97,2,FALSE))</f>
        <v xml:space="preserve"> </v>
      </c>
      <c r="E67" s="223" t="str">
        <f t="shared" si="11"/>
        <v xml:space="preserve"> </v>
      </c>
      <c r="H67" s="2" t="s">
        <v>203</v>
      </c>
    </row>
    <row r="68" spans="1:13" ht="15" thickTop="1" x14ac:dyDescent="0.3">
      <c r="A68" s="7">
        <v>23</v>
      </c>
      <c r="B68" s="254"/>
      <c r="C68" s="65"/>
      <c r="D68" s="227" t="str">
        <f>IF(B68=0," ",VLOOKUP(B68,Supplies!$B$13:$C$97,2,FALSE))</f>
        <v xml:space="preserve"> </v>
      </c>
      <c r="E68" s="223" t="str">
        <f t="shared" si="11"/>
        <v xml:space="preserve"> </v>
      </c>
      <c r="H68" s="719" t="s">
        <v>145</v>
      </c>
      <c r="I68" s="720"/>
      <c r="J68" s="177" t="s">
        <v>85</v>
      </c>
      <c r="K68" s="178" t="s">
        <v>152</v>
      </c>
      <c r="L68" s="178" t="s">
        <v>86</v>
      </c>
      <c r="M68" s="179" t="s">
        <v>7</v>
      </c>
    </row>
    <row r="69" spans="1:13" ht="15" thickBot="1" x14ac:dyDescent="0.35">
      <c r="A69" s="7">
        <v>24</v>
      </c>
      <c r="B69" s="254"/>
      <c r="C69" s="65"/>
      <c r="D69" s="227" t="str">
        <f>IF(B69=0," ",VLOOKUP(B69,Supplies!$B$13:$C$97,2,FALSE))</f>
        <v xml:space="preserve"> </v>
      </c>
      <c r="E69" s="223" t="str">
        <f t="shared" si="11"/>
        <v xml:space="preserve"> </v>
      </c>
      <c r="H69" s="728" t="s">
        <v>8</v>
      </c>
      <c r="I69" s="729"/>
      <c r="J69" s="6" t="s">
        <v>77</v>
      </c>
      <c r="K69" s="23" t="s">
        <v>153</v>
      </c>
      <c r="L69" s="23" t="s">
        <v>87</v>
      </c>
      <c r="M69" s="181" t="s">
        <v>200</v>
      </c>
    </row>
    <row r="70" spans="1:13" ht="15" thickBot="1" x14ac:dyDescent="0.35">
      <c r="A70" s="7">
        <v>25</v>
      </c>
      <c r="B70" s="255"/>
      <c r="C70" s="39"/>
      <c r="D70" s="228" t="str">
        <f>IF(B70=0," ",VLOOKUP(B70,Supplies!$B$13:$C$97,2,FALSE))</f>
        <v xml:space="preserve"> </v>
      </c>
      <c r="E70" s="224" t="str">
        <f t="shared" si="11"/>
        <v xml:space="preserve"> </v>
      </c>
      <c r="G70" s="7">
        <v>1</v>
      </c>
      <c r="H70" s="758"/>
      <c r="I70" s="759"/>
      <c r="J70" s="37"/>
      <c r="K70" s="140"/>
      <c r="L70" s="108" t="str">
        <f>IF(H70=0," ",VLOOKUP(H70,Transportation!$B$6:$L$16,11,FALSE))</f>
        <v xml:space="preserve"> </v>
      </c>
      <c r="M70" s="182" t="str">
        <f>IF(J70=0," ",(J70*L70*K70))</f>
        <v xml:space="preserve"> </v>
      </c>
    </row>
    <row r="71" spans="1:13" x14ac:dyDescent="0.3">
      <c r="A71" s="7">
        <v>26</v>
      </c>
      <c r="B71" s="256"/>
      <c r="C71" s="40"/>
      <c r="D71" s="227" t="str">
        <f>IF(B71=0," ",VLOOKUP(B71,Supplies!$B$13:$C$97,2,FALSE))</f>
        <v xml:space="preserve"> </v>
      </c>
      <c r="E71" s="223" t="str">
        <f t="shared" si="11"/>
        <v xml:space="preserve"> </v>
      </c>
      <c r="G71" s="7">
        <v>2</v>
      </c>
      <c r="H71" s="760"/>
      <c r="I71" s="761"/>
      <c r="J71" s="37"/>
      <c r="K71" s="140"/>
      <c r="L71" s="109" t="str">
        <f>IF(H71=0," ",VLOOKUP(H71,Transportation!$B$6:$L$16,11,FALSE))</f>
        <v xml:space="preserve"> </v>
      </c>
      <c r="M71" s="183" t="str">
        <f t="shared" ref="M71:M75" si="12">IF(J71=0," ",(J71*L71*K71))</f>
        <v xml:space="preserve"> </v>
      </c>
    </row>
    <row r="72" spans="1:13" x14ac:dyDescent="0.3">
      <c r="A72" s="7">
        <v>27</v>
      </c>
      <c r="B72" s="254"/>
      <c r="C72" s="38"/>
      <c r="D72" s="227" t="str">
        <f>IF(B72=0," ",VLOOKUP(B72,Supplies!$B$13:$C$97,2,FALSE))</f>
        <v xml:space="preserve"> </v>
      </c>
      <c r="E72" s="223" t="str">
        <f t="shared" si="11"/>
        <v xml:space="preserve"> </v>
      </c>
      <c r="G72" s="7">
        <v>3</v>
      </c>
      <c r="H72" s="760"/>
      <c r="I72" s="761"/>
      <c r="J72" s="37"/>
      <c r="K72" s="140"/>
      <c r="L72" s="109" t="str">
        <f>IF(H72=0," ",VLOOKUP(H72,Transportation!$B$6:$L$16,11,FALSE))</f>
        <v xml:space="preserve"> </v>
      </c>
      <c r="M72" s="183" t="str">
        <f t="shared" si="12"/>
        <v xml:space="preserve"> </v>
      </c>
    </row>
    <row r="73" spans="1:13" x14ac:dyDescent="0.3">
      <c r="A73" s="7">
        <v>28</v>
      </c>
      <c r="B73" s="254"/>
      <c r="C73" s="38"/>
      <c r="D73" s="227" t="str">
        <f>IF(B73=0," ",VLOOKUP(B73,Supplies!$B$13:$C$97,2,FALSE))</f>
        <v xml:space="preserve"> </v>
      </c>
      <c r="E73" s="223" t="str">
        <f t="shared" si="11"/>
        <v xml:space="preserve"> </v>
      </c>
      <c r="G73" s="7">
        <v>4</v>
      </c>
      <c r="H73" s="760"/>
      <c r="I73" s="761"/>
      <c r="J73" s="37"/>
      <c r="K73" s="140"/>
      <c r="L73" s="109" t="str">
        <f>IF(H73=0," ",VLOOKUP(H73,Transportation!$B$6:$L$16,11,FALSE))</f>
        <v xml:space="preserve"> </v>
      </c>
      <c r="M73" s="183" t="str">
        <f t="shared" si="12"/>
        <v xml:space="preserve"> </v>
      </c>
    </row>
    <row r="74" spans="1:13" x14ac:dyDescent="0.3">
      <c r="A74" s="7">
        <v>29</v>
      </c>
      <c r="B74" s="254"/>
      <c r="C74" s="38"/>
      <c r="D74" s="227" t="str">
        <f>IF(B74=0," ",VLOOKUP(B74,Supplies!$B$13:$C$97,2,FALSE))</f>
        <v xml:space="preserve"> </v>
      </c>
      <c r="E74" s="223" t="str">
        <f t="shared" si="11"/>
        <v xml:space="preserve"> </v>
      </c>
      <c r="G74" s="7">
        <v>5</v>
      </c>
      <c r="H74" s="760"/>
      <c r="I74" s="761"/>
      <c r="J74" s="37"/>
      <c r="K74" s="140"/>
      <c r="L74" s="109" t="str">
        <f>IF(H74=0," ",VLOOKUP(H74,Transportation!$B$6:$L$16,11,FALSE))</f>
        <v xml:space="preserve"> </v>
      </c>
      <c r="M74" s="183" t="str">
        <f t="shared" si="12"/>
        <v xml:space="preserve"> </v>
      </c>
    </row>
    <row r="75" spans="1:13" ht="15" thickBot="1" x14ac:dyDescent="0.35">
      <c r="A75" s="7">
        <v>30</v>
      </c>
      <c r="B75" s="255"/>
      <c r="C75" s="39"/>
      <c r="D75" s="228" t="str">
        <f>IF(B75=0," ",VLOOKUP(B75,Supplies!$B$13:$C$97,2,FALSE))</f>
        <v xml:space="preserve"> </v>
      </c>
      <c r="E75" s="224" t="str">
        <f t="shared" si="11"/>
        <v xml:space="preserve"> </v>
      </c>
      <c r="G75" s="7">
        <v>6</v>
      </c>
      <c r="H75" s="762"/>
      <c r="I75" s="763"/>
      <c r="J75" s="184"/>
      <c r="K75" s="185"/>
      <c r="L75" s="186" t="str">
        <f>IF(H75=0," ",VLOOKUP(H75,Transportation!$B$6:$L$16,11,FALSE))</f>
        <v xml:space="preserve"> </v>
      </c>
      <c r="M75" s="187" t="str">
        <f t="shared" si="12"/>
        <v xml:space="preserve"> </v>
      </c>
    </row>
    <row r="76" spans="1:13" x14ac:dyDescent="0.3">
      <c r="A76" s="7">
        <v>31</v>
      </c>
      <c r="B76" s="256"/>
      <c r="C76" s="67"/>
      <c r="D76" s="227" t="str">
        <f>IF(B76=0," ",VLOOKUP(B76,Supplies!$B$13:$C$97,2,FALSE))</f>
        <v xml:space="preserve"> </v>
      </c>
      <c r="E76" s="223" t="str">
        <f t="shared" si="11"/>
        <v xml:space="preserve"> </v>
      </c>
    </row>
    <row r="77" spans="1:13" ht="15" thickBot="1" x14ac:dyDescent="0.35">
      <c r="A77" s="7">
        <v>32</v>
      </c>
      <c r="B77" s="254"/>
      <c r="C77" s="65"/>
      <c r="D77" s="227" t="str">
        <f>IF(B77=0," ",VLOOKUP(B77,Supplies!$B$13:$C$97,2,FALSE))</f>
        <v xml:space="preserve"> </v>
      </c>
      <c r="E77" s="223" t="str">
        <f t="shared" si="11"/>
        <v xml:space="preserve"> </v>
      </c>
      <c r="H77" s="175" t="s">
        <v>173</v>
      </c>
    </row>
    <row r="78" spans="1:13" ht="15" thickTop="1" x14ac:dyDescent="0.3">
      <c r="A78" s="7">
        <v>33</v>
      </c>
      <c r="B78" s="254"/>
      <c r="C78" s="65"/>
      <c r="D78" s="227" t="str">
        <f>IF(B78=0," ",VLOOKUP(B78,Supplies!$B$13:$C$97,2,FALSE))</f>
        <v xml:space="preserve"> </v>
      </c>
      <c r="E78" s="223" t="str">
        <f t="shared" si="11"/>
        <v xml:space="preserve"> </v>
      </c>
      <c r="H78" s="754" t="s">
        <v>95</v>
      </c>
      <c r="I78" s="755"/>
      <c r="J78" s="751" t="s">
        <v>196</v>
      </c>
      <c r="K78" s="749" t="s">
        <v>77</v>
      </c>
      <c r="L78" s="749" t="s">
        <v>94</v>
      </c>
      <c r="M78" s="764" t="s">
        <v>195</v>
      </c>
    </row>
    <row r="79" spans="1:13" ht="16.5" customHeight="1" thickBot="1" x14ac:dyDescent="0.35">
      <c r="A79" s="7">
        <v>34</v>
      </c>
      <c r="B79" s="254"/>
      <c r="C79" s="65"/>
      <c r="D79" s="227" t="str">
        <f>IF(B79=0," ",VLOOKUP(B79,Supplies!$B$13:$C$97,2,FALSE))</f>
        <v xml:space="preserve"> </v>
      </c>
      <c r="E79" s="223" t="str">
        <f t="shared" si="11"/>
        <v xml:space="preserve"> </v>
      </c>
      <c r="H79" s="756"/>
      <c r="I79" s="757"/>
      <c r="J79" s="750"/>
      <c r="K79" s="750"/>
      <c r="L79" s="750"/>
      <c r="M79" s="765"/>
    </row>
    <row r="80" spans="1:13" ht="15" thickBot="1" x14ac:dyDescent="0.35">
      <c r="A80" s="7">
        <v>35</v>
      </c>
      <c r="B80" s="255"/>
      <c r="C80" s="39"/>
      <c r="D80" s="228" t="str">
        <f>IF(B80=0," ",VLOOKUP(B80,Supplies!$B$13:$C$97,2,FALSE))</f>
        <v xml:space="preserve"> </v>
      </c>
      <c r="E80" s="224" t="str">
        <f t="shared" si="11"/>
        <v xml:space="preserve"> </v>
      </c>
      <c r="G80">
        <v>1</v>
      </c>
      <c r="H80" s="766"/>
      <c r="I80" s="767"/>
      <c r="J80" s="206"/>
      <c r="K80" s="574" t="str">
        <f>IF($H80=0," ",VLOOKUP($H80,Subcontractors!$B$15:$E$25,2,FALSE))</f>
        <v xml:space="preserve"> </v>
      </c>
      <c r="L80" s="207" t="str">
        <f>IF($H80=0," ",VLOOKUP($H80,Subcontractors!$B$15:$E$25,4,FALSE))</f>
        <v xml:space="preserve"> </v>
      </c>
      <c r="M80" s="212" t="str">
        <f>IF(H80=0," ",J80*L80)</f>
        <v xml:space="preserve"> </v>
      </c>
    </row>
    <row r="81" spans="1:13" x14ac:dyDescent="0.3">
      <c r="A81" s="7">
        <v>36</v>
      </c>
      <c r="B81" s="256"/>
      <c r="C81" s="40"/>
      <c r="D81" s="227" t="str">
        <f>IF(B81=0," ",VLOOKUP(B81,Supplies!$B$13:$C$97,2,FALSE))</f>
        <v xml:space="preserve"> </v>
      </c>
      <c r="E81" s="223" t="str">
        <f t="shared" si="11"/>
        <v xml:space="preserve"> </v>
      </c>
      <c r="G81">
        <v>2</v>
      </c>
      <c r="H81" s="768"/>
      <c r="I81" s="769"/>
      <c r="J81" s="208"/>
      <c r="K81" s="575" t="str">
        <f>IF($H81=0," ",VLOOKUP($H81,Subcontractors!$B$15:$E$25,2,FALSE))</f>
        <v xml:space="preserve"> </v>
      </c>
      <c r="L81" s="209" t="str">
        <f>IF($H81=0," ",VLOOKUP($H81,Subcontractors!$B$15:$E$25,4,FALSE))</f>
        <v xml:space="preserve"> </v>
      </c>
      <c r="M81" s="213" t="str">
        <f>IF(H81=0," ",J81*L81)</f>
        <v xml:space="preserve"> </v>
      </c>
    </row>
    <row r="82" spans="1:13" x14ac:dyDescent="0.3">
      <c r="A82" s="7">
        <v>37</v>
      </c>
      <c r="B82" s="254"/>
      <c r="C82" s="38"/>
      <c r="D82" s="227" t="str">
        <f>IF(B82=0," ",VLOOKUP(B82,Supplies!$B$13:$C$97,2,FALSE))</f>
        <v xml:space="preserve"> </v>
      </c>
      <c r="E82" s="223" t="str">
        <f t="shared" si="11"/>
        <v xml:space="preserve"> </v>
      </c>
      <c r="G82">
        <v>3</v>
      </c>
      <c r="H82" s="768"/>
      <c r="I82" s="769"/>
      <c r="J82" s="208"/>
      <c r="K82" s="575" t="str">
        <f>IF($H82=0," ",VLOOKUP($H82,Subcontractors!$B$15:$E$25,2,FALSE))</f>
        <v xml:space="preserve"> </v>
      </c>
      <c r="L82" s="209" t="str">
        <f>IF($H82=0," ",VLOOKUP($H82,Subcontractors!$B$15:$E$25,4,FALSE))</f>
        <v xml:space="preserve"> </v>
      </c>
      <c r="M82" s="213" t="str">
        <f>IF(H82=0," ",J82*L82)</f>
        <v xml:space="preserve"> </v>
      </c>
    </row>
    <row r="83" spans="1:13" ht="15" thickBot="1" x14ac:dyDescent="0.35">
      <c r="A83" s="7">
        <v>38</v>
      </c>
      <c r="B83" s="254"/>
      <c r="C83" s="38"/>
      <c r="D83" s="227" t="str">
        <f>IF(B83=0," ",VLOOKUP(B83,Supplies!$B$13:$C$97,2,FALSE))</f>
        <v xml:space="preserve"> </v>
      </c>
      <c r="E83" s="223" t="str">
        <f t="shared" si="11"/>
        <v xml:space="preserve"> </v>
      </c>
      <c r="G83">
        <v>4</v>
      </c>
      <c r="H83" s="747"/>
      <c r="I83" s="748"/>
      <c r="J83" s="210"/>
      <c r="K83" s="576" t="str">
        <f>IF($H83=0," ",VLOOKUP($H83,Subcontractors!$B$15:$E$25,2,FALSE))</f>
        <v xml:space="preserve"> </v>
      </c>
      <c r="L83" s="211" t="str">
        <f>IF($H83=0," ",VLOOKUP($H83,Subcontractors!$B$15:$E$25,4,FALSE))</f>
        <v xml:space="preserve"> </v>
      </c>
      <c r="M83" s="214" t="str">
        <f>IF(H83=0," ",J83*L83)</f>
        <v xml:space="preserve"> </v>
      </c>
    </row>
    <row r="84" spans="1:13" ht="15" thickTop="1" x14ac:dyDescent="0.3">
      <c r="A84" s="7">
        <v>39</v>
      </c>
      <c r="B84" s="254"/>
      <c r="C84" s="38"/>
      <c r="D84" s="227" t="str">
        <f>IF(B84=0," ",VLOOKUP(B84,Supplies!$B$13:$C$97,2,FALSE))</f>
        <v xml:space="preserve"> </v>
      </c>
      <c r="E84" s="223" t="str">
        <f t="shared" si="11"/>
        <v xml:space="preserve"> </v>
      </c>
    </row>
    <row r="85" spans="1:13" ht="15" thickBot="1" x14ac:dyDescent="0.35">
      <c r="A85" s="7">
        <v>40</v>
      </c>
      <c r="B85" s="257"/>
      <c r="C85" s="191"/>
      <c r="D85" s="229" t="str">
        <f>IF(B85=0," ",VLOOKUP(B85,Supplies!$B$13:$C$97,2,FALSE))</f>
        <v xml:space="preserve"> </v>
      </c>
      <c r="E85" s="225" t="str">
        <f t="shared" si="11"/>
        <v xml:space="preserve"> </v>
      </c>
    </row>
    <row r="86" spans="1:13" ht="15" thickTop="1" x14ac:dyDescent="0.3"/>
    <row r="90" spans="1:13" x14ac:dyDescent="0.3">
      <c r="K90" s="20"/>
    </row>
    <row r="91" spans="1:13" x14ac:dyDescent="0.3">
      <c r="H91" s="52"/>
    </row>
  </sheetData>
  <sheetProtection algorithmName="SHA-512" hashValue="rm3GYfhg4Zjma5qp79CQsjRgpppICME7MNc155GLco8PlYuvm9szFYo2q0o2SLPeYs3VfvFAjGd2jKvf8FY1Mg==" saltValue="b9bwgqaUSHi/Xv424lRHZA==" spinCount="100000" sheet="1" objects="1" scenarios="1"/>
  <mergeCells count="77">
    <mergeCell ref="F18:G18"/>
    <mergeCell ref="M78:M79"/>
    <mergeCell ref="H80:I80"/>
    <mergeCell ref="H81:I81"/>
    <mergeCell ref="H82:I82"/>
    <mergeCell ref="H59:I59"/>
    <mergeCell ref="H60:I60"/>
    <mergeCell ref="H61:I61"/>
    <mergeCell ref="H62:I62"/>
    <mergeCell ref="H63:I63"/>
    <mergeCell ref="H54:I54"/>
    <mergeCell ref="H55:I55"/>
    <mergeCell ref="H56:I56"/>
    <mergeCell ref="H57:I57"/>
    <mergeCell ref="H58:I58"/>
    <mergeCell ref="H49:I49"/>
    <mergeCell ref="H52:I52"/>
    <mergeCell ref="H53:I53"/>
    <mergeCell ref="E17:G17"/>
    <mergeCell ref="H83:I83"/>
    <mergeCell ref="L78:L79"/>
    <mergeCell ref="J78:J79"/>
    <mergeCell ref="K78:K79"/>
    <mergeCell ref="H64:I64"/>
    <mergeCell ref="H65:I65"/>
    <mergeCell ref="H78:I79"/>
    <mergeCell ref="H70:I70"/>
    <mergeCell ref="H71:I71"/>
    <mergeCell ref="H74:I74"/>
    <mergeCell ref="H75:I75"/>
    <mergeCell ref="H72:I72"/>
    <mergeCell ref="H73:I73"/>
    <mergeCell ref="H69:I69"/>
    <mergeCell ref="F28:G28"/>
    <mergeCell ref="F29:G29"/>
    <mergeCell ref="F25:G25"/>
    <mergeCell ref="F20:G20"/>
    <mergeCell ref="F21:G21"/>
    <mergeCell ref="F22:G22"/>
    <mergeCell ref="F23:G23"/>
    <mergeCell ref="F24:G24"/>
    <mergeCell ref="H44:I44"/>
    <mergeCell ref="H45:I45"/>
    <mergeCell ref="H46:I46"/>
    <mergeCell ref="H47:I47"/>
    <mergeCell ref="H48:I48"/>
    <mergeCell ref="H50:I50"/>
    <mergeCell ref="H51:I51"/>
    <mergeCell ref="B1:M1"/>
    <mergeCell ref="F32:G32"/>
    <mergeCell ref="F33:G33"/>
    <mergeCell ref="F34:G34"/>
    <mergeCell ref="H68:I68"/>
    <mergeCell ref="F30:G30"/>
    <mergeCell ref="F31:G31"/>
    <mergeCell ref="F40:G40"/>
    <mergeCell ref="F41:G41"/>
    <mergeCell ref="F35:G35"/>
    <mergeCell ref="F36:G36"/>
    <mergeCell ref="F37:G37"/>
    <mergeCell ref="F38:G38"/>
    <mergeCell ref="F39:G39"/>
    <mergeCell ref="F26:G26"/>
    <mergeCell ref="F27:G27"/>
    <mergeCell ref="C3:F3"/>
    <mergeCell ref="C5:F5"/>
    <mergeCell ref="C7:F7"/>
    <mergeCell ref="E10:G10"/>
    <mergeCell ref="E11:G11"/>
    <mergeCell ref="E12:G12"/>
    <mergeCell ref="E13:G13"/>
    <mergeCell ref="E16:G16"/>
    <mergeCell ref="C12:D12"/>
    <mergeCell ref="C14:D14"/>
    <mergeCell ref="C16:D16"/>
    <mergeCell ref="C15:D15"/>
    <mergeCell ref="E14:G14"/>
  </mergeCells>
  <conditionalFormatting sqref="B22:D41 H46:H65 J46:K65 B46:C85 H70:K75 H80:H83 J80:J83">
    <cfRule type="cellIs" dxfId="30" priority="3" operator="greaterThan">
      <formula>0</formula>
    </cfRule>
  </conditionalFormatting>
  <conditionalFormatting sqref="C22">
    <cfRule type="cellIs" priority="1" operator="greaterThan">
      <formula>0</formula>
    </cfRule>
  </conditionalFormatting>
  <hyperlinks>
    <hyperlink ref="K3" location="'kt info'!C3" display="Contract Information" xr:uid="{F68D6CCD-897E-4AB3-8775-5517137B425A}"/>
    <hyperlink ref="K4" location="'Overhead &amp; Margin'!D10" display="Overhead &amp; Margin" xr:uid="{1153A902-AFD9-4BEF-AD45-4F2A111F0C9D}"/>
    <hyperlink ref="K10" location="'Grounds Maintenance'!A1" display="Grounds Maintenance" xr:uid="{6A77D43E-E159-4C29-90FB-F41550F4FD5B}"/>
    <hyperlink ref="K11" location="Periodics!B22" display="Periodical Services" xr:uid="{DD3D5E69-93E0-4D01-9283-BA1C950FC5B1}"/>
    <hyperlink ref="K12" location="'Additional-Except &amp; Emerg'!A1" display="Additional/Exceptional Services and Emergency Services" xr:uid="{87AE6BC8-D425-48A4-8DE5-B101F3FC4335}"/>
    <hyperlink ref="K6" location="Supplies!B13" display="Supplies" xr:uid="{4EBB461F-BFDF-4717-9D6F-C522419E70E7}"/>
    <hyperlink ref="K7" location="'Equipment List'!B12" display="Equipment" xr:uid="{4452D376-0179-46D4-9304-D5D2FFF65C7E}"/>
    <hyperlink ref="K14" location="'Price Approval'!A1" display="Price Approval" xr:uid="{E0557783-D942-46E2-A5BC-86A8F83A9DC0}"/>
    <hyperlink ref="K8" location="Subcontractors!B15" display="Subcontractors" xr:uid="{F3D623E5-695F-4022-B56B-90C093FF0962}"/>
    <hyperlink ref="K5" location="'Pay &amp; Benefits'!C10" display="Wages and Benefits (includes Unemployment and Worker's Compensation" xr:uid="{1C481EFF-7311-48BD-8B8E-029C1723C220}"/>
    <hyperlink ref="K9" location="Transportation!B6" display="Transportation" xr:uid="{3DB67808-DA85-444C-9485-40FC7CBDA9ED}"/>
    <hyperlink ref="K13" location="'Summary-pricing'!A1" display="Summary-Pricing" xr:uid="{8DFC3DC4-45BD-40EA-8D2C-5DBE526BDF0B}"/>
  </hyperlinks>
  <pageMargins left="0.25" right="0.25" top="0.75" bottom="0.75" header="0.3" footer="0.3"/>
  <pageSetup scale="60" orientation="portrait" r:id="rId1"/>
  <headerFooter>
    <oddHeader>&amp;C&amp;"Arial Black,Regular"&amp;A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B4B2D87-584C-4BB9-8CB0-84A6D07CB535}">
          <x14:formula1>
            <xm:f>Transportation!$B$6:$B$16</xm:f>
          </x14:formula1>
          <xm:sqref>H70:H75</xm:sqref>
        </x14:dataValidation>
        <x14:dataValidation type="list" allowBlank="1" showInputMessage="1" showErrorMessage="1" xr:uid="{05CDEA95-365A-443C-BEA7-69B0B834F57B}">
          <x14:formula1>
            <xm:f>Supplies!$B$13:$B$97</xm:f>
          </x14:formula1>
          <xm:sqref>B46:B85</xm:sqref>
        </x14:dataValidation>
        <x14:dataValidation type="list" allowBlank="1" showInputMessage="1" showErrorMessage="1" xr:uid="{372AAF7E-4B18-4E35-BBC8-AA6F1F9677FD}">
          <x14:formula1>
            <xm:f>'Equipment List'!$B$12:$B$96</xm:f>
          </x14:formula1>
          <xm:sqref>H46:H65</xm:sqref>
        </x14:dataValidation>
        <x14:dataValidation type="list" allowBlank="1" showInputMessage="1" showErrorMessage="1" xr:uid="{B3C20995-09CD-4BCC-9E18-4EE2A13C104C}">
          <x14:formula1>
            <xm:f>Subcontractors!$B$15:$B$25</xm:f>
          </x14:formula1>
          <xm:sqref>H80:H83</xm:sqref>
        </x14:dataValidation>
        <x14:dataValidation type="list" allowBlank="1" showInputMessage="1" showErrorMessage="1" xr:uid="{C14B1A27-08F1-4893-B5D6-311CD41AE8B0}">
          <x14:formula1>
            <xm:f>'Pay &amp; Benefits'!$B$64:$B$78</xm:f>
          </x14:formula1>
          <xm:sqref>B22:B41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A8F0-A355-4A46-89C6-68B7F47D9632}">
  <dimension ref="A1:T409"/>
  <sheetViews>
    <sheetView showGridLines="0" showZeros="0" topLeftCell="A349" zoomScaleNormal="100" workbookViewId="0">
      <selection activeCell="D371" sqref="D371"/>
    </sheetView>
  </sheetViews>
  <sheetFormatPr defaultColWidth="9.21875" defaultRowHeight="14.4" x14ac:dyDescent="0.3"/>
  <cols>
    <col min="1" max="1" width="4.44140625" style="218" customWidth="1"/>
    <col min="2" max="2" width="30.44140625" style="218" customWidth="1"/>
    <col min="3" max="3" width="10" style="316" customWidth="1"/>
    <col min="4" max="4" width="12.21875" style="218" customWidth="1"/>
    <col min="5" max="5" width="12.44140625" style="218" customWidth="1"/>
    <col min="6" max="6" width="8.5546875" style="218" customWidth="1"/>
    <col min="7" max="7" width="4.21875" style="218" customWidth="1"/>
    <col min="8" max="8" width="17.44140625" style="315" customWidth="1"/>
    <col min="9" max="9" width="17.77734375" style="218" bestFit="1" customWidth="1"/>
    <col min="10" max="10" width="14.5546875" style="218" customWidth="1"/>
    <col min="11" max="11" width="17" style="218" customWidth="1"/>
    <col min="12" max="12" width="14.5546875" style="218" customWidth="1"/>
    <col min="13" max="13" width="14.44140625" style="218" customWidth="1"/>
    <col min="14" max="14" width="12.5546875" style="218" bestFit="1" customWidth="1"/>
    <col min="15" max="16384" width="9.21875" style="218"/>
  </cols>
  <sheetData>
    <row r="1" spans="1:20" ht="33" customHeight="1" x14ac:dyDescent="0.2">
      <c r="A1" s="581"/>
      <c r="B1" s="668" t="s">
        <v>154</v>
      </c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</row>
    <row r="2" spans="1:20" ht="18" x14ac:dyDescent="0.3">
      <c r="A2" s="778" t="s">
        <v>165</v>
      </c>
      <c r="B2" s="779"/>
      <c r="C2" s="779"/>
      <c r="D2" s="779"/>
      <c r="E2" s="779"/>
      <c r="F2" s="779"/>
      <c r="G2" s="148" t="str">
        <f>B10</f>
        <v>Periodical Service 1</v>
      </c>
      <c r="H2" s="288"/>
      <c r="I2" s="148"/>
      <c r="J2" s="148"/>
      <c r="K2" s="148"/>
      <c r="L2" s="148"/>
      <c r="M2" s="148"/>
      <c r="N2" s="148"/>
    </row>
    <row r="4" spans="1:20" x14ac:dyDescent="0.3">
      <c r="B4" s="218" t="s">
        <v>102</v>
      </c>
      <c r="C4" s="695">
        <f>'kt info'!$C$3</f>
        <v>0</v>
      </c>
      <c r="D4" s="695"/>
      <c r="E4" s="696"/>
      <c r="F4" s="697"/>
      <c r="H4" s="314"/>
      <c r="J4" s="793"/>
      <c r="K4" s="793"/>
      <c r="L4" s="793"/>
      <c r="M4" s="793"/>
      <c r="O4" s="794"/>
      <c r="P4" s="669"/>
      <c r="Q4" s="669"/>
      <c r="R4" s="669"/>
      <c r="S4" s="669"/>
      <c r="T4" s="669"/>
    </row>
    <row r="5" spans="1:20" x14ac:dyDescent="0.3">
      <c r="C5" s="287"/>
      <c r="D5" s="98"/>
      <c r="E5" s="98"/>
      <c r="F5" s="98"/>
      <c r="I5" s="311"/>
      <c r="J5" s="311"/>
      <c r="L5" s="317"/>
      <c r="O5" s="20" t="s">
        <v>124</v>
      </c>
      <c r="P5" s="56" t="s">
        <v>125</v>
      </c>
      <c r="Q5"/>
    </row>
    <row r="6" spans="1:20" x14ac:dyDescent="0.3">
      <c r="B6" s="218" t="s">
        <v>103</v>
      </c>
      <c r="C6" s="695">
        <f>'kt info'!$C$5</f>
        <v>0</v>
      </c>
      <c r="D6" s="695"/>
      <c r="E6" s="697"/>
      <c r="F6" s="697"/>
      <c r="J6" s="311"/>
      <c r="L6" s="317"/>
      <c r="O6"/>
      <c r="P6" s="56" t="s">
        <v>219</v>
      </c>
      <c r="Q6"/>
    </row>
    <row r="7" spans="1:20" x14ac:dyDescent="0.3">
      <c r="C7" s="287"/>
      <c r="D7" s="98"/>
      <c r="E7" s="98"/>
      <c r="F7" s="98"/>
      <c r="J7" s="311"/>
      <c r="L7" s="317"/>
      <c r="O7"/>
      <c r="P7" s="56" t="s">
        <v>220</v>
      </c>
      <c r="Q7"/>
    </row>
    <row r="8" spans="1:20" x14ac:dyDescent="0.3">
      <c r="B8" s="218" t="s">
        <v>126</v>
      </c>
      <c r="C8" s="695">
        <f>'kt info'!$C$7</f>
        <v>0</v>
      </c>
      <c r="D8" s="695"/>
      <c r="E8" s="697"/>
      <c r="F8" s="697"/>
      <c r="J8" s="311"/>
      <c r="L8" s="317"/>
      <c r="O8"/>
      <c r="P8" s="56" t="s">
        <v>73</v>
      </c>
      <c r="Q8"/>
    </row>
    <row r="9" spans="1:20" s="318" customFormat="1" x14ac:dyDescent="0.3">
      <c r="A9" s="218"/>
      <c r="B9" s="218"/>
      <c r="C9" s="316"/>
      <c r="D9" s="218"/>
      <c r="E9" s="218"/>
      <c r="F9" s="218"/>
      <c r="G9" s="218"/>
      <c r="H9" s="315"/>
      <c r="I9" s="218"/>
      <c r="J9" s="317"/>
      <c r="K9" s="218"/>
      <c r="L9" s="317"/>
      <c r="M9" s="218"/>
      <c r="N9" s="218"/>
      <c r="O9"/>
      <c r="P9" s="56" t="s">
        <v>10</v>
      </c>
      <c r="Q9"/>
    </row>
    <row r="10" spans="1:20" ht="18" x14ac:dyDescent="0.3">
      <c r="A10" s="318"/>
      <c r="B10" s="319" t="str">
        <f>'kt info'!B24</f>
        <v>Periodical Service 1</v>
      </c>
      <c r="C10" s="320"/>
      <c r="D10" s="318"/>
      <c r="E10" s="318"/>
      <c r="F10" s="318"/>
      <c r="G10" s="318"/>
      <c r="H10" s="289" t="s">
        <v>71</v>
      </c>
      <c r="I10" s="231" t="s">
        <v>198</v>
      </c>
      <c r="J10" s="317"/>
      <c r="L10" s="317"/>
      <c r="M10" s="318"/>
      <c r="O10"/>
      <c r="P10" s="56" t="s">
        <v>173</v>
      </c>
      <c r="Q10"/>
    </row>
    <row r="11" spans="1:20" x14ac:dyDescent="0.3">
      <c r="E11" s="786" t="s">
        <v>72</v>
      </c>
      <c r="F11" s="787"/>
      <c r="G11" s="788"/>
      <c r="H11" s="321">
        <f>IF(SUM(M22:M31)&gt;0,SUM(M22:M31)/'kt info'!$G$24,0)</f>
        <v>0</v>
      </c>
      <c r="I11" s="322">
        <f>H11*'kt info'!$G$24</f>
        <v>0</v>
      </c>
      <c r="J11" s="317"/>
      <c r="L11" s="317"/>
      <c r="O11"/>
      <c r="P11" s="56" t="s">
        <v>82</v>
      </c>
      <c r="Q11"/>
    </row>
    <row r="12" spans="1:20" x14ac:dyDescent="0.3">
      <c r="B12" s="323" t="s">
        <v>229</v>
      </c>
      <c r="E12" s="786" t="s">
        <v>161</v>
      </c>
      <c r="F12" s="787"/>
      <c r="G12" s="788"/>
      <c r="H12" s="324">
        <f>IF(SUM(K22:K31)&gt;0,SUM(K22:K31),0)</f>
        <v>0</v>
      </c>
      <c r="I12" s="325">
        <f>H12*'kt info'!$G$24</f>
        <v>0</v>
      </c>
      <c r="J12" s="317"/>
      <c r="L12" s="317"/>
      <c r="O12"/>
      <c r="P12" s="56" t="s">
        <v>259</v>
      </c>
      <c r="Q12"/>
    </row>
    <row r="13" spans="1:20" x14ac:dyDescent="0.3">
      <c r="B13" s="173" t="s">
        <v>89</v>
      </c>
      <c r="C13" s="326">
        <f>'kt info'!E24</f>
        <v>0</v>
      </c>
      <c r="E13" s="786" t="s">
        <v>73</v>
      </c>
      <c r="F13" s="787"/>
      <c r="G13" s="788"/>
      <c r="H13" s="324">
        <f>IF(SUM(E36:E55)&gt;0,SUM(E36:E55),0)</f>
        <v>0</v>
      </c>
      <c r="I13" s="325">
        <f>H13*'kt info'!$G$24</f>
        <v>0</v>
      </c>
      <c r="J13" s="317"/>
      <c r="L13" s="317"/>
      <c r="O13"/>
      <c r="P13" s="56" t="s">
        <v>177</v>
      </c>
      <c r="Q13"/>
    </row>
    <row r="14" spans="1:20" x14ac:dyDescent="0.3">
      <c r="E14" s="786" t="s">
        <v>74</v>
      </c>
      <c r="F14" s="787"/>
      <c r="G14" s="788"/>
      <c r="H14" s="324">
        <f>IF(SUM(L36:L45)&gt;0,SUM(L36:L45),0)</f>
        <v>0</v>
      </c>
      <c r="I14" s="325">
        <f>H14*'kt info'!$G$24</f>
        <v>0</v>
      </c>
      <c r="J14" s="317"/>
      <c r="L14" s="317"/>
      <c r="O14"/>
      <c r="P14" s="56" t="s">
        <v>268</v>
      </c>
      <c r="Q14"/>
    </row>
    <row r="15" spans="1:20" x14ac:dyDescent="0.3">
      <c r="B15" s="173" t="s">
        <v>91</v>
      </c>
      <c r="C15" s="327">
        <f>ROUND(IF(SUM(H12:H18)&gt;0,SUM(H12:H18),0),0)</f>
        <v>0</v>
      </c>
      <c r="E15" s="786" t="s">
        <v>82</v>
      </c>
      <c r="F15" s="787"/>
      <c r="G15" s="788"/>
      <c r="H15" s="324">
        <f>IF(SUM(J50:J54)&gt;0,SUM(L50:L54),0)</f>
        <v>0</v>
      </c>
      <c r="I15" s="325">
        <f>H15*'kt info'!$G$24</f>
        <v>0</v>
      </c>
      <c r="J15" s="311"/>
      <c r="K15" s="317"/>
      <c r="O15"/>
      <c r="P15" s="56" t="s">
        <v>221</v>
      </c>
    </row>
    <row r="16" spans="1:20" x14ac:dyDescent="0.3">
      <c r="E16" s="786" t="s">
        <v>173</v>
      </c>
      <c r="F16" s="787"/>
      <c r="G16" s="788"/>
      <c r="H16" s="324">
        <f>IF(SUM(I55:I56)=0,0,SUM(I55:I56))</f>
        <v>0</v>
      </c>
      <c r="I16" s="325">
        <f>H16*'kt info'!$G$24</f>
        <v>0</v>
      </c>
      <c r="K16" s="317"/>
      <c r="P16" s="56" t="s">
        <v>193</v>
      </c>
      <c r="Q16"/>
    </row>
    <row r="17" spans="1:18" x14ac:dyDescent="0.3">
      <c r="B17" s="173" t="s">
        <v>90</v>
      </c>
      <c r="C17" s="327">
        <f>IF(C13&gt;0,C15/C13,0)</f>
        <v>0</v>
      </c>
      <c r="E17" s="786" t="s">
        <v>80</v>
      </c>
      <c r="F17" s="787"/>
      <c r="G17" s="788"/>
      <c r="H17" s="324">
        <f>($H$12+$H$13+$H$14+$H$15+$H$16)*'Overhead &amp; Margin'!$D$10/(1-('Overhead &amp; Margin'!$D$10))</f>
        <v>0</v>
      </c>
      <c r="I17" s="325">
        <f>H17*'kt info'!$G$24</f>
        <v>0</v>
      </c>
      <c r="K17" s="317"/>
    </row>
    <row r="18" spans="1:18" x14ac:dyDescent="0.3">
      <c r="G18" s="174" t="s">
        <v>81</v>
      </c>
      <c r="H18" s="324">
        <f>($H$12+$H$13+$H$14+$H$15+$H$16+$H$17)*'Overhead &amp; Margin'!$G$10/(1-('Overhead &amp; Margin'!$G$10))</f>
        <v>0</v>
      </c>
      <c r="I18" s="325">
        <f>H18*'kt info'!$G$24</f>
        <v>0</v>
      </c>
      <c r="M18" s="577" t="str">
        <f>'kt info'!$B$12</f>
        <v>Form date: 2/20/26</v>
      </c>
    </row>
    <row r="19" spans="1:18" ht="15" thickBot="1" x14ac:dyDescent="0.35">
      <c r="B19" s="328" t="s">
        <v>97</v>
      </c>
    </row>
    <row r="20" spans="1:18" x14ac:dyDescent="0.3">
      <c r="B20" s="83" t="s">
        <v>13</v>
      </c>
      <c r="C20" s="329" t="s">
        <v>14</v>
      </c>
      <c r="D20" s="330" t="s">
        <v>20</v>
      </c>
      <c r="E20" s="330" t="s">
        <v>15</v>
      </c>
      <c r="F20" s="780" t="s">
        <v>17</v>
      </c>
      <c r="G20" s="780"/>
      <c r="H20" s="331" t="s">
        <v>18</v>
      </c>
      <c r="I20" s="330" t="s">
        <v>16</v>
      </c>
      <c r="J20" s="330" t="s">
        <v>19</v>
      </c>
      <c r="K20" s="330" t="s">
        <v>71</v>
      </c>
      <c r="L20" s="332" t="s">
        <v>21</v>
      </c>
      <c r="M20" s="4" t="s">
        <v>22</v>
      </c>
      <c r="N20" s="4" t="s">
        <v>0</v>
      </c>
    </row>
    <row r="21" spans="1:18" ht="15" thickBot="1" x14ac:dyDescent="0.35">
      <c r="B21" s="22" t="s">
        <v>253</v>
      </c>
      <c r="C21" s="333" t="s">
        <v>23</v>
      </c>
      <c r="D21" s="334" t="s">
        <v>28</v>
      </c>
      <c r="E21" s="334" t="s">
        <v>24</v>
      </c>
      <c r="F21" s="781" t="s">
        <v>25</v>
      </c>
      <c r="G21" s="781"/>
      <c r="H21" s="335" t="s">
        <v>26</v>
      </c>
      <c r="I21" s="334"/>
      <c r="J21" s="334" t="s">
        <v>33</v>
      </c>
      <c r="K21" s="334" t="s">
        <v>161</v>
      </c>
      <c r="L21" s="336" t="s">
        <v>0</v>
      </c>
      <c r="M21" s="5" t="s">
        <v>0</v>
      </c>
      <c r="N21" s="5" t="s">
        <v>71</v>
      </c>
    </row>
    <row r="22" spans="1:18" x14ac:dyDescent="0.3">
      <c r="A22" s="98">
        <v>1</v>
      </c>
      <c r="B22" s="337"/>
      <c r="C22" s="338"/>
      <c r="D22" s="339" t="str">
        <f>IF(B22=0," ",'kt info'!$G$24)</f>
        <v xml:space="preserve"> </v>
      </c>
      <c r="E22" s="340" t="str">
        <f>IF(B22=0," ",VLOOKUP(B22,WageBeneTable5[#All],2,FALSE))</f>
        <v xml:space="preserve"> </v>
      </c>
      <c r="F22" s="782">
        <f>IF($E22=" ",0,'Pay &amp; Benefits'!$C$10)</f>
        <v>0</v>
      </c>
      <c r="G22" s="783"/>
      <c r="H22" s="341" t="str">
        <f>IF($E22=" "," ",'Pay &amp; Benefits'!$C$11)</f>
        <v xml:space="preserve"> </v>
      </c>
      <c r="I22" s="342" t="str">
        <f t="shared" ref="I22:I31" si="0">IF(E22=" "," ",0.0765)</f>
        <v xml:space="preserve"> </v>
      </c>
      <c r="J22" s="343" t="str">
        <f>IF(B22=0," ",VLOOKUP(B22,WageBeneTable5[#All],3,FALSE))</f>
        <v xml:space="preserve"> </v>
      </c>
      <c r="K22" s="340" t="str">
        <f t="shared" ref="K22:K31" si="1">IF(B22=0," ",C22*E22*(1+I22+F22+H22+J22))</f>
        <v xml:space="preserve"> </v>
      </c>
      <c r="L22" s="340">
        <f t="shared" ref="L22:L31" si="2">IF(K22=" ",0,K22*D22)</f>
        <v>0</v>
      </c>
      <c r="M22" s="344">
        <f t="shared" ref="M22:M31" si="3">IF(B22=0,0,C22*D22)</f>
        <v>0</v>
      </c>
      <c r="N22" s="345">
        <f t="shared" ref="N22:N31" si="4">IF(L22=0,0,IF(D22=0,0,L22/D22))</f>
        <v>0</v>
      </c>
    </row>
    <row r="23" spans="1:18" x14ac:dyDescent="0.3">
      <c r="A23" s="98">
        <v>2</v>
      </c>
      <c r="B23" s="346"/>
      <c r="C23" s="347"/>
      <c r="D23" s="339" t="str">
        <f>IF(B23=0," ",'kt info'!$G$24)</f>
        <v xml:space="preserve"> </v>
      </c>
      <c r="E23" s="348" t="str">
        <f>IF(B23=0," ",VLOOKUP(B23,WageBeneTable5[#All],2,FALSE))</f>
        <v xml:space="preserve"> </v>
      </c>
      <c r="F23" s="784">
        <f>IF($E23=" ",0,'Pay &amp; Benefits'!$C$10)</f>
        <v>0</v>
      </c>
      <c r="G23" s="785"/>
      <c r="H23" s="349" t="str">
        <f>IF($E23=" "," ",'Pay &amp; Benefits'!$C$11)</f>
        <v xml:space="preserve"> </v>
      </c>
      <c r="I23" s="350" t="str">
        <f t="shared" si="0"/>
        <v xml:space="preserve"> </v>
      </c>
      <c r="J23" s="351" t="str">
        <f>IF(B23=0," ",VLOOKUP(B23,WageBeneTable5[#All],3,FALSE))</f>
        <v xml:space="preserve"> </v>
      </c>
      <c r="K23" s="348" t="str">
        <f t="shared" si="1"/>
        <v xml:space="preserve"> </v>
      </c>
      <c r="L23" s="348">
        <f t="shared" si="2"/>
        <v>0</v>
      </c>
      <c r="M23" s="352">
        <f t="shared" si="3"/>
        <v>0</v>
      </c>
      <c r="N23" s="353">
        <f t="shared" si="4"/>
        <v>0</v>
      </c>
    </row>
    <row r="24" spans="1:18" x14ac:dyDescent="0.3">
      <c r="A24" s="98">
        <v>3</v>
      </c>
      <c r="B24" s="346"/>
      <c r="C24" s="347"/>
      <c r="D24" s="339" t="str">
        <f>IF(B24=0," ",'kt info'!$G$24)</f>
        <v xml:space="preserve"> </v>
      </c>
      <c r="E24" s="348" t="str">
        <f>IF(B24=0," ",VLOOKUP(B24,WageBeneTable5[#All],2,FALSE))</f>
        <v xml:space="preserve"> </v>
      </c>
      <c r="F24" s="784">
        <f>IF($E24=" ",0,'Pay &amp; Benefits'!$C$10)</f>
        <v>0</v>
      </c>
      <c r="G24" s="785"/>
      <c r="H24" s="349" t="str">
        <f>IF($E24=" "," ",'Pay &amp; Benefits'!$C$11)</f>
        <v xml:space="preserve"> </v>
      </c>
      <c r="I24" s="350" t="str">
        <f t="shared" si="0"/>
        <v xml:space="preserve"> </v>
      </c>
      <c r="J24" s="351" t="str">
        <f>IF(B24=0," ",VLOOKUP(B24,WageBeneTable5[#All],3,FALSE))</f>
        <v xml:space="preserve"> </v>
      </c>
      <c r="K24" s="348" t="str">
        <f t="shared" si="1"/>
        <v xml:space="preserve"> </v>
      </c>
      <c r="L24" s="348">
        <f t="shared" si="2"/>
        <v>0</v>
      </c>
      <c r="M24" s="352">
        <f t="shared" si="3"/>
        <v>0</v>
      </c>
      <c r="N24" s="353">
        <f t="shared" si="4"/>
        <v>0</v>
      </c>
    </row>
    <row r="25" spans="1:18" x14ac:dyDescent="0.3">
      <c r="A25" s="98">
        <v>4</v>
      </c>
      <c r="B25" s="346"/>
      <c r="C25" s="347"/>
      <c r="D25" s="339" t="str">
        <f>IF(B25=0," ",'kt info'!$G$24)</f>
        <v xml:space="preserve"> </v>
      </c>
      <c r="E25" s="348" t="str">
        <f>IF(B25=0," ",VLOOKUP(B25,WageBeneTable5[#All],2,FALSE))</f>
        <v xml:space="preserve"> </v>
      </c>
      <c r="F25" s="784">
        <f>IF($E25=" ",0,'Pay &amp; Benefits'!$C$10)</f>
        <v>0</v>
      </c>
      <c r="G25" s="785"/>
      <c r="H25" s="349" t="str">
        <f>IF($E25=" "," ",'Pay &amp; Benefits'!$C$11)</f>
        <v xml:space="preserve"> </v>
      </c>
      <c r="I25" s="350" t="str">
        <f t="shared" si="0"/>
        <v xml:space="preserve"> </v>
      </c>
      <c r="J25" s="351" t="str">
        <f>IF(B25=0," ",VLOOKUP(B25,WageBeneTable5[#All],3,FALSE))</f>
        <v xml:space="preserve"> </v>
      </c>
      <c r="K25" s="348" t="str">
        <f t="shared" si="1"/>
        <v xml:space="preserve"> </v>
      </c>
      <c r="L25" s="348">
        <f t="shared" si="2"/>
        <v>0</v>
      </c>
      <c r="M25" s="352">
        <f t="shared" si="3"/>
        <v>0</v>
      </c>
      <c r="N25" s="353">
        <f t="shared" si="4"/>
        <v>0</v>
      </c>
      <c r="O25" s="218" t="s">
        <v>92</v>
      </c>
    </row>
    <row r="26" spans="1:18" ht="15" thickBot="1" x14ac:dyDescent="0.35">
      <c r="A26" s="98">
        <v>5</v>
      </c>
      <c r="B26" s="354"/>
      <c r="C26" s="355"/>
      <c r="D26" s="356" t="str">
        <f>IF(B26=0," ",'kt info'!$G$24)</f>
        <v xml:space="preserve"> </v>
      </c>
      <c r="E26" s="357" t="str">
        <f>IF(B26=0," ",VLOOKUP(B26,WageBeneTable5[#All],2,FALSE))</f>
        <v xml:space="preserve"> </v>
      </c>
      <c r="F26" s="776">
        <f>IF($E26=" ",0,'Pay &amp; Benefits'!$C$10)</f>
        <v>0</v>
      </c>
      <c r="G26" s="777"/>
      <c r="H26" s="358" t="str">
        <f>IF($E26=" "," ",'Pay &amp; Benefits'!$C$11)</f>
        <v xml:space="preserve"> </v>
      </c>
      <c r="I26" s="359" t="str">
        <f t="shared" si="0"/>
        <v xml:space="preserve"> </v>
      </c>
      <c r="J26" s="360" t="str">
        <f>IF(B26=0," ",VLOOKUP(B26,WageBeneTable5[#All],3,FALSE))</f>
        <v xml:space="preserve"> </v>
      </c>
      <c r="K26" s="357" t="str">
        <f t="shared" si="1"/>
        <v xml:space="preserve"> </v>
      </c>
      <c r="L26" s="357">
        <f t="shared" si="2"/>
        <v>0</v>
      </c>
      <c r="M26" s="361">
        <f t="shared" si="3"/>
        <v>0</v>
      </c>
      <c r="N26" s="362">
        <f t="shared" si="4"/>
        <v>0</v>
      </c>
    </row>
    <row r="27" spans="1:18" x14ac:dyDescent="0.3">
      <c r="A27" s="98">
        <v>6</v>
      </c>
      <c r="B27" s="337"/>
      <c r="C27" s="363"/>
      <c r="D27" s="364" t="str">
        <f>IF(B27=0," ",'kt info'!$G$24)</f>
        <v xml:space="preserve"> </v>
      </c>
      <c r="E27" s="365" t="str">
        <f>IF(B27=0," ",VLOOKUP(B27,WageBeneTable5[#All],2,FALSE))</f>
        <v xml:space="preserve"> </v>
      </c>
      <c r="F27" s="782">
        <f>IF($E27=" ",0,'Pay &amp; Benefits'!$C$10)</f>
        <v>0</v>
      </c>
      <c r="G27" s="783"/>
      <c r="H27" s="366" t="str">
        <f>IF($E27=" "," ",'Pay &amp; Benefits'!$C$11)</f>
        <v xml:space="preserve"> </v>
      </c>
      <c r="I27" s="367" t="str">
        <f t="shared" si="0"/>
        <v xml:space="preserve"> </v>
      </c>
      <c r="J27" s="368" t="str">
        <f>IF(B27=0," ",VLOOKUP(B27,WageBeneTable5[#All],3,FALSE))</f>
        <v xml:space="preserve"> </v>
      </c>
      <c r="K27" s="365" t="str">
        <f t="shared" si="1"/>
        <v xml:space="preserve"> </v>
      </c>
      <c r="L27" s="365">
        <f t="shared" si="2"/>
        <v>0</v>
      </c>
      <c r="M27" s="369">
        <f t="shared" si="3"/>
        <v>0</v>
      </c>
      <c r="N27" s="370">
        <f t="shared" si="4"/>
        <v>0</v>
      </c>
    </row>
    <row r="28" spans="1:18" x14ac:dyDescent="0.3">
      <c r="A28" s="98">
        <v>7</v>
      </c>
      <c r="B28" s="346"/>
      <c r="C28" s="347"/>
      <c r="D28" s="364" t="str">
        <f>IF(B28=0," ",'kt info'!$G$24)</f>
        <v xml:space="preserve"> </v>
      </c>
      <c r="E28" s="365" t="str">
        <f>IF(B28=0," ",VLOOKUP(B28,WageBeneTable5[#All],2,FALSE))</f>
        <v xml:space="preserve"> </v>
      </c>
      <c r="F28" s="784">
        <f>IF($E28=" ",0,'Pay &amp; Benefits'!$C$10)</f>
        <v>0</v>
      </c>
      <c r="G28" s="785"/>
      <c r="H28" s="366" t="str">
        <f>IF($E28=" "," ",'Pay &amp; Benefits'!$C$11)</f>
        <v xml:space="preserve"> </v>
      </c>
      <c r="I28" s="367" t="str">
        <f t="shared" si="0"/>
        <v xml:space="preserve"> </v>
      </c>
      <c r="J28" s="368" t="str">
        <f>IF(B28=0," ",VLOOKUP(B28,WageBeneTable5[#All],3,FALSE))</f>
        <v xml:space="preserve"> </v>
      </c>
      <c r="K28" s="365" t="str">
        <f t="shared" si="1"/>
        <v xml:space="preserve"> </v>
      </c>
      <c r="L28" s="365">
        <f t="shared" si="2"/>
        <v>0</v>
      </c>
      <c r="M28" s="369">
        <f t="shared" si="3"/>
        <v>0</v>
      </c>
      <c r="N28" s="370">
        <f t="shared" si="4"/>
        <v>0</v>
      </c>
    </row>
    <row r="29" spans="1:18" x14ac:dyDescent="0.3">
      <c r="A29" s="98">
        <v>8</v>
      </c>
      <c r="B29" s="346"/>
      <c r="C29" s="347"/>
      <c r="D29" s="364" t="str">
        <f>IF(B29=0," ",'kt info'!$G$24)</f>
        <v xml:space="preserve"> </v>
      </c>
      <c r="E29" s="365" t="str">
        <f>IF(B29=0," ",VLOOKUP(B29,WageBeneTable5[#All],2,FALSE))</f>
        <v xml:space="preserve"> </v>
      </c>
      <c r="F29" s="784">
        <f>IF($E29=" ",0,'Pay &amp; Benefits'!$C$10)</f>
        <v>0</v>
      </c>
      <c r="G29" s="785"/>
      <c r="H29" s="366" t="str">
        <f>IF($E29=" "," ",'Pay &amp; Benefits'!$C$11)</f>
        <v xml:space="preserve"> </v>
      </c>
      <c r="I29" s="367" t="str">
        <f t="shared" si="0"/>
        <v xml:space="preserve"> </v>
      </c>
      <c r="J29" s="368" t="str">
        <f>IF(B29=0," ",VLOOKUP(B29,WageBeneTable5[#All],3,FALSE))</f>
        <v xml:space="preserve"> </v>
      </c>
      <c r="K29" s="365" t="str">
        <f t="shared" si="1"/>
        <v xml:space="preserve"> </v>
      </c>
      <c r="L29" s="365">
        <f t="shared" si="2"/>
        <v>0</v>
      </c>
      <c r="M29" s="369">
        <f t="shared" si="3"/>
        <v>0</v>
      </c>
      <c r="N29" s="370">
        <f t="shared" si="4"/>
        <v>0</v>
      </c>
    </row>
    <row r="30" spans="1:18" x14ac:dyDescent="0.3">
      <c r="A30" s="98">
        <v>9</v>
      </c>
      <c r="B30" s="346"/>
      <c r="C30" s="347"/>
      <c r="D30" s="364" t="str">
        <f>IF(B30=0," ",'kt info'!$G$24)</f>
        <v xml:space="preserve"> </v>
      </c>
      <c r="E30" s="365" t="str">
        <f>IF(B30=0," ",VLOOKUP(B30,WageBeneTable5[#All],2,FALSE))</f>
        <v xml:space="preserve"> </v>
      </c>
      <c r="F30" s="784">
        <f>IF($E30=" ",0,'Pay &amp; Benefits'!$C$10)</f>
        <v>0</v>
      </c>
      <c r="G30" s="785"/>
      <c r="H30" s="366" t="str">
        <f>IF($E30=" "," ",'Pay &amp; Benefits'!$C$11)</f>
        <v xml:space="preserve"> </v>
      </c>
      <c r="I30" s="367" t="str">
        <f t="shared" si="0"/>
        <v xml:space="preserve"> </v>
      </c>
      <c r="J30" s="368" t="str">
        <f>IF(B30=0," ",VLOOKUP(B30,WageBeneTable5[#All],3,FALSE))</f>
        <v xml:space="preserve"> </v>
      </c>
      <c r="K30" s="365" t="str">
        <f t="shared" si="1"/>
        <v xml:space="preserve"> </v>
      </c>
      <c r="L30" s="365">
        <f t="shared" si="2"/>
        <v>0</v>
      </c>
      <c r="M30" s="369">
        <f t="shared" si="3"/>
        <v>0</v>
      </c>
      <c r="N30" s="370">
        <f t="shared" si="4"/>
        <v>0</v>
      </c>
    </row>
    <row r="31" spans="1:18" ht="15" thickBot="1" x14ac:dyDescent="0.35">
      <c r="A31" s="98">
        <v>10</v>
      </c>
      <c r="B31" s="354"/>
      <c r="C31" s="355"/>
      <c r="D31" s="356" t="str">
        <f>IF(B31=0," ",'kt info'!$G$24)</f>
        <v xml:space="preserve"> </v>
      </c>
      <c r="E31" s="357" t="str">
        <f>IF(B31=0," ",VLOOKUP(B31,WageBeneTable5[#All],2,FALSE))</f>
        <v xml:space="preserve"> </v>
      </c>
      <c r="F31" s="776">
        <f>IF($E31=" ",0,'Pay &amp; Benefits'!$C$10)</f>
        <v>0</v>
      </c>
      <c r="G31" s="777"/>
      <c r="H31" s="358" t="str">
        <f>IF($E31=" "," ",'Pay &amp; Benefits'!$C$11)</f>
        <v xml:space="preserve"> </v>
      </c>
      <c r="I31" s="359" t="str">
        <f t="shared" si="0"/>
        <v xml:space="preserve"> </v>
      </c>
      <c r="J31" s="360" t="str">
        <f>IF(B31=0," ",VLOOKUP(B31,WageBeneTable5[#All],3,FALSE))</f>
        <v xml:space="preserve"> </v>
      </c>
      <c r="K31" s="357" t="str">
        <f t="shared" si="1"/>
        <v xml:space="preserve"> </v>
      </c>
      <c r="L31" s="357">
        <f t="shared" si="2"/>
        <v>0</v>
      </c>
      <c r="M31" s="361">
        <f t="shared" si="3"/>
        <v>0</v>
      </c>
      <c r="N31" s="362">
        <f t="shared" si="4"/>
        <v>0</v>
      </c>
      <c r="O31" s="138"/>
      <c r="P31" s="139"/>
      <c r="Q31" s="138"/>
      <c r="R31" s="139"/>
    </row>
    <row r="32" spans="1:18" x14ac:dyDescent="0.3">
      <c r="K32" s="371"/>
      <c r="L32" s="372"/>
      <c r="M32" s="373"/>
      <c r="O32" s="98"/>
      <c r="P32" s="372"/>
      <c r="Q32" s="98"/>
      <c r="R32" s="372"/>
    </row>
    <row r="33" spans="1:15" ht="15" thickBot="1" x14ac:dyDescent="0.35">
      <c r="B33" s="374" t="s">
        <v>175</v>
      </c>
      <c r="E33" s="375"/>
      <c r="H33" s="376" t="s">
        <v>171</v>
      </c>
      <c r="O33" s="377"/>
    </row>
    <row r="34" spans="1:15" x14ac:dyDescent="0.3">
      <c r="B34" s="32" t="s">
        <v>115</v>
      </c>
      <c r="C34" s="378" t="s">
        <v>199</v>
      </c>
      <c r="D34" s="379" t="s">
        <v>4</v>
      </c>
      <c r="E34" s="380" t="s">
        <v>76</v>
      </c>
      <c r="H34" s="290" t="s">
        <v>10</v>
      </c>
      <c r="I34" s="4" t="s">
        <v>78</v>
      </c>
      <c r="J34" s="4" t="s">
        <v>11</v>
      </c>
      <c r="K34" s="4" t="s">
        <v>201</v>
      </c>
      <c r="L34" s="4" t="s">
        <v>76</v>
      </c>
    </row>
    <row r="35" spans="1:15" ht="15" thickBot="1" x14ac:dyDescent="0.35">
      <c r="B35" s="33" t="s">
        <v>116</v>
      </c>
      <c r="C35" s="381" t="s">
        <v>77</v>
      </c>
      <c r="D35" s="382" t="s">
        <v>5</v>
      </c>
      <c r="E35" s="383" t="s">
        <v>77</v>
      </c>
      <c r="H35" s="291" t="s">
        <v>8</v>
      </c>
      <c r="I35" s="5" t="s">
        <v>79</v>
      </c>
      <c r="J35" s="5" t="s">
        <v>12</v>
      </c>
      <c r="K35" s="5" t="s">
        <v>7</v>
      </c>
      <c r="L35" s="5" t="s">
        <v>77</v>
      </c>
      <c r="O35" s="384"/>
    </row>
    <row r="36" spans="1:15" x14ac:dyDescent="0.3">
      <c r="A36" s="98">
        <v>1</v>
      </c>
      <c r="B36" s="385"/>
      <c r="C36" s="386"/>
      <c r="D36" s="387">
        <f>IF(B36=0,0,VLOOKUP(B36,Supplies!$B$13:$C$97,2,FALSE))</f>
        <v>0</v>
      </c>
      <c r="E36" s="340">
        <f>IF(D36=" "," ",D36*C36)</f>
        <v>0</v>
      </c>
      <c r="G36" s="98">
        <v>1</v>
      </c>
      <c r="H36" s="388"/>
      <c r="I36" s="389"/>
      <c r="J36" s="390"/>
      <c r="K36" s="391" t="str">
        <f>IF(H36=0," ",IF(VLOOKUP(H36,'Equipment List'!$B$12:$F$96,5,FALSE)=0,0,IF(VLOOKUP(H36,'Equipment List'!$B$12:$F$96,5,FALSE)="Grant","Grant",IF(VLOOKUP(H36,'Equipment List'!$B$12:$F$96,5,FALSE)="Depreciated","Depreciated",VLOOKUP(H36,'Equipment List'!$B$12:$F$96,5,FALSE)*I36*J36))))</f>
        <v xml:space="preserve"> </v>
      </c>
      <c r="L36" s="392" t="str">
        <f>IF(K36=" "," ",IF(K36="Grant",0,IF(K36="Depreciated",0,IF('kt info'!$G$24=0,"No Service Frequency",K36/'kt info'!$G$24))))</f>
        <v xml:space="preserve"> </v>
      </c>
      <c r="O36" s="384"/>
    </row>
    <row r="37" spans="1:15" x14ac:dyDescent="0.3">
      <c r="A37" s="98">
        <v>2</v>
      </c>
      <c r="B37" s="393"/>
      <c r="C37" s="394"/>
      <c r="D37" s="395">
        <f>IF(B37=0,0,VLOOKUP(B37,Supplies!$B$13:$C$97,2,FALSE))</f>
        <v>0</v>
      </c>
      <c r="E37" s="365">
        <f t="shared" ref="E37:E51" si="5">IF(D37=" "," ",D37*C37)</f>
        <v>0</v>
      </c>
      <c r="G37" s="98">
        <v>2</v>
      </c>
      <c r="H37" s="396"/>
      <c r="I37" s="397"/>
      <c r="J37" s="398"/>
      <c r="K37" s="399" t="str">
        <f>IF(H37=0," ",IF(VLOOKUP(H37,'Equipment List'!$B$12:$F$96,5,FALSE)=0,0,IF(VLOOKUP(H37,'Equipment List'!$B$12:$F$96,5,FALSE)="Grant","Grant",IF(VLOOKUP(H37,'Equipment List'!$B$12:$F$96,5,FALSE)="Depreciated","Depreciated",VLOOKUP(H37,'Equipment List'!$B$12:$F$96,5,FALSE)*I37*J37))))</f>
        <v xml:space="preserve"> </v>
      </c>
      <c r="L37" s="400" t="str">
        <f>IF(K37=" "," ",IF(K37="Grant",0,IF(K37="Depreciated",0,IF('kt info'!$G$24=0,"No Service Frequency",K37/'kt info'!$G$24))))</f>
        <v xml:space="preserve"> </v>
      </c>
    </row>
    <row r="38" spans="1:15" x14ac:dyDescent="0.3">
      <c r="A38" s="98">
        <v>3</v>
      </c>
      <c r="B38" s="393"/>
      <c r="C38" s="394"/>
      <c r="D38" s="395">
        <f>IF(B38=0,0,VLOOKUP(B38,Supplies!$B$13:$C$97,2,FALSE))</f>
        <v>0</v>
      </c>
      <c r="E38" s="365">
        <f t="shared" si="5"/>
        <v>0</v>
      </c>
      <c r="G38" s="98">
        <v>3</v>
      </c>
      <c r="H38" s="396"/>
      <c r="I38" s="397"/>
      <c r="J38" s="398"/>
      <c r="K38" s="401" t="str">
        <f>IF(H38=0," ",IF(VLOOKUP(H38,'Equipment List'!$B$12:$F$96,5,FALSE)=0,0,IF(VLOOKUP(H38,'Equipment List'!$B$12:$F$96,5,FALSE)="Grant","Grant",IF(VLOOKUP(H38,'Equipment List'!$B$12:$F$96,5,FALSE)="Depreciated","Depreciated",VLOOKUP(H38,'Equipment List'!$B$12:$F$96,5,FALSE)*I38*J38))))</f>
        <v xml:space="preserve"> </v>
      </c>
      <c r="L38" s="400" t="str">
        <f>IF(K38=" "," ",IF(K38="Grant",0,IF(K38="Depreciated",0,IF('kt info'!$G$24=0,"No Service Frequency",K38/'kt info'!$G$24))))</f>
        <v xml:space="preserve"> </v>
      </c>
    </row>
    <row r="39" spans="1:15" x14ac:dyDescent="0.3">
      <c r="A39" s="98">
        <v>4</v>
      </c>
      <c r="B39" s="393"/>
      <c r="C39" s="394"/>
      <c r="D39" s="395">
        <f>IF(B39=0,0,VLOOKUP(B39,Supplies!$B$13:$C$97,2,FALSE))</f>
        <v>0</v>
      </c>
      <c r="E39" s="365">
        <f t="shared" si="5"/>
        <v>0</v>
      </c>
      <c r="G39" s="98">
        <v>4</v>
      </c>
      <c r="H39" s="396"/>
      <c r="I39" s="397"/>
      <c r="J39" s="398"/>
      <c r="K39" s="401" t="str">
        <f>IF(H39=0," ",IF(VLOOKUP(H39,'Equipment List'!$B$12:$F$96,5,FALSE)=0,0,IF(VLOOKUP(H39,'Equipment List'!$B$12:$F$96,5,FALSE)="Grant","Grant",IF(VLOOKUP(H39,'Equipment List'!$B$12:$F$96,5,FALSE)="Depreciated","Depreciated",VLOOKUP(H39,'Equipment List'!$B$12:$F$96,5,FALSE)*I39*J39))))</f>
        <v xml:space="preserve"> </v>
      </c>
      <c r="L39" s="400" t="str">
        <f>IF(K39=" "," ",IF(K39="Grant",0,IF(K39="Depreciated",0,IF('kt info'!$G$24=0,"No Service Frequency",K39/'kt info'!$G$24))))</f>
        <v xml:space="preserve"> </v>
      </c>
    </row>
    <row r="40" spans="1:15" ht="15" thickBot="1" x14ac:dyDescent="0.35">
      <c r="A40" s="98">
        <v>5</v>
      </c>
      <c r="B40" s="402"/>
      <c r="C40" s="403"/>
      <c r="D40" s="404">
        <f>IF(B40=0,0,VLOOKUP(B40,Supplies!$B$13:$C$97,2,FALSE))</f>
        <v>0</v>
      </c>
      <c r="E40" s="357">
        <f t="shared" si="5"/>
        <v>0</v>
      </c>
      <c r="G40" s="98">
        <v>5</v>
      </c>
      <c r="H40" s="405"/>
      <c r="I40" s="406"/>
      <c r="J40" s="407"/>
      <c r="K40" s="408" t="str">
        <f>IF(H40=0," ",IF(VLOOKUP(H40,'Equipment List'!$B$12:$F$96,5,FALSE)=0,0,IF(VLOOKUP(H40,'Equipment List'!$B$12:$F$96,5,FALSE)="Grant","Grant",IF(VLOOKUP(H40,'Equipment List'!$B$12:$F$96,5,FALSE)="Depreciated","Depreciated",VLOOKUP(H40,'Equipment List'!$B$12:$F$96,5,FALSE)*I40*J40))))</f>
        <v xml:space="preserve"> </v>
      </c>
      <c r="L40" s="409" t="str">
        <f>IF(K40=" "," ",IF(K40="Grant",0,IF(K40="Depreciated",0,IF('kt info'!$G$24=0,"No Service Frequency",K40/'kt info'!$G$24))))</f>
        <v xml:space="preserve"> </v>
      </c>
    </row>
    <row r="41" spans="1:15" x14ac:dyDescent="0.3">
      <c r="A41" s="98">
        <v>6</v>
      </c>
      <c r="B41" s="410"/>
      <c r="C41" s="411"/>
      <c r="D41" s="412">
        <f>IF(B41=0,0,VLOOKUP(B41,Supplies!$B$13:$C$97,2,FALSE))</f>
        <v>0</v>
      </c>
      <c r="E41" s="365">
        <f t="shared" si="5"/>
        <v>0</v>
      </c>
      <c r="G41" s="98">
        <v>6</v>
      </c>
      <c r="H41" s="413"/>
      <c r="I41" s="414"/>
      <c r="J41" s="415"/>
      <c r="K41" s="416" t="str">
        <f>IF(H41=0," ",IF(VLOOKUP(H41,'Equipment List'!$B$12:$F$96,5,FALSE)=0,0,IF(VLOOKUP(H41,'Equipment List'!$B$12:$F$96,5,FALSE)="Grant","Grant",IF(VLOOKUP(H41,'Equipment List'!$B$12:$F$96,5,FALSE)="Depreciated","Depreciated",VLOOKUP(H41,'Equipment List'!$B$12:$F$96,5,FALSE)*I41*J41))))</f>
        <v xml:space="preserve"> </v>
      </c>
      <c r="L41" s="400" t="str">
        <f>IF(K41=" "," ",IF(K41="Grant",0,IF(K41="Depreciated",0,IF('kt info'!$G$24=0,"No Service Frequency",K41/'kt info'!$G$24))))</f>
        <v xml:space="preserve"> </v>
      </c>
    </row>
    <row r="42" spans="1:15" x14ac:dyDescent="0.3">
      <c r="A42" s="98">
        <v>7</v>
      </c>
      <c r="B42" s="393"/>
      <c r="C42" s="394"/>
      <c r="D42" s="395">
        <f>IF(B42=0,0,VLOOKUP(B42,Supplies!$B$13:$C$97,2,FALSE))</f>
        <v>0</v>
      </c>
      <c r="E42" s="365">
        <f t="shared" si="5"/>
        <v>0</v>
      </c>
      <c r="G42" s="98">
        <v>7</v>
      </c>
      <c r="H42" s="417"/>
      <c r="I42" s="397"/>
      <c r="J42" s="398"/>
      <c r="K42" s="418" t="str">
        <f>IF(H42=0," ",IF(VLOOKUP(H42,'Equipment List'!$B$12:$F$96,5,FALSE)=0,0,IF(VLOOKUP(H42,'Equipment List'!$B$12:$F$96,5,FALSE)="Grant","Grant",IF(VLOOKUP(H42,'Equipment List'!$B$12:$F$96,5,FALSE)="Depreciated","Depreciated",VLOOKUP(H42,'Equipment List'!$B$12:$F$96,5,FALSE)*I42*J42))))</f>
        <v xml:space="preserve"> </v>
      </c>
      <c r="L42" s="400" t="str">
        <f>IF(K42=" "," ",IF(K42="Grant",0,IF(K42="Depreciated",0,IF('kt info'!$G$24=0,"No Service Frequency",K42/'kt info'!$G$24))))</f>
        <v xml:space="preserve"> </v>
      </c>
    </row>
    <row r="43" spans="1:15" x14ac:dyDescent="0.3">
      <c r="A43" s="98">
        <v>8</v>
      </c>
      <c r="B43" s="393"/>
      <c r="C43" s="394"/>
      <c r="D43" s="395">
        <f>IF(B43=0,0,VLOOKUP(B43,Supplies!$B$13:$C$97,2,FALSE))</f>
        <v>0</v>
      </c>
      <c r="E43" s="365">
        <f t="shared" si="5"/>
        <v>0</v>
      </c>
      <c r="G43" s="98">
        <v>8</v>
      </c>
      <c r="H43" s="417"/>
      <c r="I43" s="397"/>
      <c r="J43" s="398"/>
      <c r="K43" s="418" t="str">
        <f>IF(H43=0," ",IF(VLOOKUP(H43,'Equipment List'!$B$12:$F$96,5,FALSE)=0,0,IF(VLOOKUP(H43,'Equipment List'!$B$12:$F$96,5,FALSE)="Grant","Grant",IF(VLOOKUP(H43,'Equipment List'!$B$12:$F$96,5,FALSE)="Depreciated","Depreciated",VLOOKUP(H43,'Equipment List'!$B$12:$F$96,5,FALSE)*I43*J43))))</f>
        <v xml:space="preserve"> </v>
      </c>
      <c r="L43" s="400" t="str">
        <f>IF(K43=" "," ",IF(K43="Grant",0,IF(K43="Depreciated",0,IF('kt info'!$G$24=0,"No Service Frequency",K43/'kt info'!$G$24))))</f>
        <v xml:space="preserve"> </v>
      </c>
    </row>
    <row r="44" spans="1:15" x14ac:dyDescent="0.3">
      <c r="A44" s="98">
        <v>9</v>
      </c>
      <c r="B44" s="393"/>
      <c r="C44" s="394"/>
      <c r="D44" s="395">
        <f>IF(B44=0,0,VLOOKUP(B44,Supplies!$B$13:$C$97,2,FALSE))</f>
        <v>0</v>
      </c>
      <c r="E44" s="365">
        <f t="shared" si="5"/>
        <v>0</v>
      </c>
      <c r="G44" s="98">
        <v>9</v>
      </c>
      <c r="H44" s="417"/>
      <c r="I44" s="397"/>
      <c r="J44" s="398"/>
      <c r="K44" s="418" t="str">
        <f>IF(H44=0," ",IF(VLOOKUP(H44,'Equipment List'!$B$12:$F$96,5,FALSE)=0,0,IF(VLOOKUP(H44,'Equipment List'!$B$12:$F$96,5,FALSE)="Grant","Grant",IF(VLOOKUP(H44,'Equipment List'!$B$12:$F$96,5,FALSE)="Depreciated","Depreciated",VLOOKUP(H44,'Equipment List'!$B$12:$F$96,5,FALSE)*I44*J44))))</f>
        <v xml:space="preserve"> </v>
      </c>
      <c r="L44" s="400" t="str">
        <f>IF(K44=" "," ",IF(K44="Grant",0,IF(K44="Depreciated",0,IF('kt info'!$G$24=0,"No Service Frequency",K44/'kt info'!$G$24))))</f>
        <v xml:space="preserve"> </v>
      </c>
    </row>
    <row r="45" spans="1:15" ht="15" thickBot="1" x14ac:dyDescent="0.35">
      <c r="A45" s="98">
        <v>10</v>
      </c>
      <c r="B45" s="402"/>
      <c r="C45" s="403"/>
      <c r="D45" s="404">
        <f>IF(B45=0,0,VLOOKUP(B45,Supplies!$B$13:$C$97,2,FALSE))</f>
        <v>0</v>
      </c>
      <c r="E45" s="357">
        <f t="shared" si="5"/>
        <v>0</v>
      </c>
      <c r="G45" s="98">
        <v>10</v>
      </c>
      <c r="H45" s="419"/>
      <c r="I45" s="406"/>
      <c r="J45" s="407"/>
      <c r="K45" s="420" t="str">
        <f>IF(H45=0," ",IF(VLOOKUP(H45,'Equipment List'!$B$12:$F$96,5,FALSE)=0,0,IF(VLOOKUP(H45,'Equipment List'!$B$12:$F$96,5,FALSE)="Grant","Grant",IF(VLOOKUP(H45,'Equipment List'!$B$12:$F$96,5,FALSE)="Depreciated","Depreciated",VLOOKUP(H45,'Equipment List'!$B$12:$F$96,5,FALSE)*I45*J45))))</f>
        <v xml:space="preserve"> </v>
      </c>
      <c r="L45" s="409" t="str">
        <f>IF(K45=" "," ",IF(K45="Grant",0,IF(K45="Depreciated",0,IF('kt info'!$G$24=0,"No Service Frequency",K45/'kt info'!$G$24))))</f>
        <v xml:space="preserve"> </v>
      </c>
    </row>
    <row r="46" spans="1:15" x14ac:dyDescent="0.3">
      <c r="A46" s="98">
        <v>11</v>
      </c>
      <c r="B46" s="410"/>
      <c r="C46" s="411"/>
      <c r="D46" s="412">
        <f>IF(B46=0,0,VLOOKUP(B46,Supplies!$B$13:$C$97,2,FALSE))</f>
        <v>0</v>
      </c>
      <c r="E46" s="365">
        <f t="shared" si="5"/>
        <v>0</v>
      </c>
    </row>
    <row r="47" spans="1:15" ht="15" thickBot="1" x14ac:dyDescent="0.35">
      <c r="A47" s="98">
        <v>12</v>
      </c>
      <c r="B47" s="393"/>
      <c r="C47" s="394"/>
      <c r="D47" s="395">
        <f>IF(B47=0,0,VLOOKUP(B47,Supplies!$B$13:$C$97,2,FALSE))</f>
        <v>0</v>
      </c>
      <c r="E47" s="365">
        <f t="shared" si="5"/>
        <v>0</v>
      </c>
      <c r="H47" s="773" t="s">
        <v>172</v>
      </c>
      <c r="I47" s="774"/>
      <c r="J47" s="334"/>
      <c r="K47" s="334"/>
      <c r="L47" s="334"/>
      <c r="M47" s="334"/>
    </row>
    <row r="48" spans="1:15" x14ac:dyDescent="0.3">
      <c r="A48" s="98">
        <v>13</v>
      </c>
      <c r="B48" s="393"/>
      <c r="C48" s="394"/>
      <c r="D48" s="395">
        <f>IF(B48=0,0,VLOOKUP(B48,Supplies!$B$13:$C$97,2,FALSE))</f>
        <v>0</v>
      </c>
      <c r="E48" s="365">
        <f t="shared" si="5"/>
        <v>0</v>
      </c>
      <c r="H48" s="421" t="s">
        <v>145</v>
      </c>
      <c r="I48" s="4" t="s">
        <v>85</v>
      </c>
      <c r="J48" s="4" t="s">
        <v>249</v>
      </c>
      <c r="K48" s="330" t="s">
        <v>86</v>
      </c>
      <c r="L48" s="4" t="s">
        <v>7</v>
      </c>
      <c r="M48" s="4" t="s">
        <v>7</v>
      </c>
    </row>
    <row r="49" spans="1:14" ht="15" thickBot="1" x14ac:dyDescent="0.35">
      <c r="A49" s="98">
        <v>14</v>
      </c>
      <c r="B49" s="393"/>
      <c r="C49" s="394"/>
      <c r="D49" s="395">
        <f>IF(B49=0,0,VLOOKUP(B49,Supplies!$B$13:$C$97,2,FALSE))</f>
        <v>0</v>
      </c>
      <c r="E49" s="365">
        <f t="shared" si="5"/>
        <v>0</v>
      </c>
      <c r="H49" s="292" t="s">
        <v>8</v>
      </c>
      <c r="I49" s="5" t="s">
        <v>250</v>
      </c>
      <c r="J49" s="5" t="s">
        <v>153</v>
      </c>
      <c r="K49" s="334" t="s">
        <v>87</v>
      </c>
      <c r="L49" s="5" t="s">
        <v>251</v>
      </c>
      <c r="M49" s="5" t="s">
        <v>200</v>
      </c>
    </row>
    <row r="50" spans="1:14" ht="15" thickBot="1" x14ac:dyDescent="0.35">
      <c r="A50" s="98">
        <v>15</v>
      </c>
      <c r="B50" s="402"/>
      <c r="C50" s="422"/>
      <c r="D50" s="423">
        <f>IF(B50=0,0,VLOOKUP(B50,Supplies!$B$13:$C$97,2,FALSE))</f>
        <v>0</v>
      </c>
      <c r="E50" s="357">
        <f t="shared" si="5"/>
        <v>0</v>
      </c>
      <c r="G50" s="373"/>
      <c r="H50" s="250"/>
      <c r="I50" s="424"/>
      <c r="J50" s="425"/>
      <c r="K50" s="426">
        <f>IF(H50=0,0,VLOOKUP(H50,Transportation!$B$6:$L$16,11,FALSE))</f>
        <v>0</v>
      </c>
      <c r="L50" s="427">
        <f>IF(I50=0,0,I50*K50)</f>
        <v>0</v>
      </c>
      <c r="M50" s="428">
        <f>IF(I50=0,0,I50*K50*J50)</f>
        <v>0</v>
      </c>
    </row>
    <row r="51" spans="1:14" ht="15" thickBot="1" x14ac:dyDescent="0.35">
      <c r="A51" s="98">
        <v>16</v>
      </c>
      <c r="B51" s="410"/>
      <c r="C51" s="429"/>
      <c r="D51" s="430">
        <f>IF(B51=0,0,VLOOKUP(B51,Supplies!$B$13:$C$97,2,FALSE))</f>
        <v>0</v>
      </c>
      <c r="E51" s="365">
        <f t="shared" si="5"/>
        <v>0</v>
      </c>
      <c r="H51" s="251"/>
      <c r="I51" s="431"/>
      <c r="J51" s="432"/>
      <c r="K51" s="433">
        <f>IF(H51=0,0,VLOOKUP(H51,Transportation!$B$6:$L$16,11,FALSE))</f>
        <v>0</v>
      </c>
      <c r="L51" s="434">
        <f>IF(I51=0,0,I51*K51)</f>
        <v>0</v>
      </c>
      <c r="M51" s="435">
        <f>IF(I51=0,0,I51*K51*J51)</f>
        <v>0</v>
      </c>
    </row>
    <row r="52" spans="1:14" x14ac:dyDescent="0.3">
      <c r="A52" s="98">
        <v>17</v>
      </c>
      <c r="B52" s="393"/>
      <c r="C52" s="436"/>
      <c r="D52" s="437">
        <f>IF(B52=0,0,VLOOKUP(B52,Supplies!$B$13:$C$97,2,FALSE))</f>
        <v>0</v>
      </c>
      <c r="E52" s="365">
        <f>IF(D52=" "," ",D52*C52)</f>
        <v>0</v>
      </c>
      <c r="H52" s="252"/>
      <c r="I52" s="438"/>
      <c r="J52" s="439"/>
      <c r="K52" s="440"/>
      <c r="L52" s="440"/>
      <c r="M52" s="440"/>
    </row>
    <row r="53" spans="1:14" ht="15" thickBot="1" x14ac:dyDescent="0.35">
      <c r="A53" s="98">
        <v>18</v>
      </c>
      <c r="B53" s="393"/>
      <c r="C53" s="436"/>
      <c r="D53" s="437">
        <f>IF(B53=0,0,VLOOKUP(B53,Supplies!$B$13:$C$97,2,FALSE))</f>
        <v>0</v>
      </c>
      <c r="E53" s="365">
        <f>IF(D53=" "," ",D53*C53)</f>
        <v>0</v>
      </c>
      <c r="H53" s="441" t="s">
        <v>173</v>
      </c>
      <c r="I53" s="442"/>
      <c r="J53" s="443"/>
      <c r="K53" s="444"/>
      <c r="L53" s="444"/>
      <c r="M53" s="444"/>
    </row>
    <row r="54" spans="1:14" x14ac:dyDescent="0.3">
      <c r="A54" s="98">
        <v>19</v>
      </c>
      <c r="B54" s="393"/>
      <c r="C54" s="436"/>
      <c r="D54" s="437">
        <f>IF(B54=0,0,VLOOKUP(B54,Supplies!$B$13:$C$97,2,FALSE))</f>
        <v>0</v>
      </c>
      <c r="E54" s="365">
        <f>IF(D54=" "," ",D54*C54)</f>
        <v>0</v>
      </c>
      <c r="H54" s="445" t="s">
        <v>174</v>
      </c>
      <c r="I54" s="446" t="s">
        <v>176</v>
      </c>
      <c r="J54" s="443"/>
      <c r="K54" s="444"/>
      <c r="L54" s="444"/>
      <c r="M54" s="444"/>
    </row>
    <row r="55" spans="1:14" ht="15" thickBot="1" x14ac:dyDescent="0.35">
      <c r="A55" s="98">
        <v>20</v>
      </c>
      <c r="B55" s="402"/>
      <c r="C55" s="422"/>
      <c r="D55" s="423">
        <f>IF(B55=0,0,VLOOKUP(B55,Supplies!$B$13:$C$97,2,FALSE))</f>
        <v>0</v>
      </c>
      <c r="E55" s="357">
        <f>IF(D55=" "," ",D55*C55)</f>
        <v>0</v>
      </c>
      <c r="H55" s="447"/>
      <c r="I55" s="448" t="str">
        <f>IF(H55=0," ",VLOOKUP(H55,Subcontractors!$B$15:$E$25,4))</f>
        <v xml:space="preserve"> </v>
      </c>
      <c r="J55" s="443"/>
      <c r="K55" s="444"/>
      <c r="L55" s="444"/>
      <c r="M55" s="444"/>
    </row>
    <row r="56" spans="1:14" ht="15" thickBot="1" x14ac:dyDescent="0.35">
      <c r="H56" s="449"/>
      <c r="I56" s="450" t="str">
        <f>IF(H56=0," ",VLOOKUP(H56,Subcontractors!$B$15:$E$25,4))</f>
        <v xml:space="preserve"> </v>
      </c>
    </row>
    <row r="57" spans="1:14" x14ac:dyDescent="0.3">
      <c r="A57" s="98"/>
      <c r="B57" s="451"/>
      <c r="C57" s="452"/>
      <c r="D57" s="377"/>
      <c r="E57" s="377"/>
      <c r="H57" s="453"/>
      <c r="I57" s="384"/>
    </row>
    <row r="58" spans="1:14" ht="18" x14ac:dyDescent="0.3">
      <c r="A58" s="778" t="s">
        <v>164</v>
      </c>
      <c r="B58" s="779"/>
      <c r="C58" s="779"/>
      <c r="D58" s="779"/>
      <c r="E58" s="779"/>
      <c r="F58" s="779"/>
      <c r="G58" s="148" t="str">
        <f>B10</f>
        <v>Periodical Service 1</v>
      </c>
      <c r="H58" s="288"/>
      <c r="I58" s="148"/>
      <c r="J58" s="148"/>
      <c r="K58" s="148"/>
      <c r="L58" s="148"/>
      <c r="M58" s="148"/>
      <c r="N58" s="148"/>
    </row>
    <row r="59" spans="1:14" ht="18" x14ac:dyDescent="0.3">
      <c r="A59" s="778" t="s">
        <v>165</v>
      </c>
      <c r="B59" s="779"/>
      <c r="C59" s="779"/>
      <c r="D59" s="779"/>
      <c r="E59" s="779"/>
      <c r="F59" s="779"/>
      <c r="G59" s="148" t="str">
        <f>B67</f>
        <v>Periodical Service 2</v>
      </c>
      <c r="H59" s="288"/>
      <c r="I59" s="148"/>
      <c r="J59" s="148"/>
      <c r="K59" s="148"/>
      <c r="L59" s="148"/>
      <c r="M59" s="148"/>
      <c r="N59" s="148"/>
    </row>
    <row r="61" spans="1:14" x14ac:dyDescent="0.3">
      <c r="B61" s="218" t="s">
        <v>102</v>
      </c>
      <c r="C61" s="695">
        <f>'kt info'!$C$3</f>
        <v>0</v>
      </c>
      <c r="D61" s="695"/>
      <c r="E61" s="696"/>
      <c r="F61" s="697"/>
      <c r="H61" s="314"/>
      <c r="J61" s="793"/>
      <c r="K61" s="793"/>
      <c r="L61" s="793"/>
      <c r="M61" s="793"/>
    </row>
    <row r="62" spans="1:14" x14ac:dyDescent="0.3">
      <c r="C62" s="287"/>
      <c r="D62" s="98"/>
      <c r="E62" s="98"/>
      <c r="F62" s="98"/>
      <c r="I62" s="311"/>
      <c r="J62" s="311"/>
      <c r="L62" s="317"/>
    </row>
    <row r="63" spans="1:14" x14ac:dyDescent="0.3">
      <c r="B63" s="218" t="s">
        <v>103</v>
      </c>
      <c r="C63" s="695">
        <f>'kt info'!$C$5</f>
        <v>0</v>
      </c>
      <c r="D63" s="695"/>
      <c r="E63" s="697"/>
      <c r="F63" s="697"/>
      <c r="J63" s="311"/>
      <c r="L63" s="317"/>
    </row>
    <row r="64" spans="1:14" x14ac:dyDescent="0.3">
      <c r="C64" s="287"/>
      <c r="D64" s="98"/>
      <c r="E64" s="98"/>
      <c r="F64" s="98"/>
      <c r="J64" s="311"/>
      <c r="L64" s="317"/>
    </row>
    <row r="65" spans="1:14" x14ac:dyDescent="0.3">
      <c r="B65" s="218" t="s">
        <v>126</v>
      </c>
      <c r="C65" s="695">
        <f>'kt info'!$C$7</f>
        <v>0</v>
      </c>
      <c r="D65" s="695"/>
      <c r="E65" s="697"/>
      <c r="F65" s="697"/>
      <c r="J65" s="311"/>
      <c r="L65" s="317"/>
    </row>
    <row r="66" spans="1:14" x14ac:dyDescent="0.3">
      <c r="J66" s="317"/>
      <c r="L66" s="317"/>
    </row>
    <row r="67" spans="1:14" ht="18" x14ac:dyDescent="0.3">
      <c r="A67" s="318"/>
      <c r="B67" s="319" t="str">
        <f>'kt info'!B26</f>
        <v>Periodical Service 2</v>
      </c>
      <c r="C67" s="320"/>
      <c r="D67" s="318"/>
      <c r="E67" s="318"/>
      <c r="F67" s="318"/>
      <c r="G67" s="318"/>
      <c r="H67" s="289" t="s">
        <v>71</v>
      </c>
      <c r="I67" s="231" t="s">
        <v>198</v>
      </c>
      <c r="J67" s="317"/>
      <c r="L67" s="317"/>
      <c r="M67" s="318"/>
      <c r="N67" s="318"/>
    </row>
    <row r="68" spans="1:14" x14ac:dyDescent="0.3">
      <c r="E68" s="786" t="s">
        <v>72</v>
      </c>
      <c r="F68" s="787"/>
      <c r="G68" s="788"/>
      <c r="H68" s="321">
        <f>IF(SUM(M80:M89)&gt;0,SUM(M80:M89)/'kt info'!$G$26,0)</f>
        <v>0</v>
      </c>
      <c r="I68" s="322">
        <f>H68*'kt info'!$G$26</f>
        <v>0</v>
      </c>
      <c r="J68" s="317"/>
      <c r="L68" s="317"/>
    </row>
    <row r="69" spans="1:14" x14ac:dyDescent="0.3">
      <c r="B69" s="323" t="s">
        <v>229</v>
      </c>
      <c r="E69" s="786" t="s">
        <v>161</v>
      </c>
      <c r="F69" s="787"/>
      <c r="G69" s="788"/>
      <c r="H69" s="324">
        <f>IF(SUM(K80:K89)&gt;0,SUM(K80:K89),0)</f>
        <v>0</v>
      </c>
      <c r="I69" s="325">
        <f>H69*'kt info'!$G$26</f>
        <v>0</v>
      </c>
      <c r="J69" s="317"/>
      <c r="L69" s="317"/>
    </row>
    <row r="70" spans="1:14" x14ac:dyDescent="0.3">
      <c r="B70" s="173" t="s">
        <v>89</v>
      </c>
      <c r="C70" s="326">
        <f>'kt info'!E26</f>
        <v>0</v>
      </c>
      <c r="E70" s="786" t="s">
        <v>73</v>
      </c>
      <c r="F70" s="787"/>
      <c r="G70" s="788"/>
      <c r="H70" s="324">
        <f>IF(SUM(E94:E113)&gt;0,SUM(E94:E113),0)</f>
        <v>0</v>
      </c>
      <c r="I70" s="325">
        <f>H70*'kt info'!$G$26</f>
        <v>0</v>
      </c>
      <c r="J70" s="317"/>
      <c r="L70" s="317"/>
    </row>
    <row r="71" spans="1:14" x14ac:dyDescent="0.3">
      <c r="E71" s="786" t="s">
        <v>74</v>
      </c>
      <c r="F71" s="787"/>
      <c r="G71" s="788"/>
      <c r="H71" s="324">
        <f>IF(SUM(L94:L103)&gt;0,SUM(L94:L103),0)</f>
        <v>0</v>
      </c>
      <c r="I71" s="325">
        <f>H71*'kt info'!$G$26</f>
        <v>0</v>
      </c>
      <c r="J71" s="317"/>
      <c r="L71" s="317"/>
    </row>
    <row r="72" spans="1:14" x14ac:dyDescent="0.3">
      <c r="B72" s="173" t="s">
        <v>91</v>
      </c>
      <c r="C72" s="327">
        <f>ROUND(IF(SUM(H69:H75)&gt;0,SUM(H69:H75),0),0)</f>
        <v>0</v>
      </c>
      <c r="E72" s="786" t="s">
        <v>82</v>
      </c>
      <c r="F72" s="787"/>
      <c r="G72" s="788"/>
      <c r="H72" s="324">
        <f>IF(SUM(J107:J111)&gt;0,SUM(L107:L111),0)</f>
        <v>0</v>
      </c>
      <c r="I72" s="325">
        <f>H72*'kt info'!$G$26</f>
        <v>0</v>
      </c>
      <c r="J72" s="311"/>
      <c r="K72" s="317"/>
    </row>
    <row r="73" spans="1:14" x14ac:dyDescent="0.3">
      <c r="E73" s="786" t="s">
        <v>173</v>
      </c>
      <c r="F73" s="787"/>
      <c r="G73" s="788"/>
      <c r="H73" s="324">
        <f>IF(SUM(I113:I114)=0,0,SUM(I113:I114))</f>
        <v>0</v>
      </c>
      <c r="I73" s="325">
        <f>H73*'kt info'!$G$26</f>
        <v>0</v>
      </c>
      <c r="K73" s="317"/>
    </row>
    <row r="74" spans="1:14" x14ac:dyDescent="0.3">
      <c r="B74" s="173" t="s">
        <v>90</v>
      </c>
      <c r="C74" s="327">
        <f>IF(C70&gt;0,C72/C70,0)</f>
        <v>0</v>
      </c>
      <c r="E74" s="786" t="s">
        <v>80</v>
      </c>
      <c r="F74" s="787"/>
      <c r="G74" s="788"/>
      <c r="H74" s="324">
        <f>($H$69+$H$70+$H$71+$H$72+$H$73)*'Overhead &amp; Margin'!$D$10/(1-('Overhead &amp; Margin'!$D$10))</f>
        <v>0</v>
      </c>
      <c r="I74" s="325">
        <f>H74*'kt info'!$G$26</f>
        <v>0</v>
      </c>
      <c r="K74" s="317"/>
    </row>
    <row r="75" spans="1:14" x14ac:dyDescent="0.3">
      <c r="G75" s="174" t="s">
        <v>81</v>
      </c>
      <c r="H75" s="324">
        <f>($H$69+$H$70+$H$71+$H$72+$H$73+$H$74)*'Overhead &amp; Margin'!$G$10/(1-('Overhead &amp; Margin'!$G$10))</f>
        <v>0</v>
      </c>
      <c r="I75" s="325">
        <f>H75*'kt info'!$G$26</f>
        <v>0</v>
      </c>
    </row>
    <row r="76" spans="1:14" x14ac:dyDescent="0.3">
      <c r="M76" s="577" t="str">
        <f>'kt info'!$B$12</f>
        <v>Form date: 2/20/26</v>
      </c>
    </row>
    <row r="77" spans="1:14" ht="15" thickBot="1" x14ac:dyDescent="0.35">
      <c r="B77" s="328" t="s">
        <v>97</v>
      </c>
    </row>
    <row r="78" spans="1:14" x14ac:dyDescent="0.3">
      <c r="B78" s="83" t="s">
        <v>13</v>
      </c>
      <c r="C78" s="329" t="s">
        <v>14</v>
      </c>
      <c r="D78" s="330" t="s">
        <v>20</v>
      </c>
      <c r="E78" s="330" t="s">
        <v>15</v>
      </c>
      <c r="F78" s="780" t="s">
        <v>17</v>
      </c>
      <c r="G78" s="780"/>
      <c r="H78" s="331" t="s">
        <v>18</v>
      </c>
      <c r="I78" s="330" t="s">
        <v>16</v>
      </c>
      <c r="J78" s="330" t="s">
        <v>19</v>
      </c>
      <c r="K78" s="330" t="s">
        <v>71</v>
      </c>
      <c r="L78" s="332" t="s">
        <v>21</v>
      </c>
      <c r="M78" s="4" t="s">
        <v>22</v>
      </c>
      <c r="N78" s="4" t="s">
        <v>0</v>
      </c>
    </row>
    <row r="79" spans="1:14" ht="15" thickBot="1" x14ac:dyDescent="0.35">
      <c r="B79" s="22" t="s">
        <v>253</v>
      </c>
      <c r="C79" s="333" t="s">
        <v>23</v>
      </c>
      <c r="D79" s="334" t="s">
        <v>28</v>
      </c>
      <c r="E79" s="334" t="s">
        <v>24</v>
      </c>
      <c r="F79" s="781" t="s">
        <v>25</v>
      </c>
      <c r="G79" s="781"/>
      <c r="H79" s="335" t="s">
        <v>26</v>
      </c>
      <c r="I79" s="334"/>
      <c r="J79" s="334" t="s">
        <v>33</v>
      </c>
      <c r="K79" s="334" t="s">
        <v>161</v>
      </c>
      <c r="L79" s="336" t="s">
        <v>0</v>
      </c>
      <c r="M79" s="5" t="s">
        <v>0</v>
      </c>
      <c r="N79" s="5" t="s">
        <v>71</v>
      </c>
    </row>
    <row r="80" spans="1:14" x14ac:dyDescent="0.3">
      <c r="A80" s="98">
        <v>1</v>
      </c>
      <c r="B80" s="454"/>
      <c r="C80" s="338"/>
      <c r="D80" s="339" t="str">
        <f>IF(B80=0," ",'kt info'!$G$26)</f>
        <v xml:space="preserve"> </v>
      </c>
      <c r="E80" s="340" t="str">
        <f>IF(B80=0," ",VLOOKUP(B80,WageBeneTable5[#All],2,FALSE))</f>
        <v xml:space="preserve"> </v>
      </c>
      <c r="F80" s="782">
        <f>IF($E80=" ",0,'Pay &amp; Benefits'!$C$10)</f>
        <v>0</v>
      </c>
      <c r="G80" s="783"/>
      <c r="H80" s="341" t="str">
        <f>IF($E80=" "," ",'Pay &amp; Benefits'!$C$11)</f>
        <v xml:space="preserve"> </v>
      </c>
      <c r="I80" s="342" t="str">
        <f t="shared" ref="I80:I89" si="6">IF(E80=" "," ",0.0765)</f>
        <v xml:space="preserve"> </v>
      </c>
      <c r="J80" s="343" t="str">
        <f>IF(B80=0," ",VLOOKUP(B80,WageBeneTable5[#All],3,FALSE))</f>
        <v xml:space="preserve"> </v>
      </c>
      <c r="K80" s="340" t="str">
        <f t="shared" ref="K80:K89" si="7">IF(B80=0," ",C80*E80*(1+I80+F80+H80+J80))</f>
        <v xml:space="preserve"> </v>
      </c>
      <c r="L80" s="340">
        <f t="shared" ref="L80:L89" si="8">IF(K80=" ",0,K80*D80)</f>
        <v>0</v>
      </c>
      <c r="M80" s="344">
        <f t="shared" ref="M80:M89" si="9">IF(B80=0,0,C80*D80)</f>
        <v>0</v>
      </c>
      <c r="N80" s="345">
        <f t="shared" ref="N80:N89" si="10">IF(L80=0,0,IF(D80=0,0,L80/D80))</f>
        <v>0</v>
      </c>
    </row>
    <row r="81" spans="1:14" x14ac:dyDescent="0.3">
      <c r="A81" s="98">
        <v>2</v>
      </c>
      <c r="B81" s="417"/>
      <c r="C81" s="347"/>
      <c r="D81" s="339" t="str">
        <f>IF(B81=0," ",'kt info'!$G$26)</f>
        <v xml:space="preserve"> </v>
      </c>
      <c r="E81" s="348" t="str">
        <f>IF(B81=0," ",VLOOKUP(B81,WageBeneTable5[#All],2,FALSE))</f>
        <v xml:space="preserve"> </v>
      </c>
      <c r="F81" s="784">
        <f>IF($E81=" ",0,'Pay &amp; Benefits'!$C$10)</f>
        <v>0</v>
      </c>
      <c r="G81" s="785"/>
      <c r="H81" s="349" t="str">
        <f>IF($E81=" "," ",'Pay &amp; Benefits'!$C$11)</f>
        <v xml:space="preserve"> </v>
      </c>
      <c r="I81" s="350" t="str">
        <f t="shared" si="6"/>
        <v xml:space="preserve"> </v>
      </c>
      <c r="J81" s="351" t="str">
        <f>IF(B81=0," ",VLOOKUP(B81,WageBeneTable5[#All],3,FALSE))</f>
        <v xml:space="preserve"> </v>
      </c>
      <c r="K81" s="348" t="str">
        <f t="shared" si="7"/>
        <v xml:space="preserve"> </v>
      </c>
      <c r="L81" s="348">
        <f t="shared" si="8"/>
        <v>0</v>
      </c>
      <c r="M81" s="352">
        <f t="shared" si="9"/>
        <v>0</v>
      </c>
      <c r="N81" s="353">
        <f t="shared" si="10"/>
        <v>0</v>
      </c>
    </row>
    <row r="82" spans="1:14" x14ac:dyDescent="0.3">
      <c r="A82" s="98">
        <v>3</v>
      </c>
      <c r="B82" s="417"/>
      <c r="C82" s="347"/>
      <c r="D82" s="339" t="str">
        <f>IF(B82=0," ",'kt info'!$G$26)</f>
        <v xml:space="preserve"> </v>
      </c>
      <c r="E82" s="348" t="str">
        <f>IF(B82=0," ",VLOOKUP(B82,WageBeneTable5[#All],2,FALSE))</f>
        <v xml:space="preserve"> </v>
      </c>
      <c r="F82" s="784">
        <f>IF($E82=" ",0,'Pay &amp; Benefits'!$C$10)</f>
        <v>0</v>
      </c>
      <c r="G82" s="785"/>
      <c r="H82" s="349" t="str">
        <f>IF($E82=" "," ",'Pay &amp; Benefits'!$C$11)</f>
        <v xml:space="preserve"> </v>
      </c>
      <c r="I82" s="350" t="str">
        <f t="shared" si="6"/>
        <v xml:space="preserve"> </v>
      </c>
      <c r="J82" s="351" t="str">
        <f>IF(B82=0," ",VLOOKUP(B82,WageBeneTable5[#All],3,FALSE))</f>
        <v xml:space="preserve"> </v>
      </c>
      <c r="K82" s="348" t="str">
        <f t="shared" si="7"/>
        <v xml:space="preserve"> </v>
      </c>
      <c r="L82" s="348">
        <f t="shared" si="8"/>
        <v>0</v>
      </c>
      <c r="M82" s="352">
        <f t="shared" si="9"/>
        <v>0</v>
      </c>
      <c r="N82" s="353">
        <f t="shared" si="10"/>
        <v>0</v>
      </c>
    </row>
    <row r="83" spans="1:14" x14ac:dyDescent="0.3">
      <c r="A83" s="98">
        <v>4</v>
      </c>
      <c r="B83" s="417"/>
      <c r="C83" s="347"/>
      <c r="D83" s="339" t="str">
        <f>IF(B83=0," ",'kt info'!$G$26)</f>
        <v xml:space="preserve"> </v>
      </c>
      <c r="E83" s="348" t="str">
        <f>IF(B83=0," ",VLOOKUP(B83,WageBeneTable5[#All],2,FALSE))</f>
        <v xml:space="preserve"> </v>
      </c>
      <c r="F83" s="784">
        <f>IF($E83=" ",0,'Pay &amp; Benefits'!$C$10)</f>
        <v>0</v>
      </c>
      <c r="G83" s="785"/>
      <c r="H83" s="349" t="str">
        <f>IF($E83=" "," ",'Pay &amp; Benefits'!$C$11)</f>
        <v xml:space="preserve"> </v>
      </c>
      <c r="I83" s="350" t="str">
        <f t="shared" si="6"/>
        <v xml:space="preserve"> </v>
      </c>
      <c r="J83" s="351" t="str">
        <f>IF(B83=0," ",VLOOKUP(B83,WageBeneTable5[#All],3,FALSE))</f>
        <v xml:space="preserve"> </v>
      </c>
      <c r="K83" s="348" t="str">
        <f t="shared" si="7"/>
        <v xml:space="preserve"> </v>
      </c>
      <c r="L83" s="348">
        <f t="shared" si="8"/>
        <v>0</v>
      </c>
      <c r="M83" s="352">
        <f t="shared" si="9"/>
        <v>0</v>
      </c>
      <c r="N83" s="353">
        <f t="shared" si="10"/>
        <v>0</v>
      </c>
    </row>
    <row r="84" spans="1:14" ht="15" thickBot="1" x14ac:dyDescent="0.35">
      <c r="A84" s="98">
        <v>5</v>
      </c>
      <c r="B84" s="419"/>
      <c r="C84" s="355"/>
      <c r="D84" s="356" t="str">
        <f>IF(B84=0," ",'kt info'!$G$26)</f>
        <v xml:space="preserve"> </v>
      </c>
      <c r="E84" s="357" t="str">
        <f>IF(B84=0," ",VLOOKUP(B84,WageBeneTable5[#All],2,FALSE))</f>
        <v xml:space="preserve"> </v>
      </c>
      <c r="F84" s="776">
        <f>IF($E84=" ",0,'Pay &amp; Benefits'!$C$10)</f>
        <v>0</v>
      </c>
      <c r="G84" s="777"/>
      <c r="H84" s="358" t="str">
        <f>IF($E84=" "," ",'Pay &amp; Benefits'!$C$11)</f>
        <v xml:space="preserve"> </v>
      </c>
      <c r="I84" s="359" t="str">
        <f t="shared" si="6"/>
        <v xml:space="preserve"> </v>
      </c>
      <c r="J84" s="360" t="str">
        <f>IF(B84=0," ",VLOOKUP(B84,WageBeneTable5[#All],3,FALSE))</f>
        <v xml:space="preserve"> </v>
      </c>
      <c r="K84" s="357" t="str">
        <f t="shared" si="7"/>
        <v xml:space="preserve"> </v>
      </c>
      <c r="L84" s="357">
        <f t="shared" si="8"/>
        <v>0</v>
      </c>
      <c r="M84" s="361">
        <f t="shared" si="9"/>
        <v>0</v>
      </c>
      <c r="N84" s="362">
        <f t="shared" si="10"/>
        <v>0</v>
      </c>
    </row>
    <row r="85" spans="1:14" x14ac:dyDescent="0.3">
      <c r="A85" s="98">
        <v>6</v>
      </c>
      <c r="B85" s="454"/>
      <c r="C85" s="363"/>
      <c r="D85" s="364" t="str">
        <f>IF(B85=0," ",'kt info'!$G$26)</f>
        <v xml:space="preserve"> </v>
      </c>
      <c r="E85" s="365" t="str">
        <f>IF(B85=0," ",VLOOKUP(B85,WageBeneTable5[#All],2,FALSE))</f>
        <v xml:space="preserve"> </v>
      </c>
      <c r="F85" s="782">
        <f>IF($E85=" ",0,'Pay &amp; Benefits'!$C$10)</f>
        <v>0</v>
      </c>
      <c r="G85" s="783"/>
      <c r="H85" s="366" t="str">
        <f>IF($E85=" "," ",'Pay &amp; Benefits'!$C$11)</f>
        <v xml:space="preserve"> </v>
      </c>
      <c r="I85" s="367" t="str">
        <f t="shared" si="6"/>
        <v xml:space="preserve"> </v>
      </c>
      <c r="J85" s="368" t="str">
        <f>IF(B85=0," ",VLOOKUP(B85,WageBeneTable5[#All],3,FALSE))</f>
        <v xml:space="preserve"> </v>
      </c>
      <c r="K85" s="365" t="str">
        <f t="shared" si="7"/>
        <v xml:space="preserve"> </v>
      </c>
      <c r="L85" s="365">
        <f t="shared" si="8"/>
        <v>0</v>
      </c>
      <c r="M85" s="369">
        <f t="shared" si="9"/>
        <v>0</v>
      </c>
      <c r="N85" s="370">
        <f t="shared" si="10"/>
        <v>0</v>
      </c>
    </row>
    <row r="86" spans="1:14" x14ac:dyDescent="0.3">
      <c r="A86" s="98">
        <v>7</v>
      </c>
      <c r="B86" s="417"/>
      <c r="C86" s="347"/>
      <c r="D86" s="364" t="str">
        <f>IF(B86=0," ",'kt info'!$G$26)</f>
        <v xml:space="preserve"> </v>
      </c>
      <c r="E86" s="365" t="str">
        <f>IF(B86=0," ",VLOOKUP(B86,WageBeneTable5[#All],2,FALSE))</f>
        <v xml:space="preserve"> </v>
      </c>
      <c r="F86" s="784">
        <f>IF($E86=" ",0,'Pay &amp; Benefits'!$C$10)</f>
        <v>0</v>
      </c>
      <c r="G86" s="785"/>
      <c r="H86" s="366" t="str">
        <f>IF($E86=" "," ",'Pay &amp; Benefits'!$C$11)</f>
        <v xml:space="preserve"> </v>
      </c>
      <c r="I86" s="367" t="str">
        <f t="shared" si="6"/>
        <v xml:space="preserve"> </v>
      </c>
      <c r="J86" s="368" t="str">
        <f>IF(B86=0," ",VLOOKUP(B86,WageBeneTable5[#All],3,FALSE))</f>
        <v xml:space="preserve"> </v>
      </c>
      <c r="K86" s="365" t="str">
        <f t="shared" si="7"/>
        <v xml:space="preserve"> </v>
      </c>
      <c r="L86" s="365">
        <f t="shared" si="8"/>
        <v>0</v>
      </c>
      <c r="M86" s="369">
        <f t="shared" si="9"/>
        <v>0</v>
      </c>
      <c r="N86" s="370">
        <f t="shared" si="10"/>
        <v>0</v>
      </c>
    </row>
    <row r="87" spans="1:14" x14ac:dyDescent="0.3">
      <c r="A87" s="98">
        <v>8</v>
      </c>
      <c r="B87" s="417"/>
      <c r="C87" s="347"/>
      <c r="D87" s="364" t="str">
        <f>IF(B87=0," ",'kt info'!$G$26)</f>
        <v xml:space="preserve"> </v>
      </c>
      <c r="E87" s="365" t="str">
        <f>IF(B87=0," ",VLOOKUP(B87,WageBeneTable5[#All],2,FALSE))</f>
        <v xml:space="preserve"> </v>
      </c>
      <c r="F87" s="784">
        <f>IF($E87=" ",0,'Pay &amp; Benefits'!$C$10)</f>
        <v>0</v>
      </c>
      <c r="G87" s="785"/>
      <c r="H87" s="366" t="str">
        <f>IF($E87=" "," ",'Pay &amp; Benefits'!$C$11)</f>
        <v xml:space="preserve"> </v>
      </c>
      <c r="I87" s="367" t="str">
        <f t="shared" si="6"/>
        <v xml:space="preserve"> </v>
      </c>
      <c r="J87" s="368" t="str">
        <f>IF(B87=0," ",VLOOKUP(B87,WageBeneTable5[#All],3,FALSE))</f>
        <v xml:space="preserve"> </v>
      </c>
      <c r="K87" s="365" t="str">
        <f t="shared" si="7"/>
        <v xml:space="preserve"> </v>
      </c>
      <c r="L87" s="365">
        <f t="shared" si="8"/>
        <v>0</v>
      </c>
      <c r="M87" s="369">
        <f t="shared" si="9"/>
        <v>0</v>
      </c>
      <c r="N87" s="370">
        <f t="shared" si="10"/>
        <v>0</v>
      </c>
    </row>
    <row r="88" spans="1:14" x14ac:dyDescent="0.3">
      <c r="A88" s="98">
        <v>9</v>
      </c>
      <c r="B88" s="417"/>
      <c r="C88" s="347"/>
      <c r="D88" s="364" t="str">
        <f>IF(B88=0," ",'kt info'!$G$26)</f>
        <v xml:space="preserve"> </v>
      </c>
      <c r="E88" s="365" t="str">
        <f>IF(B88=0," ",VLOOKUP(B88,WageBeneTable5[#All],2,FALSE))</f>
        <v xml:space="preserve"> </v>
      </c>
      <c r="F88" s="784">
        <f>IF($E88=" ",0,'Pay &amp; Benefits'!$C$10)</f>
        <v>0</v>
      </c>
      <c r="G88" s="785"/>
      <c r="H88" s="366" t="str">
        <f>IF($E88=" "," ",'Pay &amp; Benefits'!$C$11)</f>
        <v xml:space="preserve"> </v>
      </c>
      <c r="I88" s="367" t="str">
        <f t="shared" si="6"/>
        <v xml:space="preserve"> </v>
      </c>
      <c r="J88" s="368" t="str">
        <f>IF(B88=0," ",VLOOKUP(B88,WageBeneTable5[#All],3,FALSE))</f>
        <v xml:space="preserve"> </v>
      </c>
      <c r="K88" s="365" t="str">
        <f t="shared" si="7"/>
        <v xml:space="preserve"> </v>
      </c>
      <c r="L88" s="365">
        <f t="shared" si="8"/>
        <v>0</v>
      </c>
      <c r="M88" s="369">
        <f t="shared" si="9"/>
        <v>0</v>
      </c>
      <c r="N88" s="370">
        <f t="shared" si="10"/>
        <v>0</v>
      </c>
    </row>
    <row r="89" spans="1:14" ht="15" thickBot="1" x14ac:dyDescent="0.35">
      <c r="A89" s="98">
        <v>10</v>
      </c>
      <c r="B89" s="419"/>
      <c r="C89" s="355"/>
      <c r="D89" s="356" t="str">
        <f>IF(B89=0," ",'kt info'!$G$26)</f>
        <v xml:space="preserve"> </v>
      </c>
      <c r="E89" s="357" t="str">
        <f>IF(B89=0," ",VLOOKUP(B89,WageBeneTable5[#All],2,FALSE))</f>
        <v xml:space="preserve"> </v>
      </c>
      <c r="F89" s="776">
        <f>IF($E89=" ",0,'Pay &amp; Benefits'!$C$10)</f>
        <v>0</v>
      </c>
      <c r="G89" s="777"/>
      <c r="H89" s="358" t="str">
        <f>IF($E89=" "," ",'Pay &amp; Benefits'!$C$11)</f>
        <v xml:space="preserve"> </v>
      </c>
      <c r="I89" s="359" t="str">
        <f t="shared" si="6"/>
        <v xml:space="preserve"> </v>
      </c>
      <c r="J89" s="360" t="str">
        <f>IF(B89=0," ",VLOOKUP(B89,WageBeneTable5[#All],3,FALSE))</f>
        <v xml:space="preserve"> </v>
      </c>
      <c r="K89" s="357" t="str">
        <f t="shared" si="7"/>
        <v xml:space="preserve"> </v>
      </c>
      <c r="L89" s="357">
        <f t="shared" si="8"/>
        <v>0</v>
      </c>
      <c r="M89" s="361">
        <f t="shared" si="9"/>
        <v>0</v>
      </c>
      <c r="N89" s="362">
        <f t="shared" si="10"/>
        <v>0</v>
      </c>
    </row>
    <row r="90" spans="1:14" x14ac:dyDescent="0.3">
      <c r="K90" s="371"/>
      <c r="L90" s="372"/>
      <c r="M90" s="373"/>
    </row>
    <row r="91" spans="1:14" ht="15" thickBot="1" x14ac:dyDescent="0.35">
      <c r="B91" s="374" t="s">
        <v>175</v>
      </c>
      <c r="E91" s="375"/>
      <c r="H91" s="328" t="s">
        <v>171</v>
      </c>
      <c r="M91" s="455"/>
      <c r="N91" s="98"/>
    </row>
    <row r="92" spans="1:14" x14ac:dyDescent="0.3">
      <c r="B92" s="32" t="s">
        <v>115</v>
      </c>
      <c r="C92" s="378" t="s">
        <v>199</v>
      </c>
      <c r="D92" s="379" t="s">
        <v>4</v>
      </c>
      <c r="E92" s="380" t="s">
        <v>76</v>
      </c>
      <c r="H92" s="290" t="s">
        <v>10</v>
      </c>
      <c r="I92" s="4" t="s">
        <v>78</v>
      </c>
      <c r="J92" s="4" t="s">
        <v>11</v>
      </c>
      <c r="K92" s="4" t="s">
        <v>201</v>
      </c>
      <c r="L92" s="4" t="s">
        <v>76</v>
      </c>
      <c r="M92" s="456"/>
      <c r="N92" s="457"/>
    </row>
    <row r="93" spans="1:14" ht="15" thickBot="1" x14ac:dyDescent="0.35">
      <c r="B93" s="33" t="s">
        <v>116</v>
      </c>
      <c r="C93" s="381" t="s">
        <v>77</v>
      </c>
      <c r="D93" s="382" t="s">
        <v>5</v>
      </c>
      <c r="E93" s="383" t="s">
        <v>77</v>
      </c>
      <c r="H93" s="291" t="s">
        <v>8</v>
      </c>
      <c r="I93" s="5" t="s">
        <v>79</v>
      </c>
      <c r="J93" s="5" t="s">
        <v>12</v>
      </c>
      <c r="K93" s="5" t="s">
        <v>7</v>
      </c>
      <c r="L93" s="5" t="s">
        <v>77</v>
      </c>
      <c r="M93" s="458"/>
      <c r="N93" s="459"/>
    </row>
    <row r="94" spans="1:14" x14ac:dyDescent="0.3">
      <c r="A94" s="98">
        <v>1</v>
      </c>
      <c r="B94" s="454"/>
      <c r="C94" s="386"/>
      <c r="D94" s="387">
        <f>IF(B94=0,0,VLOOKUP(B94,Supplies!$B$13:$C$97,2,FALSE))</f>
        <v>0</v>
      </c>
      <c r="E94" s="340">
        <f>IF(D94=" "," ",D94*C94)</f>
        <v>0</v>
      </c>
      <c r="G94" s="98">
        <v>1</v>
      </c>
      <c r="H94" s="388"/>
      <c r="I94" s="389"/>
      <c r="J94" s="390"/>
      <c r="K94" s="312" t="str">
        <f>IF(H94=0," ",IF(VLOOKUP(H94,'Equipment List'!$B$12:$F$96,5,FALSE)=0,0,IF(VLOOKUP(H94,'Equipment List'!$B$12:$F$96,5,FALSE)="Grant","Grant",IF(VLOOKUP(H94,'Equipment List'!$B$12:$F$96,5,FALSE)="Depreciated","Depreciated",VLOOKUP(H94,'Equipment List'!$B$12:$F$96,5,FALSE)*I94*J94))))</f>
        <v xml:space="preserve"> </v>
      </c>
      <c r="L94" s="345" t="str">
        <f>IF(K94=" "," ",IF(K94="Grant",0,IF(K94="Depreciated",0,IF('kt info'!$G$26=0,"No Service Frequency",K94/'kt info'!$G$26))))</f>
        <v xml:space="preserve"> </v>
      </c>
      <c r="M94" s="460"/>
      <c r="N94" s="384"/>
    </row>
    <row r="95" spans="1:14" x14ac:dyDescent="0.3">
      <c r="A95" s="98">
        <v>2</v>
      </c>
      <c r="B95" s="417"/>
      <c r="C95" s="394"/>
      <c r="D95" s="395">
        <f>IF(B95=0,0,VLOOKUP(B95,Supplies!$B$13:$C$97,2,FALSE))</f>
        <v>0</v>
      </c>
      <c r="E95" s="365">
        <f t="shared" ref="E95:E109" si="11">IF(D95=" "," ",D95*C95)</f>
        <v>0</v>
      </c>
      <c r="G95" s="98">
        <v>2</v>
      </c>
      <c r="H95" s="396"/>
      <c r="I95" s="397"/>
      <c r="J95" s="398"/>
      <c r="K95" s="401" t="str">
        <f>IF(H95=0," ",IF(VLOOKUP(H95,'Equipment List'!$B$12:$F$96,5,FALSE)=0,0,IF(VLOOKUP(H95,'Equipment List'!$B$12:$F$96,5,FALSE)="Grant","Grant",IF(VLOOKUP(H95,'Equipment List'!$B$12:$F$96,5,FALSE)="Depreciated","Depreciated",VLOOKUP(H95,'Equipment List'!$B$12:$F$96,5,FALSE)*I95*J95))))</f>
        <v xml:space="preserve"> </v>
      </c>
      <c r="L95" s="370" t="str">
        <f>IF(K95=" "," ",IF(K95="Grant",0,IF(K95="Depreciated",0,IF('kt info'!$G$26=0,"No Service Frequency",K95/'kt info'!$G$26))))</f>
        <v xml:space="preserve"> </v>
      </c>
    </row>
    <row r="96" spans="1:14" x14ac:dyDescent="0.3">
      <c r="A96" s="98">
        <v>3</v>
      </c>
      <c r="B96" s="417"/>
      <c r="C96" s="394"/>
      <c r="D96" s="395">
        <f>IF(B96=0,0,VLOOKUP(B96,Supplies!$B$13:$C$97,2,FALSE))</f>
        <v>0</v>
      </c>
      <c r="E96" s="365">
        <f t="shared" si="11"/>
        <v>0</v>
      </c>
      <c r="G96" s="98">
        <v>3</v>
      </c>
      <c r="H96" s="396"/>
      <c r="I96" s="397"/>
      <c r="J96" s="398"/>
      <c r="K96" s="401" t="str">
        <f>IF(H96=0," ",IF(VLOOKUP(H96,'Equipment List'!$B$12:$F$96,5,FALSE)=0,0,IF(VLOOKUP(H96,'Equipment List'!$B$12:$F$96,5,FALSE)="Grant","Grant",IF(VLOOKUP(H96,'Equipment List'!$B$12:$F$96,5,FALSE)="Depreciated","Depreciated",VLOOKUP(H96,'Equipment List'!$B$12:$F$96,5,FALSE)*I96*J96))))</f>
        <v xml:space="preserve"> </v>
      </c>
      <c r="L96" s="370" t="str">
        <f>IF(K96=" "," ",IF(K96="Grant",0,IF(K96="Depreciated",0,IF('kt info'!$G$26=0,"No Service Frequency",K96/'kt info'!$G$26))))</f>
        <v xml:space="preserve"> </v>
      </c>
    </row>
    <row r="97" spans="1:14" x14ac:dyDescent="0.3">
      <c r="A97" s="98">
        <v>4</v>
      </c>
      <c r="B97" s="417"/>
      <c r="C97" s="394"/>
      <c r="D97" s="395">
        <f>IF(B97=0,0,VLOOKUP(B97,Supplies!$B$13:$C$97,2,FALSE))</f>
        <v>0</v>
      </c>
      <c r="E97" s="365">
        <f t="shared" si="11"/>
        <v>0</v>
      </c>
      <c r="G97" s="98">
        <v>4</v>
      </c>
      <c r="H97" s="396"/>
      <c r="I97" s="397"/>
      <c r="J97" s="398"/>
      <c r="K97" s="401" t="str">
        <f>IF(H97=0," ",IF(VLOOKUP(H97,'Equipment List'!$B$12:$F$96,5,FALSE)=0,0,IF(VLOOKUP(H97,'Equipment List'!$B$12:$F$96,5,FALSE)="Grant","Grant",IF(VLOOKUP(H97,'Equipment List'!$B$12:$F$96,5,FALSE)="Depreciated","Depreciated",VLOOKUP(H97,'Equipment List'!$B$12:$F$96,5,FALSE)*I97*J97))))</f>
        <v xml:space="preserve"> </v>
      </c>
      <c r="L97" s="370" t="str">
        <f>IF(K97=" "," ",IF(K97="Grant",0,IF(K97="Depreciated",0,IF('kt info'!$G$26=0,"No Service Frequency",K97/'kt info'!$G$26))))</f>
        <v xml:space="preserve"> </v>
      </c>
    </row>
    <row r="98" spans="1:14" ht="15" thickBot="1" x14ac:dyDescent="0.35">
      <c r="A98" s="98">
        <v>5</v>
      </c>
      <c r="B98" s="419"/>
      <c r="C98" s="403"/>
      <c r="D98" s="404">
        <f>IF(B98=0,0,VLOOKUP(B98,Supplies!$B$13:$C$97,2,FALSE))</f>
        <v>0</v>
      </c>
      <c r="E98" s="357">
        <f t="shared" si="11"/>
        <v>0</v>
      </c>
      <c r="G98" s="98">
        <v>5</v>
      </c>
      <c r="H98" s="405"/>
      <c r="I98" s="406"/>
      <c r="J98" s="407"/>
      <c r="K98" s="408" t="str">
        <f>IF(H98=0," ",IF(VLOOKUP(H98,'Equipment List'!$B$12:$F$96,5,FALSE)=0,0,IF(VLOOKUP(H98,'Equipment List'!$B$12:$F$96,5,FALSE)="Grant","Grant",IF(VLOOKUP(H98,'Equipment List'!$B$12:$F$96,5,FALSE)="Depreciated","Depreciated",VLOOKUP(H98,'Equipment List'!$B$12:$F$96,5,FALSE)*I98*J98))))</f>
        <v xml:space="preserve"> </v>
      </c>
      <c r="L98" s="362" t="str">
        <f>IF(K98=" "," ",IF(K98="Grant",0,IF(K98="Depreciated",0,IF('kt info'!$G$26=0,"No Service Frequency",K98/'kt info'!$G$26))))</f>
        <v xml:space="preserve"> </v>
      </c>
    </row>
    <row r="99" spans="1:14" x14ac:dyDescent="0.3">
      <c r="A99" s="98">
        <v>6</v>
      </c>
      <c r="B99" s="413"/>
      <c r="C99" s="411"/>
      <c r="D99" s="412">
        <f>IF(B99=0,0,VLOOKUP(B99,Supplies!$B$13:$C$97,2,FALSE))</f>
        <v>0</v>
      </c>
      <c r="E99" s="365">
        <f t="shared" si="11"/>
        <v>0</v>
      </c>
      <c r="G99" s="98">
        <v>6</v>
      </c>
      <c r="H99" s="413"/>
      <c r="I99" s="414"/>
      <c r="J99" s="415"/>
      <c r="K99" s="416" t="str">
        <f>IF(H99=0," ",IF(VLOOKUP(H99,'Equipment List'!$B$12:$F$96,5,FALSE)=0,0,IF(VLOOKUP(H99,'Equipment List'!$B$12:$F$96,5,FALSE)="Grant","Grant",IF(VLOOKUP(H99,'Equipment List'!$B$12:$F$96,5,FALSE)="Depreciated","Depreciated",VLOOKUP(H99,'Equipment List'!$B$12:$F$96,5,FALSE)*I99*J99))))</f>
        <v xml:space="preserve"> </v>
      </c>
      <c r="L99" s="370" t="str">
        <f>IF(K99=" "," ",IF(K99="Grant",0,IF(K99="Depreciated",0,IF('kt info'!$G$26=0,"No Service Frequency",K99/'kt info'!$G$26))))</f>
        <v xml:space="preserve"> </v>
      </c>
    </row>
    <row r="100" spans="1:14" x14ac:dyDescent="0.3">
      <c r="A100" s="98">
        <v>7</v>
      </c>
      <c r="B100" s="417"/>
      <c r="C100" s="394"/>
      <c r="D100" s="395">
        <f>IF(B100=0,0,VLOOKUP(B100,Supplies!$B$13:$C$97,2,FALSE))</f>
        <v>0</v>
      </c>
      <c r="E100" s="365">
        <f t="shared" si="11"/>
        <v>0</v>
      </c>
      <c r="G100" s="98">
        <v>7</v>
      </c>
      <c r="H100" s="417"/>
      <c r="I100" s="397"/>
      <c r="J100" s="398"/>
      <c r="K100" s="418" t="str">
        <f>IF(H100=0," ",IF(VLOOKUP(H100,'Equipment List'!$B$12:$F$96,5,FALSE)=0,0,IF(VLOOKUP(H100,'Equipment List'!$B$12:$F$96,5,FALSE)="Grant","Grant",IF(VLOOKUP(H100,'Equipment List'!$B$12:$F$96,5,FALSE)="Depreciated","Depreciated",VLOOKUP(H100,'Equipment List'!$B$12:$F$96,5,FALSE)*I100*J100))))</f>
        <v xml:space="preserve"> </v>
      </c>
      <c r="L100" s="370" t="str">
        <f>IF(K100=" "," ",IF(K100="Grant",0,IF(K100="Depreciated",0,IF('kt info'!$G$26=0,"No Service Frequency",K100/'kt info'!$G$26))))</f>
        <v xml:space="preserve"> </v>
      </c>
    </row>
    <row r="101" spans="1:14" x14ac:dyDescent="0.3">
      <c r="A101" s="98">
        <v>8</v>
      </c>
      <c r="B101" s="417"/>
      <c r="C101" s="394"/>
      <c r="D101" s="395">
        <f>IF(B101=0,0,VLOOKUP(B101,Supplies!$B$13:$C$97,2,FALSE))</f>
        <v>0</v>
      </c>
      <c r="E101" s="365">
        <f t="shared" si="11"/>
        <v>0</v>
      </c>
      <c r="G101" s="98">
        <v>8</v>
      </c>
      <c r="H101" s="417"/>
      <c r="I101" s="397"/>
      <c r="J101" s="398"/>
      <c r="K101" s="418" t="str">
        <f>IF(H101=0," ",IF(VLOOKUP(H101,'Equipment List'!$B$12:$F$96,5,FALSE)=0,0,IF(VLOOKUP(H101,'Equipment List'!$B$12:$F$96,5,FALSE)="Grant","Grant",IF(VLOOKUP(H101,'Equipment List'!$B$12:$F$96,5,FALSE)="Depreciated","Depreciated",VLOOKUP(H101,'Equipment List'!$B$12:$F$96,5,FALSE)*I101*J101))))</f>
        <v xml:space="preserve"> </v>
      </c>
      <c r="L101" s="370" t="str">
        <f>IF(K101=" "," ",IF(K101="Grant",0,IF(K101="Depreciated",0,IF('kt info'!$G$26=0,"No Service Frequency",K101/'kt info'!$G$26))))</f>
        <v xml:space="preserve"> </v>
      </c>
    </row>
    <row r="102" spans="1:14" x14ac:dyDescent="0.3">
      <c r="A102" s="98">
        <v>9</v>
      </c>
      <c r="B102" s="417"/>
      <c r="C102" s="394"/>
      <c r="D102" s="395">
        <f>IF(B102=0,0,VLOOKUP(B102,Supplies!$B$13:$C$97,2,FALSE))</f>
        <v>0</v>
      </c>
      <c r="E102" s="365">
        <f t="shared" si="11"/>
        <v>0</v>
      </c>
      <c r="G102" s="98">
        <v>9</v>
      </c>
      <c r="H102" s="417"/>
      <c r="I102" s="397"/>
      <c r="J102" s="398"/>
      <c r="K102" s="418" t="str">
        <f>IF(H102=0," ",IF(VLOOKUP(H102,'Equipment List'!$B$12:$F$96,5,FALSE)=0,0,IF(VLOOKUP(H102,'Equipment List'!$B$12:$F$96,5,FALSE)="Grant","Grant",IF(VLOOKUP(H102,'Equipment List'!$B$12:$F$96,5,FALSE)="Depreciated","Depreciated",VLOOKUP(H102,'Equipment List'!$B$12:$F$96,5,FALSE)*I102*J102))))</f>
        <v xml:space="preserve"> </v>
      </c>
      <c r="L102" s="370" t="str">
        <f>IF(K102=" "," ",IF(K102="Grant",0,IF(K102="Depreciated",0,IF('kt info'!$G$26=0,"No Service Frequency",K102/'kt info'!$G$26))))</f>
        <v xml:space="preserve"> </v>
      </c>
    </row>
    <row r="103" spans="1:14" ht="15" thickBot="1" x14ac:dyDescent="0.35">
      <c r="A103" s="98">
        <v>10</v>
      </c>
      <c r="B103" s="419"/>
      <c r="C103" s="403"/>
      <c r="D103" s="404">
        <f>IF(B103=0,0,VLOOKUP(B103,Supplies!$B$13:$C$97,2,FALSE))</f>
        <v>0</v>
      </c>
      <c r="E103" s="357">
        <f t="shared" si="11"/>
        <v>0</v>
      </c>
      <c r="G103" s="98">
        <v>10</v>
      </c>
      <c r="H103" s="419"/>
      <c r="I103" s="406"/>
      <c r="J103" s="407"/>
      <c r="K103" s="420" t="str">
        <f>IF(H103=0," ",IF(VLOOKUP(H103,'Equipment List'!$B$12:$F$96,5,FALSE)=0,0,IF(VLOOKUP(H103,'Equipment List'!$B$12:$F$96,5,FALSE)="Grant","Grant",IF(VLOOKUP(H103,'Equipment List'!$B$12:$F$96,5,FALSE)="Depreciated","Depreciated",VLOOKUP(H103,'Equipment List'!$B$12:$F$96,5,FALSE)*I103*J103))))</f>
        <v xml:space="preserve"> </v>
      </c>
      <c r="L103" s="362" t="str">
        <f>IF(K103=" "," ",IF(K103="Grant",0,IF(K103="Depreciated",0,IF('kt info'!$G$26=0,"No Service Frequency",K103/'kt info'!$G$26))))</f>
        <v xml:space="preserve"> </v>
      </c>
    </row>
    <row r="104" spans="1:14" x14ac:dyDescent="0.3">
      <c r="A104" s="98">
        <v>11</v>
      </c>
      <c r="B104" s="413"/>
      <c r="C104" s="411"/>
      <c r="D104" s="412">
        <f>IF(B104=0,0,VLOOKUP(B104,Supplies!$B$13:$C$97,2,FALSE))</f>
        <v>0</v>
      </c>
      <c r="E104" s="365">
        <f t="shared" si="11"/>
        <v>0</v>
      </c>
    </row>
    <row r="105" spans="1:14" ht="15" thickBot="1" x14ac:dyDescent="0.35">
      <c r="A105" s="98">
        <v>12</v>
      </c>
      <c r="B105" s="417"/>
      <c r="C105" s="394"/>
      <c r="D105" s="395">
        <f>IF(B105=0,0,VLOOKUP(B105,Supplies!$B$13:$C$97,2,FALSE))</f>
        <v>0</v>
      </c>
      <c r="E105" s="365">
        <f t="shared" si="11"/>
        <v>0</v>
      </c>
      <c r="H105" s="145" t="s">
        <v>172</v>
      </c>
      <c r="I105" s="146"/>
      <c r="J105" s="334"/>
      <c r="K105" s="334"/>
      <c r="L105" s="334"/>
      <c r="M105" s="334"/>
    </row>
    <row r="106" spans="1:14" x14ac:dyDescent="0.3">
      <c r="A106" s="98">
        <v>13</v>
      </c>
      <c r="B106" s="417"/>
      <c r="C106" s="394"/>
      <c r="D106" s="395">
        <f>IF(B106=0,0,VLOOKUP(B106,Supplies!$B$13:$C$97,2,FALSE))</f>
        <v>0</v>
      </c>
      <c r="E106" s="365">
        <f t="shared" si="11"/>
        <v>0</v>
      </c>
      <c r="H106" s="421" t="s">
        <v>145</v>
      </c>
      <c r="I106" s="4" t="s">
        <v>85</v>
      </c>
      <c r="J106" s="4" t="s">
        <v>249</v>
      </c>
      <c r="K106" s="330" t="s">
        <v>86</v>
      </c>
      <c r="L106" s="4" t="s">
        <v>7</v>
      </c>
      <c r="M106" s="4" t="s">
        <v>7</v>
      </c>
      <c r="N106" s="461"/>
    </row>
    <row r="107" spans="1:14" ht="15" thickBot="1" x14ac:dyDescent="0.35">
      <c r="A107" s="98">
        <v>14</v>
      </c>
      <c r="B107" s="417"/>
      <c r="C107" s="394"/>
      <c r="D107" s="395">
        <f>IF(B107=0,0,VLOOKUP(B107,Supplies!$B$13:$C$97,2,FALSE))</f>
        <v>0</v>
      </c>
      <c r="E107" s="365">
        <f t="shared" si="11"/>
        <v>0</v>
      </c>
      <c r="H107" s="292" t="s">
        <v>8</v>
      </c>
      <c r="I107" s="5" t="s">
        <v>250</v>
      </c>
      <c r="J107" s="5" t="s">
        <v>153</v>
      </c>
      <c r="K107" s="334" t="s">
        <v>87</v>
      </c>
      <c r="L107" s="5" t="s">
        <v>251</v>
      </c>
      <c r="M107" s="5" t="s">
        <v>200</v>
      </c>
      <c r="N107" s="461"/>
    </row>
    <row r="108" spans="1:14" ht="15" thickBot="1" x14ac:dyDescent="0.35">
      <c r="A108" s="98">
        <v>15</v>
      </c>
      <c r="B108" s="419"/>
      <c r="C108" s="422"/>
      <c r="D108" s="423">
        <f>IF(B108=0,0,VLOOKUP(B108,Supplies!$B$13:$C$97,2,FALSE))</f>
        <v>0</v>
      </c>
      <c r="E108" s="357">
        <f t="shared" si="11"/>
        <v>0</v>
      </c>
      <c r="G108" s="373"/>
      <c r="H108" s="250"/>
      <c r="I108" s="424"/>
      <c r="J108" s="425"/>
      <c r="K108" s="426">
        <f>IF(H108=0,0,VLOOKUP(H108,Transportation!$B$6:$L$16,11,FALSE))</f>
        <v>0</v>
      </c>
      <c r="L108" s="427">
        <f>IF(I108=0,0,I108*K108)</f>
        <v>0</v>
      </c>
      <c r="M108" s="428">
        <f>IF(I108=0,0,I108*K108*J108)</f>
        <v>0</v>
      </c>
      <c r="N108" s="462"/>
    </row>
    <row r="109" spans="1:14" ht="15" thickBot="1" x14ac:dyDescent="0.35">
      <c r="A109" s="98">
        <v>16</v>
      </c>
      <c r="B109" s="413"/>
      <c r="C109" s="429"/>
      <c r="D109" s="430">
        <f>IF(B109=0,0,VLOOKUP(B109,Supplies!$B$13:$C$97,2,FALSE))</f>
        <v>0</v>
      </c>
      <c r="E109" s="365">
        <f t="shared" si="11"/>
        <v>0</v>
      </c>
      <c r="H109" s="251"/>
      <c r="I109" s="431"/>
      <c r="J109" s="432"/>
      <c r="K109" s="433">
        <f>IF(H109=0,0,VLOOKUP(H109,Transportation!$B$6:$L$16,11,FALSE))</f>
        <v>0</v>
      </c>
      <c r="L109" s="434">
        <f>IF(I109=0,0,I109*K109)</f>
        <v>0</v>
      </c>
      <c r="M109" s="435">
        <f>IF(I109=0,0,I109*K109*J109)</f>
        <v>0</v>
      </c>
      <c r="N109" s="462"/>
    </row>
    <row r="110" spans="1:14" x14ac:dyDescent="0.3">
      <c r="A110" s="98">
        <v>17</v>
      </c>
      <c r="B110" s="417"/>
      <c r="C110" s="436"/>
      <c r="D110" s="437">
        <f>IF(B110=0,0,VLOOKUP(B110,Supplies!$B$13:$C$97,2,FALSE))</f>
        <v>0</v>
      </c>
      <c r="E110" s="365">
        <f>IF(D110=" "," ",D110*C110)</f>
        <v>0</v>
      </c>
      <c r="H110" s="252"/>
      <c r="I110" s="438"/>
      <c r="J110" s="439"/>
      <c r="K110" s="440"/>
      <c r="L110" s="440"/>
      <c r="M110" s="440"/>
      <c r="N110" s="463"/>
    </row>
    <row r="111" spans="1:14" ht="15" thickBot="1" x14ac:dyDescent="0.35">
      <c r="A111" s="98">
        <v>18</v>
      </c>
      <c r="B111" s="417"/>
      <c r="C111" s="436"/>
      <c r="D111" s="437">
        <f>IF(B111=0,0,VLOOKUP(B111,Supplies!$B$13:$C$97,2,FALSE))</f>
        <v>0</v>
      </c>
      <c r="E111" s="365">
        <f>IF(D111=" "," ",D111*C111)</f>
        <v>0</v>
      </c>
      <c r="H111" s="441" t="s">
        <v>173</v>
      </c>
      <c r="I111" s="442"/>
      <c r="J111" s="443"/>
      <c r="K111" s="444"/>
      <c r="L111" s="444"/>
      <c r="M111" s="444"/>
      <c r="N111" s="463"/>
    </row>
    <row r="112" spans="1:14" x14ac:dyDescent="0.3">
      <c r="A112" s="98">
        <v>19</v>
      </c>
      <c r="B112" s="417"/>
      <c r="C112" s="436"/>
      <c r="D112" s="437">
        <f>IF(B112=0,0,VLOOKUP(B112,Supplies!$B$13:$C$97,2,FALSE))</f>
        <v>0</v>
      </c>
      <c r="E112" s="365">
        <f>IF(D112=" "," ",D112*C112)</f>
        <v>0</v>
      </c>
      <c r="H112" s="445" t="s">
        <v>174</v>
      </c>
      <c r="I112" s="446" t="s">
        <v>176</v>
      </c>
      <c r="J112" s="443"/>
      <c r="K112" s="444"/>
      <c r="L112" s="444"/>
      <c r="M112" s="444"/>
      <c r="N112" s="463"/>
    </row>
    <row r="113" spans="1:14" ht="15" thickBot="1" x14ac:dyDescent="0.35">
      <c r="A113" s="98">
        <v>20</v>
      </c>
      <c r="B113" s="419"/>
      <c r="C113" s="422"/>
      <c r="D113" s="423">
        <f>IF(B113=0,0,VLOOKUP(B113,Supplies!$B$13:$C$97,2,FALSE))</f>
        <v>0</v>
      </c>
      <c r="E113" s="357">
        <f>IF(D113=" "," ",D113*C113)</f>
        <v>0</v>
      </c>
      <c r="H113" s="447"/>
      <c r="I113" s="464" t="str">
        <f>IF(H113=0," ",VLOOKUP(H113,Subcontractors!$B$15:$E$25,4))</f>
        <v xml:space="preserve"> </v>
      </c>
      <c r="J113" s="443"/>
      <c r="K113" s="444"/>
      <c r="L113" s="444"/>
      <c r="M113" s="444"/>
    </row>
    <row r="114" spans="1:14" ht="15" thickBot="1" x14ac:dyDescent="0.35">
      <c r="A114" s="98"/>
      <c r="B114" s="316"/>
      <c r="C114" s="465"/>
      <c r="D114" s="377"/>
      <c r="E114" s="377"/>
      <c r="H114" s="449"/>
      <c r="I114" s="466" t="str">
        <f>IF(H114=0," ",VLOOKUP(H114,Subcontractors!$B$15:$E$25,4))</f>
        <v xml:space="preserve"> </v>
      </c>
    </row>
    <row r="115" spans="1:14" x14ac:dyDescent="0.3">
      <c r="A115" s="98"/>
      <c r="B115" s="316"/>
      <c r="C115" s="465"/>
      <c r="D115" s="377"/>
      <c r="E115" s="377"/>
      <c r="H115" s="453"/>
      <c r="I115" s="384"/>
    </row>
    <row r="116" spans="1:14" ht="18" x14ac:dyDescent="0.3">
      <c r="A116" s="778" t="s">
        <v>164</v>
      </c>
      <c r="B116" s="779"/>
      <c r="C116" s="779"/>
      <c r="D116" s="779"/>
      <c r="E116" s="779"/>
      <c r="F116" s="779"/>
      <c r="G116" s="148" t="str">
        <f>B67</f>
        <v>Periodical Service 2</v>
      </c>
      <c r="H116" s="288"/>
      <c r="I116" s="148"/>
      <c r="J116" s="148"/>
      <c r="K116" s="148"/>
      <c r="L116" s="148"/>
      <c r="M116" s="148"/>
      <c r="N116" s="148"/>
    </row>
    <row r="117" spans="1:14" ht="18" x14ac:dyDescent="0.3">
      <c r="A117" s="778" t="s">
        <v>165</v>
      </c>
      <c r="B117" s="779"/>
      <c r="C117" s="779"/>
      <c r="D117" s="779"/>
      <c r="E117" s="779"/>
      <c r="F117" s="779"/>
      <c r="G117" s="148" t="str">
        <f>B125</f>
        <v>Periodical Service 3</v>
      </c>
      <c r="H117" s="288"/>
      <c r="I117" s="148"/>
      <c r="J117" s="148"/>
      <c r="K117" s="148"/>
      <c r="L117" s="148"/>
      <c r="M117" s="148"/>
      <c r="N117" s="148"/>
    </row>
    <row r="119" spans="1:14" x14ac:dyDescent="0.3">
      <c r="B119" s="218" t="s">
        <v>102</v>
      </c>
      <c r="C119" s="695">
        <f>'kt info'!$C$3</f>
        <v>0</v>
      </c>
      <c r="D119" s="695"/>
      <c r="E119" s="696"/>
      <c r="F119" s="697"/>
      <c r="H119" s="314"/>
      <c r="J119" s="793"/>
      <c r="K119" s="669"/>
      <c r="L119" s="669"/>
      <c r="M119" s="669"/>
    </row>
    <row r="120" spans="1:14" x14ac:dyDescent="0.3">
      <c r="C120" s="287"/>
      <c r="D120" s="98"/>
      <c r="E120" s="98"/>
      <c r="F120" s="98"/>
      <c r="I120" s="311"/>
      <c r="J120" s="311"/>
      <c r="L120" s="317"/>
    </row>
    <row r="121" spans="1:14" x14ac:dyDescent="0.3">
      <c r="B121" s="218" t="s">
        <v>103</v>
      </c>
      <c r="C121" s="695">
        <f>'kt info'!$C$5</f>
        <v>0</v>
      </c>
      <c r="D121" s="695"/>
      <c r="E121" s="697"/>
      <c r="F121" s="697"/>
      <c r="J121" s="311"/>
      <c r="L121" s="317"/>
    </row>
    <row r="122" spans="1:14" x14ac:dyDescent="0.3">
      <c r="C122" s="287"/>
      <c r="D122" s="98"/>
      <c r="E122" s="98"/>
      <c r="F122" s="98"/>
      <c r="J122" s="311"/>
      <c r="L122" s="317"/>
    </row>
    <row r="123" spans="1:14" x14ac:dyDescent="0.3">
      <c r="B123" s="218" t="s">
        <v>126</v>
      </c>
      <c r="C123" s="695">
        <f>'kt info'!$C$7</f>
        <v>0</v>
      </c>
      <c r="D123" s="695"/>
      <c r="E123" s="697"/>
      <c r="F123" s="697"/>
      <c r="J123" s="311"/>
      <c r="L123" s="317"/>
    </row>
    <row r="124" spans="1:14" x14ac:dyDescent="0.3">
      <c r="J124" s="317"/>
      <c r="L124" s="317"/>
    </row>
    <row r="125" spans="1:14" ht="18" x14ac:dyDescent="0.3">
      <c r="A125" s="318"/>
      <c r="B125" s="319" t="str">
        <f>'kt info'!B28</f>
        <v>Periodical Service 3</v>
      </c>
      <c r="C125" s="320"/>
      <c r="D125" s="318"/>
      <c r="E125" s="318"/>
      <c r="F125" s="318"/>
      <c r="G125" s="318"/>
      <c r="H125" s="289" t="s">
        <v>71</v>
      </c>
      <c r="I125" s="231" t="s">
        <v>198</v>
      </c>
      <c r="J125" s="317"/>
      <c r="L125" s="317"/>
      <c r="M125" s="318"/>
      <c r="N125" s="318"/>
    </row>
    <row r="126" spans="1:14" x14ac:dyDescent="0.3">
      <c r="E126" s="786" t="s">
        <v>72</v>
      </c>
      <c r="F126" s="787"/>
      <c r="G126" s="788"/>
      <c r="H126" s="321">
        <f>IF(SUM(M138:M147)&gt;0,SUM(M138:M147)/'kt info'!$G$28,0)</f>
        <v>0</v>
      </c>
      <c r="I126" s="322">
        <f>H126*'kt info'!$G$28</f>
        <v>0</v>
      </c>
      <c r="J126" s="317"/>
      <c r="L126" s="317"/>
    </row>
    <row r="127" spans="1:14" x14ac:dyDescent="0.3">
      <c r="B127" s="323" t="s">
        <v>229</v>
      </c>
      <c r="E127" s="786" t="s">
        <v>161</v>
      </c>
      <c r="F127" s="787"/>
      <c r="G127" s="788"/>
      <c r="H127" s="324">
        <f>IF(SUM(K138:K147)&gt;0,SUM(K138:K147),0)</f>
        <v>0</v>
      </c>
      <c r="I127" s="325">
        <f>H127*'kt info'!$G$28</f>
        <v>0</v>
      </c>
      <c r="J127" s="317"/>
      <c r="L127" s="317"/>
    </row>
    <row r="128" spans="1:14" x14ac:dyDescent="0.3">
      <c r="B128" s="173" t="s">
        <v>89</v>
      </c>
      <c r="C128" s="326">
        <f>'kt info'!E28</f>
        <v>0</v>
      </c>
      <c r="E128" s="786" t="s">
        <v>73</v>
      </c>
      <c r="F128" s="787"/>
      <c r="G128" s="788"/>
      <c r="H128" s="324">
        <f>IF(SUM(E152:E171)&gt;0,SUM(E152:E171),0)</f>
        <v>0</v>
      </c>
      <c r="I128" s="325">
        <f>H128*'kt info'!$G$28</f>
        <v>0</v>
      </c>
      <c r="J128" s="317"/>
      <c r="L128" s="317"/>
    </row>
    <row r="129" spans="1:14" x14ac:dyDescent="0.3">
      <c r="E129" s="786" t="s">
        <v>74</v>
      </c>
      <c r="F129" s="787"/>
      <c r="G129" s="788"/>
      <c r="H129" s="324">
        <f>IF(SUM(L152:L161)&gt;0,SUM(L152:L161),0)</f>
        <v>0</v>
      </c>
      <c r="I129" s="325">
        <f>H129*'kt info'!$G$28</f>
        <v>0</v>
      </c>
      <c r="J129" s="317"/>
      <c r="L129" s="317"/>
    </row>
    <row r="130" spans="1:14" x14ac:dyDescent="0.3">
      <c r="B130" s="173" t="s">
        <v>91</v>
      </c>
      <c r="C130" s="327">
        <f>ROUND(IF(SUM(H127:H133)&gt;0,SUM(H127:H133),0),0)</f>
        <v>0</v>
      </c>
      <c r="E130" s="786" t="s">
        <v>82</v>
      </c>
      <c r="F130" s="787"/>
      <c r="G130" s="788"/>
      <c r="H130" s="324">
        <f>IF(SUM(J165:J169)&gt;0,SUM(L165:L169),0)</f>
        <v>0</v>
      </c>
      <c r="I130" s="325">
        <f>H130*'kt info'!$G$28</f>
        <v>0</v>
      </c>
      <c r="J130" s="311"/>
      <c r="K130" s="317"/>
    </row>
    <row r="131" spans="1:14" x14ac:dyDescent="0.3">
      <c r="E131" s="786" t="s">
        <v>173</v>
      </c>
      <c r="F131" s="787"/>
      <c r="G131" s="788"/>
      <c r="H131" s="324">
        <f>IF(SUM(I171:I172)=0,0,SUM(I171:I172))</f>
        <v>0</v>
      </c>
      <c r="I131" s="325">
        <f>H131*'kt info'!$G$28</f>
        <v>0</v>
      </c>
      <c r="K131" s="317"/>
    </row>
    <row r="132" spans="1:14" x14ac:dyDescent="0.3">
      <c r="B132" s="173" t="s">
        <v>90</v>
      </c>
      <c r="C132" s="327">
        <f>IF(C128&gt;0,C130/C128,0)</f>
        <v>0</v>
      </c>
      <c r="E132" s="786" t="s">
        <v>80</v>
      </c>
      <c r="F132" s="787"/>
      <c r="G132" s="788"/>
      <c r="H132" s="324">
        <f>($H$127+$H$128+$H$129+$H$130+$H$131)*'Overhead &amp; Margin'!$D$10/(1-('Overhead &amp; Margin'!$D$10))</f>
        <v>0</v>
      </c>
      <c r="I132" s="325">
        <f>H132*'kt info'!$G$28</f>
        <v>0</v>
      </c>
      <c r="K132" s="317"/>
    </row>
    <row r="133" spans="1:14" x14ac:dyDescent="0.3">
      <c r="G133" s="174" t="s">
        <v>81</v>
      </c>
      <c r="H133" s="324">
        <f>($H$127+$H$128+$H$129+$H$130+$H$131+$H$132)*'Overhead &amp; Margin'!$G$10/(1-('Overhead &amp; Margin'!$G$10))</f>
        <v>0</v>
      </c>
      <c r="I133" s="325">
        <f>H133*'kt info'!$G$28</f>
        <v>0</v>
      </c>
    </row>
    <row r="134" spans="1:14" x14ac:dyDescent="0.3">
      <c r="M134" s="577" t="str">
        <f>'kt info'!$B$12</f>
        <v>Form date: 2/20/26</v>
      </c>
    </row>
    <row r="135" spans="1:14" ht="15" thickBot="1" x14ac:dyDescent="0.35">
      <c r="B135" s="328" t="s">
        <v>97</v>
      </c>
    </row>
    <row r="136" spans="1:14" x14ac:dyDescent="0.3">
      <c r="B136" s="83" t="s">
        <v>13</v>
      </c>
      <c r="C136" s="329" t="s">
        <v>14</v>
      </c>
      <c r="D136" s="330" t="s">
        <v>20</v>
      </c>
      <c r="E136" s="330" t="s">
        <v>15</v>
      </c>
      <c r="F136" s="780" t="s">
        <v>17</v>
      </c>
      <c r="G136" s="780"/>
      <c r="H136" s="331" t="s">
        <v>18</v>
      </c>
      <c r="I136" s="330" t="s">
        <v>16</v>
      </c>
      <c r="J136" s="330" t="s">
        <v>19</v>
      </c>
      <c r="K136" s="330" t="s">
        <v>71</v>
      </c>
      <c r="L136" s="332" t="s">
        <v>21</v>
      </c>
      <c r="M136" s="4" t="s">
        <v>22</v>
      </c>
      <c r="N136" s="4" t="s">
        <v>0</v>
      </c>
    </row>
    <row r="137" spans="1:14" ht="15" thickBot="1" x14ac:dyDescent="0.35">
      <c r="B137" s="22" t="s">
        <v>253</v>
      </c>
      <c r="C137" s="333" t="s">
        <v>23</v>
      </c>
      <c r="D137" s="334" t="s">
        <v>28</v>
      </c>
      <c r="E137" s="334" t="s">
        <v>24</v>
      </c>
      <c r="F137" s="781" t="s">
        <v>25</v>
      </c>
      <c r="G137" s="781"/>
      <c r="H137" s="335" t="s">
        <v>26</v>
      </c>
      <c r="I137" s="334"/>
      <c r="J137" s="334" t="s">
        <v>33</v>
      </c>
      <c r="K137" s="334" t="s">
        <v>161</v>
      </c>
      <c r="L137" s="336" t="s">
        <v>0</v>
      </c>
      <c r="M137" s="5" t="s">
        <v>0</v>
      </c>
      <c r="N137" s="5" t="s">
        <v>71</v>
      </c>
    </row>
    <row r="138" spans="1:14" x14ac:dyDescent="0.3">
      <c r="A138" s="98">
        <v>1</v>
      </c>
      <c r="B138" s="454"/>
      <c r="C138" s="338"/>
      <c r="D138" s="339" t="str">
        <f>IF(B138=0," ",'kt info'!$G$28)</f>
        <v xml:space="preserve"> </v>
      </c>
      <c r="E138" s="340" t="str">
        <f>IF(B138=0," ",VLOOKUP(B138,WageBeneTable5[#All],2,FALSE))</f>
        <v xml:space="preserve"> </v>
      </c>
      <c r="F138" s="782">
        <f>IF($E138=" ",0,'Pay &amp; Benefits'!$C$10)</f>
        <v>0</v>
      </c>
      <c r="G138" s="783"/>
      <c r="H138" s="341" t="str">
        <f>IF($E138=" "," ",'Pay &amp; Benefits'!$C$11)</f>
        <v xml:space="preserve"> </v>
      </c>
      <c r="I138" s="342" t="str">
        <f t="shared" ref="I138" si="12">IF(E138=" "," ",0.0765)</f>
        <v xml:space="preserve"> </v>
      </c>
      <c r="J138" s="343" t="str">
        <f>IF(B138=0," ",VLOOKUP(B138,WageBeneTable5[#All],3,FALSE))</f>
        <v xml:space="preserve"> </v>
      </c>
      <c r="K138" s="340" t="str">
        <f t="shared" ref="K138:K147" si="13">IF(B138=0," ",C138*E138*(1+I138+F138+H138+J138))</f>
        <v xml:space="preserve"> </v>
      </c>
      <c r="L138" s="340">
        <f t="shared" ref="L138:L147" si="14">IF(K138=" ",0,K138*D138)</f>
        <v>0</v>
      </c>
      <c r="M138" s="344">
        <f t="shared" ref="M138" si="15">IF(B138=0,0,C138*D138)</f>
        <v>0</v>
      </c>
      <c r="N138" s="345">
        <f t="shared" ref="N138" si="16">IF(L138=0,0,IF(D138=0,0,L138/D138))</f>
        <v>0</v>
      </c>
    </row>
    <row r="139" spans="1:14" x14ac:dyDescent="0.3">
      <c r="A139" s="98">
        <v>2</v>
      </c>
      <c r="B139" s="417"/>
      <c r="C139" s="347"/>
      <c r="D139" s="339" t="str">
        <f>IF(B139=0," ",'kt info'!$G$28)</f>
        <v xml:space="preserve"> </v>
      </c>
      <c r="E139" s="348" t="str">
        <f>IF(B139=0," ",VLOOKUP(B139,WageBeneTable5[#All],2,FALSE))</f>
        <v xml:space="preserve"> </v>
      </c>
      <c r="F139" s="784">
        <f>IF($E139=" ",0,'Pay &amp; Benefits'!$C$10)</f>
        <v>0</v>
      </c>
      <c r="G139" s="785"/>
      <c r="H139" s="349" t="str">
        <f>IF($E139=" "," ",'Pay &amp; Benefits'!$C$11)</f>
        <v xml:space="preserve"> </v>
      </c>
      <c r="I139" s="350" t="str">
        <f t="shared" ref="I139:I147" si="17">IF(E139=" "," ",0.0765)</f>
        <v xml:space="preserve"> </v>
      </c>
      <c r="J139" s="351" t="str">
        <f>IF(B139=0," ",VLOOKUP(B139,WageBeneTable5[#All],3,FALSE))</f>
        <v xml:space="preserve"> </v>
      </c>
      <c r="K139" s="348" t="str">
        <f t="shared" si="13"/>
        <v xml:space="preserve"> </v>
      </c>
      <c r="L139" s="348">
        <f t="shared" si="14"/>
        <v>0</v>
      </c>
      <c r="M139" s="352">
        <f t="shared" ref="M139:M147" si="18">IF(B139=0,0,C139*D139)</f>
        <v>0</v>
      </c>
      <c r="N139" s="353">
        <f t="shared" ref="N139:N147" si="19">IF(L139=0,0,IF(D139=0,0,L139/D139))</f>
        <v>0</v>
      </c>
    </row>
    <row r="140" spans="1:14" x14ac:dyDescent="0.3">
      <c r="A140" s="98">
        <v>3</v>
      </c>
      <c r="B140" s="417"/>
      <c r="C140" s="347"/>
      <c r="D140" s="339" t="str">
        <f>IF(B140=0," ",'kt info'!$G$28)</f>
        <v xml:space="preserve"> </v>
      </c>
      <c r="E140" s="348" t="str">
        <f>IF(B140=0," ",VLOOKUP(B140,WageBeneTable5[#All],2,FALSE))</f>
        <v xml:space="preserve"> </v>
      </c>
      <c r="F140" s="784">
        <f>IF($E140=" ",0,'Pay &amp; Benefits'!$C$10)</f>
        <v>0</v>
      </c>
      <c r="G140" s="785"/>
      <c r="H140" s="349" t="str">
        <f>IF($E140=" "," ",'Pay &amp; Benefits'!$C$11)</f>
        <v xml:space="preserve"> </v>
      </c>
      <c r="I140" s="350" t="str">
        <f t="shared" si="17"/>
        <v xml:space="preserve"> </v>
      </c>
      <c r="J140" s="351" t="str">
        <f>IF(B140=0," ",VLOOKUP(B140,WageBeneTable5[#All],3,FALSE))</f>
        <v xml:space="preserve"> </v>
      </c>
      <c r="K140" s="348" t="str">
        <f t="shared" si="13"/>
        <v xml:space="preserve"> </v>
      </c>
      <c r="L140" s="348">
        <f t="shared" si="14"/>
        <v>0</v>
      </c>
      <c r="M140" s="352">
        <f t="shared" si="18"/>
        <v>0</v>
      </c>
      <c r="N140" s="353">
        <f t="shared" si="19"/>
        <v>0</v>
      </c>
    </row>
    <row r="141" spans="1:14" x14ac:dyDescent="0.3">
      <c r="A141" s="98">
        <v>4</v>
      </c>
      <c r="B141" s="417"/>
      <c r="C141" s="347"/>
      <c r="D141" s="339" t="str">
        <f>IF(B141=0," ",'kt info'!$G$28)</f>
        <v xml:space="preserve"> </v>
      </c>
      <c r="E141" s="348" t="str">
        <f>IF(B141=0," ",VLOOKUP(B141,WageBeneTable5[#All],2,FALSE))</f>
        <v xml:space="preserve"> </v>
      </c>
      <c r="F141" s="784">
        <f>IF($E141=" ",0,'Pay &amp; Benefits'!$C$10)</f>
        <v>0</v>
      </c>
      <c r="G141" s="785"/>
      <c r="H141" s="349" t="str">
        <f>IF($E141=" "," ",'Pay &amp; Benefits'!$C$11)</f>
        <v xml:space="preserve"> </v>
      </c>
      <c r="I141" s="350" t="str">
        <f t="shared" si="17"/>
        <v xml:space="preserve"> </v>
      </c>
      <c r="J141" s="351" t="str">
        <f>IF(B141=0," ",VLOOKUP(B141,WageBeneTable5[#All],3,FALSE))</f>
        <v xml:space="preserve"> </v>
      </c>
      <c r="K141" s="348" t="str">
        <f t="shared" si="13"/>
        <v xml:space="preserve"> </v>
      </c>
      <c r="L141" s="348">
        <f t="shared" si="14"/>
        <v>0</v>
      </c>
      <c r="M141" s="352">
        <f t="shared" si="18"/>
        <v>0</v>
      </c>
      <c r="N141" s="353">
        <f t="shared" si="19"/>
        <v>0</v>
      </c>
    </row>
    <row r="142" spans="1:14" ht="15" thickBot="1" x14ac:dyDescent="0.35">
      <c r="A142" s="98">
        <v>5</v>
      </c>
      <c r="B142" s="419"/>
      <c r="C142" s="355"/>
      <c r="D142" s="356" t="str">
        <f>IF(B142=0," ",'kt info'!$G$28)</f>
        <v xml:space="preserve"> </v>
      </c>
      <c r="E142" s="357" t="str">
        <f>IF(B142=0," ",VLOOKUP(B142,WageBeneTable5[#All],2,FALSE))</f>
        <v xml:space="preserve"> </v>
      </c>
      <c r="F142" s="776">
        <f>IF($E142=" ",0,'Pay &amp; Benefits'!$C$10)</f>
        <v>0</v>
      </c>
      <c r="G142" s="777"/>
      <c r="H142" s="358" t="str">
        <f>IF($E142=" "," ",'Pay &amp; Benefits'!$C$11)</f>
        <v xml:space="preserve"> </v>
      </c>
      <c r="I142" s="359" t="str">
        <f t="shared" si="17"/>
        <v xml:space="preserve"> </v>
      </c>
      <c r="J142" s="360" t="str">
        <f>IF(B142=0," ",VLOOKUP(B142,WageBeneTable5[#All],3,FALSE))</f>
        <v xml:space="preserve"> </v>
      </c>
      <c r="K142" s="357" t="str">
        <f t="shared" si="13"/>
        <v xml:space="preserve"> </v>
      </c>
      <c r="L142" s="357">
        <f t="shared" si="14"/>
        <v>0</v>
      </c>
      <c r="M142" s="361">
        <f t="shared" si="18"/>
        <v>0</v>
      </c>
      <c r="N142" s="362">
        <f t="shared" si="19"/>
        <v>0</v>
      </c>
    </row>
    <row r="143" spans="1:14" x14ac:dyDescent="0.3">
      <c r="A143" s="98">
        <v>6</v>
      </c>
      <c r="B143" s="454"/>
      <c r="C143" s="363"/>
      <c r="D143" s="364" t="str">
        <f>IF(B143=0," ",'kt info'!$G$28)</f>
        <v xml:space="preserve"> </v>
      </c>
      <c r="E143" s="365" t="str">
        <f>IF(B143=0," ",VLOOKUP(B143,WageBeneTable5[#All],2,FALSE))</f>
        <v xml:space="preserve"> </v>
      </c>
      <c r="F143" s="782">
        <f>IF($E143=" ",0,'Pay &amp; Benefits'!$C$10)</f>
        <v>0</v>
      </c>
      <c r="G143" s="783"/>
      <c r="H143" s="366" t="str">
        <f>IF($E143=" "," ",'Pay &amp; Benefits'!$C$11)</f>
        <v xml:space="preserve"> </v>
      </c>
      <c r="I143" s="367" t="str">
        <f t="shared" si="17"/>
        <v xml:space="preserve"> </v>
      </c>
      <c r="J143" s="368" t="str">
        <f>IF(B143=0," ",VLOOKUP(B143,WageBeneTable5[#All],3,FALSE))</f>
        <v xml:space="preserve"> </v>
      </c>
      <c r="K143" s="365" t="str">
        <f t="shared" si="13"/>
        <v xml:space="preserve"> </v>
      </c>
      <c r="L143" s="365">
        <f t="shared" si="14"/>
        <v>0</v>
      </c>
      <c r="M143" s="369">
        <f t="shared" si="18"/>
        <v>0</v>
      </c>
      <c r="N143" s="370">
        <f t="shared" si="19"/>
        <v>0</v>
      </c>
    </row>
    <row r="144" spans="1:14" x14ac:dyDescent="0.3">
      <c r="A144" s="98">
        <v>7</v>
      </c>
      <c r="B144" s="417"/>
      <c r="C144" s="347"/>
      <c r="D144" s="364" t="str">
        <f>IF(B144=0," ",'kt info'!$G$28)</f>
        <v xml:space="preserve"> </v>
      </c>
      <c r="E144" s="365" t="str">
        <f>IF(B144=0," ",VLOOKUP(B144,WageBeneTable5[#All],2,FALSE))</f>
        <v xml:space="preserve"> </v>
      </c>
      <c r="F144" s="784">
        <f>IF($E144=" ",0,'Pay &amp; Benefits'!$C$10)</f>
        <v>0</v>
      </c>
      <c r="G144" s="785"/>
      <c r="H144" s="366" t="str">
        <f>IF($E144=" "," ",'Pay &amp; Benefits'!$C$11)</f>
        <v xml:space="preserve"> </v>
      </c>
      <c r="I144" s="367" t="str">
        <f t="shared" si="17"/>
        <v xml:space="preserve"> </v>
      </c>
      <c r="J144" s="368" t="str">
        <f>IF(B144=0," ",VLOOKUP(B144,WageBeneTable5[#All],3,FALSE))</f>
        <v xml:space="preserve"> </v>
      </c>
      <c r="K144" s="365" t="str">
        <f t="shared" si="13"/>
        <v xml:space="preserve"> </v>
      </c>
      <c r="L144" s="365">
        <f t="shared" si="14"/>
        <v>0</v>
      </c>
      <c r="M144" s="369">
        <f t="shared" si="18"/>
        <v>0</v>
      </c>
      <c r="N144" s="370">
        <f t="shared" si="19"/>
        <v>0</v>
      </c>
    </row>
    <row r="145" spans="1:14" x14ac:dyDescent="0.3">
      <c r="A145" s="98">
        <v>8</v>
      </c>
      <c r="B145" s="417"/>
      <c r="C145" s="347"/>
      <c r="D145" s="364" t="str">
        <f>IF(B145=0," ",'kt info'!$G$28)</f>
        <v xml:space="preserve"> </v>
      </c>
      <c r="E145" s="365" t="str">
        <f>IF(B145=0," ",VLOOKUP(B145,WageBeneTable5[#All],2,FALSE))</f>
        <v xml:space="preserve"> </v>
      </c>
      <c r="F145" s="784">
        <f>IF($E145=" ",0,'Pay &amp; Benefits'!$C$10)</f>
        <v>0</v>
      </c>
      <c r="G145" s="785"/>
      <c r="H145" s="366" t="str">
        <f>IF($E145=" "," ",'Pay &amp; Benefits'!$C$11)</f>
        <v xml:space="preserve"> </v>
      </c>
      <c r="I145" s="367" t="str">
        <f t="shared" si="17"/>
        <v xml:space="preserve"> </v>
      </c>
      <c r="J145" s="368" t="str">
        <f>IF(B145=0," ",VLOOKUP(B145,WageBeneTable5[#All],3,FALSE))</f>
        <v xml:space="preserve"> </v>
      </c>
      <c r="K145" s="365" t="str">
        <f t="shared" si="13"/>
        <v xml:space="preserve"> </v>
      </c>
      <c r="L145" s="365">
        <f t="shared" si="14"/>
        <v>0</v>
      </c>
      <c r="M145" s="369">
        <f t="shared" si="18"/>
        <v>0</v>
      </c>
      <c r="N145" s="370">
        <f t="shared" si="19"/>
        <v>0</v>
      </c>
    </row>
    <row r="146" spans="1:14" x14ac:dyDescent="0.3">
      <c r="A146" s="98">
        <v>9</v>
      </c>
      <c r="B146" s="417"/>
      <c r="C146" s="347"/>
      <c r="D146" s="364" t="str">
        <f>IF(B146=0," ",'kt info'!$G$28)</f>
        <v xml:space="preserve"> </v>
      </c>
      <c r="E146" s="365" t="str">
        <f>IF(B146=0," ",VLOOKUP(B146,WageBeneTable5[#All],2,FALSE))</f>
        <v xml:space="preserve"> </v>
      </c>
      <c r="F146" s="784">
        <f>IF($E146=" ",0,'Pay &amp; Benefits'!$C$10)</f>
        <v>0</v>
      </c>
      <c r="G146" s="785"/>
      <c r="H146" s="366" t="str">
        <f>IF($E146=" "," ",'Pay &amp; Benefits'!$C$11)</f>
        <v xml:space="preserve"> </v>
      </c>
      <c r="I146" s="367" t="str">
        <f t="shared" si="17"/>
        <v xml:space="preserve"> </v>
      </c>
      <c r="J146" s="368" t="str">
        <f>IF(B146=0," ",VLOOKUP(B146,WageBeneTable5[#All],3,FALSE))</f>
        <v xml:space="preserve"> </v>
      </c>
      <c r="K146" s="365" t="str">
        <f t="shared" si="13"/>
        <v xml:space="preserve"> </v>
      </c>
      <c r="L146" s="365">
        <f t="shared" si="14"/>
        <v>0</v>
      </c>
      <c r="M146" s="369">
        <f t="shared" si="18"/>
        <v>0</v>
      </c>
      <c r="N146" s="370">
        <f t="shared" si="19"/>
        <v>0</v>
      </c>
    </row>
    <row r="147" spans="1:14" ht="15" thickBot="1" x14ac:dyDescent="0.35">
      <c r="A147" s="98">
        <v>10</v>
      </c>
      <c r="B147" s="419"/>
      <c r="C147" s="355"/>
      <c r="D147" s="356" t="str">
        <f>IF(B147=0," ",'kt info'!$G$28)</f>
        <v xml:space="preserve"> </v>
      </c>
      <c r="E147" s="357" t="str">
        <f>IF(B147=0," ",VLOOKUP(B147,WageBeneTable5[#All],2,FALSE))</f>
        <v xml:space="preserve"> </v>
      </c>
      <c r="F147" s="776">
        <f>IF($E147=" ",0,'Pay &amp; Benefits'!$C$10)</f>
        <v>0</v>
      </c>
      <c r="G147" s="777"/>
      <c r="H147" s="358" t="str">
        <f>IF($E147=" "," ",'Pay &amp; Benefits'!$C$11)</f>
        <v xml:space="preserve"> </v>
      </c>
      <c r="I147" s="359" t="str">
        <f t="shared" si="17"/>
        <v xml:space="preserve"> </v>
      </c>
      <c r="J147" s="360" t="str">
        <f>IF(B147=0," ",VLOOKUP(B147,WageBeneTable5[#All],3,FALSE))</f>
        <v xml:space="preserve"> </v>
      </c>
      <c r="K147" s="357" t="str">
        <f t="shared" si="13"/>
        <v xml:space="preserve"> </v>
      </c>
      <c r="L147" s="357">
        <f t="shared" si="14"/>
        <v>0</v>
      </c>
      <c r="M147" s="361">
        <f t="shared" si="18"/>
        <v>0</v>
      </c>
      <c r="N147" s="362">
        <f t="shared" si="19"/>
        <v>0</v>
      </c>
    </row>
    <row r="148" spans="1:14" x14ac:dyDescent="0.3">
      <c r="K148" s="371"/>
      <c r="L148" s="372"/>
      <c r="M148" s="373"/>
    </row>
    <row r="149" spans="1:14" ht="15" thickBot="1" x14ac:dyDescent="0.35">
      <c r="B149" s="374" t="s">
        <v>175</v>
      </c>
      <c r="E149" s="375"/>
      <c r="H149" s="775" t="s">
        <v>171</v>
      </c>
      <c r="I149" s="772"/>
      <c r="M149" s="455"/>
      <c r="N149" s="98"/>
    </row>
    <row r="150" spans="1:14" x14ac:dyDescent="0.3">
      <c r="B150" s="32" t="s">
        <v>115</v>
      </c>
      <c r="C150" s="378" t="s">
        <v>199</v>
      </c>
      <c r="D150" s="379" t="s">
        <v>4</v>
      </c>
      <c r="E150" s="380" t="s">
        <v>76</v>
      </c>
      <c r="H150" s="290" t="s">
        <v>10</v>
      </c>
      <c r="I150" s="4" t="s">
        <v>78</v>
      </c>
      <c r="J150" s="4" t="s">
        <v>11</v>
      </c>
      <c r="K150" s="4" t="s">
        <v>201</v>
      </c>
      <c r="L150" s="4" t="s">
        <v>76</v>
      </c>
      <c r="M150" s="456"/>
      <c r="N150" s="457"/>
    </row>
    <row r="151" spans="1:14" ht="15" thickBot="1" x14ac:dyDescent="0.35">
      <c r="B151" s="33" t="s">
        <v>116</v>
      </c>
      <c r="C151" s="381" t="s">
        <v>77</v>
      </c>
      <c r="D151" s="382" t="s">
        <v>5</v>
      </c>
      <c r="E151" s="383" t="s">
        <v>77</v>
      </c>
      <c r="H151" s="291" t="s">
        <v>8</v>
      </c>
      <c r="I151" s="5" t="s">
        <v>79</v>
      </c>
      <c r="J151" s="5" t="s">
        <v>12</v>
      </c>
      <c r="K151" s="5" t="s">
        <v>7</v>
      </c>
      <c r="L151" s="5" t="s">
        <v>77</v>
      </c>
      <c r="M151" s="458"/>
      <c r="N151" s="459"/>
    </row>
    <row r="152" spans="1:14" x14ac:dyDescent="0.3">
      <c r="A152" s="98">
        <v>1</v>
      </c>
      <c r="B152" s="454"/>
      <c r="C152" s="386"/>
      <c r="D152" s="387">
        <f>IF(B152=0,0,VLOOKUP(B152,Supplies!$B$13:$C$97,2,FALSE))</f>
        <v>0</v>
      </c>
      <c r="E152" s="340">
        <f>IF(D152=" "," ",D152*C152)</f>
        <v>0</v>
      </c>
      <c r="G152" s="98">
        <v>1</v>
      </c>
      <c r="H152" s="388"/>
      <c r="I152" s="389"/>
      <c r="J152" s="390"/>
      <c r="K152" s="312" t="str">
        <f>IF(H152=0," ",IF(VLOOKUP(H152,'Equipment List'!$B$12:$F$96,5,FALSE)=0,0,IF(VLOOKUP(H152,'Equipment List'!$B$12:$F$96,5,FALSE)="Grant","Grant",IF(VLOOKUP(H152,'Equipment List'!$B$12:$F$96,5,FALSE)="Depreciated","Depreciated",VLOOKUP(H152,'Equipment List'!$B$12:$F$96,5,FALSE)*I152*J152))))</f>
        <v xml:space="preserve"> </v>
      </c>
      <c r="L152" s="345" t="str">
        <f>IF(K152=" "," ",IF(K152="Grant",0,IF(K152="Depreciated",0,IF('kt info'!$G$28=0,"No Service Frequency",K152/'kt info'!$G$28))))</f>
        <v xml:space="preserve"> </v>
      </c>
      <c r="M152" s="460"/>
      <c r="N152" s="384"/>
    </row>
    <row r="153" spans="1:14" x14ac:dyDescent="0.3">
      <c r="A153" s="98">
        <v>2</v>
      </c>
      <c r="B153" s="417"/>
      <c r="C153" s="394"/>
      <c r="D153" s="395">
        <f>IF(B153=0,0,VLOOKUP(B153,Supplies!$B$13:$C$97,2,FALSE))</f>
        <v>0</v>
      </c>
      <c r="E153" s="365">
        <f t="shared" ref="E153:E167" si="20">IF(D153=" "," ",D153*C153)</f>
        <v>0</v>
      </c>
      <c r="G153" s="98">
        <v>2</v>
      </c>
      <c r="H153" s="396"/>
      <c r="I153" s="397"/>
      <c r="J153" s="398"/>
      <c r="K153" s="401" t="str">
        <f>IF(H153=0," ",IF(VLOOKUP(H153,'Equipment List'!$B$12:$F$96,5,FALSE)=0,0,IF(VLOOKUP(H153,'Equipment List'!$B$12:$F$96,5,FALSE)="Grant","Grant",IF(VLOOKUP(H153,'Equipment List'!$B$12:$F$96,5,FALSE)="Depreciated","Depreciated",VLOOKUP(H153,'Equipment List'!$B$12:$F$96,5,FALSE)*I153*J153))))</f>
        <v xml:space="preserve"> </v>
      </c>
      <c r="L153" s="370" t="str">
        <f>IF(K153=" "," ",IF(K153="Grant",0,IF(K153="Depreciated",0,IF('kt info'!$G$28=0,"No Service Frequency",K153/'kt info'!$G$28))))</f>
        <v xml:space="preserve"> </v>
      </c>
    </row>
    <row r="154" spans="1:14" x14ac:dyDescent="0.3">
      <c r="A154" s="98">
        <v>3</v>
      </c>
      <c r="B154" s="417"/>
      <c r="C154" s="394"/>
      <c r="D154" s="395">
        <f>IF(B154=0,0,VLOOKUP(B154,Supplies!$B$13:$C$97,2,FALSE))</f>
        <v>0</v>
      </c>
      <c r="E154" s="365">
        <f t="shared" si="20"/>
        <v>0</v>
      </c>
      <c r="G154" s="98">
        <v>3</v>
      </c>
      <c r="H154" s="396"/>
      <c r="I154" s="397"/>
      <c r="J154" s="398"/>
      <c r="K154" s="401" t="str">
        <f>IF(H154=0," ",IF(VLOOKUP(H154,'Equipment List'!$B$12:$F$96,5,FALSE)=0,0,IF(VLOOKUP(H154,'Equipment List'!$B$12:$F$96,5,FALSE)="Grant","Grant",IF(VLOOKUP(H154,'Equipment List'!$B$12:$F$96,5,FALSE)="Depreciated","Depreciated",VLOOKUP(H154,'Equipment List'!$B$12:$F$96,5,FALSE)*I154*J154))))</f>
        <v xml:space="preserve"> </v>
      </c>
      <c r="L154" s="370" t="str">
        <f>IF(K154=" "," ",IF(K154="Grant",0,IF(K154="Depreciated",0,IF('kt info'!$G$28=0,"No Service Frequency",K154/'kt info'!$G$28))))</f>
        <v xml:space="preserve"> </v>
      </c>
    </row>
    <row r="155" spans="1:14" x14ac:dyDescent="0.3">
      <c r="A155" s="98">
        <v>4</v>
      </c>
      <c r="B155" s="417"/>
      <c r="C155" s="394"/>
      <c r="D155" s="395">
        <f>IF(B155=0,0,VLOOKUP(B155,Supplies!$B$13:$C$97,2,FALSE))</f>
        <v>0</v>
      </c>
      <c r="E155" s="365">
        <f t="shared" si="20"/>
        <v>0</v>
      </c>
      <c r="G155" s="98">
        <v>4</v>
      </c>
      <c r="H155" s="396"/>
      <c r="I155" s="397"/>
      <c r="J155" s="398"/>
      <c r="K155" s="401" t="str">
        <f>IF(H155=0," ",IF(VLOOKUP(H155,'Equipment List'!$B$12:$F$96,5,FALSE)=0,0,IF(VLOOKUP(H155,'Equipment List'!$B$12:$F$96,5,FALSE)="Grant","Grant",IF(VLOOKUP(H155,'Equipment List'!$B$12:$F$96,5,FALSE)="Depreciated","Depreciated",VLOOKUP(H155,'Equipment List'!$B$12:$F$96,5,FALSE)*I155*J155))))</f>
        <v xml:space="preserve"> </v>
      </c>
      <c r="L155" s="370" t="str">
        <f>IF(K155=" "," ",IF(K155="Grant",0,IF(K155="Depreciated",0,IF('kt info'!$G$28=0,"No Service Frequency",K155/'kt info'!$G$28))))</f>
        <v xml:space="preserve"> </v>
      </c>
    </row>
    <row r="156" spans="1:14" ht="15" thickBot="1" x14ac:dyDescent="0.35">
      <c r="A156" s="98">
        <v>5</v>
      </c>
      <c r="B156" s="419"/>
      <c r="C156" s="403"/>
      <c r="D156" s="404">
        <f>IF(B156=0,0,VLOOKUP(B156,Supplies!$B$13:$C$97,2,FALSE))</f>
        <v>0</v>
      </c>
      <c r="E156" s="357">
        <f t="shared" si="20"/>
        <v>0</v>
      </c>
      <c r="G156" s="98">
        <v>5</v>
      </c>
      <c r="H156" s="405"/>
      <c r="I156" s="406"/>
      <c r="J156" s="407"/>
      <c r="K156" s="408" t="str">
        <f>IF(H156=0," ",IF(VLOOKUP(H156,'Equipment List'!$B$12:$F$96,5,FALSE)=0,0,IF(VLOOKUP(H156,'Equipment List'!$B$12:$F$96,5,FALSE)="Grant","Grant",IF(VLOOKUP(H156,'Equipment List'!$B$12:$F$96,5,FALSE)="Depreciated","Depreciated",VLOOKUP(H156,'Equipment List'!$B$12:$F$96,5,FALSE)*I156*J156))))</f>
        <v xml:space="preserve"> </v>
      </c>
      <c r="L156" s="362" t="str">
        <f>IF(K156=" "," ",IF(K156="Grant",0,IF(K156="Depreciated",0,IF('kt info'!$G$28=0,"No Service Frequency",K156/'kt info'!$G$28))))</f>
        <v xml:space="preserve"> </v>
      </c>
    </row>
    <row r="157" spans="1:14" x14ac:dyDescent="0.3">
      <c r="A157" s="98">
        <v>6</v>
      </c>
      <c r="B157" s="413"/>
      <c r="C157" s="411"/>
      <c r="D157" s="412">
        <f>IF(B157=0,0,VLOOKUP(B157,Supplies!$B$13:$C$97,2,FALSE))</f>
        <v>0</v>
      </c>
      <c r="E157" s="365">
        <f t="shared" si="20"/>
        <v>0</v>
      </c>
      <c r="G157" s="98">
        <v>6</v>
      </c>
      <c r="H157" s="413"/>
      <c r="I157" s="414"/>
      <c r="J157" s="415"/>
      <c r="K157" s="416" t="str">
        <f>IF(H157=0," ",IF(VLOOKUP(H157,'Equipment List'!$B$12:$F$96,5,FALSE)=0,0,IF(VLOOKUP(H157,'Equipment List'!$B$12:$F$96,5,FALSE)="Grant","Grant",IF(VLOOKUP(H157,'Equipment List'!$B$12:$F$96,5,FALSE)="Depreciated","Depreciated",VLOOKUP(H157,'Equipment List'!$B$12:$F$96,5,FALSE)*I157*J157))))</f>
        <v xml:space="preserve"> </v>
      </c>
      <c r="L157" s="370" t="str">
        <f>IF(K157=" "," ",IF(K157="Grant",0,IF(K157="Depreciated",0,IF('kt info'!$G$28=0,"No Service Frequency",K157/'kt info'!$G$28))))</f>
        <v xml:space="preserve"> </v>
      </c>
    </row>
    <row r="158" spans="1:14" x14ac:dyDescent="0.3">
      <c r="A158" s="98">
        <v>7</v>
      </c>
      <c r="B158" s="417"/>
      <c r="C158" s="394"/>
      <c r="D158" s="395">
        <f>IF(B158=0,0,VLOOKUP(B158,Supplies!$B$13:$C$97,2,FALSE))</f>
        <v>0</v>
      </c>
      <c r="E158" s="365">
        <f t="shared" si="20"/>
        <v>0</v>
      </c>
      <c r="G158" s="98">
        <v>7</v>
      </c>
      <c r="H158" s="417"/>
      <c r="I158" s="397"/>
      <c r="J158" s="398"/>
      <c r="K158" s="418" t="str">
        <f>IF(H158=0," ",IF(VLOOKUP(H158,'Equipment List'!$B$12:$F$96,5,FALSE)=0,0,IF(VLOOKUP(H158,'Equipment List'!$B$12:$F$96,5,FALSE)="Grant","Grant",IF(VLOOKUP(H158,'Equipment List'!$B$12:$F$96,5,FALSE)="Depreciated","Depreciated",VLOOKUP(H158,'Equipment List'!$B$12:$F$96,5,FALSE)*I158*J158))))</f>
        <v xml:space="preserve"> </v>
      </c>
      <c r="L158" s="370" t="str">
        <f>IF(K158=" "," ",IF(K158="Grant",0,IF(K158="Depreciated",0,IF('kt info'!$G$28=0,"No Service Frequency",K158/'kt info'!$G$28))))</f>
        <v xml:space="preserve"> </v>
      </c>
    </row>
    <row r="159" spans="1:14" x14ac:dyDescent="0.3">
      <c r="A159" s="98">
        <v>8</v>
      </c>
      <c r="B159" s="417"/>
      <c r="C159" s="394"/>
      <c r="D159" s="395">
        <f>IF(B159=0,0,VLOOKUP(B159,Supplies!$B$13:$C$97,2,FALSE))</f>
        <v>0</v>
      </c>
      <c r="E159" s="365">
        <f t="shared" si="20"/>
        <v>0</v>
      </c>
      <c r="G159" s="98">
        <v>8</v>
      </c>
      <c r="H159" s="417"/>
      <c r="I159" s="397"/>
      <c r="J159" s="398"/>
      <c r="K159" s="418" t="str">
        <f>IF(H159=0," ",IF(VLOOKUP(H159,'Equipment List'!$B$12:$F$96,5,FALSE)=0,0,IF(VLOOKUP(H159,'Equipment List'!$B$12:$F$96,5,FALSE)="Grant","Grant",IF(VLOOKUP(H159,'Equipment List'!$B$12:$F$96,5,FALSE)="Depreciated","Depreciated",VLOOKUP(H159,'Equipment List'!$B$12:$F$96,5,FALSE)*I159*J159))))</f>
        <v xml:space="preserve"> </v>
      </c>
      <c r="L159" s="370" t="str">
        <f>IF(K159=" "," ",IF(K159="Grant",0,IF(K159="Depreciated",0,IF('kt info'!$G$28=0,"No Service Frequency",K159/'kt info'!$G$28))))</f>
        <v xml:space="preserve"> </v>
      </c>
    </row>
    <row r="160" spans="1:14" x14ac:dyDescent="0.3">
      <c r="A160" s="98">
        <v>9</v>
      </c>
      <c r="B160" s="417"/>
      <c r="C160" s="394"/>
      <c r="D160" s="395">
        <f>IF(B160=0,0,VLOOKUP(B160,Supplies!$B$13:$C$97,2,FALSE))</f>
        <v>0</v>
      </c>
      <c r="E160" s="365">
        <f t="shared" si="20"/>
        <v>0</v>
      </c>
      <c r="G160" s="98">
        <v>9</v>
      </c>
      <c r="H160" s="417"/>
      <c r="I160" s="397"/>
      <c r="J160" s="398"/>
      <c r="K160" s="418" t="str">
        <f>IF(H160=0," ",IF(VLOOKUP(H160,'Equipment List'!$B$12:$F$96,5,FALSE)=0,0,IF(VLOOKUP(H160,'Equipment List'!$B$12:$F$96,5,FALSE)="Grant","Grant",IF(VLOOKUP(H160,'Equipment List'!$B$12:$F$96,5,FALSE)="Depreciated","Depreciated",VLOOKUP(H160,'Equipment List'!$B$12:$F$96,5,FALSE)*I160*J160))))</f>
        <v xml:space="preserve"> </v>
      </c>
      <c r="L160" s="370" t="str">
        <f>IF(K160=" "," ",IF(K160="Grant",0,IF(K160="Depreciated",0,IF('kt info'!$G$28=0,"No Service Frequency",K160/'kt info'!$G$28))))</f>
        <v xml:space="preserve"> </v>
      </c>
    </row>
    <row r="161" spans="1:14" ht="15" thickBot="1" x14ac:dyDescent="0.35">
      <c r="A161" s="98">
        <v>10</v>
      </c>
      <c r="B161" s="419"/>
      <c r="C161" s="403"/>
      <c r="D161" s="404">
        <f>IF(B161=0,0,VLOOKUP(B161,Supplies!$B$13:$C$97,2,FALSE))</f>
        <v>0</v>
      </c>
      <c r="E161" s="357">
        <f t="shared" si="20"/>
        <v>0</v>
      </c>
      <c r="G161" s="98">
        <v>10</v>
      </c>
      <c r="H161" s="419"/>
      <c r="I161" s="406"/>
      <c r="J161" s="407"/>
      <c r="K161" s="420" t="str">
        <f>IF(H161=0," ",IF(VLOOKUP(H161,'Equipment List'!$B$12:$F$96,5,FALSE)=0,0,IF(VLOOKUP(H161,'Equipment List'!$B$12:$F$96,5,FALSE)="Grant","Grant",IF(VLOOKUP(H161,'Equipment List'!$B$12:$F$96,5,FALSE)="Depreciated","Depreciated",VLOOKUP(H161,'Equipment List'!$B$12:$F$96,5,FALSE)*I161*J161))))</f>
        <v xml:space="preserve"> </v>
      </c>
      <c r="L161" s="362" t="str">
        <f>IF(K161=" "," ",IF(K161="Grant",0,IF(K161="Depreciated",0,IF('kt info'!$G$28=0,"No Service Frequency",K161/'kt info'!$G$28))))</f>
        <v xml:space="preserve"> </v>
      </c>
    </row>
    <row r="162" spans="1:14" x14ac:dyDescent="0.3">
      <c r="A162" s="98">
        <v>11</v>
      </c>
      <c r="B162" s="413"/>
      <c r="C162" s="411"/>
      <c r="D162" s="412">
        <f>IF(B162=0,0,VLOOKUP(B162,Supplies!$B$13:$C$97,2,FALSE))</f>
        <v>0</v>
      </c>
      <c r="E162" s="365">
        <f t="shared" si="20"/>
        <v>0</v>
      </c>
    </row>
    <row r="163" spans="1:14" ht="15" thickBot="1" x14ac:dyDescent="0.35">
      <c r="A163" s="98">
        <v>12</v>
      </c>
      <c r="B163" s="417"/>
      <c r="C163" s="394"/>
      <c r="D163" s="395">
        <f>IF(B163=0,0,VLOOKUP(B163,Supplies!$B$13:$C$97,2,FALSE))</f>
        <v>0</v>
      </c>
      <c r="E163" s="365">
        <f t="shared" si="20"/>
        <v>0</v>
      </c>
      <c r="H163" s="773" t="s">
        <v>172</v>
      </c>
      <c r="I163" s="774"/>
      <c r="J163" s="334"/>
      <c r="K163" s="334"/>
      <c r="L163" s="334"/>
      <c r="M163" s="334"/>
    </row>
    <row r="164" spans="1:14" x14ac:dyDescent="0.3">
      <c r="A164" s="98">
        <v>13</v>
      </c>
      <c r="B164" s="417"/>
      <c r="C164" s="394"/>
      <c r="D164" s="395">
        <f>IF(B164=0,0,VLOOKUP(B164,Supplies!$B$13:$C$97,2,FALSE))</f>
        <v>0</v>
      </c>
      <c r="E164" s="365">
        <f t="shared" si="20"/>
        <v>0</v>
      </c>
      <c r="H164" s="421" t="s">
        <v>145</v>
      </c>
      <c r="I164" s="4" t="s">
        <v>85</v>
      </c>
      <c r="J164" s="4" t="s">
        <v>249</v>
      </c>
      <c r="K164" s="330" t="s">
        <v>86</v>
      </c>
      <c r="L164" s="4" t="s">
        <v>7</v>
      </c>
      <c r="M164" s="4" t="s">
        <v>7</v>
      </c>
      <c r="N164" s="461"/>
    </row>
    <row r="165" spans="1:14" ht="15" thickBot="1" x14ac:dyDescent="0.35">
      <c r="A165" s="98">
        <v>14</v>
      </c>
      <c r="B165" s="417"/>
      <c r="C165" s="394"/>
      <c r="D165" s="395">
        <f>IF(B165=0,0,VLOOKUP(B165,Supplies!$B$13:$C$97,2,FALSE))</f>
        <v>0</v>
      </c>
      <c r="E165" s="365">
        <f t="shared" si="20"/>
        <v>0</v>
      </c>
      <c r="H165" s="292" t="s">
        <v>8</v>
      </c>
      <c r="I165" s="5" t="s">
        <v>250</v>
      </c>
      <c r="J165" s="5" t="s">
        <v>153</v>
      </c>
      <c r="K165" s="334" t="s">
        <v>87</v>
      </c>
      <c r="L165" s="5" t="s">
        <v>251</v>
      </c>
      <c r="M165" s="5" t="s">
        <v>200</v>
      </c>
      <c r="N165" s="461"/>
    </row>
    <row r="166" spans="1:14" ht="15" thickBot="1" x14ac:dyDescent="0.35">
      <c r="A166" s="98">
        <v>15</v>
      </c>
      <c r="B166" s="419"/>
      <c r="C166" s="422"/>
      <c r="D166" s="423">
        <f>IF(B166=0,0,VLOOKUP(B166,Supplies!$B$13:$C$97,2,FALSE))</f>
        <v>0</v>
      </c>
      <c r="E166" s="357">
        <f t="shared" si="20"/>
        <v>0</v>
      </c>
      <c r="G166" s="373"/>
      <c r="H166" s="250"/>
      <c r="I166" s="424"/>
      <c r="J166" s="425"/>
      <c r="K166" s="426">
        <f>IF(H166=0,0,VLOOKUP(H166,Transportation!$B$6:$L$16,11,FALSE))</f>
        <v>0</v>
      </c>
      <c r="L166" s="427">
        <f>IF(I166=0,0,I166*K166)</f>
        <v>0</v>
      </c>
      <c r="M166" s="428">
        <f>IF(I166=0,0,I166*K166*J166)</f>
        <v>0</v>
      </c>
      <c r="N166" s="467"/>
    </row>
    <row r="167" spans="1:14" ht="15" thickBot="1" x14ac:dyDescent="0.35">
      <c r="A167" s="98">
        <v>16</v>
      </c>
      <c r="B167" s="413"/>
      <c r="C167" s="429"/>
      <c r="D167" s="430">
        <f>IF(B167=0,0,VLOOKUP(B167,Supplies!$B$13:$C$97,2,FALSE))</f>
        <v>0</v>
      </c>
      <c r="E167" s="365">
        <f t="shared" si="20"/>
        <v>0</v>
      </c>
      <c r="H167" s="251"/>
      <c r="I167" s="431"/>
      <c r="J167" s="432"/>
      <c r="K167" s="433">
        <f>IF(H167=0,0,VLOOKUP(H167,Transportation!$B$6:$L$16,11,FALSE))</f>
        <v>0</v>
      </c>
      <c r="L167" s="434">
        <f>IF(I167=0,0,I167*K167)</f>
        <v>0</v>
      </c>
      <c r="M167" s="435">
        <f>IF(I167=0,0,I167*K167*J167)</f>
        <v>0</v>
      </c>
      <c r="N167" s="467"/>
    </row>
    <row r="168" spans="1:14" x14ac:dyDescent="0.3">
      <c r="A168" s="98">
        <v>17</v>
      </c>
      <c r="B168" s="417"/>
      <c r="C168" s="436"/>
      <c r="D168" s="437">
        <f>IF(B168=0,0,VLOOKUP(B168,Supplies!$B$13:$C$97,2,FALSE))</f>
        <v>0</v>
      </c>
      <c r="E168" s="365">
        <f>IF(D168=" "," ",D168*C168)</f>
        <v>0</v>
      </c>
      <c r="H168" s="252"/>
      <c r="I168" s="438"/>
      <c r="J168" s="439"/>
      <c r="K168" s="440"/>
      <c r="L168" s="440"/>
      <c r="M168" s="440"/>
      <c r="N168" s="463"/>
    </row>
    <row r="169" spans="1:14" ht="15" thickBot="1" x14ac:dyDescent="0.35">
      <c r="A169" s="98">
        <v>18</v>
      </c>
      <c r="B169" s="417"/>
      <c r="C169" s="436"/>
      <c r="D169" s="437">
        <f>IF(B169=0,0,VLOOKUP(B169,Supplies!$B$13:$C$97,2,FALSE))</f>
        <v>0</v>
      </c>
      <c r="E169" s="365">
        <f>IF(D169=" "," ",D169*C169)</f>
        <v>0</v>
      </c>
      <c r="H169" s="441" t="s">
        <v>173</v>
      </c>
      <c r="I169" s="442"/>
      <c r="J169" s="443"/>
      <c r="K169" s="444"/>
      <c r="L169" s="444"/>
      <c r="M169" s="444"/>
      <c r="N169" s="463"/>
    </row>
    <row r="170" spans="1:14" x14ac:dyDescent="0.3">
      <c r="A170" s="98">
        <v>19</v>
      </c>
      <c r="B170" s="417"/>
      <c r="C170" s="436"/>
      <c r="D170" s="437">
        <f>IF(B170=0,0,VLOOKUP(B170,Supplies!$B$13:$C$97,2,FALSE))</f>
        <v>0</v>
      </c>
      <c r="E170" s="365">
        <f>IF(D170=" "," ",D170*C170)</f>
        <v>0</v>
      </c>
      <c r="H170" s="445" t="s">
        <v>174</v>
      </c>
      <c r="I170" s="446" t="s">
        <v>176</v>
      </c>
      <c r="J170" s="443"/>
      <c r="K170" s="444"/>
      <c r="L170" s="444"/>
      <c r="M170" s="444"/>
      <c r="N170" s="463"/>
    </row>
    <row r="171" spans="1:14" ht="15" thickBot="1" x14ac:dyDescent="0.35">
      <c r="A171" s="98">
        <v>20</v>
      </c>
      <c r="B171" s="419"/>
      <c r="C171" s="422"/>
      <c r="D171" s="423">
        <f>IF(B171=0,0,VLOOKUP(B171,Supplies!$B$13:$C$97,2,FALSE))</f>
        <v>0</v>
      </c>
      <c r="E171" s="357">
        <f>IF(D171=" "," ",D171*C171)</f>
        <v>0</v>
      </c>
      <c r="H171" s="447"/>
      <c r="I171" s="464" t="str">
        <f>IF(H171=0," ",VLOOKUP(H171,Subcontractors!$B$15:$E$25,4))</f>
        <v xml:space="preserve"> </v>
      </c>
      <c r="J171" s="443"/>
      <c r="K171" s="444"/>
      <c r="L171" s="444"/>
      <c r="M171" s="444"/>
    </row>
    <row r="172" spans="1:14" ht="15" thickBot="1" x14ac:dyDescent="0.35">
      <c r="A172" s="98"/>
      <c r="B172" s="316"/>
      <c r="C172" s="465"/>
      <c r="D172" s="377"/>
      <c r="E172" s="377"/>
      <c r="H172" s="449"/>
      <c r="I172" s="466" t="str">
        <f>IF(H172=0," ",VLOOKUP(H172,Subcontractors!$B$15:$E$25,4))</f>
        <v xml:space="preserve"> </v>
      </c>
    </row>
    <row r="173" spans="1:14" x14ac:dyDescent="0.3">
      <c r="A173" s="98"/>
      <c r="B173" s="316"/>
      <c r="C173" s="465"/>
      <c r="D173" s="377"/>
      <c r="E173" s="377"/>
      <c r="H173" s="453"/>
      <c r="I173" s="384"/>
    </row>
    <row r="174" spans="1:14" ht="18" x14ac:dyDescent="0.3">
      <c r="A174" s="778" t="s">
        <v>164</v>
      </c>
      <c r="B174" s="778"/>
      <c r="C174" s="778"/>
      <c r="D174" s="778"/>
      <c r="E174" s="778"/>
      <c r="F174" s="778"/>
      <c r="G174" s="148" t="str">
        <f>B125</f>
        <v>Periodical Service 3</v>
      </c>
      <c r="H174" s="288"/>
      <c r="I174" s="148"/>
      <c r="J174" s="148"/>
      <c r="K174" s="148"/>
      <c r="L174" s="148"/>
      <c r="M174" s="148"/>
      <c r="N174" s="148"/>
    </row>
    <row r="175" spans="1:14" ht="18" x14ac:dyDescent="0.3">
      <c r="A175" s="778" t="s">
        <v>165</v>
      </c>
      <c r="B175" s="779"/>
      <c r="C175" s="779"/>
      <c r="D175" s="779"/>
      <c r="E175" s="779"/>
      <c r="F175" s="779"/>
      <c r="G175" s="148" t="str">
        <f>B183</f>
        <v>Periodical Service 4</v>
      </c>
      <c r="H175" s="288"/>
      <c r="I175" s="148"/>
      <c r="J175" s="148"/>
      <c r="K175" s="148"/>
      <c r="L175" s="148"/>
      <c r="M175" s="148"/>
      <c r="N175" s="148"/>
    </row>
    <row r="177" spans="1:14" x14ac:dyDescent="0.3">
      <c r="B177" s="218" t="s">
        <v>102</v>
      </c>
      <c r="C177" s="695">
        <f>'kt info'!$C$3</f>
        <v>0</v>
      </c>
      <c r="D177" s="695"/>
      <c r="E177" s="696"/>
      <c r="F177" s="697"/>
      <c r="H177" s="314"/>
      <c r="J177" s="793"/>
      <c r="K177" s="669"/>
      <c r="L177" s="669"/>
      <c r="M177" s="669"/>
    </row>
    <row r="178" spans="1:14" x14ac:dyDescent="0.3">
      <c r="C178" s="287"/>
      <c r="D178" s="98"/>
      <c r="E178" s="98"/>
      <c r="F178" s="98"/>
      <c r="I178" s="311"/>
      <c r="J178" s="311"/>
      <c r="L178" s="317"/>
    </row>
    <row r="179" spans="1:14" x14ac:dyDescent="0.3">
      <c r="B179" s="218" t="s">
        <v>103</v>
      </c>
      <c r="C179" s="695">
        <f>'kt info'!$C$5</f>
        <v>0</v>
      </c>
      <c r="D179" s="695"/>
      <c r="E179" s="697"/>
      <c r="F179" s="697"/>
      <c r="J179" s="311"/>
      <c r="L179" s="317"/>
    </row>
    <row r="180" spans="1:14" x14ac:dyDescent="0.3">
      <c r="C180" s="287"/>
      <c r="D180" s="98"/>
      <c r="E180" s="98"/>
      <c r="F180" s="98"/>
      <c r="J180" s="311"/>
      <c r="L180" s="317"/>
    </row>
    <row r="181" spans="1:14" x14ac:dyDescent="0.3">
      <c r="B181" s="218" t="s">
        <v>126</v>
      </c>
      <c r="C181" s="695">
        <f>'kt info'!$C$7</f>
        <v>0</v>
      </c>
      <c r="D181" s="695"/>
      <c r="E181" s="697"/>
      <c r="F181" s="697"/>
      <c r="J181" s="311"/>
      <c r="L181" s="317"/>
    </row>
    <row r="182" spans="1:14" x14ac:dyDescent="0.3">
      <c r="J182" s="317"/>
      <c r="L182" s="317"/>
    </row>
    <row r="183" spans="1:14" ht="18" x14ac:dyDescent="0.3">
      <c r="A183" s="318"/>
      <c r="B183" s="319" t="str">
        <f>'kt info'!B30</f>
        <v>Periodical Service 4</v>
      </c>
      <c r="C183" s="320"/>
      <c r="D183" s="318"/>
      <c r="E183" s="318"/>
      <c r="F183" s="318"/>
      <c r="G183" s="318"/>
      <c r="H183" s="289" t="s">
        <v>71</v>
      </c>
      <c r="I183" s="231" t="s">
        <v>198</v>
      </c>
      <c r="J183" s="317"/>
      <c r="L183" s="317"/>
      <c r="M183" s="318"/>
      <c r="N183" s="318"/>
    </row>
    <row r="184" spans="1:14" x14ac:dyDescent="0.3">
      <c r="E184" s="786" t="s">
        <v>72</v>
      </c>
      <c r="F184" s="787"/>
      <c r="G184" s="788"/>
      <c r="H184" s="321">
        <f>IF(SUM(M196:M205)&gt;0,SUM(M196:M205)/'kt info'!$G$30,0)</f>
        <v>0</v>
      </c>
      <c r="I184" s="322">
        <f>H184*'kt info'!$G$30</f>
        <v>0</v>
      </c>
      <c r="J184" s="317"/>
      <c r="L184" s="317"/>
    </row>
    <row r="185" spans="1:14" x14ac:dyDescent="0.3">
      <c r="B185" s="323" t="s">
        <v>229</v>
      </c>
      <c r="E185" s="786" t="s">
        <v>161</v>
      </c>
      <c r="F185" s="787"/>
      <c r="G185" s="788"/>
      <c r="H185" s="324">
        <f>IF(SUM(K196:K205)&gt;0,SUM(K196:K205),0)</f>
        <v>0</v>
      </c>
      <c r="I185" s="325">
        <f>H185*'kt info'!$G$30</f>
        <v>0</v>
      </c>
      <c r="J185" s="317"/>
      <c r="L185" s="317"/>
    </row>
    <row r="186" spans="1:14" x14ac:dyDescent="0.3">
      <c r="B186" s="173" t="s">
        <v>89</v>
      </c>
      <c r="C186" s="326">
        <f>'kt info'!E30</f>
        <v>0</v>
      </c>
      <c r="E186" s="786" t="s">
        <v>73</v>
      </c>
      <c r="F186" s="787"/>
      <c r="G186" s="788"/>
      <c r="H186" s="324">
        <f>IF(SUM(E210:E229)&gt;0,SUM(E210:E229),0)</f>
        <v>0</v>
      </c>
      <c r="I186" s="325">
        <f>H186*'kt info'!$G$30</f>
        <v>0</v>
      </c>
      <c r="J186" s="317"/>
      <c r="L186" s="317"/>
    </row>
    <row r="187" spans="1:14" x14ac:dyDescent="0.3">
      <c r="E187" s="786" t="s">
        <v>74</v>
      </c>
      <c r="F187" s="787"/>
      <c r="G187" s="788"/>
      <c r="H187" s="324">
        <f>IF(SUM(L210:L219)&gt;0,SUM(L210:L219),0)</f>
        <v>0</v>
      </c>
      <c r="I187" s="325">
        <f>H187*'kt info'!$G$30</f>
        <v>0</v>
      </c>
      <c r="J187" s="317"/>
      <c r="L187" s="317"/>
    </row>
    <row r="188" spans="1:14" x14ac:dyDescent="0.3">
      <c r="B188" s="173" t="s">
        <v>91</v>
      </c>
      <c r="C188" s="327">
        <f>ROUND(IF(SUM(H185:H191)&gt;0,SUM(H185:H191),0),0)</f>
        <v>0</v>
      </c>
      <c r="E188" s="786" t="s">
        <v>82</v>
      </c>
      <c r="F188" s="787"/>
      <c r="G188" s="788"/>
      <c r="H188" s="324">
        <f>IF(SUM(J223:J227)&gt;0,SUM(L223:L227),0)</f>
        <v>0</v>
      </c>
      <c r="I188" s="325">
        <f>H188*'kt info'!$G$30</f>
        <v>0</v>
      </c>
      <c r="J188" s="311"/>
      <c r="K188" s="317"/>
    </row>
    <row r="189" spans="1:14" x14ac:dyDescent="0.3">
      <c r="E189" s="786" t="s">
        <v>173</v>
      </c>
      <c r="F189" s="787"/>
      <c r="G189" s="788"/>
      <c r="H189" s="324">
        <f>IF(SUM(I229:I230)=0,0,SUM(I229:I230))</f>
        <v>0</v>
      </c>
      <c r="I189" s="325">
        <f>H189*'kt info'!$G$30</f>
        <v>0</v>
      </c>
      <c r="K189" s="317"/>
    </row>
    <row r="190" spans="1:14" x14ac:dyDescent="0.3">
      <c r="B190" s="173" t="s">
        <v>90</v>
      </c>
      <c r="C190" s="327">
        <f>IF(C186&gt;0,C188/C186,0)</f>
        <v>0</v>
      </c>
      <c r="E190" s="786" t="s">
        <v>80</v>
      </c>
      <c r="F190" s="787"/>
      <c r="G190" s="788"/>
      <c r="H190" s="324">
        <f>($H$185+$H$186+$H$187+$H$188+$H$189)*'Overhead &amp; Margin'!$D$10/(1-('Overhead &amp; Margin'!$D$10))</f>
        <v>0</v>
      </c>
      <c r="I190" s="325">
        <f>H190*'kt info'!$G$30</f>
        <v>0</v>
      </c>
      <c r="K190" s="317"/>
    </row>
    <row r="191" spans="1:14" x14ac:dyDescent="0.3">
      <c r="G191" s="174" t="s">
        <v>81</v>
      </c>
      <c r="H191" s="324">
        <f>($H$185+$H$186+$H$187+$H$188+$H$189+$H$190)*'Overhead &amp; Margin'!$G$10/(1-('Overhead &amp; Margin'!$G$10))</f>
        <v>0</v>
      </c>
      <c r="I191" s="325">
        <f>H191*'kt info'!$G$30</f>
        <v>0</v>
      </c>
    </row>
    <row r="192" spans="1:14" x14ac:dyDescent="0.3">
      <c r="M192" s="577" t="str">
        <f>'kt info'!$B$12</f>
        <v>Form date: 2/20/26</v>
      </c>
    </row>
    <row r="193" spans="1:14" ht="15" thickBot="1" x14ac:dyDescent="0.35">
      <c r="B193" s="328" t="s">
        <v>97</v>
      </c>
    </row>
    <row r="194" spans="1:14" x14ac:dyDescent="0.3">
      <c r="B194" s="83" t="s">
        <v>13</v>
      </c>
      <c r="C194" s="329" t="s">
        <v>14</v>
      </c>
      <c r="D194" s="330" t="s">
        <v>20</v>
      </c>
      <c r="E194" s="330" t="s">
        <v>15</v>
      </c>
      <c r="F194" s="780" t="s">
        <v>17</v>
      </c>
      <c r="G194" s="780"/>
      <c r="H194" s="331" t="s">
        <v>18</v>
      </c>
      <c r="I194" s="330" t="s">
        <v>16</v>
      </c>
      <c r="J194" s="330" t="s">
        <v>19</v>
      </c>
      <c r="K194" s="330" t="s">
        <v>71</v>
      </c>
      <c r="L194" s="332" t="s">
        <v>21</v>
      </c>
      <c r="M194" s="4" t="s">
        <v>22</v>
      </c>
      <c r="N194" s="4" t="s">
        <v>0</v>
      </c>
    </row>
    <row r="195" spans="1:14" ht="15" thickBot="1" x14ac:dyDescent="0.35">
      <c r="B195" s="22" t="s">
        <v>253</v>
      </c>
      <c r="C195" s="333" t="s">
        <v>23</v>
      </c>
      <c r="D195" s="334" t="s">
        <v>28</v>
      </c>
      <c r="E195" s="334" t="s">
        <v>24</v>
      </c>
      <c r="F195" s="781" t="s">
        <v>25</v>
      </c>
      <c r="G195" s="781"/>
      <c r="H195" s="335" t="s">
        <v>26</v>
      </c>
      <c r="I195" s="334"/>
      <c r="J195" s="334" t="s">
        <v>33</v>
      </c>
      <c r="K195" s="334" t="s">
        <v>161</v>
      </c>
      <c r="L195" s="336" t="s">
        <v>0</v>
      </c>
      <c r="M195" s="5" t="s">
        <v>0</v>
      </c>
      <c r="N195" s="5" t="s">
        <v>71</v>
      </c>
    </row>
    <row r="196" spans="1:14" x14ac:dyDescent="0.3">
      <c r="A196" s="98">
        <v>1</v>
      </c>
      <c r="B196" s="454"/>
      <c r="C196" s="338"/>
      <c r="D196" s="339" t="str">
        <f>IF(B196=0," ",'kt info'!$G$30)</f>
        <v xml:space="preserve"> </v>
      </c>
      <c r="E196" s="340" t="str">
        <f>IF(B196=0," ",VLOOKUP(B196,WageBeneTable5[#All],2,FALSE))</f>
        <v xml:space="preserve"> </v>
      </c>
      <c r="F196" s="782">
        <f>IF($E196=" ",0,'Pay &amp; Benefits'!$C$10)</f>
        <v>0</v>
      </c>
      <c r="G196" s="783"/>
      <c r="H196" s="341" t="str">
        <f>IF($E196=" "," ",'Pay &amp; Benefits'!$C$11)</f>
        <v xml:space="preserve"> </v>
      </c>
      <c r="I196" s="342" t="str">
        <f t="shared" ref="I196:I205" si="21">IF(E196=" "," ",0.0765)</f>
        <v xml:space="preserve"> </v>
      </c>
      <c r="J196" s="343" t="str">
        <f>IF(B196=0," ",VLOOKUP(B196,WageBeneTable5[#All],3,FALSE))</f>
        <v xml:space="preserve"> </v>
      </c>
      <c r="K196" s="340" t="str">
        <f t="shared" ref="K196:K205" si="22">IF(B196=0," ",C196*E196*(1+I196+F196+H196+J196))</f>
        <v xml:space="preserve"> </v>
      </c>
      <c r="L196" s="340">
        <f t="shared" ref="L196:L205" si="23">IF(K196=" ",0,K196*D196)</f>
        <v>0</v>
      </c>
      <c r="M196" s="344">
        <f t="shared" ref="M196:M205" si="24">IF(B196=0,0,C196*D196)</f>
        <v>0</v>
      </c>
      <c r="N196" s="345">
        <f t="shared" ref="N196:N205" si="25">IF(L196=0,0,IF(D196=0,0,L196/D196))</f>
        <v>0</v>
      </c>
    </row>
    <row r="197" spans="1:14" x14ac:dyDescent="0.3">
      <c r="A197" s="98">
        <v>2</v>
      </c>
      <c r="B197" s="417"/>
      <c r="C197" s="347"/>
      <c r="D197" s="339" t="str">
        <f>IF(B197=0," ",'kt info'!$G$30)</f>
        <v xml:space="preserve"> </v>
      </c>
      <c r="E197" s="348" t="str">
        <f>IF(B197=0," ",VLOOKUP(B197,WageBeneTable5[#All],2,FALSE))</f>
        <v xml:space="preserve"> </v>
      </c>
      <c r="F197" s="784">
        <f>IF($E197=" ",0,'Pay &amp; Benefits'!$C$10)</f>
        <v>0</v>
      </c>
      <c r="G197" s="785"/>
      <c r="H197" s="349" t="str">
        <f>IF($E197=" "," ",'Pay &amp; Benefits'!$C$11)</f>
        <v xml:space="preserve"> </v>
      </c>
      <c r="I197" s="350" t="str">
        <f t="shared" si="21"/>
        <v xml:space="preserve"> </v>
      </c>
      <c r="J197" s="351" t="str">
        <f>IF(B197=0," ",VLOOKUP(B197,WageBeneTable5[#All],3,FALSE))</f>
        <v xml:space="preserve"> </v>
      </c>
      <c r="K197" s="348" t="str">
        <f t="shared" si="22"/>
        <v xml:space="preserve"> </v>
      </c>
      <c r="L197" s="348">
        <f t="shared" si="23"/>
        <v>0</v>
      </c>
      <c r="M197" s="352">
        <f t="shared" si="24"/>
        <v>0</v>
      </c>
      <c r="N197" s="353">
        <f t="shared" si="25"/>
        <v>0</v>
      </c>
    </row>
    <row r="198" spans="1:14" x14ac:dyDescent="0.3">
      <c r="A198" s="98">
        <v>3</v>
      </c>
      <c r="B198" s="417"/>
      <c r="C198" s="347"/>
      <c r="D198" s="339" t="str">
        <f>IF(B198=0," ",'kt info'!$G$30)</f>
        <v xml:space="preserve"> </v>
      </c>
      <c r="E198" s="348" t="str">
        <f>IF(B198=0," ",VLOOKUP(B198,WageBeneTable5[#All],2,FALSE))</f>
        <v xml:space="preserve"> </v>
      </c>
      <c r="F198" s="784">
        <f>IF($E198=" ",0,'Pay &amp; Benefits'!$C$10)</f>
        <v>0</v>
      </c>
      <c r="G198" s="785"/>
      <c r="H198" s="349" t="str">
        <f>IF($E198=" "," ",'Pay &amp; Benefits'!$C$11)</f>
        <v xml:space="preserve"> </v>
      </c>
      <c r="I198" s="350" t="str">
        <f t="shared" si="21"/>
        <v xml:space="preserve"> </v>
      </c>
      <c r="J198" s="351" t="str">
        <f>IF(B198=0," ",VLOOKUP(B198,WageBeneTable5[#All],3,FALSE))</f>
        <v xml:space="preserve"> </v>
      </c>
      <c r="K198" s="348" t="str">
        <f t="shared" si="22"/>
        <v xml:space="preserve"> </v>
      </c>
      <c r="L198" s="348">
        <f t="shared" si="23"/>
        <v>0</v>
      </c>
      <c r="M198" s="352">
        <f t="shared" si="24"/>
        <v>0</v>
      </c>
      <c r="N198" s="353">
        <f t="shared" si="25"/>
        <v>0</v>
      </c>
    </row>
    <row r="199" spans="1:14" x14ac:dyDescent="0.3">
      <c r="A199" s="98">
        <v>4</v>
      </c>
      <c r="B199" s="417"/>
      <c r="C199" s="347"/>
      <c r="D199" s="339" t="str">
        <f>IF(B199=0," ",'kt info'!$G$30)</f>
        <v xml:space="preserve"> </v>
      </c>
      <c r="E199" s="348" t="str">
        <f>IF(B199=0," ",VLOOKUP(B199,WageBeneTable5[#All],2,FALSE))</f>
        <v xml:space="preserve"> </v>
      </c>
      <c r="F199" s="784">
        <f>IF($E199=" ",0,'Pay &amp; Benefits'!$C$10)</f>
        <v>0</v>
      </c>
      <c r="G199" s="785"/>
      <c r="H199" s="349" t="str">
        <f>IF($E199=" "," ",'Pay &amp; Benefits'!$C$11)</f>
        <v xml:space="preserve"> </v>
      </c>
      <c r="I199" s="350" t="str">
        <f t="shared" si="21"/>
        <v xml:space="preserve"> </v>
      </c>
      <c r="J199" s="351" t="str">
        <f>IF(B199=0," ",VLOOKUP(B199,WageBeneTable5[#All],3,FALSE))</f>
        <v xml:space="preserve"> </v>
      </c>
      <c r="K199" s="348" t="str">
        <f t="shared" si="22"/>
        <v xml:space="preserve"> </v>
      </c>
      <c r="L199" s="348">
        <f t="shared" si="23"/>
        <v>0</v>
      </c>
      <c r="M199" s="352">
        <f t="shared" si="24"/>
        <v>0</v>
      </c>
      <c r="N199" s="353">
        <f t="shared" si="25"/>
        <v>0</v>
      </c>
    </row>
    <row r="200" spans="1:14" ht="15" thickBot="1" x14ac:dyDescent="0.35">
      <c r="A200" s="98">
        <v>5</v>
      </c>
      <c r="B200" s="419"/>
      <c r="C200" s="355"/>
      <c r="D200" s="356" t="str">
        <f>IF(B200=0," ",'kt info'!$G$30)</f>
        <v xml:space="preserve"> </v>
      </c>
      <c r="E200" s="357" t="str">
        <f>IF(B200=0," ",VLOOKUP(B200,WageBeneTable5[#All],2,FALSE))</f>
        <v xml:space="preserve"> </v>
      </c>
      <c r="F200" s="776">
        <f>IF($E200=" ",0,'Pay &amp; Benefits'!$C$10)</f>
        <v>0</v>
      </c>
      <c r="G200" s="777"/>
      <c r="H200" s="358" t="str">
        <f>IF($E200=" "," ",'Pay &amp; Benefits'!$C$11)</f>
        <v xml:space="preserve"> </v>
      </c>
      <c r="I200" s="359" t="str">
        <f t="shared" si="21"/>
        <v xml:space="preserve"> </v>
      </c>
      <c r="J200" s="360" t="str">
        <f>IF(B200=0," ",VLOOKUP(B200,WageBeneTable5[#All],3,FALSE))</f>
        <v xml:space="preserve"> </v>
      </c>
      <c r="K200" s="357" t="str">
        <f t="shared" si="22"/>
        <v xml:space="preserve"> </v>
      </c>
      <c r="L200" s="357">
        <f t="shared" si="23"/>
        <v>0</v>
      </c>
      <c r="M200" s="361">
        <f t="shared" si="24"/>
        <v>0</v>
      </c>
      <c r="N200" s="362">
        <f t="shared" si="25"/>
        <v>0</v>
      </c>
    </row>
    <row r="201" spans="1:14" x14ac:dyDescent="0.3">
      <c r="A201" s="98">
        <v>6</v>
      </c>
      <c r="B201" s="454"/>
      <c r="C201" s="363"/>
      <c r="D201" s="364" t="str">
        <f>IF(B201=0," ",'kt info'!$G$30)</f>
        <v xml:space="preserve"> </v>
      </c>
      <c r="E201" s="365" t="str">
        <f>IF(B201=0," ",VLOOKUP(B201,WageBeneTable5[#All],2,FALSE))</f>
        <v xml:space="preserve"> </v>
      </c>
      <c r="F201" s="782">
        <f>IF($E201=" ",0,'Pay &amp; Benefits'!$C$10)</f>
        <v>0</v>
      </c>
      <c r="G201" s="783"/>
      <c r="H201" s="366" t="str">
        <f>IF($E201=" "," ",'Pay &amp; Benefits'!$C$11)</f>
        <v xml:space="preserve"> </v>
      </c>
      <c r="I201" s="367" t="str">
        <f t="shared" si="21"/>
        <v xml:space="preserve"> </v>
      </c>
      <c r="J201" s="368" t="str">
        <f>IF(B201=0," ",VLOOKUP(B201,WageBeneTable5[#All],3,FALSE))</f>
        <v xml:space="preserve"> </v>
      </c>
      <c r="K201" s="365" t="str">
        <f t="shared" si="22"/>
        <v xml:space="preserve"> </v>
      </c>
      <c r="L201" s="365">
        <f t="shared" si="23"/>
        <v>0</v>
      </c>
      <c r="M201" s="369">
        <f t="shared" si="24"/>
        <v>0</v>
      </c>
      <c r="N201" s="370">
        <f t="shared" si="25"/>
        <v>0</v>
      </c>
    </row>
    <row r="202" spans="1:14" x14ac:dyDescent="0.3">
      <c r="A202" s="98">
        <v>7</v>
      </c>
      <c r="B202" s="417"/>
      <c r="C202" s="347"/>
      <c r="D202" s="364" t="str">
        <f>IF(B202=0," ",'kt info'!$G$30)</f>
        <v xml:space="preserve"> </v>
      </c>
      <c r="E202" s="365" t="str">
        <f>IF(B202=0," ",VLOOKUP(B202,WageBeneTable5[#All],2,FALSE))</f>
        <v xml:space="preserve"> </v>
      </c>
      <c r="F202" s="784">
        <f>IF($E202=" ",0,'Pay &amp; Benefits'!$C$10)</f>
        <v>0</v>
      </c>
      <c r="G202" s="785"/>
      <c r="H202" s="366" t="str">
        <f>IF($E202=" "," ",'Pay &amp; Benefits'!$C$11)</f>
        <v xml:space="preserve"> </v>
      </c>
      <c r="I202" s="367" t="str">
        <f t="shared" si="21"/>
        <v xml:space="preserve"> </v>
      </c>
      <c r="J202" s="368" t="str">
        <f>IF(B202=0," ",VLOOKUP(B202,WageBeneTable5[#All],3,FALSE))</f>
        <v xml:space="preserve"> </v>
      </c>
      <c r="K202" s="365" t="str">
        <f t="shared" si="22"/>
        <v xml:space="preserve"> </v>
      </c>
      <c r="L202" s="365">
        <f t="shared" si="23"/>
        <v>0</v>
      </c>
      <c r="M202" s="369">
        <f t="shared" si="24"/>
        <v>0</v>
      </c>
      <c r="N202" s="370">
        <f t="shared" si="25"/>
        <v>0</v>
      </c>
    </row>
    <row r="203" spans="1:14" x14ac:dyDescent="0.3">
      <c r="A203" s="98">
        <v>8</v>
      </c>
      <c r="B203" s="417"/>
      <c r="C203" s="347"/>
      <c r="D203" s="364" t="str">
        <f>IF(B203=0," ",'kt info'!$G$30)</f>
        <v xml:space="preserve"> </v>
      </c>
      <c r="E203" s="365" t="str">
        <f>IF(B203=0," ",VLOOKUP(B203,WageBeneTable5[#All],2,FALSE))</f>
        <v xml:space="preserve"> </v>
      </c>
      <c r="F203" s="784">
        <f>IF($E203=" ",0,'Pay &amp; Benefits'!$C$10)</f>
        <v>0</v>
      </c>
      <c r="G203" s="785"/>
      <c r="H203" s="366" t="str">
        <f>IF($E203=" "," ",'Pay &amp; Benefits'!$C$11)</f>
        <v xml:space="preserve"> </v>
      </c>
      <c r="I203" s="367" t="str">
        <f t="shared" si="21"/>
        <v xml:space="preserve"> </v>
      </c>
      <c r="J203" s="368" t="str">
        <f>IF(B203=0," ",VLOOKUP(B203,WageBeneTable5[#All],3,FALSE))</f>
        <v xml:space="preserve"> </v>
      </c>
      <c r="K203" s="365" t="str">
        <f t="shared" si="22"/>
        <v xml:space="preserve"> </v>
      </c>
      <c r="L203" s="365">
        <f t="shared" si="23"/>
        <v>0</v>
      </c>
      <c r="M203" s="369">
        <f t="shared" si="24"/>
        <v>0</v>
      </c>
      <c r="N203" s="370">
        <f t="shared" si="25"/>
        <v>0</v>
      </c>
    </row>
    <row r="204" spans="1:14" x14ac:dyDescent="0.3">
      <c r="A204" s="98">
        <v>9</v>
      </c>
      <c r="B204" s="417"/>
      <c r="C204" s="347"/>
      <c r="D204" s="364" t="str">
        <f>IF(B204=0," ",'kt info'!$G$30)</f>
        <v xml:space="preserve"> </v>
      </c>
      <c r="E204" s="365" t="str">
        <f>IF(B204=0," ",VLOOKUP(B204,WageBeneTable5[#All],2,FALSE))</f>
        <v xml:space="preserve"> </v>
      </c>
      <c r="F204" s="784">
        <f>IF($E204=" ",0,'Pay &amp; Benefits'!$C$10)</f>
        <v>0</v>
      </c>
      <c r="G204" s="785"/>
      <c r="H204" s="366" t="str">
        <f>IF($E204=" "," ",'Pay &amp; Benefits'!$C$11)</f>
        <v xml:space="preserve"> </v>
      </c>
      <c r="I204" s="367" t="str">
        <f t="shared" si="21"/>
        <v xml:space="preserve"> </v>
      </c>
      <c r="J204" s="368" t="str">
        <f>IF(B204=0," ",VLOOKUP(B204,WageBeneTable5[#All],3,FALSE))</f>
        <v xml:space="preserve"> </v>
      </c>
      <c r="K204" s="365" t="str">
        <f t="shared" si="22"/>
        <v xml:space="preserve"> </v>
      </c>
      <c r="L204" s="365">
        <f t="shared" si="23"/>
        <v>0</v>
      </c>
      <c r="M204" s="369">
        <f t="shared" si="24"/>
        <v>0</v>
      </c>
      <c r="N204" s="370">
        <f t="shared" si="25"/>
        <v>0</v>
      </c>
    </row>
    <row r="205" spans="1:14" ht="15" thickBot="1" x14ac:dyDescent="0.35">
      <c r="A205" s="98">
        <v>10</v>
      </c>
      <c r="B205" s="419"/>
      <c r="C205" s="355"/>
      <c r="D205" s="356" t="str">
        <f>IF(B205=0," ",'kt info'!$G$30)</f>
        <v xml:space="preserve"> </v>
      </c>
      <c r="E205" s="357" t="str">
        <f>IF(B205=0," ",VLOOKUP(B205,WageBeneTable5[#All],2,FALSE))</f>
        <v xml:space="preserve"> </v>
      </c>
      <c r="F205" s="776">
        <f>IF($E205=" ",0,'Pay &amp; Benefits'!$C$10)</f>
        <v>0</v>
      </c>
      <c r="G205" s="777"/>
      <c r="H205" s="358" t="str">
        <f>IF($E205=" "," ",'Pay &amp; Benefits'!$C$11)</f>
        <v xml:space="preserve"> </v>
      </c>
      <c r="I205" s="359" t="str">
        <f t="shared" si="21"/>
        <v xml:space="preserve"> </v>
      </c>
      <c r="J205" s="360" t="str">
        <f>IF(B205=0," ",VLOOKUP(B205,WageBeneTable5[#All],3,FALSE))</f>
        <v xml:space="preserve"> </v>
      </c>
      <c r="K205" s="357" t="str">
        <f t="shared" si="22"/>
        <v xml:space="preserve"> </v>
      </c>
      <c r="L205" s="357">
        <f t="shared" si="23"/>
        <v>0</v>
      </c>
      <c r="M205" s="361">
        <f t="shared" si="24"/>
        <v>0</v>
      </c>
      <c r="N205" s="362">
        <f t="shared" si="25"/>
        <v>0</v>
      </c>
    </row>
    <row r="206" spans="1:14" x14ac:dyDescent="0.3">
      <c r="K206" s="371"/>
      <c r="L206" s="372"/>
      <c r="M206" s="373"/>
    </row>
    <row r="207" spans="1:14" ht="15" thickBot="1" x14ac:dyDescent="0.35">
      <c r="B207" s="374" t="s">
        <v>175</v>
      </c>
      <c r="E207" s="375"/>
      <c r="H207" s="775" t="s">
        <v>171</v>
      </c>
      <c r="I207" s="772"/>
      <c r="M207" s="455"/>
      <c r="N207" s="98"/>
    </row>
    <row r="208" spans="1:14" x14ac:dyDescent="0.3">
      <c r="B208" s="32" t="s">
        <v>115</v>
      </c>
      <c r="C208" s="378" t="s">
        <v>199</v>
      </c>
      <c r="D208" s="379" t="s">
        <v>4</v>
      </c>
      <c r="E208" s="380" t="s">
        <v>76</v>
      </c>
      <c r="H208" s="290" t="s">
        <v>10</v>
      </c>
      <c r="I208" s="4" t="s">
        <v>78</v>
      </c>
      <c r="J208" s="4" t="s">
        <v>11</v>
      </c>
      <c r="K208" s="4" t="s">
        <v>201</v>
      </c>
      <c r="L208" s="4" t="s">
        <v>76</v>
      </c>
      <c r="M208" s="456"/>
      <c r="N208" s="457"/>
    </row>
    <row r="209" spans="1:14" ht="15" thickBot="1" x14ac:dyDescent="0.35">
      <c r="B209" s="33" t="s">
        <v>116</v>
      </c>
      <c r="C209" s="381" t="s">
        <v>77</v>
      </c>
      <c r="D209" s="382" t="s">
        <v>5</v>
      </c>
      <c r="E209" s="383" t="s">
        <v>77</v>
      </c>
      <c r="H209" s="291" t="s">
        <v>8</v>
      </c>
      <c r="I209" s="5" t="s">
        <v>79</v>
      </c>
      <c r="J209" s="5" t="s">
        <v>12</v>
      </c>
      <c r="K209" s="5" t="s">
        <v>7</v>
      </c>
      <c r="L209" s="5" t="s">
        <v>77</v>
      </c>
      <c r="M209" s="458"/>
      <c r="N209" s="459"/>
    </row>
    <row r="210" spans="1:14" x14ac:dyDescent="0.3">
      <c r="A210" s="98">
        <v>1</v>
      </c>
      <c r="B210" s="454"/>
      <c r="C210" s="386"/>
      <c r="D210" s="387">
        <f>IF(B210=0,0,VLOOKUP(B210,Supplies!$B$13:$C$97,2,FALSE))</f>
        <v>0</v>
      </c>
      <c r="E210" s="340">
        <f>IF(D210=" "," ",D210*C210)</f>
        <v>0</v>
      </c>
      <c r="G210" s="98">
        <v>1</v>
      </c>
      <c r="H210" s="388"/>
      <c r="I210" s="389"/>
      <c r="J210" s="390"/>
      <c r="K210" s="313" t="str">
        <f>IF(H210=0," ",IF(VLOOKUP(H210,'Equipment List'!$B$12:$F$96,5,FALSE)=0,0,IF(VLOOKUP(H210,'Equipment List'!$B$12:$F$96,5,FALSE)="Grant","Grant",IF(VLOOKUP(H210,'Equipment List'!$B$12:$F$96,5,FALSE)="Depreciated","Depreciated",VLOOKUP(H210,'Equipment List'!$B$12:$F$96,5,FALSE)*I210*J210))))</f>
        <v xml:space="preserve"> </v>
      </c>
      <c r="L210" s="345" t="str">
        <f>IF(K210=" "," ",IF(K210="Grant",0,IF(K210="Depreciated",0,IF('kt info'!$G$30=0,"No Service Frequency",K210/'kt info'!$G$30))))</f>
        <v xml:space="preserve"> </v>
      </c>
      <c r="M210" s="460"/>
      <c r="N210" s="384"/>
    </row>
    <row r="211" spans="1:14" x14ac:dyDescent="0.3">
      <c r="A211" s="98">
        <v>2</v>
      </c>
      <c r="B211" s="417"/>
      <c r="C211" s="394"/>
      <c r="D211" s="395">
        <f>IF(B211=0,0,VLOOKUP(B211,Supplies!$B$13:$C$97,2,FALSE))</f>
        <v>0</v>
      </c>
      <c r="E211" s="365">
        <f t="shared" ref="E211:E225" si="26">IF(D211=" "," ",D211*C211)</f>
        <v>0</v>
      </c>
      <c r="G211" s="98">
        <v>2</v>
      </c>
      <c r="H211" s="396"/>
      <c r="I211" s="397"/>
      <c r="J211" s="398"/>
      <c r="K211" s="401" t="str">
        <f>IF(H211=0," ",IF(VLOOKUP(H211,'Equipment List'!$B$12:$F$96,5,FALSE)=0,0,IF(VLOOKUP(H211,'Equipment List'!$B$12:$F$96,5,FALSE)="Grant","Grant",IF(VLOOKUP(H211,'Equipment List'!$B$12:$F$96,5,FALSE)="Depreciated","Depreciated",VLOOKUP(H211,'Equipment List'!$B$12:$F$96,5,FALSE)*I211*J211))))</f>
        <v xml:space="preserve"> </v>
      </c>
      <c r="L211" s="370" t="str">
        <f>IF(K211=" "," ",IF(K211="Grant",0,IF(K211="Depreciated",0,IF('kt info'!$G$30=0,"No Service Frequency",K211/'kt info'!$G$30))))</f>
        <v xml:space="preserve"> </v>
      </c>
    </row>
    <row r="212" spans="1:14" x14ac:dyDescent="0.3">
      <c r="A212" s="98">
        <v>3</v>
      </c>
      <c r="B212" s="417"/>
      <c r="C212" s="394"/>
      <c r="D212" s="395">
        <f>IF(B212=0,0,VLOOKUP(B212,Supplies!$B$13:$C$97,2,FALSE))</f>
        <v>0</v>
      </c>
      <c r="E212" s="365">
        <f t="shared" si="26"/>
        <v>0</v>
      </c>
      <c r="G212" s="98">
        <v>3</v>
      </c>
      <c r="H212" s="396"/>
      <c r="I212" s="397"/>
      <c r="J212" s="398"/>
      <c r="K212" s="401" t="str">
        <f>IF(H212=0," ",IF(VLOOKUP(H212,'Equipment List'!$B$12:$F$96,5,FALSE)=0,0,IF(VLOOKUP(H212,'Equipment List'!$B$12:$F$96,5,FALSE)="Grant","Grant",IF(VLOOKUP(H212,'Equipment List'!$B$12:$F$96,5,FALSE)="Depreciated","Depreciated",VLOOKUP(H212,'Equipment List'!$B$12:$F$96,5,FALSE)*I212*J212))))</f>
        <v xml:space="preserve"> </v>
      </c>
      <c r="L212" s="370" t="str">
        <f>IF(K212=" "," ",IF(K212="Grant",0,IF(K212="Depreciated",0,IF('kt info'!$G$30=0,"No Service Frequency",K212/'kt info'!$G$30))))</f>
        <v xml:space="preserve"> </v>
      </c>
    </row>
    <row r="213" spans="1:14" x14ac:dyDescent="0.3">
      <c r="A213" s="98">
        <v>4</v>
      </c>
      <c r="B213" s="417"/>
      <c r="C213" s="394"/>
      <c r="D213" s="395">
        <f>IF(B213=0,0,VLOOKUP(B213,Supplies!$B$13:$C$97,2,FALSE))</f>
        <v>0</v>
      </c>
      <c r="E213" s="365">
        <f t="shared" si="26"/>
        <v>0</v>
      </c>
      <c r="G213" s="98">
        <v>4</v>
      </c>
      <c r="H213" s="396"/>
      <c r="I213" s="397"/>
      <c r="J213" s="398"/>
      <c r="K213" s="401" t="str">
        <f>IF(H213=0," ",IF(VLOOKUP(H213,'Equipment List'!$B$12:$F$96,5,FALSE)=0,0,IF(VLOOKUP(H213,'Equipment List'!$B$12:$F$96,5,FALSE)="Grant","Grant",IF(VLOOKUP(H213,'Equipment List'!$B$12:$F$96,5,FALSE)="Depreciated","Depreciated",VLOOKUP(H213,'Equipment List'!$B$12:$F$96,5,FALSE)*I213*J213))))</f>
        <v xml:space="preserve"> </v>
      </c>
      <c r="L213" s="370" t="str">
        <f>IF(K213=" "," ",IF(K213="Grant",0,IF(K213="Depreciated",0,IF('kt info'!$G$30=0,"No Service Frequency",K213/'kt info'!$G$30))))</f>
        <v xml:space="preserve"> </v>
      </c>
    </row>
    <row r="214" spans="1:14" ht="15" thickBot="1" x14ac:dyDescent="0.35">
      <c r="A214" s="98">
        <v>5</v>
      </c>
      <c r="B214" s="419"/>
      <c r="C214" s="403"/>
      <c r="D214" s="404">
        <f>IF(B214=0,0,VLOOKUP(B214,Supplies!$B$13:$C$97,2,FALSE))</f>
        <v>0</v>
      </c>
      <c r="E214" s="357">
        <f t="shared" si="26"/>
        <v>0</v>
      </c>
      <c r="G214" s="98">
        <v>5</v>
      </c>
      <c r="H214" s="405"/>
      <c r="I214" s="406"/>
      <c r="J214" s="407"/>
      <c r="K214" s="408" t="str">
        <f>IF(H214=0," ",IF(VLOOKUP(H214,'Equipment List'!$B$12:$F$96,5,FALSE)=0,0,IF(VLOOKUP(H214,'Equipment List'!$B$12:$F$96,5,FALSE)="Grant","Grant",IF(VLOOKUP(H214,'Equipment List'!$B$12:$F$96,5,FALSE)="Depreciated","Depreciated",VLOOKUP(H214,'Equipment List'!$B$12:$F$96,5,FALSE)*I214*J214))))</f>
        <v xml:space="preserve"> </v>
      </c>
      <c r="L214" s="362" t="str">
        <f>IF(K214=" "," ",IF(K214="Grant",0,IF(K214="Depreciated",0,IF('kt info'!$G$30=0,"No Service Frequency",K214/'kt info'!$G$30))))</f>
        <v xml:space="preserve"> </v>
      </c>
    </row>
    <row r="215" spans="1:14" x14ac:dyDescent="0.3">
      <c r="A215" s="98">
        <v>6</v>
      </c>
      <c r="B215" s="413"/>
      <c r="C215" s="411"/>
      <c r="D215" s="412">
        <f>IF(B215=0,0,VLOOKUP(B215,Supplies!$B$13:$C$97,2,FALSE))</f>
        <v>0</v>
      </c>
      <c r="E215" s="365">
        <f t="shared" si="26"/>
        <v>0</v>
      </c>
      <c r="G215" s="98">
        <v>6</v>
      </c>
      <c r="H215" s="413"/>
      <c r="I215" s="414"/>
      <c r="J215" s="415"/>
      <c r="K215" s="416" t="str">
        <f>IF(H215=0," ",IF(VLOOKUP(H215,'Equipment List'!$B$12:$F$96,5,FALSE)=0,0,IF(VLOOKUP(H215,'Equipment List'!$B$12:$F$96,5,FALSE)="Grant","Grant",IF(VLOOKUP(H215,'Equipment List'!$B$12:$F$96,5,FALSE)="Depreciated","Depreciated",VLOOKUP(H215,'Equipment List'!$B$12:$F$96,5,FALSE)*I215*J215))))</f>
        <v xml:space="preserve"> </v>
      </c>
      <c r="L215" s="370" t="str">
        <f>IF(K215=" "," ",IF(K215="Grant",0,IF(K215="Depreciated",0,IF('kt info'!$G$30=0,"No Service Frequency",K215/'kt info'!$G$30))))</f>
        <v xml:space="preserve"> </v>
      </c>
    </row>
    <row r="216" spans="1:14" x14ac:dyDescent="0.3">
      <c r="A216" s="98">
        <v>7</v>
      </c>
      <c r="B216" s="417"/>
      <c r="C216" s="394"/>
      <c r="D216" s="395">
        <f>IF(B216=0,0,VLOOKUP(B216,Supplies!$B$13:$C$97,2,FALSE))</f>
        <v>0</v>
      </c>
      <c r="E216" s="365">
        <f t="shared" si="26"/>
        <v>0</v>
      </c>
      <c r="G216" s="98">
        <v>7</v>
      </c>
      <c r="H216" s="417"/>
      <c r="I216" s="397"/>
      <c r="J216" s="398"/>
      <c r="K216" s="418" t="str">
        <f>IF(H216=0," ",IF(VLOOKUP(H216,'Equipment List'!$B$12:$F$96,5,FALSE)=0,0,IF(VLOOKUP(H216,'Equipment List'!$B$12:$F$96,5,FALSE)="Grant","Grant",IF(VLOOKUP(H216,'Equipment List'!$B$12:$F$96,5,FALSE)="Depreciated","Depreciated",VLOOKUP(H216,'Equipment List'!$B$12:$F$96,5,FALSE)*I216*J216))))</f>
        <v xml:space="preserve"> </v>
      </c>
      <c r="L216" s="370" t="str">
        <f>IF(K216=" "," ",IF(K216="Grant",0,IF(K216="Depreciated",0,IF('kt info'!$G$30=0,"No Service Frequency",K216/'kt info'!$G$30))))</f>
        <v xml:space="preserve"> </v>
      </c>
    </row>
    <row r="217" spans="1:14" x14ac:dyDescent="0.3">
      <c r="A217" s="98">
        <v>8</v>
      </c>
      <c r="B217" s="417"/>
      <c r="C217" s="394"/>
      <c r="D217" s="395">
        <f>IF(B217=0,0,VLOOKUP(B217,Supplies!$B$13:$C$97,2,FALSE))</f>
        <v>0</v>
      </c>
      <c r="E217" s="365">
        <f t="shared" si="26"/>
        <v>0</v>
      </c>
      <c r="G217" s="98">
        <v>8</v>
      </c>
      <c r="H217" s="417"/>
      <c r="I217" s="397"/>
      <c r="J217" s="398"/>
      <c r="K217" s="418" t="str">
        <f>IF(H217=0," ",IF(VLOOKUP(H217,'Equipment List'!$B$12:$F$96,5,FALSE)=0,0,IF(VLOOKUP(H217,'Equipment List'!$B$12:$F$96,5,FALSE)="Grant","Grant",IF(VLOOKUP(H217,'Equipment List'!$B$12:$F$96,5,FALSE)="Depreciated","Depreciated",VLOOKUP(H217,'Equipment List'!$B$12:$F$96,5,FALSE)*I217*J217))))</f>
        <v xml:space="preserve"> </v>
      </c>
      <c r="L217" s="370" t="str">
        <f>IF(K217=" "," ",IF(K217="Grant",0,IF(K217="Depreciated",0,IF('kt info'!$G$30=0,"No Service Frequency",K217/'kt info'!$G$30))))</f>
        <v xml:space="preserve"> </v>
      </c>
    </row>
    <row r="218" spans="1:14" x14ac:dyDescent="0.3">
      <c r="A218" s="98">
        <v>9</v>
      </c>
      <c r="B218" s="417"/>
      <c r="C218" s="394"/>
      <c r="D218" s="395">
        <f>IF(B218=0,0,VLOOKUP(B218,Supplies!$B$13:$C$97,2,FALSE))</f>
        <v>0</v>
      </c>
      <c r="E218" s="365">
        <f t="shared" si="26"/>
        <v>0</v>
      </c>
      <c r="G218" s="98">
        <v>9</v>
      </c>
      <c r="H218" s="417"/>
      <c r="I218" s="397"/>
      <c r="J218" s="398"/>
      <c r="K218" s="418" t="str">
        <f>IF(H218=0," ",IF(VLOOKUP(H218,'Equipment List'!$B$12:$F$96,5,FALSE)=0,0,IF(VLOOKUP(H218,'Equipment List'!$B$12:$F$96,5,FALSE)="Grant","Grant",IF(VLOOKUP(H218,'Equipment List'!$B$12:$F$96,5,FALSE)="Depreciated","Depreciated",VLOOKUP(H218,'Equipment List'!$B$12:$F$96,5,FALSE)*I218*J218))))</f>
        <v xml:space="preserve"> </v>
      </c>
      <c r="L218" s="370" t="str">
        <f>IF(K218=" "," ",IF(K218="Grant",0,IF(K218="Depreciated",0,IF('kt info'!$G$30=0,"No Service Frequency",K218/'kt info'!$G$30))))</f>
        <v xml:space="preserve"> </v>
      </c>
    </row>
    <row r="219" spans="1:14" ht="15" thickBot="1" x14ac:dyDescent="0.35">
      <c r="A219" s="98">
        <v>10</v>
      </c>
      <c r="B219" s="419"/>
      <c r="C219" s="403"/>
      <c r="D219" s="404">
        <f>IF(B219=0,0,VLOOKUP(B219,Supplies!$B$13:$C$97,2,FALSE))</f>
        <v>0</v>
      </c>
      <c r="E219" s="357">
        <f t="shared" si="26"/>
        <v>0</v>
      </c>
      <c r="G219" s="98">
        <v>10</v>
      </c>
      <c r="H219" s="419"/>
      <c r="I219" s="406"/>
      <c r="J219" s="407"/>
      <c r="K219" s="420" t="str">
        <f>IF(H219=0," ",IF(VLOOKUP(H219,'Equipment List'!$B$12:$F$96,5,FALSE)=0,0,IF(VLOOKUP(H219,'Equipment List'!$B$12:$F$96,5,FALSE)="Grant","Grant",IF(VLOOKUP(H219,'Equipment List'!$B$12:$F$96,5,FALSE)="Depreciated","Depreciated",VLOOKUP(H219,'Equipment List'!$B$12:$F$96,5,FALSE)*I219*J219))))</f>
        <v xml:space="preserve"> </v>
      </c>
      <c r="L219" s="362" t="str">
        <f>IF(K219=" "," ",IF(K219="Grant",0,IF(K219="Depreciated",0,IF('kt info'!$G$30=0,"No Service Frequency",K219/'kt info'!$G$30))))</f>
        <v xml:space="preserve"> </v>
      </c>
    </row>
    <row r="220" spans="1:14" x14ac:dyDescent="0.3">
      <c r="A220" s="98">
        <v>11</v>
      </c>
      <c r="B220" s="413"/>
      <c r="C220" s="411"/>
      <c r="D220" s="412">
        <f>IF(B220=0,0,VLOOKUP(B220,Supplies!$B$13:$C$97,2,FALSE))</f>
        <v>0</v>
      </c>
      <c r="E220" s="365">
        <f t="shared" si="26"/>
        <v>0</v>
      </c>
    </row>
    <row r="221" spans="1:14" ht="15" thickBot="1" x14ac:dyDescent="0.35">
      <c r="A221" s="98">
        <v>12</v>
      </c>
      <c r="B221" s="417"/>
      <c r="C221" s="394"/>
      <c r="D221" s="395">
        <f>IF(B221=0,0,VLOOKUP(B221,Supplies!$B$13:$C$97,2,FALSE))</f>
        <v>0</v>
      </c>
      <c r="E221" s="365">
        <f t="shared" si="26"/>
        <v>0</v>
      </c>
      <c r="H221" s="773" t="s">
        <v>172</v>
      </c>
      <c r="I221" s="774"/>
      <c r="J221" s="334"/>
      <c r="K221" s="334"/>
      <c r="L221" s="334"/>
      <c r="M221" s="334"/>
    </row>
    <row r="222" spans="1:14" x14ac:dyDescent="0.3">
      <c r="A222" s="98">
        <v>13</v>
      </c>
      <c r="B222" s="417"/>
      <c r="C222" s="394"/>
      <c r="D222" s="395">
        <f>IF(B222=0,0,VLOOKUP(B222,Supplies!$B$13:$C$97,2,FALSE))</f>
        <v>0</v>
      </c>
      <c r="E222" s="365">
        <f t="shared" si="26"/>
        <v>0</v>
      </c>
      <c r="H222" s="421" t="s">
        <v>145</v>
      </c>
      <c r="I222" s="4" t="s">
        <v>85</v>
      </c>
      <c r="J222" s="4" t="s">
        <v>249</v>
      </c>
      <c r="K222" s="330" t="s">
        <v>86</v>
      </c>
      <c r="L222" s="4" t="s">
        <v>7</v>
      </c>
      <c r="M222" s="4" t="s">
        <v>7</v>
      </c>
      <c r="N222" s="461"/>
    </row>
    <row r="223" spans="1:14" ht="15" thickBot="1" x14ac:dyDescent="0.35">
      <c r="A223" s="98">
        <v>14</v>
      </c>
      <c r="B223" s="417"/>
      <c r="C223" s="394"/>
      <c r="D223" s="395">
        <f>IF(B223=0,0,VLOOKUP(B223,Supplies!$B$13:$C$97,2,FALSE))</f>
        <v>0</v>
      </c>
      <c r="E223" s="365">
        <f t="shared" si="26"/>
        <v>0</v>
      </c>
      <c r="H223" s="292" t="s">
        <v>8</v>
      </c>
      <c r="I223" s="5" t="s">
        <v>250</v>
      </c>
      <c r="J223" s="5" t="s">
        <v>153</v>
      </c>
      <c r="K223" s="334" t="s">
        <v>87</v>
      </c>
      <c r="L223" s="5" t="s">
        <v>251</v>
      </c>
      <c r="M223" s="5" t="s">
        <v>200</v>
      </c>
      <c r="N223" s="461"/>
    </row>
    <row r="224" spans="1:14" ht="15" thickBot="1" x14ac:dyDescent="0.35">
      <c r="A224" s="98">
        <v>15</v>
      </c>
      <c r="B224" s="419"/>
      <c r="C224" s="422"/>
      <c r="D224" s="423">
        <f>IF(B224=0,0,VLOOKUP(B224,Supplies!$B$13:$C$97,2,FALSE))</f>
        <v>0</v>
      </c>
      <c r="E224" s="357">
        <f t="shared" si="26"/>
        <v>0</v>
      </c>
      <c r="G224" s="373"/>
      <c r="H224" s="250"/>
      <c r="I224" s="424"/>
      <c r="J224" s="425"/>
      <c r="K224" s="426">
        <f>IF(H224=0,0,VLOOKUP(H224,Transportation!$B$6:$L$16,11,FALSE))</f>
        <v>0</v>
      </c>
      <c r="L224" s="427">
        <f>IF(I224=0,0,I224*K224)</f>
        <v>0</v>
      </c>
      <c r="M224" s="428">
        <f>IF(I224=0,0,I224*K224*J224)</f>
        <v>0</v>
      </c>
      <c r="N224" s="467"/>
    </row>
    <row r="225" spans="1:14" ht="15" thickBot="1" x14ac:dyDescent="0.35">
      <c r="A225" s="98">
        <v>16</v>
      </c>
      <c r="B225" s="413"/>
      <c r="C225" s="429"/>
      <c r="D225" s="430">
        <f>IF(B225=0,0,VLOOKUP(B225,Supplies!$B$13:$C$97,2,FALSE))</f>
        <v>0</v>
      </c>
      <c r="E225" s="365">
        <f t="shared" si="26"/>
        <v>0</v>
      </c>
      <c r="H225" s="251"/>
      <c r="I225" s="431"/>
      <c r="J225" s="432"/>
      <c r="K225" s="433">
        <f>IF(H225=0,0,VLOOKUP(H225,Transportation!$B$6:$L$16,11,FALSE))</f>
        <v>0</v>
      </c>
      <c r="L225" s="434">
        <f>IF(I225=0,0,I225*K225)</f>
        <v>0</v>
      </c>
      <c r="M225" s="435">
        <f>IF(I225=0,0,I225*K225*J225)</f>
        <v>0</v>
      </c>
      <c r="N225" s="467"/>
    </row>
    <row r="226" spans="1:14" x14ac:dyDescent="0.3">
      <c r="A226" s="98">
        <v>17</v>
      </c>
      <c r="B226" s="417"/>
      <c r="C226" s="436"/>
      <c r="D226" s="437">
        <f>IF(B226=0,0,VLOOKUP(B226,Supplies!$B$13:$C$97,2,FALSE))</f>
        <v>0</v>
      </c>
      <c r="E226" s="365">
        <f>IF(D226=" "," ",D226*C226)</f>
        <v>0</v>
      </c>
      <c r="H226" s="252"/>
      <c r="I226" s="438"/>
      <c r="J226" s="439"/>
      <c r="K226" s="440"/>
      <c r="L226" s="440"/>
      <c r="M226" s="440"/>
      <c r="N226" s="463"/>
    </row>
    <row r="227" spans="1:14" ht="15" thickBot="1" x14ac:dyDescent="0.35">
      <c r="A227" s="98">
        <v>18</v>
      </c>
      <c r="B227" s="417"/>
      <c r="C227" s="436"/>
      <c r="D227" s="437">
        <f>IF(B227=0,0,VLOOKUP(B227,Supplies!$B$13:$C$97,2,FALSE))</f>
        <v>0</v>
      </c>
      <c r="E227" s="365">
        <f>IF(D227=" "," ",D227*C227)</f>
        <v>0</v>
      </c>
      <c r="H227" s="441" t="s">
        <v>173</v>
      </c>
      <c r="I227" s="442"/>
      <c r="J227" s="443"/>
      <c r="K227" s="444"/>
      <c r="L227" s="444"/>
      <c r="M227" s="444"/>
      <c r="N227" s="463"/>
    </row>
    <row r="228" spans="1:14" x14ac:dyDescent="0.3">
      <c r="A228" s="98">
        <v>19</v>
      </c>
      <c r="B228" s="417"/>
      <c r="C228" s="436"/>
      <c r="D228" s="437">
        <f>IF(B228=0,0,VLOOKUP(B228,Supplies!$B$13:$C$97,2,FALSE))</f>
        <v>0</v>
      </c>
      <c r="E228" s="365">
        <f>IF(D228=" "," ",D228*C228)</f>
        <v>0</v>
      </c>
      <c r="H228" s="445" t="s">
        <v>174</v>
      </c>
      <c r="I228" s="446" t="s">
        <v>176</v>
      </c>
      <c r="J228" s="443"/>
      <c r="K228" s="444"/>
      <c r="L228" s="444"/>
      <c r="M228" s="444"/>
      <c r="N228" s="463"/>
    </row>
    <row r="229" spans="1:14" ht="15" thickBot="1" x14ac:dyDescent="0.35">
      <c r="A229" s="98">
        <v>20</v>
      </c>
      <c r="B229" s="419"/>
      <c r="C229" s="422"/>
      <c r="D229" s="423">
        <f>IF(B229=0,0,VLOOKUP(B229,Supplies!$B$13:$C$97,2,FALSE))</f>
        <v>0</v>
      </c>
      <c r="E229" s="357">
        <f>IF(D229=" "," ",D229*C229)</f>
        <v>0</v>
      </c>
      <c r="H229" s="447"/>
      <c r="I229" s="464" t="str">
        <f>IF(H229=0," ",VLOOKUP(H229,Subcontractors!$B$15:$E$25,4))</f>
        <v xml:space="preserve"> </v>
      </c>
      <c r="J229" s="443"/>
      <c r="K229" s="444"/>
      <c r="L229" s="444"/>
      <c r="M229" s="444"/>
    </row>
    <row r="230" spans="1:14" ht="15" thickBot="1" x14ac:dyDescent="0.35">
      <c r="A230" s="98"/>
      <c r="B230" s="316"/>
      <c r="C230" s="465"/>
      <c r="D230" s="377"/>
      <c r="E230" s="377"/>
      <c r="H230" s="449"/>
      <c r="I230" s="466" t="str">
        <f>IF(H230=0," ",VLOOKUP(H230,Subcontractors!$B$15:$E$25,4))</f>
        <v xml:space="preserve"> </v>
      </c>
    </row>
    <row r="231" spans="1:14" x14ac:dyDescent="0.3">
      <c r="A231" s="98"/>
      <c r="B231" s="316"/>
      <c r="C231" s="465"/>
      <c r="D231" s="377"/>
      <c r="E231" s="377"/>
      <c r="H231" s="453"/>
      <c r="I231" s="384"/>
    </row>
    <row r="232" spans="1:14" ht="18" x14ac:dyDescent="0.3">
      <c r="A232" s="778" t="s">
        <v>164</v>
      </c>
      <c r="B232" s="779"/>
      <c r="C232" s="779"/>
      <c r="D232" s="779"/>
      <c r="E232" s="779"/>
      <c r="F232" s="779"/>
      <c r="G232" s="148" t="str">
        <f>B183</f>
        <v>Periodical Service 4</v>
      </c>
      <c r="H232" s="288"/>
      <c r="I232" s="148"/>
      <c r="J232" s="148"/>
      <c r="K232" s="148"/>
      <c r="L232" s="148"/>
      <c r="M232" s="148"/>
      <c r="N232" s="148"/>
    </row>
    <row r="233" spans="1:14" ht="18" x14ac:dyDescent="0.3">
      <c r="A233" s="778" t="s">
        <v>165</v>
      </c>
      <c r="B233" s="779"/>
      <c r="C233" s="779"/>
      <c r="D233" s="779"/>
      <c r="E233" s="779"/>
      <c r="F233" s="779"/>
      <c r="G233" s="148" t="str">
        <f>B241</f>
        <v>Periodical Service 5</v>
      </c>
      <c r="H233" s="288"/>
      <c r="I233" s="148"/>
      <c r="J233" s="148"/>
      <c r="K233" s="148"/>
      <c r="L233" s="148"/>
      <c r="M233" s="148"/>
      <c r="N233" s="148"/>
    </row>
    <row r="235" spans="1:14" x14ac:dyDescent="0.3">
      <c r="B235" s="218" t="s">
        <v>102</v>
      </c>
      <c r="C235" s="695">
        <f>'kt info'!$C$3</f>
        <v>0</v>
      </c>
      <c r="D235" s="695"/>
      <c r="E235" s="696"/>
      <c r="F235" s="697"/>
      <c r="H235" s="314"/>
      <c r="J235" s="793"/>
      <c r="K235" s="669"/>
      <c r="L235" s="669"/>
      <c r="M235" s="669"/>
    </row>
    <row r="236" spans="1:14" x14ac:dyDescent="0.3">
      <c r="C236" s="287"/>
      <c r="D236" s="98"/>
      <c r="E236" s="98"/>
      <c r="F236" s="98"/>
      <c r="I236" s="311"/>
      <c r="J236" s="311"/>
      <c r="L236" s="317"/>
    </row>
    <row r="237" spans="1:14" x14ac:dyDescent="0.3">
      <c r="B237" s="218" t="s">
        <v>103</v>
      </c>
      <c r="C237" s="695">
        <f>'kt info'!$C$5</f>
        <v>0</v>
      </c>
      <c r="D237" s="695"/>
      <c r="E237" s="697"/>
      <c r="F237" s="697"/>
      <c r="J237" s="311"/>
      <c r="L237" s="317"/>
    </row>
    <row r="238" spans="1:14" x14ac:dyDescent="0.3">
      <c r="C238" s="287"/>
      <c r="D238" s="98"/>
      <c r="E238" s="98"/>
      <c r="F238" s="98"/>
      <c r="J238" s="311"/>
      <c r="L238" s="317"/>
    </row>
    <row r="239" spans="1:14" x14ac:dyDescent="0.3">
      <c r="B239" s="218" t="s">
        <v>126</v>
      </c>
      <c r="C239" s="695">
        <f>'kt info'!$C$7</f>
        <v>0</v>
      </c>
      <c r="D239" s="695"/>
      <c r="E239" s="697"/>
      <c r="F239" s="697"/>
      <c r="J239" s="311"/>
      <c r="L239" s="317"/>
    </row>
    <row r="240" spans="1:14" x14ac:dyDescent="0.3">
      <c r="J240" s="317"/>
      <c r="L240" s="317"/>
    </row>
    <row r="241" spans="1:14" ht="18" x14ac:dyDescent="0.3">
      <c r="A241" s="318"/>
      <c r="B241" s="319" t="str">
        <f>'kt info'!B32</f>
        <v>Periodical Service 5</v>
      </c>
      <c r="C241" s="320"/>
      <c r="D241" s="318"/>
      <c r="E241" s="318"/>
      <c r="F241" s="318"/>
      <c r="G241" s="318"/>
      <c r="H241" s="289" t="s">
        <v>71</v>
      </c>
      <c r="I241" s="231" t="s">
        <v>198</v>
      </c>
      <c r="J241" s="317"/>
      <c r="L241" s="317"/>
      <c r="M241" s="318"/>
      <c r="N241" s="318"/>
    </row>
    <row r="242" spans="1:14" x14ac:dyDescent="0.3">
      <c r="E242" s="786" t="s">
        <v>72</v>
      </c>
      <c r="F242" s="787"/>
      <c r="G242" s="788"/>
      <c r="H242" s="321">
        <f>IF(SUM(M254:M263)&gt;0,SUM(M254:M263)/'kt info'!$G$32,0)</f>
        <v>0</v>
      </c>
      <c r="I242" s="322">
        <f>H242*'kt info'!$G$32</f>
        <v>0</v>
      </c>
      <c r="J242" s="317"/>
      <c r="L242" s="317"/>
    </row>
    <row r="243" spans="1:14" x14ac:dyDescent="0.3">
      <c r="B243" s="323"/>
      <c r="E243" s="786" t="s">
        <v>161</v>
      </c>
      <c r="F243" s="787"/>
      <c r="G243" s="788"/>
      <c r="H243" s="324">
        <f>IF(SUM(K254:K263)&gt;0,SUM(K254:K263),0)</f>
        <v>0</v>
      </c>
      <c r="I243" s="325">
        <f>H243*'kt info'!$G$32</f>
        <v>0</v>
      </c>
      <c r="J243" s="317"/>
      <c r="L243" s="317"/>
    </row>
    <row r="244" spans="1:14" x14ac:dyDescent="0.3">
      <c r="B244" s="173"/>
      <c r="C244" s="468"/>
      <c r="E244" s="786" t="s">
        <v>73</v>
      </c>
      <c r="F244" s="787"/>
      <c r="G244" s="788"/>
      <c r="H244" s="324">
        <f>IF(SUM(E268:E287)&gt;0,SUM(E268:E287),0)</f>
        <v>0</v>
      </c>
      <c r="I244" s="325">
        <f>H244*'kt info'!$G$32</f>
        <v>0</v>
      </c>
      <c r="J244" s="317"/>
      <c r="L244" s="317"/>
    </row>
    <row r="245" spans="1:14" x14ac:dyDescent="0.3">
      <c r="E245" s="786" t="s">
        <v>74</v>
      </c>
      <c r="F245" s="787"/>
      <c r="G245" s="788"/>
      <c r="H245" s="324">
        <f>IF(SUM(L268:L277)&gt;0,SUM(L268:L277),0)</f>
        <v>0</v>
      </c>
      <c r="I245" s="325">
        <f>H245*'kt info'!$G$32</f>
        <v>0</v>
      </c>
      <c r="J245" s="317"/>
      <c r="L245" s="317"/>
    </row>
    <row r="246" spans="1:14" x14ac:dyDescent="0.3">
      <c r="B246" s="173" t="s">
        <v>91</v>
      </c>
      <c r="C246" s="327">
        <f>ROUND(IF(SUM(H243:H249)&gt;0,SUM(H243:H249),0),0)</f>
        <v>0</v>
      </c>
      <c r="E246" s="786" t="s">
        <v>82</v>
      </c>
      <c r="F246" s="787"/>
      <c r="G246" s="788"/>
      <c r="H246" s="324">
        <f>IF(SUM(J281:J285)&gt;0,SUM(L281:L285),0)</f>
        <v>0</v>
      </c>
      <c r="I246" s="325">
        <f>H246*'kt info'!$G$32</f>
        <v>0</v>
      </c>
      <c r="J246" s="311"/>
      <c r="K246" s="317"/>
    </row>
    <row r="247" spans="1:14" x14ac:dyDescent="0.3">
      <c r="E247" s="786" t="s">
        <v>173</v>
      </c>
      <c r="F247" s="787"/>
      <c r="G247" s="788"/>
      <c r="H247" s="324">
        <f>IF(SUM(I287:I288)=0,0,SUM(I287:I288))</f>
        <v>0</v>
      </c>
      <c r="I247" s="325">
        <f>H247*'kt info'!$G$32</f>
        <v>0</v>
      </c>
      <c r="K247" s="317"/>
    </row>
    <row r="248" spans="1:14" x14ac:dyDescent="0.3">
      <c r="B248" s="173"/>
      <c r="C248" s="469"/>
      <c r="E248" s="786" t="s">
        <v>80</v>
      </c>
      <c r="F248" s="787"/>
      <c r="G248" s="788"/>
      <c r="H248" s="324">
        <f>($H$243+$H$244+$H$245+$H$246+$H$247)*'Overhead &amp; Margin'!$D$10/(1-('Overhead &amp; Margin'!$D$10))</f>
        <v>0</v>
      </c>
      <c r="I248" s="325">
        <f>H248*'kt info'!$G$32</f>
        <v>0</v>
      </c>
      <c r="K248" s="317"/>
    </row>
    <row r="249" spans="1:14" x14ac:dyDescent="0.3">
      <c r="G249" s="174" t="s">
        <v>81</v>
      </c>
      <c r="H249" s="324">
        <f>($H$243+$H$244+$H$245+$H$246+$H$247+$H$248)*'Overhead &amp; Margin'!$G$10/(1-('Overhead &amp; Margin'!$G$10))</f>
        <v>0</v>
      </c>
      <c r="I249" s="325">
        <f>H249*'kt info'!$G$32</f>
        <v>0</v>
      </c>
    </row>
    <row r="250" spans="1:14" x14ac:dyDescent="0.3">
      <c r="M250" s="577" t="str">
        <f>'kt info'!$B$12</f>
        <v>Form date: 2/20/26</v>
      </c>
    </row>
    <row r="251" spans="1:14" ht="15" thickBot="1" x14ac:dyDescent="0.35">
      <c r="B251" s="328" t="s">
        <v>97</v>
      </c>
    </row>
    <row r="252" spans="1:14" x14ac:dyDescent="0.3">
      <c r="B252" s="83" t="s">
        <v>13</v>
      </c>
      <c r="C252" s="329" t="s">
        <v>14</v>
      </c>
      <c r="D252" s="330" t="s">
        <v>20</v>
      </c>
      <c r="E252" s="330" t="s">
        <v>15</v>
      </c>
      <c r="F252" s="780" t="s">
        <v>17</v>
      </c>
      <c r="G252" s="780"/>
      <c r="H252" s="331" t="s">
        <v>18</v>
      </c>
      <c r="I252" s="330" t="s">
        <v>16</v>
      </c>
      <c r="J252" s="330" t="s">
        <v>19</v>
      </c>
      <c r="K252" s="330" t="s">
        <v>71</v>
      </c>
      <c r="L252" s="332" t="s">
        <v>21</v>
      </c>
      <c r="M252" s="4" t="s">
        <v>22</v>
      </c>
      <c r="N252" s="4" t="s">
        <v>0</v>
      </c>
    </row>
    <row r="253" spans="1:14" ht="15" thickBot="1" x14ac:dyDescent="0.35">
      <c r="B253" s="22" t="s">
        <v>253</v>
      </c>
      <c r="C253" s="333" t="s">
        <v>23</v>
      </c>
      <c r="D253" s="334" t="s">
        <v>28</v>
      </c>
      <c r="E253" s="334" t="s">
        <v>24</v>
      </c>
      <c r="F253" s="781" t="s">
        <v>25</v>
      </c>
      <c r="G253" s="781"/>
      <c r="H253" s="335" t="s">
        <v>26</v>
      </c>
      <c r="I253" s="334"/>
      <c r="J253" s="334" t="s">
        <v>33</v>
      </c>
      <c r="K253" s="334" t="s">
        <v>161</v>
      </c>
      <c r="L253" s="336" t="s">
        <v>0</v>
      </c>
      <c r="M253" s="5" t="s">
        <v>0</v>
      </c>
      <c r="N253" s="5" t="s">
        <v>71</v>
      </c>
    </row>
    <row r="254" spans="1:14" x14ac:dyDescent="0.3">
      <c r="A254" s="98">
        <v>1</v>
      </c>
      <c r="B254" s="454"/>
      <c r="C254" s="338"/>
      <c r="D254" s="339" t="str">
        <f>IF(B254=0," ",'kt info'!$G$32)</f>
        <v xml:space="preserve"> </v>
      </c>
      <c r="E254" s="340" t="str">
        <f>IF(B254=0," ",VLOOKUP(B254,WageBeneTable5[#All],2,FALSE))</f>
        <v xml:space="preserve"> </v>
      </c>
      <c r="F254" s="782">
        <f>IF($E254=" ",0,'Pay &amp; Benefits'!$C$10)</f>
        <v>0</v>
      </c>
      <c r="G254" s="783"/>
      <c r="H254" s="341" t="str">
        <f>IF($E254=" "," ",'Pay &amp; Benefits'!$C$11)</f>
        <v xml:space="preserve"> </v>
      </c>
      <c r="I254" s="342" t="str">
        <f t="shared" ref="I254:I263" si="27">IF(E254=" "," ",0.0765)</f>
        <v xml:space="preserve"> </v>
      </c>
      <c r="J254" s="343" t="str">
        <f>IF(B254=0," ",VLOOKUP(B254,WageBeneTable5[#All],3,FALSE))</f>
        <v xml:space="preserve"> </v>
      </c>
      <c r="K254" s="340" t="str">
        <f t="shared" ref="K254:K263" si="28">IF(B254=0," ",C254*E254*(1+I254+F254+H254+J254))</f>
        <v xml:space="preserve"> </v>
      </c>
      <c r="L254" s="340">
        <f t="shared" ref="L254:L263" si="29">IF(K254=" ",0,K254*D254)</f>
        <v>0</v>
      </c>
      <c r="M254" s="344">
        <f t="shared" ref="M254:M263" si="30">IF(B254=0,0,C254*D254)</f>
        <v>0</v>
      </c>
      <c r="N254" s="345">
        <f t="shared" ref="N254:N263" si="31">IF(L254=0,0,IF(D254=0,0,L254/D254))</f>
        <v>0</v>
      </c>
    </row>
    <row r="255" spans="1:14" x14ac:dyDescent="0.3">
      <c r="A255" s="98">
        <v>2</v>
      </c>
      <c r="B255" s="417"/>
      <c r="C255" s="347"/>
      <c r="D255" s="339" t="str">
        <f>IF(B255=0," ",'kt info'!$G$32)</f>
        <v xml:space="preserve"> </v>
      </c>
      <c r="E255" s="348" t="str">
        <f>IF(B255=0," ",VLOOKUP(B255,WageBeneTable5[#All],2,FALSE))</f>
        <v xml:space="preserve"> </v>
      </c>
      <c r="F255" s="784">
        <f>IF($E255=" ",0,'Pay &amp; Benefits'!$C$10)</f>
        <v>0</v>
      </c>
      <c r="G255" s="785"/>
      <c r="H255" s="349" t="str">
        <f>IF($E255=" "," ",'Pay &amp; Benefits'!$C$11)</f>
        <v xml:space="preserve"> </v>
      </c>
      <c r="I255" s="350" t="str">
        <f t="shared" si="27"/>
        <v xml:space="preserve"> </v>
      </c>
      <c r="J255" s="351" t="str">
        <f>IF(B255=0," ",VLOOKUP(B255,WageBeneTable5[#All],3,FALSE))</f>
        <v xml:space="preserve"> </v>
      </c>
      <c r="K255" s="348" t="str">
        <f t="shared" si="28"/>
        <v xml:space="preserve"> </v>
      </c>
      <c r="L255" s="348">
        <f t="shared" si="29"/>
        <v>0</v>
      </c>
      <c r="M255" s="352">
        <f t="shared" si="30"/>
        <v>0</v>
      </c>
      <c r="N255" s="353">
        <f t="shared" si="31"/>
        <v>0</v>
      </c>
    </row>
    <row r="256" spans="1:14" x14ac:dyDescent="0.3">
      <c r="A256" s="98">
        <v>3</v>
      </c>
      <c r="B256" s="417"/>
      <c r="C256" s="347"/>
      <c r="D256" s="339" t="str">
        <f>IF(B256=0," ",'kt info'!$G$32)</f>
        <v xml:space="preserve"> </v>
      </c>
      <c r="E256" s="348" t="str">
        <f>IF(B256=0," ",VLOOKUP(B256,WageBeneTable5[#All],2,FALSE))</f>
        <v xml:space="preserve"> </v>
      </c>
      <c r="F256" s="784">
        <f>IF($E256=" ",0,'Pay &amp; Benefits'!$C$10)</f>
        <v>0</v>
      </c>
      <c r="G256" s="785"/>
      <c r="H256" s="349" t="str">
        <f>IF($E256=" "," ",'Pay &amp; Benefits'!$C$11)</f>
        <v xml:space="preserve"> </v>
      </c>
      <c r="I256" s="350" t="str">
        <f t="shared" si="27"/>
        <v xml:space="preserve"> </v>
      </c>
      <c r="J256" s="351" t="str">
        <f>IF(B256=0," ",VLOOKUP(B256,WageBeneTable5[#All],3,FALSE))</f>
        <v xml:space="preserve"> </v>
      </c>
      <c r="K256" s="348" t="str">
        <f t="shared" si="28"/>
        <v xml:space="preserve"> </v>
      </c>
      <c r="L256" s="348">
        <f t="shared" si="29"/>
        <v>0</v>
      </c>
      <c r="M256" s="352">
        <f t="shared" si="30"/>
        <v>0</v>
      </c>
      <c r="N256" s="353">
        <f t="shared" si="31"/>
        <v>0</v>
      </c>
    </row>
    <row r="257" spans="1:14" x14ac:dyDescent="0.3">
      <c r="A257" s="98">
        <v>4</v>
      </c>
      <c r="B257" s="417"/>
      <c r="C257" s="347"/>
      <c r="D257" s="339" t="str">
        <f>IF(B257=0," ",'kt info'!$G$32)</f>
        <v xml:space="preserve"> </v>
      </c>
      <c r="E257" s="348" t="str">
        <f>IF(B257=0," ",VLOOKUP(B257,WageBeneTable5[#All],2,FALSE))</f>
        <v xml:space="preserve"> </v>
      </c>
      <c r="F257" s="784">
        <f>IF($E257=" ",0,'Pay &amp; Benefits'!$C$10)</f>
        <v>0</v>
      </c>
      <c r="G257" s="785"/>
      <c r="H257" s="349" t="str">
        <f>IF($E257=" "," ",'Pay &amp; Benefits'!$C$11)</f>
        <v xml:space="preserve"> </v>
      </c>
      <c r="I257" s="350" t="str">
        <f t="shared" si="27"/>
        <v xml:space="preserve"> </v>
      </c>
      <c r="J257" s="351" t="str">
        <f>IF(B257=0," ",VLOOKUP(B257,WageBeneTable5[#All],3,FALSE))</f>
        <v xml:space="preserve"> </v>
      </c>
      <c r="K257" s="348" t="str">
        <f t="shared" si="28"/>
        <v xml:space="preserve"> </v>
      </c>
      <c r="L257" s="348">
        <f t="shared" si="29"/>
        <v>0</v>
      </c>
      <c r="M257" s="352">
        <f t="shared" si="30"/>
        <v>0</v>
      </c>
      <c r="N257" s="353">
        <f t="shared" si="31"/>
        <v>0</v>
      </c>
    </row>
    <row r="258" spans="1:14" ht="15" thickBot="1" x14ac:dyDescent="0.35">
      <c r="A258" s="98">
        <v>5</v>
      </c>
      <c r="B258" s="419"/>
      <c r="C258" s="355"/>
      <c r="D258" s="356" t="str">
        <f>IF(B258=0," ",'kt info'!$G$32)</f>
        <v xml:space="preserve"> </v>
      </c>
      <c r="E258" s="357" t="str">
        <f>IF(B258=0," ",VLOOKUP(B258,WageBeneTable5[#All],2,FALSE))</f>
        <v xml:space="preserve"> </v>
      </c>
      <c r="F258" s="776">
        <f>IF($E258=" ",0,'Pay &amp; Benefits'!$C$10)</f>
        <v>0</v>
      </c>
      <c r="G258" s="777"/>
      <c r="H258" s="358" t="str">
        <f>IF($E258=" "," ",'Pay &amp; Benefits'!$C$11)</f>
        <v xml:space="preserve"> </v>
      </c>
      <c r="I258" s="359" t="str">
        <f t="shared" si="27"/>
        <v xml:space="preserve"> </v>
      </c>
      <c r="J258" s="360" t="str">
        <f>IF(B258=0," ",VLOOKUP(B258,WageBeneTable5[#All],3,FALSE))</f>
        <v xml:space="preserve"> </v>
      </c>
      <c r="K258" s="357" t="str">
        <f t="shared" si="28"/>
        <v xml:space="preserve"> </v>
      </c>
      <c r="L258" s="357">
        <f t="shared" si="29"/>
        <v>0</v>
      </c>
      <c r="M258" s="361">
        <f t="shared" si="30"/>
        <v>0</v>
      </c>
      <c r="N258" s="362">
        <f t="shared" si="31"/>
        <v>0</v>
      </c>
    </row>
    <row r="259" spans="1:14" x14ac:dyDescent="0.3">
      <c r="A259" s="98">
        <v>6</v>
      </c>
      <c r="B259" s="454"/>
      <c r="C259" s="363"/>
      <c r="D259" s="364" t="str">
        <f>IF(B259=0," ",'kt info'!$G$32)</f>
        <v xml:space="preserve"> </v>
      </c>
      <c r="E259" s="365" t="str">
        <f>IF(B259=0," ",VLOOKUP(B259,WageBeneTable5[#All],2,FALSE))</f>
        <v xml:space="preserve"> </v>
      </c>
      <c r="F259" s="782">
        <f>IF($E259=" ",0,'Pay &amp; Benefits'!$C$10)</f>
        <v>0</v>
      </c>
      <c r="G259" s="783"/>
      <c r="H259" s="366" t="str">
        <f>IF($E259=" "," ",'Pay &amp; Benefits'!$C$11)</f>
        <v xml:space="preserve"> </v>
      </c>
      <c r="I259" s="367" t="str">
        <f t="shared" si="27"/>
        <v xml:space="preserve"> </v>
      </c>
      <c r="J259" s="368" t="str">
        <f>IF(B259=0," ",VLOOKUP(B259,WageBeneTable5[#All],3,FALSE))</f>
        <v xml:space="preserve"> </v>
      </c>
      <c r="K259" s="365" t="str">
        <f t="shared" si="28"/>
        <v xml:space="preserve"> </v>
      </c>
      <c r="L259" s="365">
        <f t="shared" si="29"/>
        <v>0</v>
      </c>
      <c r="M259" s="369">
        <f t="shared" si="30"/>
        <v>0</v>
      </c>
      <c r="N259" s="370">
        <f t="shared" si="31"/>
        <v>0</v>
      </c>
    </row>
    <row r="260" spans="1:14" x14ac:dyDescent="0.3">
      <c r="A260" s="98">
        <v>7</v>
      </c>
      <c r="B260" s="417"/>
      <c r="C260" s="347"/>
      <c r="D260" s="364" t="str">
        <f>IF(B260=0," ",'kt info'!$G$32)</f>
        <v xml:space="preserve"> </v>
      </c>
      <c r="E260" s="365" t="str">
        <f>IF(B260=0," ",VLOOKUP(B260,WageBeneTable5[#All],2,FALSE))</f>
        <v xml:space="preserve"> </v>
      </c>
      <c r="F260" s="784">
        <f>IF($E260=" ",0,'Pay &amp; Benefits'!$C$10)</f>
        <v>0</v>
      </c>
      <c r="G260" s="785"/>
      <c r="H260" s="366" t="str">
        <f>IF($E260=" "," ",'Pay &amp; Benefits'!$C$11)</f>
        <v xml:space="preserve"> </v>
      </c>
      <c r="I260" s="367" t="str">
        <f t="shared" si="27"/>
        <v xml:space="preserve"> </v>
      </c>
      <c r="J260" s="368" t="str">
        <f>IF(B260=0," ",VLOOKUP(B260,WageBeneTable5[#All],3,FALSE))</f>
        <v xml:space="preserve"> </v>
      </c>
      <c r="K260" s="365" t="str">
        <f t="shared" si="28"/>
        <v xml:space="preserve"> </v>
      </c>
      <c r="L260" s="365">
        <f t="shared" si="29"/>
        <v>0</v>
      </c>
      <c r="M260" s="369">
        <f t="shared" si="30"/>
        <v>0</v>
      </c>
      <c r="N260" s="370">
        <f t="shared" si="31"/>
        <v>0</v>
      </c>
    </row>
    <row r="261" spans="1:14" x14ac:dyDescent="0.3">
      <c r="A261" s="98">
        <v>8</v>
      </c>
      <c r="B261" s="417"/>
      <c r="C261" s="347"/>
      <c r="D261" s="364" t="str">
        <f>IF(B261=0," ",'kt info'!$G$32)</f>
        <v xml:space="preserve"> </v>
      </c>
      <c r="E261" s="365" t="str">
        <f>IF(B261=0," ",VLOOKUP(B261,WageBeneTable5[#All],2,FALSE))</f>
        <v xml:space="preserve"> </v>
      </c>
      <c r="F261" s="784">
        <f>IF($E261=" ",0,'Pay &amp; Benefits'!$C$10)</f>
        <v>0</v>
      </c>
      <c r="G261" s="785"/>
      <c r="H261" s="366" t="str">
        <f>IF($E261=" "," ",'Pay &amp; Benefits'!$C$11)</f>
        <v xml:space="preserve"> </v>
      </c>
      <c r="I261" s="367" t="str">
        <f t="shared" si="27"/>
        <v xml:space="preserve"> </v>
      </c>
      <c r="J261" s="368" t="str">
        <f>IF(B261=0," ",VLOOKUP(B261,WageBeneTable5[#All],3,FALSE))</f>
        <v xml:space="preserve"> </v>
      </c>
      <c r="K261" s="365" t="str">
        <f t="shared" si="28"/>
        <v xml:space="preserve"> </v>
      </c>
      <c r="L261" s="365">
        <f t="shared" si="29"/>
        <v>0</v>
      </c>
      <c r="M261" s="369">
        <f t="shared" si="30"/>
        <v>0</v>
      </c>
      <c r="N261" s="370">
        <f t="shared" si="31"/>
        <v>0</v>
      </c>
    </row>
    <row r="262" spans="1:14" x14ac:dyDescent="0.3">
      <c r="A262" s="98">
        <v>9</v>
      </c>
      <c r="B262" s="417"/>
      <c r="C262" s="347"/>
      <c r="D262" s="364" t="str">
        <f>IF(B262=0," ",'kt info'!$G$32)</f>
        <v xml:space="preserve"> </v>
      </c>
      <c r="E262" s="365" t="str">
        <f>IF(B262=0," ",VLOOKUP(B262,WageBeneTable5[#All],2,FALSE))</f>
        <v xml:space="preserve"> </v>
      </c>
      <c r="F262" s="784">
        <f>IF($E262=" ",0,'Pay &amp; Benefits'!$C$10)</f>
        <v>0</v>
      </c>
      <c r="G262" s="785"/>
      <c r="H262" s="366" t="str">
        <f>IF($E262=" "," ",'Pay &amp; Benefits'!$C$11)</f>
        <v xml:space="preserve"> </v>
      </c>
      <c r="I262" s="367" t="str">
        <f t="shared" si="27"/>
        <v xml:space="preserve"> </v>
      </c>
      <c r="J262" s="368" t="str">
        <f>IF(B262=0," ",VLOOKUP(B262,WageBeneTable5[#All],3,FALSE))</f>
        <v xml:space="preserve"> </v>
      </c>
      <c r="K262" s="365" t="str">
        <f t="shared" si="28"/>
        <v xml:space="preserve"> </v>
      </c>
      <c r="L262" s="365">
        <f t="shared" si="29"/>
        <v>0</v>
      </c>
      <c r="M262" s="369">
        <f t="shared" si="30"/>
        <v>0</v>
      </c>
      <c r="N262" s="370">
        <f t="shared" si="31"/>
        <v>0</v>
      </c>
    </row>
    <row r="263" spans="1:14" ht="15" thickBot="1" x14ac:dyDescent="0.35">
      <c r="A263" s="98">
        <v>10</v>
      </c>
      <c r="B263" s="419"/>
      <c r="C263" s="355"/>
      <c r="D263" s="356" t="str">
        <f>IF(B263=0," ",'kt info'!$G$32)</f>
        <v xml:space="preserve"> </v>
      </c>
      <c r="E263" s="357" t="str">
        <f>IF(B263=0," ",VLOOKUP(B263,WageBeneTable5[#All],2,FALSE))</f>
        <v xml:space="preserve"> </v>
      </c>
      <c r="F263" s="776">
        <f>IF($E263=" ",0,'Pay &amp; Benefits'!$C$10)</f>
        <v>0</v>
      </c>
      <c r="G263" s="777"/>
      <c r="H263" s="358" t="str">
        <f>IF($E263=" "," ",'Pay &amp; Benefits'!$C$11)</f>
        <v xml:space="preserve"> </v>
      </c>
      <c r="I263" s="359" t="str">
        <f t="shared" si="27"/>
        <v xml:space="preserve"> </v>
      </c>
      <c r="J263" s="360" t="str">
        <f>IF(B263=0," ",VLOOKUP(B263,WageBeneTable5[#All],3,FALSE))</f>
        <v xml:space="preserve"> </v>
      </c>
      <c r="K263" s="357" t="str">
        <f t="shared" si="28"/>
        <v xml:space="preserve"> </v>
      </c>
      <c r="L263" s="357">
        <f t="shared" si="29"/>
        <v>0</v>
      </c>
      <c r="M263" s="361">
        <f t="shared" si="30"/>
        <v>0</v>
      </c>
      <c r="N263" s="362">
        <f t="shared" si="31"/>
        <v>0</v>
      </c>
    </row>
    <row r="264" spans="1:14" x14ac:dyDescent="0.3">
      <c r="K264" s="371"/>
      <c r="L264" s="372"/>
      <c r="M264" s="373"/>
    </row>
    <row r="265" spans="1:14" ht="15" thickBot="1" x14ac:dyDescent="0.35">
      <c r="B265" s="374" t="s">
        <v>175</v>
      </c>
      <c r="E265" s="375"/>
      <c r="H265" s="775" t="s">
        <v>171</v>
      </c>
      <c r="I265" s="772"/>
      <c r="M265" s="455"/>
      <c r="N265" s="98"/>
    </row>
    <row r="266" spans="1:14" x14ac:dyDescent="0.3">
      <c r="B266" s="32" t="s">
        <v>115</v>
      </c>
      <c r="C266" s="378" t="s">
        <v>199</v>
      </c>
      <c r="D266" s="379" t="s">
        <v>4</v>
      </c>
      <c r="E266" s="380" t="s">
        <v>76</v>
      </c>
      <c r="H266" s="290" t="s">
        <v>10</v>
      </c>
      <c r="I266" s="4" t="s">
        <v>78</v>
      </c>
      <c r="J266" s="4" t="s">
        <v>11</v>
      </c>
      <c r="K266" s="4" t="s">
        <v>201</v>
      </c>
      <c r="L266" s="4" t="s">
        <v>76</v>
      </c>
      <c r="M266" s="456"/>
      <c r="N266" s="457"/>
    </row>
    <row r="267" spans="1:14" ht="15" thickBot="1" x14ac:dyDescent="0.35">
      <c r="B267" s="33" t="s">
        <v>116</v>
      </c>
      <c r="C267" s="381" t="s">
        <v>77</v>
      </c>
      <c r="D267" s="382" t="s">
        <v>5</v>
      </c>
      <c r="E267" s="383" t="s">
        <v>77</v>
      </c>
      <c r="H267" s="291" t="s">
        <v>8</v>
      </c>
      <c r="I267" s="5" t="s">
        <v>79</v>
      </c>
      <c r="J267" s="5" t="s">
        <v>12</v>
      </c>
      <c r="K267" s="5" t="s">
        <v>7</v>
      </c>
      <c r="L267" s="5" t="s">
        <v>77</v>
      </c>
      <c r="M267" s="458"/>
      <c r="N267" s="459"/>
    </row>
    <row r="268" spans="1:14" x14ac:dyDescent="0.3">
      <c r="A268" s="98">
        <v>1</v>
      </c>
      <c r="B268" s="454"/>
      <c r="C268" s="386"/>
      <c r="D268" s="387">
        <f>IF(B268=0,0,VLOOKUP(B268,Supplies!$B$13:$C$97,2,FALSE))</f>
        <v>0</v>
      </c>
      <c r="E268" s="340">
        <f>IF(D268=" "," ",D268*C268)</f>
        <v>0</v>
      </c>
      <c r="G268" s="98">
        <v>1</v>
      </c>
      <c r="H268" s="388"/>
      <c r="I268" s="389"/>
      <c r="J268" s="390"/>
      <c r="K268" s="312" t="str">
        <f>IF(H268=0," ",IF(VLOOKUP(H268,'Equipment List'!$B$12:$F$96,5,FALSE)=0,0,IF(VLOOKUP(H268,'Equipment List'!$B$12:$F$96,5,FALSE)="Grant","Grant",IF(VLOOKUP(H268,'Equipment List'!$B$12:$F$96,5,FALSE)="Depreciated","Depreciated",VLOOKUP(H268,'Equipment List'!$B$12:$F$96,5,FALSE)*I268*J268))))</f>
        <v xml:space="preserve"> </v>
      </c>
      <c r="L268" s="345" t="str">
        <f>IF(K268=" "," ",IF(K268="Grant",0,IF(K268="Depreciated",0,IF('kt info'!$G$32=0,"No Service Frequency",K268/'kt info'!$G$32))))</f>
        <v xml:space="preserve"> </v>
      </c>
      <c r="M268" s="460"/>
      <c r="N268" s="384"/>
    </row>
    <row r="269" spans="1:14" x14ac:dyDescent="0.3">
      <c r="A269" s="98">
        <v>2</v>
      </c>
      <c r="B269" s="417"/>
      <c r="C269" s="394"/>
      <c r="D269" s="395">
        <f>IF(B269=0,0,VLOOKUP(B269,Supplies!$B$13:$C$97,2,FALSE))</f>
        <v>0</v>
      </c>
      <c r="E269" s="365">
        <f t="shared" ref="E269:E283" si="32">IF(D269=" "," ",D269*C269)</f>
        <v>0</v>
      </c>
      <c r="G269" s="98">
        <v>2</v>
      </c>
      <c r="H269" s="396"/>
      <c r="I269" s="397"/>
      <c r="J269" s="398"/>
      <c r="K269" s="401" t="str">
        <f>IF(H269=0," ",IF(VLOOKUP(H269,'Equipment List'!$B$12:$F$96,5,FALSE)=0,0,IF(VLOOKUP(H269,'Equipment List'!$B$12:$F$96,5,FALSE)="Grant","Grant",IF(VLOOKUP(H269,'Equipment List'!$B$12:$F$96,5,FALSE)="Depreciated","Depreciated",VLOOKUP(H269,'Equipment List'!$B$12:$F$96,5,FALSE)*I269*J269))))</f>
        <v xml:space="preserve"> </v>
      </c>
      <c r="L269" s="370" t="str">
        <f>IF(K269=" "," ",IF(K269="Grant",0,IF(K269="Depreciated",0,IF('kt info'!$G$32=0,"No Service Frequency",K269/'kt info'!$G$32))))</f>
        <v xml:space="preserve"> </v>
      </c>
    </row>
    <row r="270" spans="1:14" x14ac:dyDescent="0.3">
      <c r="A270" s="98">
        <v>3</v>
      </c>
      <c r="B270" s="417"/>
      <c r="C270" s="394"/>
      <c r="D270" s="395">
        <f>IF(B270=0,0,VLOOKUP(B270,Supplies!$B$13:$C$97,2,FALSE))</f>
        <v>0</v>
      </c>
      <c r="E270" s="365">
        <f t="shared" si="32"/>
        <v>0</v>
      </c>
      <c r="G270" s="98">
        <v>3</v>
      </c>
      <c r="H270" s="396"/>
      <c r="I270" s="397"/>
      <c r="J270" s="398"/>
      <c r="K270" s="401" t="str">
        <f>IF(H270=0," ",IF(VLOOKUP(H270,'Equipment List'!$B$12:$F$96,5,FALSE)=0,0,IF(VLOOKUP(H270,'Equipment List'!$B$12:$F$96,5,FALSE)="Grant","Grant",IF(VLOOKUP(H270,'Equipment List'!$B$12:$F$96,5,FALSE)="Depreciated","Depreciated",VLOOKUP(H270,'Equipment List'!$B$12:$F$96,5,FALSE)*I270*J270))))</f>
        <v xml:space="preserve"> </v>
      </c>
      <c r="L270" s="370" t="str">
        <f>IF(K270=" "," ",IF(K270="Grant",0,IF(K270="Depreciated",0,IF('kt info'!$G$32=0,"No Service Frequency",K270/'kt info'!$G$32))))</f>
        <v xml:space="preserve"> </v>
      </c>
    </row>
    <row r="271" spans="1:14" x14ac:dyDescent="0.3">
      <c r="A271" s="98">
        <v>4</v>
      </c>
      <c r="B271" s="417"/>
      <c r="C271" s="394"/>
      <c r="D271" s="395">
        <f>IF(B271=0,0,VLOOKUP(B271,Supplies!$B$13:$C$97,2,FALSE))</f>
        <v>0</v>
      </c>
      <c r="E271" s="365">
        <f t="shared" si="32"/>
        <v>0</v>
      </c>
      <c r="G271" s="98">
        <v>4</v>
      </c>
      <c r="H271" s="396"/>
      <c r="I271" s="397"/>
      <c r="J271" s="398"/>
      <c r="K271" s="401" t="str">
        <f>IF(H271=0," ",IF(VLOOKUP(H271,'Equipment List'!$B$12:$F$96,5,FALSE)=0,0,IF(VLOOKUP(H271,'Equipment List'!$B$12:$F$96,5,FALSE)="Grant","Grant",IF(VLOOKUP(H271,'Equipment List'!$B$12:$F$96,5,FALSE)="Depreciated","Depreciated",VLOOKUP(H271,'Equipment List'!$B$12:$F$96,5,FALSE)*I271*J271))))</f>
        <v xml:space="preserve"> </v>
      </c>
      <c r="L271" s="370" t="str">
        <f>IF(K271=" "," ",IF(K271="Grant",0,IF(K271="Depreciated",0,IF('kt info'!$G$32=0,"No Service Frequency",K271/'kt info'!$G$32))))</f>
        <v xml:space="preserve"> </v>
      </c>
    </row>
    <row r="272" spans="1:14" ht="15" thickBot="1" x14ac:dyDescent="0.35">
      <c r="A272" s="98">
        <v>5</v>
      </c>
      <c r="B272" s="419"/>
      <c r="C272" s="403"/>
      <c r="D272" s="404">
        <f>IF(B272=0,0,VLOOKUP(B272,Supplies!$B$13:$C$97,2,FALSE))</f>
        <v>0</v>
      </c>
      <c r="E272" s="357">
        <f t="shared" si="32"/>
        <v>0</v>
      </c>
      <c r="G272" s="98">
        <v>5</v>
      </c>
      <c r="H272" s="405"/>
      <c r="I272" s="406"/>
      <c r="J272" s="407"/>
      <c r="K272" s="408" t="str">
        <f>IF(H272=0," ",IF(VLOOKUP(H272,'Equipment List'!$B$12:$F$96,5,FALSE)=0,0,IF(VLOOKUP(H272,'Equipment List'!$B$12:$F$96,5,FALSE)="Grant","Grant",IF(VLOOKUP(H272,'Equipment List'!$B$12:$F$96,5,FALSE)="Depreciated","Depreciated",VLOOKUP(H272,'Equipment List'!$B$12:$F$96,5,FALSE)*I272*J272))))</f>
        <v xml:space="preserve"> </v>
      </c>
      <c r="L272" s="362" t="str">
        <f>IF(K272=" "," ",IF(K272="Grant",0,IF(K272="Depreciated",0,IF('kt info'!$G$32=0,"No Service Frequency",K272/'kt info'!$G$32))))</f>
        <v xml:space="preserve"> </v>
      </c>
    </row>
    <row r="273" spans="1:14" x14ac:dyDescent="0.3">
      <c r="A273" s="98">
        <v>6</v>
      </c>
      <c r="B273" s="413"/>
      <c r="C273" s="411"/>
      <c r="D273" s="412">
        <f>IF(B273=0,0,VLOOKUP(B273,Supplies!$B$13:$C$97,2,FALSE))</f>
        <v>0</v>
      </c>
      <c r="E273" s="365">
        <f t="shared" si="32"/>
        <v>0</v>
      </c>
      <c r="G273" s="98">
        <v>6</v>
      </c>
      <c r="H273" s="413"/>
      <c r="I273" s="414"/>
      <c r="J273" s="415"/>
      <c r="K273" s="416" t="str">
        <f>IF(H273=0," ",IF(VLOOKUP(H273,'Equipment List'!$B$12:$F$96,5,FALSE)=0,0,IF(VLOOKUP(H273,'Equipment List'!$B$12:$F$96,5,FALSE)="Grant","Grant",IF(VLOOKUP(H273,'Equipment List'!$B$12:$F$96,5,FALSE)="Depreciated","Depreciated",VLOOKUP(H273,'Equipment List'!$B$12:$F$96,5,FALSE)*I273*J273))))</f>
        <v xml:space="preserve"> </v>
      </c>
      <c r="L273" s="370" t="str">
        <f>IF(K273=" "," ",IF(K273="Grant",0,IF(K273="Depreciated",0,IF('kt info'!$G$32=0,"No Service Frequency",K273/'kt info'!$G$32))))</f>
        <v xml:space="preserve"> </v>
      </c>
    </row>
    <row r="274" spans="1:14" x14ac:dyDescent="0.3">
      <c r="A274" s="98">
        <v>7</v>
      </c>
      <c r="B274" s="417"/>
      <c r="C274" s="394"/>
      <c r="D274" s="395">
        <f>IF(B274=0,0,VLOOKUP(B274,Supplies!$B$13:$C$97,2,FALSE))</f>
        <v>0</v>
      </c>
      <c r="E274" s="365">
        <f t="shared" si="32"/>
        <v>0</v>
      </c>
      <c r="G274" s="98">
        <v>7</v>
      </c>
      <c r="H274" s="417"/>
      <c r="I274" s="397"/>
      <c r="J274" s="398"/>
      <c r="K274" s="418" t="str">
        <f>IF(H274=0," ",IF(VLOOKUP(H274,'Equipment List'!$B$12:$F$96,5,FALSE)=0,0,IF(VLOOKUP(H274,'Equipment List'!$B$12:$F$96,5,FALSE)="Grant","Grant",IF(VLOOKUP(H274,'Equipment List'!$B$12:$F$96,5,FALSE)="Depreciated","Depreciated",VLOOKUP(H274,'Equipment List'!$B$12:$F$96,5,FALSE)*I274*J274))))</f>
        <v xml:space="preserve"> </v>
      </c>
      <c r="L274" s="370" t="str">
        <f>IF(K274=" "," ",IF(K274="Grant",0,IF(K274="Depreciated",0,IF('kt info'!$G$32=0,"No Service Frequency",K274/'kt info'!$G$32))))</f>
        <v xml:space="preserve"> </v>
      </c>
    </row>
    <row r="275" spans="1:14" x14ac:dyDescent="0.3">
      <c r="A275" s="98">
        <v>8</v>
      </c>
      <c r="B275" s="417"/>
      <c r="C275" s="394"/>
      <c r="D275" s="395">
        <f>IF(B275=0,0,VLOOKUP(B275,Supplies!$B$13:$C$97,2,FALSE))</f>
        <v>0</v>
      </c>
      <c r="E275" s="365">
        <f t="shared" si="32"/>
        <v>0</v>
      </c>
      <c r="G275" s="98">
        <v>8</v>
      </c>
      <c r="H275" s="417"/>
      <c r="I275" s="397"/>
      <c r="J275" s="398"/>
      <c r="K275" s="418" t="str">
        <f>IF(H275=0," ",IF(VLOOKUP(H275,'Equipment List'!$B$12:$F$96,5,FALSE)=0,0,IF(VLOOKUP(H275,'Equipment List'!$B$12:$F$96,5,FALSE)="Grant","Grant",IF(VLOOKUP(H275,'Equipment List'!$B$12:$F$96,5,FALSE)="Depreciated","Depreciated",VLOOKUP(H275,'Equipment List'!$B$12:$F$96,5,FALSE)*I275*J275))))</f>
        <v xml:space="preserve"> </v>
      </c>
      <c r="L275" s="370" t="str">
        <f>IF(K275=" "," ",IF(K275="Grant",0,IF(K275="Depreciated",0,IF('kt info'!$G$32=0,"No Service Frequency",K275/'kt info'!$G$32))))</f>
        <v xml:space="preserve"> </v>
      </c>
    </row>
    <row r="276" spans="1:14" x14ac:dyDescent="0.3">
      <c r="A276" s="98">
        <v>9</v>
      </c>
      <c r="B276" s="417"/>
      <c r="C276" s="394"/>
      <c r="D276" s="395">
        <f>IF(B276=0,0,VLOOKUP(B276,Supplies!$B$13:$C$97,2,FALSE))</f>
        <v>0</v>
      </c>
      <c r="E276" s="365">
        <f t="shared" si="32"/>
        <v>0</v>
      </c>
      <c r="G276" s="98">
        <v>9</v>
      </c>
      <c r="H276" s="417"/>
      <c r="I276" s="397"/>
      <c r="J276" s="398"/>
      <c r="K276" s="418" t="str">
        <f>IF(H276=0," ",IF(VLOOKUP(H276,'Equipment List'!$B$12:$F$96,5,FALSE)=0,0,IF(VLOOKUP(H276,'Equipment List'!$B$12:$F$96,5,FALSE)="Grant","Grant",IF(VLOOKUP(H276,'Equipment List'!$B$12:$F$96,5,FALSE)="Depreciated","Depreciated",VLOOKUP(H276,'Equipment List'!$B$12:$F$96,5,FALSE)*I276*J276))))</f>
        <v xml:space="preserve"> </v>
      </c>
      <c r="L276" s="370" t="str">
        <f>IF(K276=" "," ",IF(K276="Grant",0,IF(K276="Depreciated",0,IF('kt info'!$G$32=0,"No Service Frequency",K276/'kt info'!$G$32))))</f>
        <v xml:space="preserve"> </v>
      </c>
    </row>
    <row r="277" spans="1:14" ht="15" thickBot="1" x14ac:dyDescent="0.35">
      <c r="A277" s="98">
        <v>10</v>
      </c>
      <c r="B277" s="419"/>
      <c r="C277" s="403"/>
      <c r="D277" s="404">
        <f>IF(B277=0,0,VLOOKUP(B277,Supplies!$B$13:$C$97,2,FALSE))</f>
        <v>0</v>
      </c>
      <c r="E277" s="357">
        <f t="shared" si="32"/>
        <v>0</v>
      </c>
      <c r="G277" s="98">
        <v>10</v>
      </c>
      <c r="H277" s="419"/>
      <c r="I277" s="406"/>
      <c r="J277" s="407"/>
      <c r="K277" s="420" t="str">
        <f>IF(H277=0," ",IF(VLOOKUP(H277,'Equipment List'!$B$12:$F$96,5,FALSE)=0,0,IF(VLOOKUP(H277,'Equipment List'!$B$12:$F$96,5,FALSE)="Grant","Grant",IF(VLOOKUP(H277,'Equipment List'!$B$12:$F$96,5,FALSE)="Depreciated","Depreciated",VLOOKUP(H277,'Equipment List'!$B$12:$F$96,5,FALSE)*I277*J277))))</f>
        <v xml:space="preserve"> </v>
      </c>
      <c r="L277" s="362" t="str">
        <f>IF(K277=" "," ",IF(K277="Grant",0,IF(K277="Depreciated",0,IF('kt info'!$G$32=0,"No Service Frequency",K277/'kt info'!$G$32))))</f>
        <v xml:space="preserve"> </v>
      </c>
    </row>
    <row r="278" spans="1:14" x14ac:dyDescent="0.3">
      <c r="A278" s="98">
        <v>11</v>
      </c>
      <c r="B278" s="413"/>
      <c r="C278" s="411"/>
      <c r="D278" s="412">
        <f>IF(B278=0,0,VLOOKUP(B278,Supplies!$B$13:$C$97,2,FALSE))</f>
        <v>0</v>
      </c>
      <c r="E278" s="365">
        <f t="shared" si="32"/>
        <v>0</v>
      </c>
    </row>
    <row r="279" spans="1:14" ht="15" thickBot="1" x14ac:dyDescent="0.35">
      <c r="A279" s="98">
        <v>12</v>
      </c>
      <c r="B279" s="417"/>
      <c r="C279" s="394"/>
      <c r="D279" s="395">
        <f>IF(B279=0,0,VLOOKUP(B279,Supplies!$B$13:$C$97,2,FALSE))</f>
        <v>0</v>
      </c>
      <c r="E279" s="365">
        <f t="shared" si="32"/>
        <v>0</v>
      </c>
      <c r="H279" s="771" t="s">
        <v>172</v>
      </c>
      <c r="I279" s="772"/>
      <c r="J279" s="334"/>
      <c r="K279" s="334"/>
      <c r="L279" s="334"/>
      <c r="M279" s="334"/>
    </row>
    <row r="280" spans="1:14" x14ac:dyDescent="0.3">
      <c r="A280" s="98">
        <v>13</v>
      </c>
      <c r="B280" s="417"/>
      <c r="C280" s="394"/>
      <c r="D280" s="395">
        <f>IF(B280=0,0,VLOOKUP(B280,Supplies!$B$13:$C$97,2,FALSE))</f>
        <v>0</v>
      </c>
      <c r="E280" s="365">
        <f t="shared" si="32"/>
        <v>0</v>
      </c>
      <c r="H280" s="421" t="s">
        <v>145</v>
      </c>
      <c r="I280" s="4" t="s">
        <v>85</v>
      </c>
      <c r="J280" s="4" t="s">
        <v>249</v>
      </c>
      <c r="K280" s="330" t="s">
        <v>86</v>
      </c>
      <c r="L280" s="4" t="s">
        <v>7</v>
      </c>
      <c r="M280" s="4" t="s">
        <v>7</v>
      </c>
      <c r="N280" s="461"/>
    </row>
    <row r="281" spans="1:14" ht="15" thickBot="1" x14ac:dyDescent="0.35">
      <c r="A281" s="98">
        <v>14</v>
      </c>
      <c r="B281" s="417"/>
      <c r="C281" s="394"/>
      <c r="D281" s="395">
        <f>IF(B281=0,0,VLOOKUP(B281,Supplies!$B$13:$C$97,2,FALSE))</f>
        <v>0</v>
      </c>
      <c r="E281" s="365">
        <f t="shared" si="32"/>
        <v>0</v>
      </c>
      <c r="H281" s="292" t="s">
        <v>8</v>
      </c>
      <c r="I281" s="5" t="s">
        <v>250</v>
      </c>
      <c r="J281" s="5" t="s">
        <v>153</v>
      </c>
      <c r="K281" s="334" t="s">
        <v>87</v>
      </c>
      <c r="L281" s="5" t="s">
        <v>251</v>
      </c>
      <c r="M281" s="5" t="s">
        <v>200</v>
      </c>
      <c r="N281" s="461"/>
    </row>
    <row r="282" spans="1:14" ht="15" thickBot="1" x14ac:dyDescent="0.35">
      <c r="A282" s="98">
        <v>15</v>
      </c>
      <c r="B282" s="419"/>
      <c r="C282" s="422"/>
      <c r="D282" s="423">
        <f>IF(B282=0,0,VLOOKUP(B282,Supplies!$B$13:$C$97,2,FALSE))</f>
        <v>0</v>
      </c>
      <c r="E282" s="357">
        <f t="shared" si="32"/>
        <v>0</v>
      </c>
      <c r="G282" s="373"/>
      <c r="H282" s="250"/>
      <c r="I282" s="424"/>
      <c r="J282" s="425"/>
      <c r="K282" s="426">
        <f>IF(H282=0,0,VLOOKUP(H282,Transportation!$B$6:$L$16,11,FALSE))</f>
        <v>0</v>
      </c>
      <c r="L282" s="427">
        <f>IF(I282=0,0,I282*K282)</f>
        <v>0</v>
      </c>
      <c r="M282" s="428">
        <f>IF(I282=0,0,I282*K282*J282)</f>
        <v>0</v>
      </c>
      <c r="N282" s="467"/>
    </row>
    <row r="283" spans="1:14" ht="15" thickBot="1" x14ac:dyDescent="0.35">
      <c r="A283" s="98">
        <v>16</v>
      </c>
      <c r="B283" s="413"/>
      <c r="C283" s="429"/>
      <c r="D283" s="430">
        <f>IF(B283=0,0,VLOOKUP(B283,Supplies!$B$13:$C$97,2,FALSE))</f>
        <v>0</v>
      </c>
      <c r="E283" s="365">
        <f t="shared" si="32"/>
        <v>0</v>
      </c>
      <c r="H283" s="251"/>
      <c r="I283" s="431"/>
      <c r="J283" s="432"/>
      <c r="K283" s="433">
        <f>IF(H283=0,0,VLOOKUP(H283,Transportation!$B$6:$L$16,11,FALSE))</f>
        <v>0</v>
      </c>
      <c r="L283" s="434">
        <f>IF(I283=0,0,I283*K283)</f>
        <v>0</v>
      </c>
      <c r="M283" s="435">
        <f>IF(I283=0,0,I283*K283*J283)</f>
        <v>0</v>
      </c>
      <c r="N283" s="467"/>
    </row>
    <row r="284" spans="1:14" x14ac:dyDescent="0.3">
      <c r="A284" s="98">
        <v>17</v>
      </c>
      <c r="B284" s="417"/>
      <c r="C284" s="436"/>
      <c r="D284" s="437">
        <f>IF(B284=0,0,VLOOKUP(B284,Supplies!$B$13:$C$97,2,FALSE))</f>
        <v>0</v>
      </c>
      <c r="E284" s="365">
        <f>IF(D284=" "," ",D284*C284)</f>
        <v>0</v>
      </c>
      <c r="H284" s="252"/>
      <c r="I284" s="438"/>
      <c r="J284" s="439"/>
      <c r="K284" s="440"/>
      <c r="L284" s="440"/>
      <c r="M284" s="440"/>
      <c r="N284" s="463"/>
    </row>
    <row r="285" spans="1:14" ht="15" thickBot="1" x14ac:dyDescent="0.35">
      <c r="A285" s="98">
        <v>18</v>
      </c>
      <c r="B285" s="417"/>
      <c r="C285" s="436"/>
      <c r="D285" s="437">
        <f>IF(B285=0,0,VLOOKUP(B285,Supplies!$B$13:$C$97,2,FALSE))</f>
        <v>0</v>
      </c>
      <c r="E285" s="365">
        <f>IF(D285=" "," ",D285*C285)</f>
        <v>0</v>
      </c>
      <c r="H285" s="441" t="s">
        <v>173</v>
      </c>
      <c r="I285" s="442"/>
      <c r="J285" s="443"/>
      <c r="K285" s="444"/>
      <c r="L285" s="444"/>
      <c r="M285" s="444"/>
      <c r="N285" s="463"/>
    </row>
    <row r="286" spans="1:14" x14ac:dyDescent="0.3">
      <c r="A286" s="98">
        <v>19</v>
      </c>
      <c r="B286" s="417"/>
      <c r="C286" s="436"/>
      <c r="D286" s="437">
        <f>IF(B286=0,0,VLOOKUP(B286,Supplies!$B$13:$C$97,2,FALSE))</f>
        <v>0</v>
      </c>
      <c r="E286" s="365">
        <f>IF(D286=" "," ",D286*C286)</f>
        <v>0</v>
      </c>
      <c r="H286" s="445" t="s">
        <v>174</v>
      </c>
      <c r="I286" s="446" t="s">
        <v>176</v>
      </c>
      <c r="J286" s="443"/>
      <c r="K286" s="444"/>
      <c r="L286" s="444"/>
      <c r="M286" s="444"/>
      <c r="N286" s="463"/>
    </row>
    <row r="287" spans="1:14" ht="15" thickBot="1" x14ac:dyDescent="0.35">
      <c r="A287" s="98">
        <v>20</v>
      </c>
      <c r="B287" s="419"/>
      <c r="C287" s="422"/>
      <c r="D287" s="423">
        <f>IF(B287=0,0,VLOOKUP(B287,Supplies!$B$13:$C$97,2,FALSE))</f>
        <v>0</v>
      </c>
      <c r="E287" s="357">
        <f>IF(D287=" "," ",D287*C287)</f>
        <v>0</v>
      </c>
      <c r="H287" s="447"/>
      <c r="I287" s="464" t="str">
        <f>IF(H287=0," ",VLOOKUP(H287,Subcontractors!$B$15:$E$25,4))</f>
        <v xml:space="preserve"> </v>
      </c>
      <c r="J287" s="443"/>
      <c r="K287" s="444"/>
      <c r="L287" s="444"/>
      <c r="M287" s="444"/>
    </row>
    <row r="288" spans="1:14" ht="15" thickBot="1" x14ac:dyDescent="0.35">
      <c r="A288" s="98"/>
      <c r="B288" s="316"/>
      <c r="C288" s="465"/>
      <c r="D288" s="377"/>
      <c r="E288" s="377"/>
      <c r="H288" s="449"/>
      <c r="I288" s="466" t="str">
        <f>IF(H288=0," ",VLOOKUP(H288,Subcontractors!$B$15:$E$25,4))</f>
        <v xml:space="preserve"> </v>
      </c>
    </row>
    <row r="289" spans="1:14" x14ac:dyDescent="0.3">
      <c r="A289" s="98"/>
      <c r="B289" s="316"/>
      <c r="C289" s="465"/>
      <c r="D289" s="377"/>
      <c r="E289" s="377"/>
    </row>
    <row r="290" spans="1:14" ht="18" x14ac:dyDescent="0.3">
      <c r="A290" s="778" t="s">
        <v>164</v>
      </c>
      <c r="B290" s="779"/>
      <c r="C290" s="779"/>
      <c r="D290" s="779"/>
      <c r="E290" s="779"/>
      <c r="F290" s="779"/>
      <c r="G290" s="148" t="str">
        <f>B241</f>
        <v>Periodical Service 5</v>
      </c>
      <c r="H290" s="288"/>
      <c r="I290" s="148"/>
      <c r="J290" s="148"/>
      <c r="K290" s="148"/>
      <c r="L290" s="148"/>
      <c r="M290" s="148"/>
      <c r="N290" s="148"/>
    </row>
    <row r="291" spans="1:14" ht="18" x14ac:dyDescent="0.3">
      <c r="A291" s="778" t="s">
        <v>165</v>
      </c>
      <c r="B291" s="795"/>
      <c r="C291" s="795"/>
      <c r="D291" s="795"/>
      <c r="E291" s="795"/>
      <c r="F291" s="795"/>
      <c r="G291" s="148" t="str">
        <f>B299</f>
        <v>Periodical Service 6</v>
      </c>
      <c r="H291" s="288"/>
      <c r="I291" s="148"/>
      <c r="J291" s="148"/>
      <c r="K291" s="148"/>
      <c r="L291" s="148"/>
      <c r="M291" s="148"/>
      <c r="N291" s="148"/>
    </row>
    <row r="293" spans="1:14" x14ac:dyDescent="0.3">
      <c r="B293" s="218" t="s">
        <v>102</v>
      </c>
      <c r="C293" s="701">
        <f>'kt info'!$C$3</f>
        <v>0</v>
      </c>
      <c r="D293" s="790"/>
      <c r="E293" s="790"/>
      <c r="F293" s="791"/>
      <c r="H293" s="314"/>
      <c r="J293" s="793"/>
      <c r="K293" s="669"/>
      <c r="L293" s="669"/>
      <c r="M293" s="669"/>
    </row>
    <row r="294" spans="1:14" x14ac:dyDescent="0.3">
      <c r="C294" s="287"/>
      <c r="D294" s="98"/>
      <c r="E294" s="98"/>
      <c r="F294" s="98"/>
      <c r="I294" s="311"/>
      <c r="J294" s="311"/>
      <c r="L294" s="317"/>
    </row>
    <row r="295" spans="1:14" x14ac:dyDescent="0.3">
      <c r="B295" s="218" t="s">
        <v>103</v>
      </c>
      <c r="C295" s="701">
        <f>'kt info'!$C$5</f>
        <v>0</v>
      </c>
      <c r="D295" s="790"/>
      <c r="E295" s="790"/>
      <c r="F295" s="791"/>
      <c r="J295" s="311"/>
      <c r="L295" s="317"/>
    </row>
    <row r="296" spans="1:14" x14ac:dyDescent="0.3">
      <c r="C296" s="287"/>
      <c r="D296" s="98"/>
      <c r="E296" s="98"/>
      <c r="F296" s="98"/>
      <c r="J296" s="311"/>
      <c r="L296" s="317"/>
    </row>
    <row r="297" spans="1:14" x14ac:dyDescent="0.3">
      <c r="B297" s="218" t="s">
        <v>126</v>
      </c>
      <c r="C297" s="701">
        <f>'kt info'!$C$7</f>
        <v>0</v>
      </c>
      <c r="D297" s="790"/>
      <c r="E297" s="790"/>
      <c r="F297" s="791"/>
      <c r="J297" s="311"/>
      <c r="L297" s="317"/>
    </row>
    <row r="298" spans="1:14" x14ac:dyDescent="0.3">
      <c r="J298" s="317"/>
      <c r="L298" s="317"/>
    </row>
    <row r="299" spans="1:14" ht="18" x14ac:dyDescent="0.3">
      <c r="A299" s="318"/>
      <c r="B299" s="470" t="str">
        <f>'kt info'!B34</f>
        <v>Periodical Service 6</v>
      </c>
      <c r="C299" s="320"/>
      <c r="D299" s="318"/>
      <c r="E299" s="318"/>
      <c r="F299" s="318"/>
      <c r="G299" s="318"/>
      <c r="H299" s="289" t="s">
        <v>71</v>
      </c>
      <c r="I299" s="231" t="s">
        <v>198</v>
      </c>
      <c r="J299" s="317"/>
      <c r="L299" s="317"/>
      <c r="M299" s="318"/>
      <c r="N299" s="318"/>
    </row>
    <row r="300" spans="1:14" x14ac:dyDescent="0.3">
      <c r="G300" s="174" t="s">
        <v>72</v>
      </c>
      <c r="H300" s="321">
        <f>IF(SUM(M312:M321)&gt;0,SUM(M312:M321)/'kt info'!$G$34,0)</f>
        <v>0</v>
      </c>
      <c r="I300" s="322">
        <f>H300*'kt info'!$G$34</f>
        <v>0</v>
      </c>
      <c r="J300" s="317"/>
      <c r="L300" s="317"/>
    </row>
    <row r="301" spans="1:14" x14ac:dyDescent="0.3">
      <c r="B301" s="323"/>
      <c r="G301" s="174" t="s">
        <v>161</v>
      </c>
      <c r="H301" s="324">
        <f>IF(SUM(K312:K321)&gt;0,SUM(K312:K321),0)</f>
        <v>0</v>
      </c>
      <c r="I301" s="325">
        <f>H301*'kt info'!$G$34</f>
        <v>0</v>
      </c>
      <c r="J301" s="317"/>
      <c r="L301" s="317"/>
    </row>
    <row r="302" spans="1:14" x14ac:dyDescent="0.3">
      <c r="B302" s="173" t="s">
        <v>226</v>
      </c>
      <c r="C302" s="497" t="str">
        <f>IF('kt info'!E34=0," ",'kt info'!E34)</f>
        <v xml:space="preserve"> </v>
      </c>
      <c r="G302" s="174" t="s">
        <v>73</v>
      </c>
      <c r="H302" s="324">
        <f>IF(SUM(E326:E345)&gt;0,SUM(E326:E345),0)</f>
        <v>0</v>
      </c>
      <c r="I302" s="325">
        <f>H302*'kt info'!$G$34</f>
        <v>0</v>
      </c>
      <c r="J302" s="317"/>
      <c r="L302" s="317"/>
    </row>
    <row r="303" spans="1:14" x14ac:dyDescent="0.3">
      <c r="G303" s="174" t="s">
        <v>74</v>
      </c>
      <c r="H303" s="324">
        <f>IF(SUM(L326:L335)&gt;0,SUM(L326:L335),0)</f>
        <v>0</v>
      </c>
      <c r="I303" s="325">
        <f>H303*'kt info'!$G$34</f>
        <v>0</v>
      </c>
      <c r="J303" s="317"/>
      <c r="L303" s="317"/>
    </row>
    <row r="304" spans="1:14" x14ac:dyDescent="0.3">
      <c r="B304" s="173" t="s">
        <v>91</v>
      </c>
      <c r="C304" s="327">
        <f>ROUND(IF(SUM(H301:H307)&gt;0,SUM(H301:H307),0),0)</f>
        <v>0</v>
      </c>
      <c r="G304" s="174" t="s">
        <v>82</v>
      </c>
      <c r="H304" s="324">
        <f>IF(SUM(J339:J343)&gt;0,SUM(L339:L343),0)</f>
        <v>0</v>
      </c>
      <c r="I304" s="325">
        <f>H304*'kt info'!$G$34</f>
        <v>0</v>
      </c>
      <c r="J304" s="311"/>
      <c r="K304" s="317"/>
    </row>
    <row r="305" spans="1:14" x14ac:dyDescent="0.3">
      <c r="G305" s="174" t="s">
        <v>173</v>
      </c>
      <c r="H305" s="324">
        <f>IF(SUM(I345:I346)=0,0,SUM(I345:I346))</f>
        <v>0</v>
      </c>
      <c r="I305" s="325">
        <f>H305*'kt info'!$G$34</f>
        <v>0</v>
      </c>
      <c r="K305" s="317"/>
    </row>
    <row r="306" spans="1:14" x14ac:dyDescent="0.3">
      <c r="B306" s="173" t="s">
        <v>227</v>
      </c>
      <c r="C306" s="327" t="str">
        <f>IF(C302=" "," ",C304/C302)</f>
        <v xml:space="preserve"> </v>
      </c>
      <c r="G306" s="174" t="s">
        <v>80</v>
      </c>
      <c r="H306" s="324">
        <f>($H$301+$H$302+$H$303+$H$304+$H$305)*'Overhead &amp; Margin'!$D$10/(1-('Overhead &amp; Margin'!$D$10))</f>
        <v>0</v>
      </c>
      <c r="I306" s="325">
        <f>H306*'kt info'!$G$34</f>
        <v>0</v>
      </c>
      <c r="K306" s="317"/>
    </row>
    <row r="307" spans="1:14" x14ac:dyDescent="0.3">
      <c r="G307" s="174" t="s">
        <v>81</v>
      </c>
      <c r="H307" s="324">
        <f>($H$301+$H$302+$H$303+$H$304+$H$305+$H$306)*'Overhead &amp; Margin'!$G$10/(1-('Overhead &amp; Margin'!$G$10))</f>
        <v>0</v>
      </c>
      <c r="I307" s="325">
        <f>H307*'kt info'!$G$34</f>
        <v>0</v>
      </c>
    </row>
    <row r="308" spans="1:14" x14ac:dyDescent="0.3">
      <c r="M308" s="577" t="str">
        <f>'kt info'!$B$12</f>
        <v>Form date: 2/20/26</v>
      </c>
    </row>
    <row r="309" spans="1:14" ht="15" thickBot="1" x14ac:dyDescent="0.35">
      <c r="B309" s="328" t="s">
        <v>97</v>
      </c>
    </row>
    <row r="310" spans="1:14" x14ac:dyDescent="0.3">
      <c r="B310" s="83" t="s">
        <v>13</v>
      </c>
      <c r="C310" s="329" t="s">
        <v>14</v>
      </c>
      <c r="D310" s="330" t="s">
        <v>20</v>
      </c>
      <c r="E310" s="330" t="s">
        <v>15</v>
      </c>
      <c r="F310" s="780" t="s">
        <v>17</v>
      </c>
      <c r="G310" s="780"/>
      <c r="H310" s="331" t="s">
        <v>18</v>
      </c>
      <c r="I310" s="330" t="s">
        <v>16</v>
      </c>
      <c r="J310" s="330" t="s">
        <v>19</v>
      </c>
      <c r="K310" s="330" t="s">
        <v>71</v>
      </c>
      <c r="L310" s="332" t="s">
        <v>21</v>
      </c>
      <c r="M310" s="4" t="s">
        <v>22</v>
      </c>
      <c r="N310" s="4" t="s">
        <v>0</v>
      </c>
    </row>
    <row r="311" spans="1:14" ht="15" thickBot="1" x14ac:dyDescent="0.35">
      <c r="B311" s="22" t="s">
        <v>253</v>
      </c>
      <c r="C311" s="333" t="s">
        <v>23</v>
      </c>
      <c r="D311" s="334" t="s">
        <v>28</v>
      </c>
      <c r="E311" s="334" t="s">
        <v>24</v>
      </c>
      <c r="F311" s="781" t="s">
        <v>25</v>
      </c>
      <c r="G311" s="781"/>
      <c r="H311" s="335" t="s">
        <v>26</v>
      </c>
      <c r="I311" s="334"/>
      <c r="J311" s="334" t="s">
        <v>33</v>
      </c>
      <c r="K311" s="334" t="s">
        <v>161</v>
      </c>
      <c r="L311" s="336" t="s">
        <v>0</v>
      </c>
      <c r="M311" s="5" t="s">
        <v>0</v>
      </c>
      <c r="N311" s="5" t="s">
        <v>71</v>
      </c>
    </row>
    <row r="312" spans="1:14" x14ac:dyDescent="0.3">
      <c r="A312" s="98">
        <v>1</v>
      </c>
      <c r="B312" s="454"/>
      <c r="C312" s="338"/>
      <c r="D312" s="339" t="str">
        <f>IF(B312=0," ",'kt info'!$G$34)</f>
        <v xml:space="preserve"> </v>
      </c>
      <c r="E312" s="340" t="str">
        <f>IF(B312=0," ",VLOOKUP(B312,WageBeneTable5[#All],2,FALSE))</f>
        <v xml:space="preserve"> </v>
      </c>
      <c r="F312" s="782">
        <f>IF($E312=" ",0,'Pay &amp; Benefits'!$C$10)</f>
        <v>0</v>
      </c>
      <c r="G312" s="783"/>
      <c r="H312" s="341" t="str">
        <f>IF($E312=" "," ",'Pay &amp; Benefits'!$C$11)</f>
        <v xml:space="preserve"> </v>
      </c>
      <c r="I312" s="342" t="str">
        <f t="shared" ref="I312:I321" si="33">IF(E312=" "," ",0.0765)</f>
        <v xml:space="preserve"> </v>
      </c>
      <c r="J312" s="343" t="str">
        <f>IF(B312=0," ",VLOOKUP(B312,WageBeneTable5[#All],3,FALSE))</f>
        <v xml:space="preserve"> </v>
      </c>
      <c r="K312" s="340" t="str">
        <f t="shared" ref="K312:K321" si="34">IF(B312=0," ",C312*E312*(1+I312+F312+H312+J312))</f>
        <v xml:space="preserve"> </v>
      </c>
      <c r="L312" s="340">
        <f t="shared" ref="L312:L321" si="35">IF(K312=" ",0,K312*D312)</f>
        <v>0</v>
      </c>
      <c r="M312" s="344">
        <f t="shared" ref="M312:M321" si="36">IF(B312=0,0,C312*D312)</f>
        <v>0</v>
      </c>
      <c r="N312" s="345">
        <f t="shared" ref="N312:N321" si="37">IF(L312=0,0,IF(D312=0,0,L312/D312))</f>
        <v>0</v>
      </c>
    </row>
    <row r="313" spans="1:14" x14ac:dyDescent="0.3">
      <c r="A313" s="98">
        <v>2</v>
      </c>
      <c r="B313" s="417"/>
      <c r="C313" s="347"/>
      <c r="D313" s="339" t="str">
        <f>IF(B313=0," ",'kt info'!$G$34)</f>
        <v xml:space="preserve"> </v>
      </c>
      <c r="E313" s="348" t="str">
        <f>IF(B313=0," ",VLOOKUP(B313,WageBeneTable5[#All],2,FALSE))</f>
        <v xml:space="preserve"> </v>
      </c>
      <c r="F313" s="784">
        <f>IF($E313=" ",0,'Pay &amp; Benefits'!$C$10)</f>
        <v>0</v>
      </c>
      <c r="G313" s="785"/>
      <c r="H313" s="349" t="str">
        <f>IF($E313=" "," ",'Pay &amp; Benefits'!$C$11)</f>
        <v xml:space="preserve"> </v>
      </c>
      <c r="I313" s="350" t="str">
        <f t="shared" si="33"/>
        <v xml:space="preserve"> </v>
      </c>
      <c r="J313" s="351" t="str">
        <f>IF(B313=0," ",VLOOKUP(B313,WageBeneTable5[#All],3,FALSE))</f>
        <v xml:space="preserve"> </v>
      </c>
      <c r="K313" s="348" t="str">
        <f t="shared" si="34"/>
        <v xml:space="preserve"> </v>
      </c>
      <c r="L313" s="348">
        <f t="shared" si="35"/>
        <v>0</v>
      </c>
      <c r="M313" s="352">
        <f t="shared" si="36"/>
        <v>0</v>
      </c>
      <c r="N313" s="353">
        <f t="shared" si="37"/>
        <v>0</v>
      </c>
    </row>
    <row r="314" spans="1:14" x14ac:dyDescent="0.3">
      <c r="A314" s="98">
        <v>3</v>
      </c>
      <c r="B314" s="417"/>
      <c r="C314" s="347"/>
      <c r="D314" s="339" t="str">
        <f>IF(B314=0," ",'kt info'!$G$34)</f>
        <v xml:space="preserve"> </v>
      </c>
      <c r="E314" s="348" t="str">
        <f>IF(B314=0," ",VLOOKUP(B314,WageBeneTable5[#All],2,FALSE))</f>
        <v xml:space="preserve"> </v>
      </c>
      <c r="F314" s="784">
        <f>IF($E314=" ",0,'Pay &amp; Benefits'!$C$10)</f>
        <v>0</v>
      </c>
      <c r="G314" s="785"/>
      <c r="H314" s="349" t="str">
        <f>IF($E314=" "," ",'Pay &amp; Benefits'!$C$11)</f>
        <v xml:space="preserve"> </v>
      </c>
      <c r="I314" s="350" t="str">
        <f t="shared" si="33"/>
        <v xml:space="preserve"> </v>
      </c>
      <c r="J314" s="351" t="str">
        <f>IF(B314=0," ",VLOOKUP(B314,WageBeneTable5[#All],3,FALSE))</f>
        <v xml:space="preserve"> </v>
      </c>
      <c r="K314" s="348" t="str">
        <f t="shared" si="34"/>
        <v xml:space="preserve"> </v>
      </c>
      <c r="L314" s="348">
        <f t="shared" si="35"/>
        <v>0</v>
      </c>
      <c r="M314" s="352">
        <f t="shared" si="36"/>
        <v>0</v>
      </c>
      <c r="N314" s="353">
        <f t="shared" si="37"/>
        <v>0</v>
      </c>
    </row>
    <row r="315" spans="1:14" x14ac:dyDescent="0.3">
      <c r="A315" s="98">
        <v>4</v>
      </c>
      <c r="B315" s="417"/>
      <c r="C315" s="347"/>
      <c r="D315" s="339" t="str">
        <f>IF(B315=0," ",'kt info'!$G$34)</f>
        <v xml:space="preserve"> </v>
      </c>
      <c r="E315" s="348" t="str">
        <f>IF(B315=0," ",VLOOKUP(B315,WageBeneTable5[#All],2,FALSE))</f>
        <v xml:space="preserve"> </v>
      </c>
      <c r="F315" s="784">
        <f>IF($E315=" ",0,'Pay &amp; Benefits'!$C$10)</f>
        <v>0</v>
      </c>
      <c r="G315" s="785"/>
      <c r="H315" s="349" t="str">
        <f>IF($E315=" "," ",'Pay &amp; Benefits'!$C$11)</f>
        <v xml:space="preserve"> </v>
      </c>
      <c r="I315" s="350" t="str">
        <f t="shared" si="33"/>
        <v xml:space="preserve"> </v>
      </c>
      <c r="J315" s="351" t="str">
        <f>IF(B315=0," ",VLOOKUP(B315,WageBeneTable5[#All],3,FALSE))</f>
        <v xml:space="preserve"> </v>
      </c>
      <c r="K315" s="348" t="str">
        <f t="shared" si="34"/>
        <v xml:space="preserve"> </v>
      </c>
      <c r="L315" s="348">
        <f t="shared" si="35"/>
        <v>0</v>
      </c>
      <c r="M315" s="352">
        <f t="shared" si="36"/>
        <v>0</v>
      </c>
      <c r="N315" s="353">
        <f t="shared" si="37"/>
        <v>0</v>
      </c>
    </row>
    <row r="316" spans="1:14" ht="15" thickBot="1" x14ac:dyDescent="0.35">
      <c r="A316" s="98">
        <v>5</v>
      </c>
      <c r="B316" s="419"/>
      <c r="C316" s="355"/>
      <c r="D316" s="356" t="str">
        <f>IF(B316=0," ",'kt info'!$G$34)</f>
        <v xml:space="preserve"> </v>
      </c>
      <c r="E316" s="357" t="str">
        <f>IF(B316=0," ",VLOOKUP(B316,WageBeneTable5[#All],2,FALSE))</f>
        <v xml:space="preserve"> </v>
      </c>
      <c r="F316" s="776">
        <f>IF($E316=" ",0,'Pay &amp; Benefits'!$C$10)</f>
        <v>0</v>
      </c>
      <c r="G316" s="777"/>
      <c r="H316" s="358" t="str">
        <f>IF($E316=" "," ",'Pay &amp; Benefits'!$C$11)</f>
        <v xml:space="preserve"> </v>
      </c>
      <c r="I316" s="359" t="str">
        <f t="shared" si="33"/>
        <v xml:space="preserve"> </v>
      </c>
      <c r="J316" s="360" t="str">
        <f>IF(B316=0," ",VLOOKUP(B316,WageBeneTable5[#All],3,FALSE))</f>
        <v xml:space="preserve"> </v>
      </c>
      <c r="K316" s="357" t="str">
        <f t="shared" si="34"/>
        <v xml:space="preserve"> </v>
      </c>
      <c r="L316" s="357">
        <f t="shared" si="35"/>
        <v>0</v>
      </c>
      <c r="M316" s="361">
        <f t="shared" si="36"/>
        <v>0</v>
      </c>
      <c r="N316" s="362">
        <f t="shared" si="37"/>
        <v>0</v>
      </c>
    </row>
    <row r="317" spans="1:14" x14ac:dyDescent="0.3">
      <c r="A317" s="98">
        <v>6</v>
      </c>
      <c r="B317" s="454"/>
      <c r="C317" s="363"/>
      <c r="D317" s="364" t="str">
        <f>IF(B317=0," ",'kt info'!$G$34)</f>
        <v xml:space="preserve"> </v>
      </c>
      <c r="E317" s="365" t="str">
        <f>IF(B317=0," ",VLOOKUP(B317,WageBeneTable5[#All],2,FALSE))</f>
        <v xml:space="preserve"> </v>
      </c>
      <c r="F317" s="782">
        <f>IF($E317=" ",0,'Pay &amp; Benefits'!$C$10)</f>
        <v>0</v>
      </c>
      <c r="G317" s="783"/>
      <c r="H317" s="366" t="str">
        <f>IF($E317=" "," ",'Pay &amp; Benefits'!$C$11)</f>
        <v xml:space="preserve"> </v>
      </c>
      <c r="I317" s="367" t="str">
        <f t="shared" si="33"/>
        <v xml:space="preserve"> </v>
      </c>
      <c r="J317" s="368" t="str">
        <f>IF(B317=0," ",VLOOKUP(B317,WageBeneTable5[#All],3,FALSE))</f>
        <v xml:space="preserve"> </v>
      </c>
      <c r="K317" s="365" t="str">
        <f t="shared" si="34"/>
        <v xml:space="preserve"> </v>
      </c>
      <c r="L317" s="365">
        <f t="shared" si="35"/>
        <v>0</v>
      </c>
      <c r="M317" s="369">
        <f t="shared" si="36"/>
        <v>0</v>
      </c>
      <c r="N317" s="370">
        <f t="shared" si="37"/>
        <v>0</v>
      </c>
    </row>
    <row r="318" spans="1:14" x14ac:dyDescent="0.3">
      <c r="A318" s="98">
        <v>7</v>
      </c>
      <c r="B318" s="417"/>
      <c r="C318" s="347"/>
      <c r="D318" s="364" t="str">
        <f>IF(B318=0," ",'kt info'!$G$34)</f>
        <v xml:space="preserve"> </v>
      </c>
      <c r="E318" s="365" t="str">
        <f>IF(B318=0," ",VLOOKUP(B318,WageBeneTable5[#All],2,FALSE))</f>
        <v xml:space="preserve"> </v>
      </c>
      <c r="F318" s="784">
        <f>IF($E318=" ",0,'Pay &amp; Benefits'!$C$10)</f>
        <v>0</v>
      </c>
      <c r="G318" s="785"/>
      <c r="H318" s="366" t="str">
        <f>IF($E318=" "," ",'Pay &amp; Benefits'!$C$11)</f>
        <v xml:space="preserve"> </v>
      </c>
      <c r="I318" s="367" t="str">
        <f t="shared" si="33"/>
        <v xml:space="preserve"> </v>
      </c>
      <c r="J318" s="368" t="str">
        <f>IF(B318=0," ",VLOOKUP(B318,WageBeneTable5[#All],3,FALSE))</f>
        <v xml:space="preserve"> </v>
      </c>
      <c r="K318" s="365" t="str">
        <f t="shared" si="34"/>
        <v xml:space="preserve"> </v>
      </c>
      <c r="L318" s="365">
        <f t="shared" si="35"/>
        <v>0</v>
      </c>
      <c r="M318" s="369">
        <f t="shared" si="36"/>
        <v>0</v>
      </c>
      <c r="N318" s="370">
        <f t="shared" si="37"/>
        <v>0</v>
      </c>
    </row>
    <row r="319" spans="1:14" x14ac:dyDescent="0.3">
      <c r="A319" s="98">
        <v>8</v>
      </c>
      <c r="B319" s="417"/>
      <c r="C319" s="347"/>
      <c r="D319" s="364" t="str">
        <f>IF(B319=0," ",'kt info'!$G$34)</f>
        <v xml:space="preserve"> </v>
      </c>
      <c r="E319" s="365" t="str">
        <f>IF(B319=0," ",VLOOKUP(B319,WageBeneTable5[#All],2,FALSE))</f>
        <v xml:space="preserve"> </v>
      </c>
      <c r="F319" s="784">
        <f>IF($E319=" ",0,'Pay &amp; Benefits'!$C$10)</f>
        <v>0</v>
      </c>
      <c r="G319" s="785"/>
      <c r="H319" s="366" t="str">
        <f>IF($E319=" "," ",'Pay &amp; Benefits'!$C$11)</f>
        <v xml:space="preserve"> </v>
      </c>
      <c r="I319" s="367" t="str">
        <f t="shared" si="33"/>
        <v xml:space="preserve"> </v>
      </c>
      <c r="J319" s="368" t="str">
        <f>IF(B319=0," ",VLOOKUP(B319,WageBeneTable5[#All],3,FALSE))</f>
        <v xml:space="preserve"> </v>
      </c>
      <c r="K319" s="365" t="str">
        <f t="shared" si="34"/>
        <v xml:space="preserve"> </v>
      </c>
      <c r="L319" s="365">
        <f t="shared" si="35"/>
        <v>0</v>
      </c>
      <c r="M319" s="369">
        <f t="shared" si="36"/>
        <v>0</v>
      </c>
      <c r="N319" s="370">
        <f t="shared" si="37"/>
        <v>0</v>
      </c>
    </row>
    <row r="320" spans="1:14" x14ac:dyDescent="0.3">
      <c r="A320" s="98">
        <v>9</v>
      </c>
      <c r="B320" s="417"/>
      <c r="C320" s="347"/>
      <c r="D320" s="364" t="str">
        <f>IF(B320=0," ",'kt info'!$G$34)</f>
        <v xml:space="preserve"> </v>
      </c>
      <c r="E320" s="365" t="str">
        <f>IF(B320=0," ",VLOOKUP(B320,WageBeneTable5[#All],2,FALSE))</f>
        <v xml:space="preserve"> </v>
      </c>
      <c r="F320" s="784">
        <f>IF($E320=" ",0,'Pay &amp; Benefits'!$C$10)</f>
        <v>0</v>
      </c>
      <c r="G320" s="785"/>
      <c r="H320" s="366" t="str">
        <f>IF($E320=" "," ",'Pay &amp; Benefits'!$C$11)</f>
        <v xml:space="preserve"> </v>
      </c>
      <c r="I320" s="367" t="str">
        <f t="shared" si="33"/>
        <v xml:space="preserve"> </v>
      </c>
      <c r="J320" s="368" t="str">
        <f>IF(B320=0," ",VLOOKUP(B320,WageBeneTable5[#All],3,FALSE))</f>
        <v xml:space="preserve"> </v>
      </c>
      <c r="K320" s="365" t="str">
        <f t="shared" si="34"/>
        <v xml:space="preserve"> </v>
      </c>
      <c r="L320" s="365">
        <f t="shared" si="35"/>
        <v>0</v>
      </c>
      <c r="M320" s="369">
        <f t="shared" si="36"/>
        <v>0</v>
      </c>
      <c r="N320" s="370">
        <f t="shared" si="37"/>
        <v>0</v>
      </c>
    </row>
    <row r="321" spans="1:14" ht="15" thickBot="1" x14ac:dyDescent="0.35">
      <c r="A321" s="98">
        <v>10</v>
      </c>
      <c r="B321" s="419"/>
      <c r="C321" s="355"/>
      <c r="D321" s="356" t="str">
        <f>IF(B321=0," ",'kt info'!$G$34)</f>
        <v xml:space="preserve"> </v>
      </c>
      <c r="E321" s="357" t="str">
        <f>IF(B321=0," ",VLOOKUP(B321,WageBeneTable5[#All],2,FALSE))</f>
        <v xml:space="preserve"> </v>
      </c>
      <c r="F321" s="776">
        <f>IF($E321=" ",0,'Pay &amp; Benefits'!$C$10)</f>
        <v>0</v>
      </c>
      <c r="G321" s="777"/>
      <c r="H321" s="358" t="str">
        <f>IF($E321=" "," ",'Pay &amp; Benefits'!$C$11)</f>
        <v xml:space="preserve"> </v>
      </c>
      <c r="I321" s="359" t="str">
        <f t="shared" si="33"/>
        <v xml:space="preserve"> </v>
      </c>
      <c r="J321" s="360" t="str">
        <f>IF(B321=0," ",VLOOKUP(B321,WageBeneTable5[#All],3,FALSE))</f>
        <v xml:space="preserve"> </v>
      </c>
      <c r="K321" s="357" t="str">
        <f t="shared" si="34"/>
        <v xml:space="preserve"> </v>
      </c>
      <c r="L321" s="357">
        <f t="shared" si="35"/>
        <v>0</v>
      </c>
      <c r="M321" s="361">
        <f t="shared" si="36"/>
        <v>0</v>
      </c>
      <c r="N321" s="362">
        <f t="shared" si="37"/>
        <v>0</v>
      </c>
    </row>
    <row r="322" spans="1:14" x14ac:dyDescent="0.3">
      <c r="K322" s="371"/>
      <c r="L322" s="372"/>
      <c r="M322" s="373"/>
    </row>
    <row r="323" spans="1:14" ht="15" thickBot="1" x14ac:dyDescent="0.35">
      <c r="B323" s="374" t="s">
        <v>175</v>
      </c>
      <c r="E323" s="375"/>
      <c r="H323" s="775" t="s">
        <v>171</v>
      </c>
      <c r="I323" s="772"/>
      <c r="M323" s="455"/>
      <c r="N323" s="98"/>
    </row>
    <row r="324" spans="1:14" x14ac:dyDescent="0.3">
      <c r="B324" s="32" t="s">
        <v>115</v>
      </c>
      <c r="C324" s="378" t="s">
        <v>199</v>
      </c>
      <c r="D324" s="379" t="s">
        <v>4</v>
      </c>
      <c r="E324" s="380" t="s">
        <v>76</v>
      </c>
      <c r="H324" s="290" t="s">
        <v>10</v>
      </c>
      <c r="I324" s="4" t="s">
        <v>78</v>
      </c>
      <c r="J324" s="4" t="s">
        <v>11</v>
      </c>
      <c r="K324" s="4" t="s">
        <v>201</v>
      </c>
      <c r="L324" s="4" t="s">
        <v>76</v>
      </c>
      <c r="M324" s="456"/>
      <c r="N324" s="457"/>
    </row>
    <row r="325" spans="1:14" ht="15" thickBot="1" x14ac:dyDescent="0.35">
      <c r="B325" s="33" t="s">
        <v>116</v>
      </c>
      <c r="C325" s="381" t="s">
        <v>77</v>
      </c>
      <c r="D325" s="382" t="s">
        <v>5</v>
      </c>
      <c r="E325" s="383" t="s">
        <v>77</v>
      </c>
      <c r="H325" s="291" t="s">
        <v>8</v>
      </c>
      <c r="I325" s="5" t="s">
        <v>79</v>
      </c>
      <c r="J325" s="5" t="s">
        <v>12</v>
      </c>
      <c r="K325" s="5" t="s">
        <v>7</v>
      </c>
      <c r="L325" s="5" t="s">
        <v>77</v>
      </c>
      <c r="M325" s="458"/>
      <c r="N325" s="459"/>
    </row>
    <row r="326" spans="1:14" x14ac:dyDescent="0.3">
      <c r="A326" s="98">
        <v>1</v>
      </c>
      <c r="B326" s="454"/>
      <c r="C326" s="386"/>
      <c r="D326" s="387">
        <f>IF(B326=0,0,VLOOKUP(B326,Supplies!$B$13:$C$97,2,FALSE))</f>
        <v>0</v>
      </c>
      <c r="E326" s="340">
        <f>IF(D326=" "," ",D326*C326)</f>
        <v>0</v>
      </c>
      <c r="G326" s="98">
        <v>1</v>
      </c>
      <c r="H326" s="388"/>
      <c r="I326" s="389"/>
      <c r="J326" s="390"/>
      <c r="K326" s="312" t="str">
        <f>IF(H326=0," ",IF(VLOOKUP(H326,'Equipment List'!$B$12:$F$96,5,FALSE)=0,0,IF(VLOOKUP(H326,'Equipment List'!$B$12:$F$96,5,FALSE)="Grant","Grant",IF(VLOOKUP(H326,'Equipment List'!$B$12:$F$96,5,FALSE)="Depreciated","Depreciated",VLOOKUP(H326,'Equipment List'!$B$12:$F$96,5,FALSE)*I326*J326))))</f>
        <v xml:space="preserve"> </v>
      </c>
      <c r="L326" s="345" t="str">
        <f>IF(K326=" "," ",IF(K326="Grant",0,IF(K326="Depreciated",0,IF('kt info'!$G$34=0,"No Service Frequency",K326/'kt info'!$G$34))))</f>
        <v xml:space="preserve"> </v>
      </c>
      <c r="M326" s="460"/>
      <c r="N326" s="384"/>
    </row>
    <row r="327" spans="1:14" x14ac:dyDescent="0.3">
      <c r="A327" s="98">
        <v>2</v>
      </c>
      <c r="B327" s="417"/>
      <c r="C327" s="394"/>
      <c r="D327" s="395">
        <f>IF(B327=0,0,VLOOKUP(B327,Supplies!$B$13:$C$97,2,FALSE))</f>
        <v>0</v>
      </c>
      <c r="E327" s="365">
        <f t="shared" ref="E327:E341" si="38">IF(D327=" "," ",D327*C327)</f>
        <v>0</v>
      </c>
      <c r="G327" s="98">
        <v>2</v>
      </c>
      <c r="H327" s="396"/>
      <c r="I327" s="397"/>
      <c r="J327" s="398"/>
      <c r="K327" s="401" t="str">
        <f>IF(H327=0," ",IF(VLOOKUP(H327,'Equipment List'!$B$12:$F$96,5,FALSE)=0,0,IF(VLOOKUP(H327,'Equipment List'!$B$12:$F$96,5,FALSE)="Grant","Grant",IF(VLOOKUP(H327,'Equipment List'!$B$12:$F$96,5,FALSE)="Depreciated","Depreciated",VLOOKUP(H327,'Equipment List'!$B$12:$F$96,5,FALSE)*I327*J327))))</f>
        <v xml:space="preserve"> </v>
      </c>
      <c r="L327" s="370" t="str">
        <f>IF(K327=" "," ",IF(K327="Grant",0,IF(K327="Depreciated",0,IF('kt info'!$G$34=0,"No Service Frequency",K327/'kt info'!$G$34))))</f>
        <v xml:space="preserve"> </v>
      </c>
    </row>
    <row r="328" spans="1:14" x14ac:dyDescent="0.3">
      <c r="A328" s="98">
        <v>3</v>
      </c>
      <c r="B328" s="417"/>
      <c r="C328" s="394"/>
      <c r="D328" s="395">
        <f>IF(B328=0,0,VLOOKUP(B328,Supplies!$B$13:$C$97,2,FALSE))</f>
        <v>0</v>
      </c>
      <c r="E328" s="365">
        <f t="shared" si="38"/>
        <v>0</v>
      </c>
      <c r="G328" s="98">
        <v>3</v>
      </c>
      <c r="H328" s="396"/>
      <c r="I328" s="397"/>
      <c r="J328" s="398"/>
      <c r="K328" s="401" t="str">
        <f>IF(H328=0," ",IF(VLOOKUP(H328,'Equipment List'!$B$12:$F$96,5,FALSE)=0,0,IF(VLOOKUP(H328,'Equipment List'!$B$12:$F$96,5,FALSE)="Grant","Grant",IF(VLOOKUP(H328,'Equipment List'!$B$12:$F$96,5,FALSE)="Depreciated","Depreciated",VLOOKUP(H328,'Equipment List'!$B$12:$F$96,5,FALSE)*I328*J328))))</f>
        <v xml:space="preserve"> </v>
      </c>
      <c r="L328" s="370" t="str">
        <f>IF(K328=" "," ",IF(K328="Grant",0,IF(K328="Depreciated",0,IF('kt info'!$G$34=0,"No Service Frequency",K328/'kt info'!$G$34))))</f>
        <v xml:space="preserve"> </v>
      </c>
    </row>
    <row r="329" spans="1:14" x14ac:dyDescent="0.3">
      <c r="A329" s="98">
        <v>4</v>
      </c>
      <c r="B329" s="417"/>
      <c r="C329" s="394"/>
      <c r="D329" s="395">
        <f>IF(B329=0,0,VLOOKUP(B329,Supplies!$B$13:$C$97,2,FALSE))</f>
        <v>0</v>
      </c>
      <c r="E329" s="365">
        <f t="shared" si="38"/>
        <v>0</v>
      </c>
      <c r="G329" s="98">
        <v>4</v>
      </c>
      <c r="H329" s="396"/>
      <c r="I329" s="397"/>
      <c r="J329" s="398"/>
      <c r="K329" s="401" t="str">
        <f>IF(H329=0," ",IF(VLOOKUP(H329,'Equipment List'!$B$12:$F$96,5,FALSE)=0,0,IF(VLOOKUP(H329,'Equipment List'!$B$12:$F$96,5,FALSE)="Grant","Grant",IF(VLOOKUP(H329,'Equipment List'!$B$12:$F$96,5,FALSE)="Depreciated","Depreciated",VLOOKUP(H329,'Equipment List'!$B$12:$F$96,5,FALSE)*I329*J329))))</f>
        <v xml:space="preserve"> </v>
      </c>
      <c r="L329" s="370" t="str">
        <f>IF(K329=" "," ",IF(K329="Grant",0,IF(K329="Depreciated",0,IF('kt info'!$G$34=0,"No Service Frequency",K329/'kt info'!$G$34))))</f>
        <v xml:space="preserve"> </v>
      </c>
    </row>
    <row r="330" spans="1:14" ht="15" thickBot="1" x14ac:dyDescent="0.35">
      <c r="A330" s="98">
        <v>5</v>
      </c>
      <c r="B330" s="419"/>
      <c r="C330" s="403"/>
      <c r="D330" s="404">
        <f>IF(B330=0,0,VLOOKUP(B330,Supplies!$B$13:$C$97,2,FALSE))</f>
        <v>0</v>
      </c>
      <c r="E330" s="357">
        <f t="shared" si="38"/>
        <v>0</v>
      </c>
      <c r="G330" s="98">
        <v>5</v>
      </c>
      <c r="H330" s="405"/>
      <c r="I330" s="406"/>
      <c r="J330" s="407"/>
      <c r="K330" s="408" t="str">
        <f>IF(H330=0," ",IF(VLOOKUP(H330,'Equipment List'!$B$12:$F$96,5,FALSE)=0,0,IF(VLOOKUP(H330,'Equipment List'!$B$12:$F$96,5,FALSE)="Grant","Grant",IF(VLOOKUP(H330,'Equipment List'!$B$12:$F$96,5,FALSE)="Depreciated","Depreciated",VLOOKUP(H330,'Equipment List'!$B$12:$F$96,5,FALSE)*I330*J330))))</f>
        <v xml:space="preserve"> </v>
      </c>
      <c r="L330" s="362" t="str">
        <f>IF(K330=" "," ",IF(K330="Grant",0,IF(K330="Depreciated",0,IF('kt info'!$G$34=0,"No Service Frequency",K330/'kt info'!$G$34))))</f>
        <v xml:space="preserve"> </v>
      </c>
    </row>
    <row r="331" spans="1:14" x14ac:dyDescent="0.3">
      <c r="A331" s="98">
        <v>6</v>
      </c>
      <c r="B331" s="413"/>
      <c r="C331" s="411"/>
      <c r="D331" s="412">
        <f>IF(B331=0,0,VLOOKUP(B331,Supplies!$B$13:$C$97,2,FALSE))</f>
        <v>0</v>
      </c>
      <c r="E331" s="365">
        <f t="shared" si="38"/>
        <v>0</v>
      </c>
      <c r="G331" s="98">
        <v>6</v>
      </c>
      <c r="H331" s="413"/>
      <c r="I331" s="414"/>
      <c r="J331" s="415"/>
      <c r="K331" s="416" t="str">
        <f>IF(H331=0," ",IF(VLOOKUP(H331,'Equipment List'!$B$12:$F$96,5,FALSE)=0,0,IF(VLOOKUP(H331,'Equipment List'!$B$12:$F$96,5,FALSE)="Grant","Grant",IF(VLOOKUP(H331,'Equipment List'!$B$12:$F$96,5,FALSE)="Depreciated","Depreciated",VLOOKUP(H331,'Equipment List'!$B$12:$F$96,5,FALSE)*I331*J331))))</f>
        <v xml:space="preserve"> </v>
      </c>
      <c r="L331" s="370" t="str">
        <f>IF(K331=" "," ",IF(K331="Grant",0,IF(K331="Depreciated",0,IF('kt info'!$G$34=0,"No Service Frequency",K331/'kt info'!$G$34))))</f>
        <v xml:space="preserve"> </v>
      </c>
    </row>
    <row r="332" spans="1:14" x14ac:dyDescent="0.3">
      <c r="A332" s="98">
        <v>7</v>
      </c>
      <c r="B332" s="417"/>
      <c r="C332" s="394"/>
      <c r="D332" s="395">
        <f>IF(B332=0,0,VLOOKUP(B332,Supplies!$B$13:$C$97,2,FALSE))</f>
        <v>0</v>
      </c>
      <c r="E332" s="365">
        <f t="shared" si="38"/>
        <v>0</v>
      </c>
      <c r="G332" s="98">
        <v>7</v>
      </c>
      <c r="H332" s="417"/>
      <c r="I332" s="397"/>
      <c r="J332" s="398"/>
      <c r="K332" s="418" t="str">
        <f>IF(H332=0," ",IF(VLOOKUP(H332,'Equipment List'!$B$12:$F$96,5,FALSE)=0,0,IF(VLOOKUP(H332,'Equipment List'!$B$12:$F$96,5,FALSE)="Grant","Grant",IF(VLOOKUP(H332,'Equipment List'!$B$12:$F$96,5,FALSE)="Depreciated","Depreciated",VLOOKUP(H332,'Equipment List'!$B$12:$F$96,5,FALSE)*I332*J332))))</f>
        <v xml:space="preserve"> </v>
      </c>
      <c r="L332" s="370" t="str">
        <f>IF(K332=" "," ",IF(K332="Grant",0,IF(K332="Depreciated",0,IF('kt info'!$G$34=0,"No Service Frequency",K332/'kt info'!$G$34))))</f>
        <v xml:space="preserve"> </v>
      </c>
    </row>
    <row r="333" spans="1:14" x14ac:dyDescent="0.3">
      <c r="A333" s="98">
        <v>8</v>
      </c>
      <c r="B333" s="417"/>
      <c r="C333" s="394"/>
      <c r="D333" s="395">
        <f>IF(B333=0,0,VLOOKUP(B333,Supplies!$B$13:$C$97,2,FALSE))</f>
        <v>0</v>
      </c>
      <c r="E333" s="365">
        <f t="shared" si="38"/>
        <v>0</v>
      </c>
      <c r="G333" s="98">
        <v>8</v>
      </c>
      <c r="H333" s="417"/>
      <c r="I333" s="397"/>
      <c r="J333" s="398"/>
      <c r="K333" s="418" t="str">
        <f>IF(H333=0," ",IF(VLOOKUP(H333,'Equipment List'!$B$12:$F$96,5,FALSE)=0,0,IF(VLOOKUP(H333,'Equipment List'!$B$12:$F$96,5,FALSE)="Grant","Grant",IF(VLOOKUP(H333,'Equipment List'!$B$12:$F$96,5,FALSE)="Depreciated","Depreciated",VLOOKUP(H333,'Equipment List'!$B$12:$F$96,5,FALSE)*I333*J333))))</f>
        <v xml:space="preserve"> </v>
      </c>
      <c r="L333" s="370" t="str">
        <f>IF(K333=" "," ",IF(K333="Grant",0,IF(K333="Depreciated",0,IF('kt info'!$G$34=0,"No Service Frequency",K333/'kt info'!$G$34))))</f>
        <v xml:space="preserve"> </v>
      </c>
    </row>
    <row r="334" spans="1:14" x14ac:dyDescent="0.3">
      <c r="A334" s="98">
        <v>9</v>
      </c>
      <c r="B334" s="417"/>
      <c r="C334" s="394"/>
      <c r="D334" s="395">
        <f>IF(B334=0,0,VLOOKUP(B334,Supplies!$B$13:$C$97,2,FALSE))</f>
        <v>0</v>
      </c>
      <c r="E334" s="365">
        <f t="shared" si="38"/>
        <v>0</v>
      </c>
      <c r="G334" s="98">
        <v>9</v>
      </c>
      <c r="H334" s="417"/>
      <c r="I334" s="397"/>
      <c r="J334" s="398"/>
      <c r="K334" s="418" t="str">
        <f>IF(H334=0," ",IF(VLOOKUP(H334,'Equipment List'!$B$12:$F$96,5,FALSE)=0,0,IF(VLOOKUP(H334,'Equipment List'!$B$12:$F$96,5,FALSE)="Grant","Grant",IF(VLOOKUP(H334,'Equipment List'!$B$12:$F$96,5,FALSE)="Depreciated","Depreciated",VLOOKUP(H334,'Equipment List'!$B$12:$F$96,5,FALSE)*I334*J334))))</f>
        <v xml:space="preserve"> </v>
      </c>
      <c r="L334" s="370" t="str">
        <f>IF(K334=" "," ",IF(K334="Grant",0,IF(K334="Depreciated",0,IF('kt info'!$G$34=0,"No Service Frequency",K334/'kt info'!$G$34))))</f>
        <v xml:space="preserve"> </v>
      </c>
    </row>
    <row r="335" spans="1:14" ht="15" thickBot="1" x14ac:dyDescent="0.35">
      <c r="A335" s="98">
        <v>10</v>
      </c>
      <c r="B335" s="419"/>
      <c r="C335" s="403"/>
      <c r="D335" s="404">
        <f>IF(B335=0,0,VLOOKUP(B335,Supplies!$B$13:$C$97,2,FALSE))</f>
        <v>0</v>
      </c>
      <c r="E335" s="357">
        <f t="shared" si="38"/>
        <v>0</v>
      </c>
      <c r="G335" s="98">
        <v>10</v>
      </c>
      <c r="H335" s="419"/>
      <c r="I335" s="406"/>
      <c r="J335" s="407"/>
      <c r="K335" s="420" t="str">
        <f>IF(H335=0," ",IF(VLOOKUP(H335,'Equipment List'!$B$12:$F$96,5,FALSE)=0,0,IF(VLOOKUP(H335,'Equipment List'!$B$12:$F$96,5,FALSE)="Grant","Grant",IF(VLOOKUP(H335,'Equipment List'!$B$12:$F$96,5,FALSE)="Depreciated","Depreciated",VLOOKUP(H335,'Equipment List'!$B$12:$F$96,5,FALSE)*I335*J335))))</f>
        <v xml:space="preserve"> </v>
      </c>
      <c r="L335" s="362" t="str">
        <f>IF(K335=" "," ",IF(K335="Grant",0,IF(K335="Depreciated",0,IF('kt info'!$G$34=0,"No Service Frequency",K335/'kt info'!$G$34))))</f>
        <v xml:space="preserve"> </v>
      </c>
    </row>
    <row r="336" spans="1:14" x14ac:dyDescent="0.3">
      <c r="A336" s="98">
        <v>11</v>
      </c>
      <c r="B336" s="413"/>
      <c r="C336" s="411"/>
      <c r="D336" s="412">
        <f>IF(B336=0,0,VLOOKUP(B336,Supplies!$B$13:$C$97,2,FALSE))</f>
        <v>0</v>
      </c>
      <c r="E336" s="365">
        <f t="shared" si="38"/>
        <v>0</v>
      </c>
    </row>
    <row r="337" spans="1:14" ht="15" thickBot="1" x14ac:dyDescent="0.35">
      <c r="A337" s="98">
        <v>12</v>
      </c>
      <c r="B337" s="417"/>
      <c r="C337" s="394"/>
      <c r="D337" s="395">
        <f>IF(B337=0,0,VLOOKUP(B337,Supplies!$B$13:$C$97,2,FALSE))</f>
        <v>0</v>
      </c>
      <c r="E337" s="365">
        <f t="shared" si="38"/>
        <v>0</v>
      </c>
      <c r="H337" s="771" t="s">
        <v>172</v>
      </c>
      <c r="I337" s="772"/>
      <c r="J337" s="334"/>
      <c r="K337" s="334"/>
      <c r="L337" s="334"/>
      <c r="M337" s="334"/>
    </row>
    <row r="338" spans="1:14" x14ac:dyDescent="0.3">
      <c r="A338" s="98">
        <v>13</v>
      </c>
      <c r="B338" s="417"/>
      <c r="C338" s="394"/>
      <c r="D338" s="395">
        <f>IF(B338=0,0,VLOOKUP(B338,Supplies!$B$13:$C$97,2,FALSE))</f>
        <v>0</v>
      </c>
      <c r="E338" s="365">
        <f t="shared" si="38"/>
        <v>0</v>
      </c>
      <c r="H338" s="421" t="s">
        <v>145</v>
      </c>
      <c r="I338" s="4" t="s">
        <v>85</v>
      </c>
      <c r="J338" s="4" t="s">
        <v>249</v>
      </c>
      <c r="K338" s="330" t="s">
        <v>86</v>
      </c>
      <c r="L338" s="4" t="s">
        <v>7</v>
      </c>
      <c r="M338" s="4" t="s">
        <v>7</v>
      </c>
      <c r="N338" s="461"/>
    </row>
    <row r="339" spans="1:14" ht="15" thickBot="1" x14ac:dyDescent="0.35">
      <c r="A339" s="98">
        <v>14</v>
      </c>
      <c r="B339" s="417"/>
      <c r="C339" s="394"/>
      <c r="D339" s="395">
        <f>IF(B339=0,0,VLOOKUP(B339,Supplies!$B$13:$C$97,2,FALSE))</f>
        <v>0</v>
      </c>
      <c r="E339" s="365">
        <f t="shared" si="38"/>
        <v>0</v>
      </c>
      <c r="H339" s="292" t="s">
        <v>8</v>
      </c>
      <c r="I339" s="5" t="s">
        <v>250</v>
      </c>
      <c r="J339" s="5" t="s">
        <v>153</v>
      </c>
      <c r="K339" s="334" t="s">
        <v>87</v>
      </c>
      <c r="L339" s="5" t="s">
        <v>251</v>
      </c>
      <c r="M339" s="5" t="s">
        <v>200</v>
      </c>
      <c r="N339" s="461"/>
    </row>
    <row r="340" spans="1:14" ht="15" thickBot="1" x14ac:dyDescent="0.35">
      <c r="A340" s="98">
        <v>15</v>
      </c>
      <c r="B340" s="419"/>
      <c r="C340" s="422"/>
      <c r="D340" s="423">
        <f>IF(B340=0,0,VLOOKUP(B340,Supplies!$B$13:$C$97,2,FALSE))</f>
        <v>0</v>
      </c>
      <c r="E340" s="357">
        <f t="shared" si="38"/>
        <v>0</v>
      </c>
      <c r="G340" s="373"/>
      <c r="H340" s="250"/>
      <c r="I340" s="424"/>
      <c r="J340" s="425"/>
      <c r="K340" s="426">
        <f>IF(H340=0,0,VLOOKUP(H340,Transportation!$B$6:$L$16,11,FALSE))</f>
        <v>0</v>
      </c>
      <c r="L340" s="427">
        <f>IF(I340=0,0,I340*K340)</f>
        <v>0</v>
      </c>
      <c r="M340" s="428">
        <f>IF(I340=0,0,I340*K340*J340)</f>
        <v>0</v>
      </c>
      <c r="N340" s="467"/>
    </row>
    <row r="341" spans="1:14" ht="15" thickBot="1" x14ac:dyDescent="0.35">
      <c r="A341" s="98">
        <v>16</v>
      </c>
      <c r="B341" s="413"/>
      <c r="C341" s="429"/>
      <c r="D341" s="430">
        <f>IF(B341=0,0,VLOOKUP(B341,Supplies!$B$13:$C$97,2,FALSE))</f>
        <v>0</v>
      </c>
      <c r="E341" s="365">
        <f t="shared" si="38"/>
        <v>0</v>
      </c>
      <c r="H341" s="251"/>
      <c r="I341" s="431"/>
      <c r="J341" s="432"/>
      <c r="K341" s="433">
        <f>IF(H341=0,0,VLOOKUP(H341,Transportation!$B$6:$L$16,11,FALSE))</f>
        <v>0</v>
      </c>
      <c r="L341" s="434">
        <f>IF(I341=0,0,I341*K341)</f>
        <v>0</v>
      </c>
      <c r="M341" s="435">
        <f>IF(I341=0,0,I341*K341*J341)</f>
        <v>0</v>
      </c>
      <c r="N341" s="467"/>
    </row>
    <row r="342" spans="1:14" x14ac:dyDescent="0.3">
      <c r="A342" s="98">
        <v>17</v>
      </c>
      <c r="B342" s="417"/>
      <c r="C342" s="436"/>
      <c r="D342" s="437">
        <f>IF(B342=0,0,VLOOKUP(B342,Supplies!$B$13:$C$97,2,FALSE))</f>
        <v>0</v>
      </c>
      <c r="E342" s="365">
        <f>IF(D342=" "," ",D342*C342)</f>
        <v>0</v>
      </c>
      <c r="H342" s="252"/>
      <c r="I342" s="438"/>
      <c r="J342" s="439"/>
      <c r="K342" s="440"/>
      <c r="L342" s="440"/>
      <c r="M342" s="440"/>
      <c r="N342" s="463"/>
    </row>
    <row r="343" spans="1:14" ht="15" thickBot="1" x14ac:dyDescent="0.35">
      <c r="A343" s="98">
        <v>18</v>
      </c>
      <c r="B343" s="417"/>
      <c r="C343" s="436"/>
      <c r="D343" s="437">
        <f>IF(B343=0,0,VLOOKUP(B343,Supplies!$B$13:$C$97,2,FALSE))</f>
        <v>0</v>
      </c>
      <c r="E343" s="365">
        <f>IF(D343=" "," ",D343*C343)</f>
        <v>0</v>
      </c>
      <c r="H343" s="441" t="s">
        <v>173</v>
      </c>
      <c r="I343" s="442"/>
      <c r="J343" s="443"/>
      <c r="K343" s="444"/>
      <c r="L343" s="444"/>
      <c r="M343" s="444"/>
      <c r="N343" s="463"/>
    </row>
    <row r="344" spans="1:14" x14ac:dyDescent="0.3">
      <c r="A344" s="98">
        <v>19</v>
      </c>
      <c r="B344" s="417"/>
      <c r="C344" s="436"/>
      <c r="D344" s="437">
        <f>IF(B344=0,0,VLOOKUP(B344,Supplies!$B$13:$C$97,2,FALSE))</f>
        <v>0</v>
      </c>
      <c r="E344" s="365">
        <f>IF(D344=" "," ",D344*C344)</f>
        <v>0</v>
      </c>
      <c r="H344" s="445" t="s">
        <v>174</v>
      </c>
      <c r="I344" s="446" t="s">
        <v>176</v>
      </c>
      <c r="J344" s="443"/>
      <c r="K344" s="444"/>
      <c r="L344" s="444"/>
      <c r="M344" s="444"/>
      <c r="N344" s="463"/>
    </row>
    <row r="345" spans="1:14" ht="15" thickBot="1" x14ac:dyDescent="0.35">
      <c r="A345" s="98">
        <v>20</v>
      </c>
      <c r="B345" s="419"/>
      <c r="C345" s="422"/>
      <c r="D345" s="423">
        <f>IF(B345=0,0,VLOOKUP(B345,Supplies!$B$13:$C$97,2,FALSE))</f>
        <v>0</v>
      </c>
      <c r="E345" s="357">
        <f>IF(D345=" "," ",D345*C345)</f>
        <v>0</v>
      </c>
      <c r="H345" s="447"/>
      <c r="I345" s="464" t="str">
        <f>IF(H345=0," ",VLOOKUP(H345,Subcontractors!$B$15:$E$25,4))</f>
        <v xml:space="preserve"> </v>
      </c>
      <c r="J345" s="443"/>
      <c r="K345" s="444"/>
      <c r="L345" s="444"/>
      <c r="M345" s="444"/>
    </row>
    <row r="346" spans="1:14" ht="15" thickBot="1" x14ac:dyDescent="0.35">
      <c r="A346" s="98"/>
      <c r="B346" s="316"/>
      <c r="C346" s="465"/>
      <c r="D346" s="377"/>
      <c r="E346" s="377"/>
      <c r="H346" s="449"/>
      <c r="I346" s="466" t="str">
        <f>IF(H346=0," ",VLOOKUP(H346,Subcontractors!$B$15:$E$25,4))</f>
        <v xml:space="preserve"> </v>
      </c>
    </row>
    <row r="347" spans="1:14" x14ac:dyDescent="0.3">
      <c r="A347" s="98"/>
      <c r="B347" s="316"/>
      <c r="C347" s="465"/>
      <c r="D347" s="377"/>
      <c r="E347" s="377"/>
      <c r="H347" s="453"/>
      <c r="I347" s="384"/>
    </row>
    <row r="348" spans="1:14" ht="21" x14ac:dyDescent="0.3">
      <c r="A348" s="778" t="s">
        <v>163</v>
      </c>
      <c r="B348" s="792"/>
      <c r="C348" s="792"/>
      <c r="D348" s="792"/>
      <c r="E348" s="792"/>
      <c r="F348" s="792"/>
      <c r="G348" s="148" t="str">
        <f>B299</f>
        <v>Periodical Service 6</v>
      </c>
      <c r="H348" s="288"/>
      <c r="I348" s="147"/>
      <c r="J348" s="147"/>
      <c r="K348" s="147"/>
      <c r="L348" s="147"/>
      <c r="M348" s="147"/>
      <c r="N348" s="147"/>
    </row>
    <row r="349" spans="1:14" ht="18" x14ac:dyDescent="0.3">
      <c r="A349" s="778" t="s">
        <v>165</v>
      </c>
      <c r="B349" s="792"/>
      <c r="C349" s="792"/>
      <c r="D349" s="792"/>
      <c r="E349" s="792"/>
      <c r="F349" s="792"/>
      <c r="G349" s="148" t="str">
        <f>B357</f>
        <v>Periodical Service 7</v>
      </c>
      <c r="H349" s="288"/>
      <c r="I349" s="148"/>
      <c r="J349" s="148"/>
      <c r="K349" s="148"/>
      <c r="L349" s="148"/>
      <c r="M349" s="148"/>
      <c r="N349" s="148"/>
    </row>
    <row r="351" spans="1:14" x14ac:dyDescent="0.3">
      <c r="B351" s="218" t="s">
        <v>102</v>
      </c>
      <c r="C351" s="701">
        <f>'kt info'!$C$3</f>
        <v>0</v>
      </c>
      <c r="D351" s="790"/>
      <c r="E351" s="790"/>
      <c r="F351" s="791"/>
      <c r="H351" s="314"/>
      <c r="J351" s="793"/>
      <c r="K351" s="669"/>
      <c r="L351" s="669"/>
      <c r="M351" s="669"/>
    </row>
    <row r="352" spans="1:14" x14ac:dyDescent="0.3">
      <c r="C352" s="287"/>
      <c r="D352" s="98"/>
      <c r="E352" s="98"/>
      <c r="F352" s="98"/>
      <c r="I352" s="311"/>
      <c r="J352" s="311"/>
      <c r="L352" s="317"/>
    </row>
    <row r="353" spans="1:14" x14ac:dyDescent="0.3">
      <c r="B353" s="218" t="s">
        <v>103</v>
      </c>
      <c r="C353" s="701">
        <f>'kt info'!$C$5</f>
        <v>0</v>
      </c>
      <c r="D353" s="790"/>
      <c r="E353" s="790"/>
      <c r="F353" s="791"/>
      <c r="J353" s="311"/>
      <c r="L353" s="317"/>
    </row>
    <row r="354" spans="1:14" x14ac:dyDescent="0.3">
      <c r="C354" s="287"/>
      <c r="D354" s="98"/>
      <c r="E354" s="98"/>
      <c r="F354" s="98"/>
      <c r="J354" s="311"/>
      <c r="L354" s="317"/>
    </row>
    <row r="355" spans="1:14" x14ac:dyDescent="0.3">
      <c r="B355" s="218" t="s">
        <v>126</v>
      </c>
      <c r="C355" s="701">
        <f>'kt info'!$C$7</f>
        <v>0</v>
      </c>
      <c r="D355" s="790"/>
      <c r="E355" s="790"/>
      <c r="F355" s="791"/>
      <c r="J355" s="311"/>
      <c r="L355" s="317"/>
    </row>
    <row r="356" spans="1:14" x14ac:dyDescent="0.3">
      <c r="J356" s="317"/>
      <c r="L356" s="317"/>
    </row>
    <row r="357" spans="1:14" ht="18" x14ac:dyDescent="0.3">
      <c r="A357" s="318"/>
      <c r="B357" s="470" t="str">
        <f>'kt info'!B36</f>
        <v>Periodical Service 7</v>
      </c>
      <c r="C357" s="320"/>
      <c r="D357" s="318"/>
      <c r="E357" s="318"/>
      <c r="F357" s="318"/>
      <c r="G357" s="318"/>
      <c r="H357" s="289" t="s">
        <v>71</v>
      </c>
      <c r="I357" s="231" t="s">
        <v>198</v>
      </c>
      <c r="J357" s="317"/>
      <c r="L357" s="317"/>
      <c r="M357" s="318"/>
      <c r="N357" s="318"/>
    </row>
    <row r="358" spans="1:14" x14ac:dyDescent="0.3">
      <c r="G358" s="174" t="s">
        <v>72</v>
      </c>
      <c r="H358" s="321">
        <f>IF(SUM(M370:M379)&gt;0,SUM(M370:M379)/'kt info'!$G$36,0)</f>
        <v>0</v>
      </c>
      <c r="I358" s="322">
        <f>H358*'kt info'!$G$36</f>
        <v>0</v>
      </c>
      <c r="J358" s="317"/>
      <c r="L358" s="317"/>
    </row>
    <row r="359" spans="1:14" x14ac:dyDescent="0.3">
      <c r="B359" s="323"/>
      <c r="G359" s="174" t="s">
        <v>161</v>
      </c>
      <c r="H359" s="324">
        <f>IF(SUM(K370:K379)&gt;0,SUM(K370:K379),0)</f>
        <v>0</v>
      </c>
      <c r="I359" s="325">
        <f>H359*'kt info'!$G$36</f>
        <v>0</v>
      </c>
      <c r="J359" s="317"/>
      <c r="L359" s="317"/>
    </row>
    <row r="360" spans="1:14" x14ac:dyDescent="0.3">
      <c r="B360" s="173"/>
      <c r="C360" s="468"/>
      <c r="G360" s="174" t="s">
        <v>73</v>
      </c>
      <c r="H360" s="324">
        <f>IF(SUM(E384:E403)&gt;0,SUM(E384:E403),0)</f>
        <v>0</v>
      </c>
      <c r="I360" s="325">
        <f>H360*'kt info'!$G$36</f>
        <v>0</v>
      </c>
      <c r="J360" s="317"/>
      <c r="L360" s="317"/>
    </row>
    <row r="361" spans="1:14" x14ac:dyDescent="0.3">
      <c r="G361" s="174" t="s">
        <v>74</v>
      </c>
      <c r="H361" s="324">
        <f>IF(SUM(L384:L393)&gt;0,SUM(L384:L393),0)</f>
        <v>0</v>
      </c>
      <c r="I361" s="325">
        <f>H361*'kt info'!$G$36</f>
        <v>0</v>
      </c>
      <c r="J361" s="317"/>
      <c r="L361" s="317"/>
    </row>
    <row r="362" spans="1:14" x14ac:dyDescent="0.3">
      <c r="B362" s="173" t="s">
        <v>91</v>
      </c>
      <c r="C362" s="327">
        <f>ROUND(IF(SUM(H359:H365)&gt;0,SUM(H359:H365),0),0)</f>
        <v>0</v>
      </c>
      <c r="G362" s="174" t="s">
        <v>82</v>
      </c>
      <c r="H362" s="324">
        <f>IF(SUM(J397:J401)&gt;0,SUM(L397:L401),0)</f>
        <v>0</v>
      </c>
      <c r="I362" s="325">
        <f>H362*'kt info'!$G$36</f>
        <v>0</v>
      </c>
      <c r="J362" s="311"/>
      <c r="K362" s="317"/>
    </row>
    <row r="363" spans="1:14" x14ac:dyDescent="0.3">
      <c r="G363" s="174" t="s">
        <v>173</v>
      </c>
      <c r="H363" s="324">
        <f>IF(SUM(I403:I404)=0,0,SUM(I403:I404))</f>
        <v>0</v>
      </c>
      <c r="I363" s="325">
        <f>H363*'kt info'!$G$36</f>
        <v>0</v>
      </c>
      <c r="K363" s="317"/>
    </row>
    <row r="364" spans="1:14" x14ac:dyDescent="0.3">
      <c r="B364" s="173"/>
      <c r="C364" s="469"/>
      <c r="G364" s="174" t="s">
        <v>80</v>
      </c>
      <c r="H364" s="324">
        <f>($H$359+$H$360+$H$361+$H$362+$H$363)*'Overhead &amp; Margin'!$D$10/(1-('Overhead &amp; Margin'!$D$10))</f>
        <v>0</v>
      </c>
      <c r="I364" s="325">
        <f>H364*'kt info'!$G$36</f>
        <v>0</v>
      </c>
      <c r="K364" s="317"/>
    </row>
    <row r="365" spans="1:14" x14ac:dyDescent="0.3">
      <c r="G365" s="174" t="s">
        <v>81</v>
      </c>
      <c r="H365" s="324">
        <f>($H$359+$H$360+$H$361+$H$362+$H$363+$H$364)*'Overhead &amp; Margin'!$G$10/(1-('Overhead &amp; Margin'!$G$10))</f>
        <v>0</v>
      </c>
      <c r="I365" s="325">
        <f>H365*'kt info'!$G$36</f>
        <v>0</v>
      </c>
    </row>
    <row r="366" spans="1:14" x14ac:dyDescent="0.3">
      <c r="M366" s="577" t="str">
        <f>'kt info'!$B$12</f>
        <v>Form date: 2/20/26</v>
      </c>
    </row>
    <row r="367" spans="1:14" ht="15" thickBot="1" x14ac:dyDescent="0.35">
      <c r="B367" s="328" t="s">
        <v>97</v>
      </c>
    </row>
    <row r="368" spans="1:14" x14ac:dyDescent="0.3">
      <c r="B368" s="83" t="s">
        <v>13</v>
      </c>
      <c r="C368" s="329" t="s">
        <v>14</v>
      </c>
      <c r="D368" s="330" t="s">
        <v>20</v>
      </c>
      <c r="E368" s="330" t="s">
        <v>15</v>
      </c>
      <c r="F368" s="780" t="s">
        <v>17</v>
      </c>
      <c r="G368" s="780"/>
      <c r="H368" s="331" t="s">
        <v>18</v>
      </c>
      <c r="I368" s="330" t="s">
        <v>16</v>
      </c>
      <c r="J368" s="330" t="s">
        <v>19</v>
      </c>
      <c r="K368" s="330" t="s">
        <v>71</v>
      </c>
      <c r="L368" s="332" t="s">
        <v>21</v>
      </c>
      <c r="M368" s="4" t="s">
        <v>22</v>
      </c>
      <c r="N368" s="4" t="s">
        <v>0</v>
      </c>
    </row>
    <row r="369" spans="1:14" ht="15" thickBot="1" x14ac:dyDescent="0.35">
      <c r="B369" s="22" t="s">
        <v>253</v>
      </c>
      <c r="C369" s="333" t="s">
        <v>23</v>
      </c>
      <c r="D369" s="334" t="s">
        <v>28</v>
      </c>
      <c r="E369" s="334" t="s">
        <v>24</v>
      </c>
      <c r="F369" s="781" t="s">
        <v>25</v>
      </c>
      <c r="G369" s="781"/>
      <c r="H369" s="335" t="s">
        <v>26</v>
      </c>
      <c r="I369" s="334"/>
      <c r="J369" s="334" t="s">
        <v>33</v>
      </c>
      <c r="K369" s="334" t="s">
        <v>161</v>
      </c>
      <c r="L369" s="336" t="s">
        <v>0</v>
      </c>
      <c r="M369" s="5" t="s">
        <v>0</v>
      </c>
      <c r="N369" s="5" t="s">
        <v>71</v>
      </c>
    </row>
    <row r="370" spans="1:14" x14ac:dyDescent="0.3">
      <c r="A370" s="98">
        <v>1</v>
      </c>
      <c r="B370" s="454"/>
      <c r="C370" s="338"/>
      <c r="D370" s="339" t="str">
        <f>IF(B370=0," ",'kt info'!$G$36)</f>
        <v xml:space="preserve"> </v>
      </c>
      <c r="E370" s="340" t="str">
        <f>IF(B370=0," ",VLOOKUP(B370,WageBeneTable5[#All],2,FALSE))</f>
        <v xml:space="preserve"> </v>
      </c>
      <c r="F370" s="782">
        <f>IF($E370=" ",0,'Pay &amp; Benefits'!$C$10)</f>
        <v>0</v>
      </c>
      <c r="G370" s="783"/>
      <c r="H370" s="341" t="str">
        <f>IF($E370=" "," ",'Pay &amp; Benefits'!$C$11)</f>
        <v xml:space="preserve"> </v>
      </c>
      <c r="I370" s="342" t="str">
        <f t="shared" ref="I370:I379" si="39">IF(E370=" "," ",0.0765)</f>
        <v xml:space="preserve"> </v>
      </c>
      <c r="J370" s="343" t="str">
        <f>IF(B370=0," ",VLOOKUP(B370,WageBeneTable5[#All],3,FALSE))</f>
        <v xml:space="preserve"> </v>
      </c>
      <c r="K370" s="340" t="str">
        <f t="shared" ref="K370:K379" si="40">IF(B370=0," ",C370*E370*(1+I370+F370+H370+J370))</f>
        <v xml:space="preserve"> </v>
      </c>
      <c r="L370" s="340">
        <f t="shared" ref="L370:L379" si="41">IF(K370=" ",0,K370*D370)</f>
        <v>0</v>
      </c>
      <c r="M370" s="344">
        <f t="shared" ref="M370:M379" si="42">IF(B370=0,0,C370*D370)</f>
        <v>0</v>
      </c>
      <c r="N370" s="345">
        <f t="shared" ref="N370:N379" si="43">IF(L370=0,0,IF(D370=0,0,L370/D370))</f>
        <v>0</v>
      </c>
    </row>
    <row r="371" spans="1:14" x14ac:dyDescent="0.3">
      <c r="A371" s="98">
        <v>2</v>
      </c>
      <c r="B371" s="417"/>
      <c r="C371" s="347"/>
      <c r="D371" s="339" t="str">
        <f>IF(B371=0," ",'kt info'!$G$36)</f>
        <v xml:space="preserve"> </v>
      </c>
      <c r="E371" s="348" t="str">
        <f>IF(B371=0," ",VLOOKUP(B371,WageBeneTable5[#All],2,FALSE))</f>
        <v xml:space="preserve"> </v>
      </c>
      <c r="F371" s="784">
        <f>IF($E371=" ",0,'Pay &amp; Benefits'!$C$10)</f>
        <v>0</v>
      </c>
      <c r="G371" s="785"/>
      <c r="H371" s="349" t="str">
        <f>IF($E371=" "," ",'Pay &amp; Benefits'!$C$11)</f>
        <v xml:space="preserve"> </v>
      </c>
      <c r="I371" s="350" t="str">
        <f t="shared" si="39"/>
        <v xml:space="preserve"> </v>
      </c>
      <c r="J371" s="351" t="str">
        <f>IF(B371=0," ",VLOOKUP(B371,WageBeneTable5[#All],3,FALSE))</f>
        <v xml:space="preserve"> </v>
      </c>
      <c r="K371" s="348" t="str">
        <f t="shared" si="40"/>
        <v xml:space="preserve"> </v>
      </c>
      <c r="L371" s="348">
        <f t="shared" si="41"/>
        <v>0</v>
      </c>
      <c r="M371" s="352">
        <f t="shared" si="42"/>
        <v>0</v>
      </c>
      <c r="N371" s="353">
        <f t="shared" si="43"/>
        <v>0</v>
      </c>
    </row>
    <row r="372" spans="1:14" x14ac:dyDescent="0.3">
      <c r="A372" s="98">
        <v>3</v>
      </c>
      <c r="B372" s="417"/>
      <c r="C372" s="347"/>
      <c r="D372" s="339" t="str">
        <f>IF(B372=0," ",'kt info'!$G$36)</f>
        <v xml:space="preserve"> </v>
      </c>
      <c r="E372" s="348" t="str">
        <f>IF(B372=0," ",VLOOKUP(B372,WageBeneTable5[#All],2,FALSE))</f>
        <v xml:space="preserve"> </v>
      </c>
      <c r="F372" s="784">
        <f>IF($E372=" ",0,'Pay &amp; Benefits'!$C$10)</f>
        <v>0</v>
      </c>
      <c r="G372" s="785"/>
      <c r="H372" s="349" t="str">
        <f>IF($E372=" "," ",'Pay &amp; Benefits'!$C$11)</f>
        <v xml:space="preserve"> </v>
      </c>
      <c r="I372" s="350" t="str">
        <f t="shared" si="39"/>
        <v xml:space="preserve"> </v>
      </c>
      <c r="J372" s="351" t="str">
        <f>IF(B372=0," ",VLOOKUP(B372,WageBeneTable5[#All],3,FALSE))</f>
        <v xml:space="preserve"> </v>
      </c>
      <c r="K372" s="348" t="str">
        <f t="shared" si="40"/>
        <v xml:space="preserve"> </v>
      </c>
      <c r="L372" s="348">
        <f t="shared" si="41"/>
        <v>0</v>
      </c>
      <c r="M372" s="352">
        <f t="shared" si="42"/>
        <v>0</v>
      </c>
      <c r="N372" s="353">
        <f t="shared" si="43"/>
        <v>0</v>
      </c>
    </row>
    <row r="373" spans="1:14" x14ac:dyDescent="0.3">
      <c r="A373" s="98">
        <v>4</v>
      </c>
      <c r="B373" s="417"/>
      <c r="C373" s="347"/>
      <c r="D373" s="339" t="str">
        <f>IF(B373=0," ",'kt info'!$G$36)</f>
        <v xml:space="preserve"> </v>
      </c>
      <c r="E373" s="348" t="str">
        <f>IF(B373=0," ",VLOOKUP(B373,WageBeneTable5[#All],2,FALSE))</f>
        <v xml:space="preserve"> </v>
      </c>
      <c r="F373" s="784">
        <f>IF($E373=" ",0,'Pay &amp; Benefits'!$C$10)</f>
        <v>0</v>
      </c>
      <c r="G373" s="785"/>
      <c r="H373" s="349" t="str">
        <f>IF($E373=" "," ",'Pay &amp; Benefits'!$C$11)</f>
        <v xml:space="preserve"> </v>
      </c>
      <c r="I373" s="350" t="str">
        <f t="shared" si="39"/>
        <v xml:space="preserve"> </v>
      </c>
      <c r="J373" s="351" t="str">
        <f>IF(B373=0," ",VLOOKUP(B373,WageBeneTable5[#All],3,FALSE))</f>
        <v xml:space="preserve"> </v>
      </c>
      <c r="K373" s="348" t="str">
        <f t="shared" si="40"/>
        <v xml:space="preserve"> </v>
      </c>
      <c r="L373" s="348">
        <f t="shared" si="41"/>
        <v>0</v>
      </c>
      <c r="M373" s="352">
        <f t="shared" si="42"/>
        <v>0</v>
      </c>
      <c r="N373" s="353">
        <f t="shared" si="43"/>
        <v>0</v>
      </c>
    </row>
    <row r="374" spans="1:14" ht="15" thickBot="1" x14ac:dyDescent="0.35">
      <c r="A374" s="98">
        <v>5</v>
      </c>
      <c r="B374" s="419"/>
      <c r="C374" s="355"/>
      <c r="D374" s="356" t="str">
        <f>IF(B374=0," ",'kt info'!$G$36)</f>
        <v xml:space="preserve"> </v>
      </c>
      <c r="E374" s="357" t="str">
        <f>IF(B374=0," ",VLOOKUP(B374,WageBeneTable5[#All],2,FALSE))</f>
        <v xml:space="preserve"> </v>
      </c>
      <c r="F374" s="776">
        <f>IF($E374=" ",0,'Pay &amp; Benefits'!$C$10)</f>
        <v>0</v>
      </c>
      <c r="G374" s="777"/>
      <c r="H374" s="358" t="str">
        <f>IF($E374=" "," ",'Pay &amp; Benefits'!$C$11)</f>
        <v xml:space="preserve"> </v>
      </c>
      <c r="I374" s="359" t="str">
        <f t="shared" si="39"/>
        <v xml:space="preserve"> </v>
      </c>
      <c r="J374" s="360" t="str">
        <f>IF(B374=0," ",VLOOKUP(B374,WageBeneTable5[#All],3,FALSE))</f>
        <v xml:space="preserve"> </v>
      </c>
      <c r="K374" s="357" t="str">
        <f t="shared" si="40"/>
        <v xml:space="preserve"> </v>
      </c>
      <c r="L374" s="357">
        <f t="shared" si="41"/>
        <v>0</v>
      </c>
      <c r="M374" s="361">
        <f t="shared" si="42"/>
        <v>0</v>
      </c>
      <c r="N374" s="362">
        <f t="shared" si="43"/>
        <v>0</v>
      </c>
    </row>
    <row r="375" spans="1:14" x14ac:dyDescent="0.3">
      <c r="A375" s="98">
        <v>6</v>
      </c>
      <c r="B375" s="454"/>
      <c r="C375" s="363"/>
      <c r="D375" s="364" t="str">
        <f>IF(B375=0," ",'kt info'!$G$36)</f>
        <v xml:space="preserve"> </v>
      </c>
      <c r="E375" s="365" t="str">
        <f>IF(B375=0," ",VLOOKUP(B375,WageBeneTable5[#All],2,FALSE))</f>
        <v xml:space="preserve"> </v>
      </c>
      <c r="F375" s="782">
        <f>IF($E375=" ",0,'Pay &amp; Benefits'!$C$10)</f>
        <v>0</v>
      </c>
      <c r="G375" s="783"/>
      <c r="H375" s="366" t="str">
        <f>IF($E375=" "," ",'Pay &amp; Benefits'!$C$11)</f>
        <v xml:space="preserve"> </v>
      </c>
      <c r="I375" s="367" t="str">
        <f t="shared" si="39"/>
        <v xml:space="preserve"> </v>
      </c>
      <c r="J375" s="368" t="str">
        <f>IF(B375=0," ",VLOOKUP(B375,WageBeneTable5[#All],3,FALSE))</f>
        <v xml:space="preserve"> </v>
      </c>
      <c r="K375" s="365" t="str">
        <f t="shared" si="40"/>
        <v xml:space="preserve"> </v>
      </c>
      <c r="L375" s="365">
        <f t="shared" si="41"/>
        <v>0</v>
      </c>
      <c r="M375" s="369">
        <f t="shared" si="42"/>
        <v>0</v>
      </c>
      <c r="N375" s="370">
        <f t="shared" si="43"/>
        <v>0</v>
      </c>
    </row>
    <row r="376" spans="1:14" x14ac:dyDescent="0.3">
      <c r="A376" s="98">
        <v>7</v>
      </c>
      <c r="B376" s="417"/>
      <c r="C376" s="347"/>
      <c r="D376" s="364" t="str">
        <f>IF(B376=0," ",'kt info'!$G$36)</f>
        <v xml:space="preserve"> </v>
      </c>
      <c r="E376" s="365" t="str">
        <f>IF(B376=0," ",VLOOKUP(B376,WageBeneTable5[#All],2,FALSE))</f>
        <v xml:space="preserve"> </v>
      </c>
      <c r="F376" s="784">
        <f>IF($E376=" ",0,'Pay &amp; Benefits'!$C$10)</f>
        <v>0</v>
      </c>
      <c r="G376" s="785"/>
      <c r="H376" s="366" t="str">
        <f>IF($E376=" "," ",'Pay &amp; Benefits'!$C$11)</f>
        <v xml:space="preserve"> </v>
      </c>
      <c r="I376" s="367" t="str">
        <f t="shared" si="39"/>
        <v xml:space="preserve"> </v>
      </c>
      <c r="J376" s="368" t="str">
        <f>IF(B376=0," ",VLOOKUP(B376,WageBeneTable5[#All],3,FALSE))</f>
        <v xml:space="preserve"> </v>
      </c>
      <c r="K376" s="365" t="str">
        <f t="shared" si="40"/>
        <v xml:space="preserve"> </v>
      </c>
      <c r="L376" s="365">
        <f t="shared" si="41"/>
        <v>0</v>
      </c>
      <c r="M376" s="369">
        <f t="shared" si="42"/>
        <v>0</v>
      </c>
      <c r="N376" s="370">
        <f t="shared" si="43"/>
        <v>0</v>
      </c>
    </row>
    <row r="377" spans="1:14" x14ac:dyDescent="0.3">
      <c r="A377" s="98">
        <v>8</v>
      </c>
      <c r="B377" s="417"/>
      <c r="C377" s="347"/>
      <c r="D377" s="364" t="str">
        <f>IF(B377=0," ",'kt info'!$G$36)</f>
        <v xml:space="preserve"> </v>
      </c>
      <c r="E377" s="365" t="str">
        <f>IF(B377=0," ",VLOOKUP(B377,WageBeneTable5[#All],2,FALSE))</f>
        <v xml:space="preserve"> </v>
      </c>
      <c r="F377" s="784">
        <f>IF($E377=" ",0,'Pay &amp; Benefits'!$C$10)</f>
        <v>0</v>
      </c>
      <c r="G377" s="785"/>
      <c r="H377" s="366" t="str">
        <f>IF($E377=" "," ",'Pay &amp; Benefits'!$C$11)</f>
        <v xml:space="preserve"> </v>
      </c>
      <c r="I377" s="367" t="str">
        <f t="shared" si="39"/>
        <v xml:space="preserve"> </v>
      </c>
      <c r="J377" s="368" t="str">
        <f>IF(B377=0," ",VLOOKUP(B377,WageBeneTable5[#All],3,FALSE))</f>
        <v xml:space="preserve"> </v>
      </c>
      <c r="K377" s="365" t="str">
        <f t="shared" si="40"/>
        <v xml:space="preserve"> </v>
      </c>
      <c r="L377" s="365">
        <f t="shared" si="41"/>
        <v>0</v>
      </c>
      <c r="M377" s="369">
        <f t="shared" si="42"/>
        <v>0</v>
      </c>
      <c r="N377" s="370">
        <f t="shared" si="43"/>
        <v>0</v>
      </c>
    </row>
    <row r="378" spans="1:14" x14ac:dyDescent="0.3">
      <c r="A378" s="98">
        <v>9</v>
      </c>
      <c r="B378" s="417"/>
      <c r="C378" s="347"/>
      <c r="D378" s="364" t="str">
        <f>IF(B378=0," ",'kt info'!$G$36)</f>
        <v xml:space="preserve"> </v>
      </c>
      <c r="E378" s="365" t="str">
        <f>IF(B378=0," ",VLOOKUP(B378,WageBeneTable5[#All],2,FALSE))</f>
        <v xml:space="preserve"> </v>
      </c>
      <c r="F378" s="784">
        <f>IF($E378=" ",0,'Pay &amp; Benefits'!$C$10)</f>
        <v>0</v>
      </c>
      <c r="G378" s="785"/>
      <c r="H378" s="366" t="str">
        <f>IF($E378=" "," ",'Pay &amp; Benefits'!$C$11)</f>
        <v xml:space="preserve"> </v>
      </c>
      <c r="I378" s="367" t="str">
        <f t="shared" si="39"/>
        <v xml:space="preserve"> </v>
      </c>
      <c r="J378" s="368" t="str">
        <f>IF(B378=0," ",VLOOKUP(B378,WageBeneTable5[#All],3,FALSE))</f>
        <v xml:space="preserve"> </v>
      </c>
      <c r="K378" s="365" t="str">
        <f t="shared" si="40"/>
        <v xml:space="preserve"> </v>
      </c>
      <c r="L378" s="365">
        <f t="shared" si="41"/>
        <v>0</v>
      </c>
      <c r="M378" s="369">
        <f t="shared" si="42"/>
        <v>0</v>
      </c>
      <c r="N378" s="370">
        <f t="shared" si="43"/>
        <v>0</v>
      </c>
    </row>
    <row r="379" spans="1:14" ht="15" thickBot="1" x14ac:dyDescent="0.35">
      <c r="A379" s="98">
        <v>10</v>
      </c>
      <c r="B379" s="419"/>
      <c r="C379" s="355"/>
      <c r="D379" s="356" t="str">
        <f>IF(B379=0," ",'kt info'!$G$36)</f>
        <v xml:space="preserve"> </v>
      </c>
      <c r="E379" s="357" t="str">
        <f>IF(B379=0," ",VLOOKUP(B379,WageBeneTable5[#All],2,FALSE))</f>
        <v xml:space="preserve"> </v>
      </c>
      <c r="F379" s="776">
        <f>IF($E379=" ",0,'Pay &amp; Benefits'!$C$10)</f>
        <v>0</v>
      </c>
      <c r="G379" s="777"/>
      <c r="H379" s="358" t="str">
        <f>IF($E379=" "," ",'Pay &amp; Benefits'!$C$11)</f>
        <v xml:space="preserve"> </v>
      </c>
      <c r="I379" s="359" t="str">
        <f t="shared" si="39"/>
        <v xml:space="preserve"> </v>
      </c>
      <c r="J379" s="360" t="str">
        <f>IF(B379=0," ",VLOOKUP(B379,WageBeneTable5[#All],3,FALSE))</f>
        <v xml:space="preserve"> </v>
      </c>
      <c r="K379" s="357" t="str">
        <f t="shared" si="40"/>
        <v xml:space="preserve"> </v>
      </c>
      <c r="L379" s="357">
        <f t="shared" si="41"/>
        <v>0</v>
      </c>
      <c r="M379" s="361">
        <f t="shared" si="42"/>
        <v>0</v>
      </c>
      <c r="N379" s="362">
        <f t="shared" si="43"/>
        <v>0</v>
      </c>
    </row>
    <row r="380" spans="1:14" x14ac:dyDescent="0.3">
      <c r="K380" s="371"/>
      <c r="L380" s="372"/>
      <c r="M380" s="373"/>
    </row>
    <row r="381" spans="1:14" ht="15" thickBot="1" x14ac:dyDescent="0.35">
      <c r="B381" s="374" t="s">
        <v>175</v>
      </c>
      <c r="E381" s="375"/>
      <c r="H381" s="775" t="s">
        <v>171</v>
      </c>
      <c r="I381" s="772"/>
      <c r="M381" s="455"/>
      <c r="N381" s="98"/>
    </row>
    <row r="382" spans="1:14" x14ac:dyDescent="0.3">
      <c r="B382" s="32" t="s">
        <v>115</v>
      </c>
      <c r="C382" s="378" t="s">
        <v>199</v>
      </c>
      <c r="D382" s="379" t="s">
        <v>4</v>
      </c>
      <c r="E382" s="380" t="s">
        <v>76</v>
      </c>
      <c r="H382" s="290" t="s">
        <v>10</v>
      </c>
      <c r="I382" s="4" t="s">
        <v>78</v>
      </c>
      <c r="J382" s="4" t="s">
        <v>11</v>
      </c>
      <c r="K382" s="4" t="s">
        <v>201</v>
      </c>
      <c r="L382" s="4" t="s">
        <v>76</v>
      </c>
      <c r="M382" s="456"/>
      <c r="N382" s="457"/>
    </row>
    <row r="383" spans="1:14" ht="15" thickBot="1" x14ac:dyDescent="0.35">
      <c r="B383" s="33" t="s">
        <v>116</v>
      </c>
      <c r="C383" s="381" t="s">
        <v>77</v>
      </c>
      <c r="D383" s="382" t="s">
        <v>5</v>
      </c>
      <c r="E383" s="383" t="s">
        <v>77</v>
      </c>
      <c r="H383" s="291" t="s">
        <v>8</v>
      </c>
      <c r="I383" s="5" t="s">
        <v>79</v>
      </c>
      <c r="J383" s="5" t="s">
        <v>12</v>
      </c>
      <c r="K383" s="5" t="s">
        <v>7</v>
      </c>
      <c r="L383" s="5" t="s">
        <v>77</v>
      </c>
      <c r="M383" s="458"/>
      <c r="N383" s="459"/>
    </row>
    <row r="384" spans="1:14" x14ac:dyDescent="0.3">
      <c r="A384" s="98">
        <v>1</v>
      </c>
      <c r="B384" s="454"/>
      <c r="C384" s="386"/>
      <c r="D384" s="387">
        <f>IF(B384=0,0,VLOOKUP(B384,Supplies!$B$13:$C$97,2,FALSE))</f>
        <v>0</v>
      </c>
      <c r="E384" s="340">
        <f>IF(D384=" "," ",D384*C384)</f>
        <v>0</v>
      </c>
      <c r="G384" s="98">
        <v>1</v>
      </c>
      <c r="H384" s="388"/>
      <c r="I384" s="389"/>
      <c r="J384" s="390"/>
      <c r="K384" s="312" t="str">
        <f>IF(H384=0," ",IF(VLOOKUP(H384,'Equipment List'!$B$12:$F$96,5,FALSE)=0,0,IF(VLOOKUP(H384,'Equipment List'!$B$12:$F$96,5,FALSE)="Grant","Grant",IF(VLOOKUP(H384,'Equipment List'!$B$12:$F$96,5,FALSE)="Depreciated","Depreciated",VLOOKUP(H384,'Equipment List'!$B$12:$F$96,5,FALSE)*I384*J384))))</f>
        <v xml:space="preserve"> </v>
      </c>
      <c r="L384" s="345" t="str">
        <f>IF(K384=" "," ",IF(K384="Grant",0,IF(K384="Depreciated",0,IF('kt info'!$G$36=0,"No Service Frequency",K384/'kt info'!$G$36))))</f>
        <v xml:space="preserve"> </v>
      </c>
      <c r="M384" s="460"/>
      <c r="N384" s="384"/>
    </row>
    <row r="385" spans="1:14" x14ac:dyDescent="0.3">
      <c r="A385" s="98">
        <v>2</v>
      </c>
      <c r="B385" s="417"/>
      <c r="C385" s="394"/>
      <c r="D385" s="395">
        <f>IF(B385=0,0,VLOOKUP(B385,Supplies!$B$13:$C$97,2,FALSE))</f>
        <v>0</v>
      </c>
      <c r="E385" s="365">
        <f t="shared" ref="E385:E399" si="44">IF(D385=" "," ",D385*C385)</f>
        <v>0</v>
      </c>
      <c r="G385" s="98">
        <v>2</v>
      </c>
      <c r="H385" s="396"/>
      <c r="I385" s="397"/>
      <c r="J385" s="398"/>
      <c r="K385" s="401" t="str">
        <f>IF(H385=0," ",IF(VLOOKUP(H385,'Equipment List'!$B$12:$F$96,5,FALSE)=0,0,IF(VLOOKUP(H385,'Equipment List'!$B$12:$F$96,5,FALSE)="Grant","Grant",IF(VLOOKUP(H385,'Equipment List'!$B$12:$F$96,5,FALSE)="Depreciated","Depreciated",VLOOKUP(H385,'Equipment List'!$B$12:$F$96,5,FALSE)*I385*J385))))</f>
        <v xml:space="preserve"> </v>
      </c>
      <c r="L385" s="370" t="str">
        <f>IF(K385=" "," ",IF(K385="Grant",0,IF(K385="Depreciated",0,IF('kt info'!$G$36=0,"No Service Frequency",K385/'kt info'!$G$36))))</f>
        <v xml:space="preserve"> </v>
      </c>
    </row>
    <row r="386" spans="1:14" x14ac:dyDescent="0.3">
      <c r="A386" s="98">
        <v>3</v>
      </c>
      <c r="B386" s="417"/>
      <c r="C386" s="394"/>
      <c r="D386" s="395">
        <f>IF(B386=0,0,VLOOKUP(B386,Supplies!$B$13:$C$97,2,FALSE))</f>
        <v>0</v>
      </c>
      <c r="E386" s="365">
        <f t="shared" si="44"/>
        <v>0</v>
      </c>
      <c r="G386" s="98">
        <v>3</v>
      </c>
      <c r="H386" s="396"/>
      <c r="I386" s="397"/>
      <c r="J386" s="398"/>
      <c r="K386" s="401" t="str">
        <f>IF(H386=0," ",IF(VLOOKUP(H386,'Equipment List'!$B$12:$F$96,5,FALSE)=0,0,IF(VLOOKUP(H386,'Equipment List'!$B$12:$F$96,5,FALSE)="Grant","Grant",IF(VLOOKUP(H386,'Equipment List'!$B$12:$F$96,5,FALSE)="Depreciated","Depreciated",VLOOKUP(H386,'Equipment List'!$B$12:$F$96,5,FALSE)*I386*J386))))</f>
        <v xml:space="preserve"> </v>
      </c>
      <c r="L386" s="370" t="str">
        <f>IF(K386=" "," ",IF(K386="Grant",0,IF(K386="Depreciated",0,IF('kt info'!$G$36=0,"No Service Frequency",K386/'kt info'!$G$36))))</f>
        <v xml:space="preserve"> </v>
      </c>
    </row>
    <row r="387" spans="1:14" x14ac:dyDescent="0.3">
      <c r="A387" s="98">
        <v>4</v>
      </c>
      <c r="B387" s="417"/>
      <c r="C387" s="394"/>
      <c r="D387" s="395">
        <f>IF(B387=0,0,VLOOKUP(B387,Supplies!$B$13:$C$97,2,FALSE))</f>
        <v>0</v>
      </c>
      <c r="E387" s="365">
        <f t="shared" si="44"/>
        <v>0</v>
      </c>
      <c r="G387" s="98">
        <v>4</v>
      </c>
      <c r="H387" s="396"/>
      <c r="I387" s="397"/>
      <c r="J387" s="398"/>
      <c r="K387" s="401" t="str">
        <f>IF(H387=0," ",IF(VLOOKUP(H387,'Equipment List'!$B$12:$F$96,5,FALSE)=0,0,IF(VLOOKUP(H387,'Equipment List'!$B$12:$F$96,5,FALSE)="Grant","Grant",IF(VLOOKUP(H387,'Equipment List'!$B$12:$F$96,5,FALSE)="Depreciated","Depreciated",VLOOKUP(H387,'Equipment List'!$B$12:$F$96,5,FALSE)*I387*J387))))</f>
        <v xml:space="preserve"> </v>
      </c>
      <c r="L387" s="370" t="str">
        <f>IF(K387=" "," ",IF(K387="Grant",0,IF(K387="Depreciated",0,IF('kt info'!$G$36=0,"No Service Frequency",K387/'kt info'!$G$36))))</f>
        <v xml:space="preserve"> </v>
      </c>
    </row>
    <row r="388" spans="1:14" ht="15" thickBot="1" x14ac:dyDescent="0.35">
      <c r="A388" s="98">
        <v>5</v>
      </c>
      <c r="B388" s="419"/>
      <c r="C388" s="403"/>
      <c r="D388" s="404">
        <f>IF(B388=0,0,VLOOKUP(B388,Supplies!$B$13:$C$97,2,FALSE))</f>
        <v>0</v>
      </c>
      <c r="E388" s="357">
        <f t="shared" si="44"/>
        <v>0</v>
      </c>
      <c r="G388" s="98">
        <v>5</v>
      </c>
      <c r="H388" s="405"/>
      <c r="I388" s="406"/>
      <c r="J388" s="407"/>
      <c r="K388" s="408" t="str">
        <f>IF(H388=0," ",IF(VLOOKUP(H388,'Equipment List'!$B$12:$F$96,5,FALSE)=0,0,IF(VLOOKUP(H388,'Equipment List'!$B$12:$F$96,5,FALSE)="Grant","Grant",IF(VLOOKUP(H388,'Equipment List'!$B$12:$F$96,5,FALSE)="Depreciated","Depreciated",VLOOKUP(H388,'Equipment List'!$B$12:$F$96,5,FALSE)*I388*J388))))</f>
        <v xml:space="preserve"> </v>
      </c>
      <c r="L388" s="362" t="str">
        <f>IF(K388=" "," ",IF(K388="Grant",0,IF(K388="Depreciated",0,IF('kt info'!$G$36=0,"No Service Frequency",K388/'kt info'!$G$36))))</f>
        <v xml:space="preserve"> </v>
      </c>
    </row>
    <row r="389" spans="1:14" x14ac:dyDescent="0.3">
      <c r="A389" s="98">
        <v>6</v>
      </c>
      <c r="B389" s="413"/>
      <c r="C389" s="411"/>
      <c r="D389" s="412">
        <f>IF(B389=0,0,VLOOKUP(B389,Supplies!$B$13:$C$97,2,FALSE))</f>
        <v>0</v>
      </c>
      <c r="E389" s="365">
        <f t="shared" si="44"/>
        <v>0</v>
      </c>
      <c r="G389" s="98">
        <v>6</v>
      </c>
      <c r="H389" s="413"/>
      <c r="I389" s="414"/>
      <c r="J389" s="415"/>
      <c r="K389" s="416" t="str">
        <f>IF(H389=0," ",IF(VLOOKUP(H389,'Equipment List'!$B$12:$F$96,5,FALSE)=0,0,IF(VLOOKUP(H389,'Equipment List'!$B$12:$F$96,5,FALSE)="Grant","Grant",IF(VLOOKUP(H389,'Equipment List'!$B$12:$F$96,5,FALSE)="Depreciated","Depreciated",VLOOKUP(H389,'Equipment List'!$B$12:$F$96,5,FALSE)*I389*J389))))</f>
        <v xml:space="preserve"> </v>
      </c>
      <c r="L389" s="370" t="str">
        <f>IF(K389=" "," ",IF(K389="Grant",0,IF(K389="Depreciated",0,IF('kt info'!$G$36=0,"No Service Frequency",K389/'kt info'!$G$36))))</f>
        <v xml:space="preserve"> </v>
      </c>
    </row>
    <row r="390" spans="1:14" x14ac:dyDescent="0.3">
      <c r="A390" s="98">
        <v>7</v>
      </c>
      <c r="B390" s="417"/>
      <c r="C390" s="394"/>
      <c r="D390" s="395">
        <f>IF(B390=0,0,VLOOKUP(B390,Supplies!$B$13:$C$97,2,FALSE))</f>
        <v>0</v>
      </c>
      <c r="E390" s="365">
        <f t="shared" si="44"/>
        <v>0</v>
      </c>
      <c r="G390" s="98">
        <v>7</v>
      </c>
      <c r="H390" s="417"/>
      <c r="I390" s="397"/>
      <c r="J390" s="398"/>
      <c r="K390" s="418" t="str">
        <f>IF(H390=0," ",IF(VLOOKUP(H390,'Equipment List'!$B$12:$F$96,5,FALSE)=0,0,IF(VLOOKUP(H390,'Equipment List'!$B$12:$F$96,5,FALSE)="Grant","Grant",IF(VLOOKUP(H390,'Equipment List'!$B$12:$F$96,5,FALSE)="Depreciated","Depreciated",VLOOKUP(H390,'Equipment List'!$B$12:$F$96,5,FALSE)*I390*J390))))</f>
        <v xml:space="preserve"> </v>
      </c>
      <c r="L390" s="370" t="str">
        <f>IF(K390=" "," ",IF(K390="Grant",0,IF(K390="Depreciated",0,IF('kt info'!$G$36=0,"No Service Frequency",K390/'kt info'!$G$36))))</f>
        <v xml:space="preserve"> </v>
      </c>
    </row>
    <row r="391" spans="1:14" x14ac:dyDescent="0.3">
      <c r="A391" s="98">
        <v>8</v>
      </c>
      <c r="B391" s="417"/>
      <c r="C391" s="394"/>
      <c r="D391" s="395">
        <f>IF(B391=0,0,VLOOKUP(B391,Supplies!$B$13:$C$97,2,FALSE))</f>
        <v>0</v>
      </c>
      <c r="E391" s="365">
        <f t="shared" si="44"/>
        <v>0</v>
      </c>
      <c r="G391" s="98">
        <v>8</v>
      </c>
      <c r="H391" s="417"/>
      <c r="I391" s="397"/>
      <c r="J391" s="398"/>
      <c r="K391" s="418" t="str">
        <f>IF(H391=0," ",IF(VLOOKUP(H391,'Equipment List'!$B$12:$F$96,5,FALSE)=0,0,IF(VLOOKUP(H391,'Equipment List'!$B$12:$F$96,5,FALSE)="Grant","Grant",IF(VLOOKUP(H391,'Equipment List'!$B$12:$F$96,5,FALSE)="Depreciated","Depreciated",VLOOKUP(H391,'Equipment List'!$B$12:$F$96,5,FALSE)*I391*J391))))</f>
        <v xml:space="preserve"> </v>
      </c>
      <c r="L391" s="370" t="str">
        <f>IF(K391=" "," ",IF(K391="Grant",0,IF(K391="Depreciated",0,IF('kt info'!$G$36=0,"No Service Frequency",K391/'kt info'!$G$36))))</f>
        <v xml:space="preserve"> </v>
      </c>
    </row>
    <row r="392" spans="1:14" x14ac:dyDescent="0.3">
      <c r="A392" s="98">
        <v>9</v>
      </c>
      <c r="B392" s="417"/>
      <c r="C392" s="394"/>
      <c r="D392" s="395">
        <f>IF(B392=0,0,VLOOKUP(B392,Supplies!$B$13:$C$97,2,FALSE))</f>
        <v>0</v>
      </c>
      <c r="E392" s="365">
        <f t="shared" si="44"/>
        <v>0</v>
      </c>
      <c r="G392" s="98">
        <v>9</v>
      </c>
      <c r="H392" s="417"/>
      <c r="I392" s="397"/>
      <c r="J392" s="398"/>
      <c r="K392" s="418" t="str">
        <f>IF(H392=0," ",IF(VLOOKUP(H392,'Equipment List'!$B$12:$F$96,5,FALSE)=0,0,IF(VLOOKUP(H392,'Equipment List'!$B$12:$F$96,5,FALSE)="Grant","Grant",IF(VLOOKUP(H392,'Equipment List'!$B$12:$F$96,5,FALSE)="Depreciated","Depreciated",VLOOKUP(H392,'Equipment List'!$B$12:$F$96,5,FALSE)*I392*J392))))</f>
        <v xml:space="preserve"> </v>
      </c>
      <c r="L392" s="370" t="str">
        <f>IF(K392=" "," ",IF(K392="Grant",0,IF(K392="Depreciated",0,IF('kt info'!$G$36=0,"No Service Frequency",K392/'kt info'!$G$36))))</f>
        <v xml:space="preserve"> </v>
      </c>
    </row>
    <row r="393" spans="1:14" ht="15" thickBot="1" x14ac:dyDescent="0.35">
      <c r="A393" s="98">
        <v>10</v>
      </c>
      <c r="B393" s="419"/>
      <c r="C393" s="403"/>
      <c r="D393" s="404">
        <f>IF(B393=0,0,VLOOKUP(B393,Supplies!$B$13:$C$97,2,FALSE))</f>
        <v>0</v>
      </c>
      <c r="E393" s="357">
        <f t="shared" si="44"/>
        <v>0</v>
      </c>
      <c r="G393" s="98">
        <v>10</v>
      </c>
      <c r="H393" s="419"/>
      <c r="I393" s="406"/>
      <c r="J393" s="407"/>
      <c r="K393" s="420" t="str">
        <f>IF(H393=0," ",IF(VLOOKUP(H393,'Equipment List'!$B$12:$F$96,5,FALSE)=0,0,IF(VLOOKUP(H393,'Equipment List'!$B$12:$F$96,5,FALSE)="Grant","Grant",IF(VLOOKUP(H393,'Equipment List'!$B$12:$F$96,5,FALSE)="Depreciated","Depreciated",VLOOKUP(H393,'Equipment List'!$B$12:$F$96,5,FALSE)*I393*J393))))</f>
        <v xml:space="preserve"> </v>
      </c>
      <c r="L393" s="362" t="str">
        <f>IF(K393=" "," ",IF(K393="Grant",0,IF(K393="Depreciated",0,IF('kt info'!$G$36=0,"No Service Frequency",K393/'kt info'!$G$36))))</f>
        <v xml:space="preserve"> </v>
      </c>
    </row>
    <row r="394" spans="1:14" x14ac:dyDescent="0.3">
      <c r="A394" s="98">
        <v>11</v>
      </c>
      <c r="B394" s="413"/>
      <c r="C394" s="411"/>
      <c r="D394" s="412">
        <f>IF(B394=0,0,VLOOKUP(B394,Supplies!$B$13:$C$97,2,FALSE))</f>
        <v>0</v>
      </c>
      <c r="E394" s="365">
        <f t="shared" si="44"/>
        <v>0</v>
      </c>
    </row>
    <row r="395" spans="1:14" ht="15" thickBot="1" x14ac:dyDescent="0.35">
      <c r="A395" s="98">
        <v>12</v>
      </c>
      <c r="B395" s="417"/>
      <c r="C395" s="394"/>
      <c r="D395" s="395">
        <f>IF(B395=0,0,VLOOKUP(B395,Supplies!$B$13:$C$97,2,FALSE))</f>
        <v>0</v>
      </c>
      <c r="E395" s="365">
        <f t="shared" si="44"/>
        <v>0</v>
      </c>
      <c r="H395" s="771" t="s">
        <v>172</v>
      </c>
      <c r="I395" s="772"/>
      <c r="J395" s="334"/>
      <c r="K395" s="334"/>
      <c r="L395" s="334"/>
      <c r="M395" s="334"/>
    </row>
    <row r="396" spans="1:14" x14ac:dyDescent="0.3">
      <c r="A396" s="98">
        <v>13</v>
      </c>
      <c r="B396" s="417"/>
      <c r="C396" s="394"/>
      <c r="D396" s="395">
        <f>IF(B396=0,0,VLOOKUP(B396,Supplies!$B$13:$C$97,2,FALSE))</f>
        <v>0</v>
      </c>
      <c r="E396" s="365">
        <f t="shared" si="44"/>
        <v>0</v>
      </c>
      <c r="H396" s="421" t="s">
        <v>145</v>
      </c>
      <c r="I396" s="4" t="s">
        <v>85</v>
      </c>
      <c r="J396" s="4" t="s">
        <v>249</v>
      </c>
      <c r="K396" s="330" t="s">
        <v>86</v>
      </c>
      <c r="L396" s="4" t="s">
        <v>7</v>
      </c>
      <c r="M396" s="4" t="s">
        <v>7</v>
      </c>
      <c r="N396" s="461"/>
    </row>
    <row r="397" spans="1:14" ht="15" thickBot="1" x14ac:dyDescent="0.35">
      <c r="A397" s="98">
        <v>14</v>
      </c>
      <c r="B397" s="417"/>
      <c r="C397" s="394"/>
      <c r="D397" s="395">
        <f>IF(B397=0,0,VLOOKUP(B397,Supplies!$B$13:$C$97,2,FALSE))</f>
        <v>0</v>
      </c>
      <c r="E397" s="365">
        <f t="shared" si="44"/>
        <v>0</v>
      </c>
      <c r="H397" s="292" t="s">
        <v>8</v>
      </c>
      <c r="I397" s="5" t="s">
        <v>250</v>
      </c>
      <c r="J397" s="5" t="s">
        <v>153</v>
      </c>
      <c r="K397" s="334" t="s">
        <v>87</v>
      </c>
      <c r="L397" s="5" t="s">
        <v>251</v>
      </c>
      <c r="M397" s="5" t="s">
        <v>200</v>
      </c>
      <c r="N397" s="461"/>
    </row>
    <row r="398" spans="1:14" ht="15" thickBot="1" x14ac:dyDescent="0.35">
      <c r="A398" s="98">
        <v>15</v>
      </c>
      <c r="B398" s="419"/>
      <c r="C398" s="422"/>
      <c r="D398" s="423">
        <f>IF(B398=0,0,VLOOKUP(B398,Supplies!$B$13:$C$97,2,FALSE))</f>
        <v>0</v>
      </c>
      <c r="E398" s="357">
        <f t="shared" si="44"/>
        <v>0</v>
      </c>
      <c r="G398" s="373"/>
      <c r="H398" s="250"/>
      <c r="I398" s="424"/>
      <c r="J398" s="425"/>
      <c r="K398" s="426">
        <f>IF(H398=0,0,VLOOKUP(H398,Transportation!$B$6:$L$16,11,FALSE))</f>
        <v>0</v>
      </c>
      <c r="L398" s="427">
        <f>IF(I398=0,0,I398*K398)</f>
        <v>0</v>
      </c>
      <c r="M398" s="428">
        <f>IF(I398=0,0,I398*K398*J398)</f>
        <v>0</v>
      </c>
      <c r="N398" s="467"/>
    </row>
    <row r="399" spans="1:14" ht="15" thickBot="1" x14ac:dyDescent="0.35">
      <c r="A399" s="98">
        <v>16</v>
      </c>
      <c r="B399" s="413"/>
      <c r="C399" s="429"/>
      <c r="D399" s="430">
        <f>IF(B399=0,0,VLOOKUP(B399,Supplies!$B$13:$C$97,2,FALSE))</f>
        <v>0</v>
      </c>
      <c r="E399" s="365">
        <f t="shared" si="44"/>
        <v>0</v>
      </c>
      <c r="H399" s="251"/>
      <c r="I399" s="431"/>
      <c r="J399" s="432"/>
      <c r="K399" s="433">
        <f>IF(H399=0,0,VLOOKUP(H399,Transportation!$B$6:$L$16,11,FALSE))</f>
        <v>0</v>
      </c>
      <c r="L399" s="434">
        <f>IF(I399=0,0,I399*K399)</f>
        <v>0</v>
      </c>
      <c r="M399" s="435">
        <f>IF(I399=0,0,I399*K399*J399)</f>
        <v>0</v>
      </c>
      <c r="N399" s="467"/>
    </row>
    <row r="400" spans="1:14" x14ac:dyDescent="0.3">
      <c r="A400" s="98">
        <v>17</v>
      </c>
      <c r="B400" s="417"/>
      <c r="C400" s="436"/>
      <c r="D400" s="437">
        <f>IF(B400=0,0,VLOOKUP(B400,Supplies!$B$13:$C$97,2,FALSE))</f>
        <v>0</v>
      </c>
      <c r="E400" s="365">
        <f>IF(D400=" "," ",D400*C400)</f>
        <v>0</v>
      </c>
      <c r="H400" s="252"/>
      <c r="I400" s="438"/>
      <c r="J400" s="439"/>
      <c r="K400" s="440"/>
      <c r="L400" s="440"/>
      <c r="M400" s="440"/>
      <c r="N400" s="463"/>
    </row>
    <row r="401" spans="1:14" ht="15" thickBot="1" x14ac:dyDescent="0.35">
      <c r="A401" s="98">
        <v>18</v>
      </c>
      <c r="B401" s="417"/>
      <c r="C401" s="436"/>
      <c r="D401" s="437">
        <f>IF(B401=0,0,VLOOKUP(B401,Supplies!$B$13:$C$97,2,FALSE))</f>
        <v>0</v>
      </c>
      <c r="E401" s="365">
        <f>IF(D401=" "," ",D401*C401)</f>
        <v>0</v>
      </c>
      <c r="H401" s="441" t="s">
        <v>173</v>
      </c>
      <c r="I401" s="442"/>
      <c r="J401" s="443"/>
      <c r="K401" s="444"/>
      <c r="L401" s="444"/>
      <c r="M401" s="444"/>
      <c r="N401" s="463"/>
    </row>
    <row r="402" spans="1:14" x14ac:dyDescent="0.3">
      <c r="A402" s="98">
        <v>19</v>
      </c>
      <c r="B402" s="417"/>
      <c r="C402" s="436"/>
      <c r="D402" s="437">
        <f>IF(B402=0,0,VLOOKUP(B402,Supplies!$B$13:$C$97,2,FALSE))</f>
        <v>0</v>
      </c>
      <c r="E402" s="365">
        <f>IF(D402=" "," ",D402*C402)</f>
        <v>0</v>
      </c>
      <c r="H402" s="445" t="s">
        <v>174</v>
      </c>
      <c r="I402" s="446" t="s">
        <v>176</v>
      </c>
      <c r="J402" s="443"/>
      <c r="K402" s="444"/>
      <c r="L402" s="444"/>
      <c r="M402" s="444"/>
      <c r="N402" s="463"/>
    </row>
    <row r="403" spans="1:14" ht="15" thickBot="1" x14ac:dyDescent="0.35">
      <c r="A403" s="98">
        <v>20</v>
      </c>
      <c r="B403" s="419"/>
      <c r="C403" s="422"/>
      <c r="D403" s="423">
        <f>IF(B403=0,0,VLOOKUP(B403,Supplies!$B$13:$C$97,2,FALSE))</f>
        <v>0</v>
      </c>
      <c r="E403" s="357">
        <f>IF(D403=" "," ",D403*C403)</f>
        <v>0</v>
      </c>
      <c r="H403" s="447"/>
      <c r="I403" s="464" t="str">
        <f>IF(H403=0," ",VLOOKUP(H403,Subcontractors!$B$15:$E$25,4))</f>
        <v xml:space="preserve"> </v>
      </c>
      <c r="J403" s="443"/>
      <c r="K403" s="444"/>
      <c r="L403" s="444"/>
      <c r="M403" s="444"/>
    </row>
    <row r="404" spans="1:14" ht="15" thickBot="1" x14ac:dyDescent="0.35">
      <c r="A404" s="98"/>
      <c r="B404" s="316"/>
      <c r="C404" s="465"/>
      <c r="D404" s="377"/>
      <c r="E404" s="377"/>
      <c r="H404" s="449"/>
      <c r="I404" s="466" t="str">
        <f>IF(H404=0," ",VLOOKUP(H404,Subcontractors!$B$15:$E$25,4))</f>
        <v xml:space="preserve"> </v>
      </c>
    </row>
    <row r="405" spans="1:14" x14ac:dyDescent="0.3">
      <c r="A405" s="98"/>
      <c r="B405" s="316"/>
      <c r="C405" s="465"/>
      <c r="D405" s="377"/>
      <c r="E405" s="377"/>
      <c r="H405" s="453"/>
      <c r="I405" s="384"/>
    </row>
    <row r="406" spans="1:14" ht="21" x14ac:dyDescent="0.3">
      <c r="A406" s="778" t="s">
        <v>163</v>
      </c>
      <c r="B406" s="792"/>
      <c r="C406" s="792"/>
      <c r="D406" s="792"/>
      <c r="E406" s="792"/>
      <c r="F406" s="792"/>
      <c r="G406" s="148" t="str">
        <f>B357</f>
        <v>Periodical Service 7</v>
      </c>
      <c r="H406" s="288"/>
      <c r="I406" s="147"/>
      <c r="J406" s="147"/>
      <c r="K406" s="147"/>
      <c r="L406" s="147"/>
      <c r="M406" s="147"/>
      <c r="N406" s="147"/>
    </row>
    <row r="407" spans="1:14" ht="18" x14ac:dyDescent="0.3">
      <c r="A407" s="778"/>
      <c r="B407" s="779"/>
      <c r="C407" s="779"/>
      <c r="D407" s="779"/>
      <c r="E407" s="779"/>
      <c r="F407" s="779"/>
      <c r="G407" s="148"/>
      <c r="H407" s="288"/>
      <c r="I407" s="148"/>
      <c r="J407" s="148"/>
      <c r="K407" s="148"/>
      <c r="L407" s="148"/>
      <c r="M407" s="148"/>
      <c r="N407" s="148"/>
    </row>
    <row r="408" spans="1:14" x14ac:dyDescent="0.3">
      <c r="A408" s="789" t="s">
        <v>166</v>
      </c>
      <c r="B408" s="669"/>
      <c r="C408" s="669"/>
      <c r="D408" s="669"/>
      <c r="E408" s="669"/>
      <c r="F408" s="669"/>
      <c r="G408" s="669"/>
      <c r="H408" s="669"/>
      <c r="I408" s="669"/>
      <c r="J408" s="669"/>
      <c r="K408" s="669"/>
      <c r="L408" s="669"/>
      <c r="M408" s="669"/>
      <c r="N408" s="669"/>
    </row>
    <row r="409" spans="1:14" x14ac:dyDescent="0.3">
      <c r="A409" s="669"/>
      <c r="B409" s="669"/>
      <c r="C409" s="669"/>
      <c r="D409" s="669"/>
      <c r="E409" s="669"/>
      <c r="F409" s="669"/>
      <c r="G409" s="669"/>
      <c r="H409" s="669"/>
      <c r="I409" s="669"/>
      <c r="J409" s="669"/>
      <c r="K409" s="669"/>
      <c r="L409" s="669"/>
      <c r="M409" s="669"/>
      <c r="N409" s="669"/>
    </row>
  </sheetData>
  <sheetProtection algorithmName="SHA-512" hashValue="/S+9fJSE4JsKToCW8PcxW084PazhHIGR673aaXumA1TOHlv8Z167cUTl9lstNz7YNQPdbWt4kLcIq+yUTjF6yw==" saltValue="8sKm4EUyoPmihAdvoENUAQ==" spinCount="100000" sheet="1" objects="1" scenarios="1"/>
  <mergeCells count="176">
    <mergeCell ref="J61:M61"/>
    <mergeCell ref="J4:M4"/>
    <mergeCell ref="O4:T4"/>
    <mergeCell ref="J351:M351"/>
    <mergeCell ref="J293:M293"/>
    <mergeCell ref="J235:M235"/>
    <mergeCell ref="J177:M177"/>
    <mergeCell ref="J119:M119"/>
    <mergeCell ref="F374:G374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A291:F291"/>
    <mergeCell ref="C293:F293"/>
    <mergeCell ref="C295:F295"/>
    <mergeCell ref="C297:F297"/>
    <mergeCell ref="A290:F290"/>
    <mergeCell ref="F23:G23"/>
    <mergeCell ref="F24:G24"/>
    <mergeCell ref="F375:G375"/>
    <mergeCell ref="F376:G376"/>
    <mergeCell ref="F377:G377"/>
    <mergeCell ref="F378:G378"/>
    <mergeCell ref="F379:G379"/>
    <mergeCell ref="A408:N409"/>
    <mergeCell ref="F318:G318"/>
    <mergeCell ref="F319:G319"/>
    <mergeCell ref="F320:G320"/>
    <mergeCell ref="F321:G321"/>
    <mergeCell ref="F368:G368"/>
    <mergeCell ref="F369:G369"/>
    <mergeCell ref="F370:G370"/>
    <mergeCell ref="F371:G371"/>
    <mergeCell ref="F372:G372"/>
    <mergeCell ref="F373:G373"/>
    <mergeCell ref="A407:F407"/>
    <mergeCell ref="C351:F351"/>
    <mergeCell ref="C353:F353"/>
    <mergeCell ref="C355:F355"/>
    <mergeCell ref="A349:F349"/>
    <mergeCell ref="A348:F348"/>
    <mergeCell ref="A406:F406"/>
    <mergeCell ref="H381:I381"/>
    <mergeCell ref="A2:F2"/>
    <mergeCell ref="F144:G144"/>
    <mergeCell ref="F145:G145"/>
    <mergeCell ref="F146:G146"/>
    <mergeCell ref="F30:G30"/>
    <mergeCell ref="F31:G31"/>
    <mergeCell ref="F25:G25"/>
    <mergeCell ref="F26:G26"/>
    <mergeCell ref="F27:G27"/>
    <mergeCell ref="F28:G28"/>
    <mergeCell ref="F29:G29"/>
    <mergeCell ref="E68:G68"/>
    <mergeCell ref="C61:F61"/>
    <mergeCell ref="C63:F63"/>
    <mergeCell ref="C65:F65"/>
    <mergeCell ref="A58:F58"/>
    <mergeCell ref="A116:F116"/>
    <mergeCell ref="A117:F117"/>
    <mergeCell ref="A59:F59"/>
    <mergeCell ref="E11:G11"/>
    <mergeCell ref="E12:G12"/>
    <mergeCell ref="F20:G20"/>
    <mergeCell ref="F21:G21"/>
    <mergeCell ref="F22:G22"/>
    <mergeCell ref="B1:M1"/>
    <mergeCell ref="E189:G189"/>
    <mergeCell ref="E184:G184"/>
    <mergeCell ref="F197:G197"/>
    <mergeCell ref="F198:G198"/>
    <mergeCell ref="F199:G199"/>
    <mergeCell ref="F200:G200"/>
    <mergeCell ref="F201:G201"/>
    <mergeCell ref="F205:G205"/>
    <mergeCell ref="C177:F177"/>
    <mergeCell ref="C179:F179"/>
    <mergeCell ref="C181:F181"/>
    <mergeCell ref="C119:F119"/>
    <mergeCell ref="C121:F121"/>
    <mergeCell ref="C123:F123"/>
    <mergeCell ref="F147:G147"/>
    <mergeCell ref="A174:F174"/>
    <mergeCell ref="A175:F175"/>
    <mergeCell ref="F142:G142"/>
    <mergeCell ref="F143:G143"/>
    <mergeCell ref="E126:G126"/>
    <mergeCell ref="E127:G127"/>
    <mergeCell ref="E74:G74"/>
    <mergeCell ref="F89:G89"/>
    <mergeCell ref="E13:G13"/>
    <mergeCell ref="E14:G14"/>
    <mergeCell ref="E16:G16"/>
    <mergeCell ref="E17:G17"/>
    <mergeCell ref="E15:G15"/>
    <mergeCell ref="E128:G128"/>
    <mergeCell ref="E129:G129"/>
    <mergeCell ref="F137:G137"/>
    <mergeCell ref="F138:G138"/>
    <mergeCell ref="E72:G72"/>
    <mergeCell ref="E73:G73"/>
    <mergeCell ref="F139:G139"/>
    <mergeCell ref="F140:G140"/>
    <mergeCell ref="F141:G141"/>
    <mergeCell ref="E130:G130"/>
    <mergeCell ref="E131:G131"/>
    <mergeCell ref="E132:G132"/>
    <mergeCell ref="F136:G136"/>
    <mergeCell ref="C4:F4"/>
    <mergeCell ref="C6:F6"/>
    <mergeCell ref="C8:F8"/>
    <mergeCell ref="F87:G87"/>
    <mergeCell ref="F88:G88"/>
    <mergeCell ref="F82:G82"/>
    <mergeCell ref="F83:G83"/>
    <mergeCell ref="F84:G84"/>
    <mergeCell ref="F85:G85"/>
    <mergeCell ref="F86:G86"/>
    <mergeCell ref="F78:G78"/>
    <mergeCell ref="F79:G79"/>
    <mergeCell ref="F80:G80"/>
    <mergeCell ref="F81:G81"/>
    <mergeCell ref="E70:G70"/>
    <mergeCell ref="E71:G71"/>
    <mergeCell ref="E69:G69"/>
    <mergeCell ref="E190:G190"/>
    <mergeCell ref="F194:G194"/>
    <mergeCell ref="F195:G195"/>
    <mergeCell ref="F196:G196"/>
    <mergeCell ref="F202:G202"/>
    <mergeCell ref="F203:G203"/>
    <mergeCell ref="F204:G204"/>
    <mergeCell ref="E185:G185"/>
    <mergeCell ref="E186:G186"/>
    <mergeCell ref="E187:G187"/>
    <mergeCell ref="E188:G188"/>
    <mergeCell ref="F263:G263"/>
    <mergeCell ref="A232:F232"/>
    <mergeCell ref="A233:F233"/>
    <mergeCell ref="F252:G252"/>
    <mergeCell ref="F253:G253"/>
    <mergeCell ref="F254:G254"/>
    <mergeCell ref="F255:G255"/>
    <mergeCell ref="F256:G256"/>
    <mergeCell ref="E245:G245"/>
    <mergeCell ref="E246:G246"/>
    <mergeCell ref="E247:G247"/>
    <mergeCell ref="E248:G248"/>
    <mergeCell ref="F258:G258"/>
    <mergeCell ref="F259:G259"/>
    <mergeCell ref="F260:G260"/>
    <mergeCell ref="F261:G261"/>
    <mergeCell ref="F262:G262"/>
    <mergeCell ref="F257:G257"/>
    <mergeCell ref="E242:G242"/>
    <mergeCell ref="E243:G243"/>
    <mergeCell ref="E244:G244"/>
    <mergeCell ref="C235:F235"/>
    <mergeCell ref="C237:F237"/>
    <mergeCell ref="C239:F239"/>
    <mergeCell ref="H395:I395"/>
    <mergeCell ref="H47:I47"/>
    <mergeCell ref="H163:I163"/>
    <mergeCell ref="H221:I221"/>
    <mergeCell ref="H207:I207"/>
    <mergeCell ref="H149:I149"/>
    <mergeCell ref="H265:I265"/>
    <mergeCell ref="H279:I279"/>
    <mergeCell ref="H323:I323"/>
    <mergeCell ref="H337:I337"/>
  </mergeCells>
  <conditionalFormatting sqref="B22:C31 H36:J45 B36:C55 H50:J51 H55:H56 B80:C89 B94:C113 H108:J109 H113:H114 B138:C147 H152:J161 B152:C171 H166:J167 H171:H172 B196:C205 H210:J219 B210:C229 H224:J225 H229:H230 B254:C263 H268:J277 B268:C287 H282:J283 H287:H288 B312:C321 H326:J335 B326:C345 H340:J341 H345:H346 B370:C379 H384:J393 B384:C403 H398:J399 H403:H404">
    <cfRule type="cellIs" dxfId="29" priority="13" operator="greaterThan">
      <formula>0</formula>
    </cfRule>
  </conditionalFormatting>
  <conditionalFormatting sqref="C4:F4 C6:F6 C8:F8">
    <cfRule type="cellIs" dxfId="28" priority="27" operator="greaterThan">
      <formula>0</formula>
    </cfRule>
  </conditionalFormatting>
  <conditionalFormatting sqref="C61:F61 C63:F63 C65:F65">
    <cfRule type="cellIs" dxfId="27" priority="28" operator="greaterThan">
      <formula>0</formula>
    </cfRule>
  </conditionalFormatting>
  <conditionalFormatting sqref="C119:F119 C121:F121 C123:F123">
    <cfRule type="cellIs" dxfId="26" priority="29" operator="greaterThan">
      <formula>0</formula>
    </cfRule>
  </conditionalFormatting>
  <conditionalFormatting sqref="C177:F177 C179:F179 C181:F181">
    <cfRule type="cellIs" dxfId="25" priority="30" operator="greaterThan">
      <formula>0</formula>
    </cfRule>
  </conditionalFormatting>
  <conditionalFormatting sqref="C235:F235 C237:F237 C239:F239">
    <cfRule type="cellIs" dxfId="24" priority="31" operator="greaterThan">
      <formula>0</formula>
    </cfRule>
  </conditionalFormatting>
  <conditionalFormatting sqref="C293:F297">
    <cfRule type="cellIs" dxfId="23" priority="19" operator="greaterThan">
      <formula>0</formula>
    </cfRule>
  </conditionalFormatting>
  <conditionalFormatting sqref="C351:F355">
    <cfRule type="cellIs" dxfId="22" priority="20" operator="greaterThan">
      <formula>0</formula>
    </cfRule>
  </conditionalFormatting>
  <conditionalFormatting sqref="H94:J103">
    <cfRule type="cellIs" dxfId="21" priority="12" operator="greaterThan">
      <formula>0</formula>
    </cfRule>
  </conditionalFormatting>
  <conditionalFormatting sqref="O31:R31">
    <cfRule type="cellIs" dxfId="20" priority="85" operator="greaterThan">
      <formula>0</formula>
    </cfRule>
  </conditionalFormatting>
  <dataValidations count="1">
    <dataValidation allowBlank="1" showInputMessage="1" showErrorMessage="1" sqref="H231 H173 H115 H57" xr:uid="{F891C567-B067-41EF-B8F9-50BCD4212288}"/>
  </dataValidations>
  <hyperlinks>
    <hyperlink ref="P5" location="'kt info'!C3" display="Contract Information" xr:uid="{ED4DEF11-27BD-4487-B063-D720E772B3D9}"/>
    <hyperlink ref="P6" location="'Overhead &amp; Margin'!D10" display="Overhead &amp; Margin" xr:uid="{5E0B6B8C-5C29-4111-8691-D295267E9808}"/>
    <hyperlink ref="P12" location="'Grounds Maintenance'!A1" display="Grounds Maintenance" xr:uid="{8B50B303-0772-4BF9-BCDA-7CC2B43131C1}"/>
    <hyperlink ref="P13" location="Periodics!B22" display="Periodical Services" xr:uid="{8EC6F719-9111-491E-B8E1-A8CC4D900EC3}"/>
    <hyperlink ref="P14" location="'Additional-Except &amp; Emerg'!A1" display="Additional/Exceptional Services and Emergency Services" xr:uid="{36E08878-F66A-4137-B7FE-98ABA00C3A1C}"/>
    <hyperlink ref="P8" location="Supplies!B13" display="Supplies" xr:uid="{A734A9E9-0C04-42B6-9280-1BC6B9A154A3}"/>
    <hyperlink ref="P9" location="'Equipment List'!B12" display="Equipment" xr:uid="{1CAAF79D-387C-4AE9-AE84-5EEBF21E000B}"/>
    <hyperlink ref="P16" location="'Price Approval'!A1" display="Price Approval" xr:uid="{BCAF331D-2809-44E3-AE75-79C0FA09CD18}"/>
    <hyperlink ref="P10" location="Subcontractors!B15" display="Subcontractors" xr:uid="{9CBECAA7-DEBB-47CB-AAA8-FE76E2373186}"/>
    <hyperlink ref="P7" location="'Pay &amp; Benefits'!C10" display="Wages and Benefits (includes Unemployment and Worker's Compensation" xr:uid="{2539C16B-8A2A-455A-8671-A420268E9681}"/>
    <hyperlink ref="P11" location="Transportation!B6" display="Transportation" xr:uid="{A8E7B9F5-F24A-4787-90A6-40030493DDED}"/>
    <hyperlink ref="P15" location="'Summary-pricing'!A1" display="Summary-Pricing" xr:uid="{AE17F145-B59B-4BCC-9629-B89BF258BB9A}"/>
  </hyperlink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A51A319-6158-46DE-A6EA-3B95D3C41411}">
          <x14:formula1>
            <xm:f>Transportation!$B$6:$B$16</xm:f>
          </x14:formula1>
          <xm:sqref>H50:H52 H108:H110 H224:H226 H166:H168 H340:H342 H282:H284 H398:H400</xm:sqref>
        </x14:dataValidation>
        <x14:dataValidation type="list" allowBlank="1" showInputMessage="1" showErrorMessage="1" xr:uid="{546F3CF1-572B-414D-9428-755B701F01BF}">
          <x14:formula1>
            <xm:f>Supplies!$B$13:$B$97</xm:f>
          </x14:formula1>
          <xm:sqref>B210:B229 B152:B171 B94:B113 B326:B345 B57 B268:B287 B36:B55 B384:B403</xm:sqref>
        </x14:dataValidation>
        <x14:dataValidation type="list" allowBlank="1" showInputMessage="1" showErrorMessage="1" xr:uid="{2F2478F8-22AC-48BA-A2B9-B08578E1AA8B}">
          <x14:formula1>
            <xm:f>'Equipment List'!$B$12:$B$96</xm:f>
          </x14:formula1>
          <xm:sqref>H384:H393 H152:H161 H210:H219 H326:H335 H36:H45 H268:H277 H94:H103</xm:sqref>
        </x14:dataValidation>
        <x14:dataValidation type="list" allowBlank="1" showInputMessage="1" showErrorMessage="1" xr:uid="{F30694FF-667C-4E70-9776-38B2CD113797}">
          <x14:formula1>
            <xm:f>Subcontractors!$B$15:$B$25</xm:f>
          </x14:formula1>
          <xm:sqref>M93:M94 H55:H56 M383:M384 H287:H288 H171:H172 M209:M210 H229:H230 H113:H114 M151:M152 H403:H405 M267:M268 M325:M326 H345:H346</xm:sqref>
        </x14:dataValidation>
        <x14:dataValidation type="list" allowBlank="1" showInputMessage="1" showErrorMessage="1" xr:uid="{CB2D47C7-E632-4163-993E-0577C7818DFC}">
          <x14:formula1>
            <xm:f>'Pay &amp; Benefits'!$B$64:$B$78</xm:f>
          </x14:formula1>
          <xm:sqref>B22:B31 B80:B89 B138:B147 B196:B205 B254:B263 B312:B321 B370:B379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00A837C2F294B9F010BD48494492B" ma:contentTypeVersion="4" ma:contentTypeDescription="Create a new document." ma:contentTypeScope="" ma:versionID="1954da095df514a858e187da01d7c4bc">
  <xsd:schema xmlns:xsd="http://www.w3.org/2001/XMLSchema" xmlns:xs="http://www.w3.org/2001/XMLSchema" xmlns:p="http://schemas.microsoft.com/office/2006/metadata/properties" xmlns:ns1="http://schemas.microsoft.com/sharepoint/v3" xmlns:ns2="61349e09-f723-44c2-8cf0-84395070165b" xmlns:ns3="c11a4dd1-9999-41de-ad6b-508521c3559d" targetNamespace="http://schemas.microsoft.com/office/2006/metadata/properties" ma:root="true" ma:fieldsID="d80e92cc4fdda429363b7aeb532a226d" ns1:_="" ns2:_="" ns3:_="">
    <xsd:import namespace="http://schemas.microsoft.com/sharepoint/v3"/>
    <xsd:import namespace="61349e09-f723-44c2-8cf0-84395070165b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2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49e09-f723-44c2-8cf0-84395070165b" elementFormDefault="qualified">
    <xsd:import namespace="http://schemas.microsoft.com/office/2006/documentManagement/types"/>
    <xsd:import namespace="http://schemas.microsoft.com/office/infopath/2007/PartnerControls"/>
    <xsd:element name="Category2" ma:index="10" nillable="true" ma:displayName="Category" ma:format="Dropdown" ma:internalName="Category2">
      <xsd:simpleType>
        <xsd:union memberTypes="dms:Text">
          <xsd:simpleType>
            <xsd:restriction base="dms:Choice">
              <xsd:enumeration value="Disaster"/>
              <xsd:enumeration value="General"/>
              <xsd:enumeration value="IT"/>
              <xsd:enumeration value="Orcpp"/>
              <xsd:enumeration value="Orpin"/>
              <xsd:enumeration value="Training"/>
              <xsd:enumeration value="Travel"/>
              <xsd:enumeration value="Qr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2 xmlns="61349e09-f723-44c2-8cf0-84395070165b">Qrf</Category2>
    <PublishingExpirationDate xmlns="http://schemas.microsoft.com/sharepoint/v3" xsi:nil="true"/>
    <PublishingStartDate xmlns="http://schemas.microsoft.com/sharepoint/v3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K M D A A B Q S w M E F A A C A A g A R I D h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I D h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S A 4 V T 8 p q c G n Q A A A N Y A A A A T A B w A R m 9 y b X V s Y X M v U 2 V j d G l v b j E u b S C i G A A o o B Q A A A A A A A A A A A A A A A A A A A A A A A A A A A B t j T 0 L g z A Q h v d A / k N I F w s i 2 F W c Q t c u C h 3 E I d p r F W O u X C J Y x P / e 2 K x 9 l 4 P 3 4 z k H v R / R i i r e v O C M M z d o g o e o d W f g I k p h w H M m g i p c q I f g X N c e T K Y W I r D + j j R 1 i F N y 3 p q b n q G U c S n b v V F o f a i 0 a Q S c p B q 0 f R 3 w z x t k I P 2 q W U 3 a u i f S r N A s s z 1 C l 8 R v 6 b b J 6 O Y y F T 4 k w s P q 9 / 3 M 2 W j / Y o s v U E s B A i 0 A F A A C A A g A R I D h V C A 4 H 2 e k A A A A 9 Q A A A B I A A A A A A A A A A A A A A A A A A A A A A E N v b m Z p Z y 9 Q Y W N r Y W d l L n h t b F B L A Q I t A B Q A A g A I A E S A 4 V Q P y u m r p A A A A O k A A A A T A A A A A A A A A A A A A A A A A P A A A A B b Q 2 9 u d G V u d F 9 U e X B l c 1 0 u e G 1 s U E s B A i 0 A F A A C A A g A R I D h V P y m p w a d A A A A 1 g A A A B M A A A A A A A A A A A A A A A A A 4 Q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Q c A A A A A A A C T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A x V D I x O j M 1 O j A x L j E w N j U 5 N z V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I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0 s A M U 3 3 + 9 K t v 9 p M M P 2 O O 4 A A A A A A g A A A A A A A 2 Y A A M A A A A A Q A A A A e H d K k 6 i U 8 n t t D g A o y D 7 M X Q A A A A A E g A A A o A A A A B A A A A D K h y L r r I 9 e h 6 E W f A Q + 9 K I d U A A A A F 5 5 P d f Z 0 O 2 2 Z X 2 p g b W n 0 b G I F U w 6 s 5 U p Z x s z x n Z s B q B 2 g r L O 6 p j n J D i l 4 g i M r U 7 h D 5 + Z + C g g p i o S c o / 0 U f n c d r D x Y K e 2 Q C c M J y H Y x M T d S U e X F A A A A O r R 5 z Y k S u q S W W u S 3 o W J k w f 5 A L e s < / D a t a M a s h u p > 
</file>

<file path=customXml/itemProps1.xml><?xml version="1.0" encoding="utf-8"?>
<ds:datastoreItem xmlns:ds="http://schemas.openxmlformats.org/officeDocument/2006/customXml" ds:itemID="{2FCB431D-9BC0-4D75-AA80-1121D813B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1349e09-f723-44c2-8cf0-84395070165b"/>
    <ds:schemaRef ds:uri="c11a4dd1-9999-41de-ad6b-508521c35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04E3A-D2A8-4B84-BD24-D23DDC766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64A3E5-4F19-4444-84FD-204831ACD2BF}">
  <ds:schemaRefs>
    <ds:schemaRef ds:uri="http://schemas.microsoft.com/office/2006/metadata/properties"/>
    <ds:schemaRef ds:uri="http://schemas.microsoft.com/office/infopath/2007/PartnerControls"/>
    <ds:schemaRef ds:uri="61349e09-f723-44c2-8cf0-84395070165b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411A8DCA-93EF-4511-8353-16AE54D3DDE2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kt info</vt:lpstr>
      <vt:lpstr>Pay &amp; Benefits</vt:lpstr>
      <vt:lpstr>Overhead &amp; Margin</vt:lpstr>
      <vt:lpstr>Supplies</vt:lpstr>
      <vt:lpstr>Equipment List</vt:lpstr>
      <vt:lpstr>Subcontractors</vt:lpstr>
      <vt:lpstr>Transportation</vt:lpstr>
      <vt:lpstr>Grounds Maintenance</vt:lpstr>
      <vt:lpstr>Periodics</vt:lpstr>
      <vt:lpstr>Additional-Except &amp; Emerg</vt:lpstr>
      <vt:lpstr>Summary-pricing</vt:lpstr>
      <vt:lpstr>Price Approval</vt:lpstr>
      <vt:lpstr>Margin</vt:lpstr>
      <vt:lpstr>'Grounds Maintenance'!Print_Area</vt:lpstr>
      <vt:lpstr>'kt info'!Print_Area</vt:lpstr>
      <vt:lpstr>Periodics!Print_Area</vt:lpstr>
      <vt:lpstr>'Price Approval'!Print_Area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Location Janitorial</dc:title>
  <dc:creator>PIERCE Darvin * DAS</dc:creator>
  <cp:lastModifiedBy>MONTES Rena * DAS</cp:lastModifiedBy>
  <cp:lastPrinted>2025-05-16T23:43:31Z</cp:lastPrinted>
  <dcterms:created xsi:type="dcterms:W3CDTF">2022-05-09T17:48:56Z</dcterms:created>
  <dcterms:modified xsi:type="dcterms:W3CDTF">2026-03-19T14:45:06Z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2023-10-20T22:39:46Z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461926be-928e-4687-b98c-ed551cce1d75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0x010100EA200A837C2F294B9F010BD48494492B</vt:lpwstr>
  </property>
</Properties>
</file>